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M:\Rates\BHE BHP\South Dakota\Reports and Filings\DSM Energy Efficiency\2017\Data Requests\Staff\2nd Set\"/>
    </mc:Choice>
  </mc:AlternateContent>
  <bookViews>
    <workbookView xWindow="1860" yWindow="0" windowWidth="18870" windowHeight="6990" tabRatio="718" activeTab="1"/>
  </bookViews>
  <sheets>
    <sheet name="Contents" sheetId="174" r:id="rId1"/>
    <sheet name="Portfolio Summary" sheetId="235" r:id="rId2"/>
    <sheet name="Program Inputs" sheetId="131" r:id="rId3"/>
    <sheet name="Measure Inputs" sheetId="118" r:id="rId4"/>
    <sheet name="General Inputs" sheetId="109" r:id="rId5"/>
    <sheet name="Previous Inputs" sheetId="246" state="hidden" r:id="rId6"/>
    <sheet name="Analysis" sheetId="135" r:id="rId7"/>
    <sheet name="Measure Calculations" sheetId="248" r:id="rId8"/>
    <sheet name="ErrorCheck" sheetId="178" state="hidden" r:id="rId9"/>
    <sheet name="Cost Curve" sheetId="230" state="hidden" r:id="rId10"/>
    <sheet name="EPA Emissions Factors" sheetId="179" state="hidden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_123Graph_A" localSheetId="7" hidden="1">'[1]Func. Plt. RRF - With Earnings'!#REF!</definedName>
    <definedName name="__123Graph_A" localSheetId="5" hidden="1">'[2]Func. Plt. RRF - With Earnings'!#REF!</definedName>
    <definedName name="__123Graph_A" hidden="1">'[2]Func. Plt. RRF - With Earnings'!#REF!</definedName>
    <definedName name="__123Graph_C" localSheetId="7" hidden="1">'[1]Func. Plt. RRF - With Earnings'!#REF!</definedName>
    <definedName name="__123Graph_C" localSheetId="5" hidden="1">'[2]Func. Plt. RRF - With Earnings'!#REF!</definedName>
    <definedName name="__123Graph_C" hidden="1">'[2]Func. Plt. RRF - With Earnings'!#REF!</definedName>
    <definedName name="__123Graph_D" localSheetId="7" hidden="1">'[1]Func. Plt. RRF - With Earnings'!#REF!</definedName>
    <definedName name="__123Graph_D" localSheetId="5" hidden="1">'[2]Func. Plt. RRF - With Earnings'!#REF!</definedName>
    <definedName name="__123Graph_D" hidden="1">'[2]Func. Plt. RRF - With Earnings'!#REF!</definedName>
    <definedName name="__123Graph_E" localSheetId="7" hidden="1">'[1]Func. Plt. RRF - With Earnings'!#REF!</definedName>
    <definedName name="__123Graph_E" localSheetId="5" hidden="1">'[2]Func. Plt. RRF - With Earnings'!#REF!</definedName>
    <definedName name="__123Graph_E" hidden="1">'[2]Func. Plt. RRF - With Earnings'!#REF!</definedName>
    <definedName name="__123Graph_F" localSheetId="7" hidden="1">'[1]Func. Plt. RRF - With Earnings'!#REF!</definedName>
    <definedName name="__123Graph_F" localSheetId="5" hidden="1">'[2]Func. Plt. RRF - With Earnings'!#REF!</definedName>
    <definedName name="__123Graph_F" hidden="1">'[2]Func. Plt. RRF - With Earnings'!#REF!</definedName>
    <definedName name="_bdm.FastTrackBookmark.10_4_2004_9_40_31_AM.edm" localSheetId="7" hidden="1">'[3]Adjusted Exp &amp; Rate Base'!#REF!</definedName>
    <definedName name="_bdm.FastTrackBookmark.10_4_2004_9_40_31_AM.edm" localSheetId="5" hidden="1">'[4]Adjusted Exp &amp; Rate Base'!#REF!</definedName>
    <definedName name="_bdm.FastTrackBookmark.10_4_2004_9_40_31_AM.edm" hidden="1">'[4]Adjusted Exp &amp; Rate Base'!#REF!</definedName>
    <definedName name="_bdm.FastTrackBookmark.9_15_2004_3_08_01_PM.edm" localSheetId="7" hidden="1">'[5]Stmt H'!#REF!</definedName>
    <definedName name="_bdm.FastTrackBookmark.9_15_2004_3_08_01_PM.edm" localSheetId="5" hidden="1">'[6]Stmt H'!#REF!</definedName>
    <definedName name="_bdm.FastTrackBookmark.9_15_2004_3_08_01_PM.edm" hidden="1">'[6]Stmt H'!#REF!</definedName>
    <definedName name="_bdm.FastTrackBookmark.9_15_2004_3_17_28_PM.edm" localSheetId="7" hidden="1">'[7]WACC &amp; IT'!#REF!</definedName>
    <definedName name="_bdm.FastTrackBookmark.9_15_2004_3_17_28_PM.edm" localSheetId="5" hidden="1">'[8]WACC &amp; IT'!#REF!</definedName>
    <definedName name="_bdm.FastTrackBookmark.9_15_2004_3_17_28_PM.edm" hidden="1">'[8]WACC &amp; IT'!#REF!</definedName>
    <definedName name="_bdm.FastTrackBookmark.9_15_2004_4_15_33_PM.edm" localSheetId="7" hidden="1">'[5]Stmt H'!#REF!</definedName>
    <definedName name="_bdm.FastTrackBookmark.9_15_2004_4_15_33_PM.edm" localSheetId="5" hidden="1">'[6]Stmt H'!#REF!</definedName>
    <definedName name="_bdm.FastTrackBookmark.9_15_2004_4_15_33_PM.edm" hidden="1">'[6]Stmt H'!#REF!</definedName>
    <definedName name="_xlnm._FilterDatabase" localSheetId="6" hidden="1">Analysis!$D$8:$H$276</definedName>
    <definedName name="_xlnm._FilterDatabase" localSheetId="3" hidden="1">'Measure Inputs'!$F$6:$K$234</definedName>
    <definedName name="_xlnm._FilterDatabase" localSheetId="5" hidden="1">'Previous Inputs'!$B$3:$AI$104</definedName>
    <definedName name="_xlnm._FilterDatabase" localSheetId="2" hidden="1">'Program Inputs'!$D$4:$H$37</definedName>
    <definedName name="adfa" localSheetId="7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adfa" localSheetId="5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adfa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adfa_old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BaseYear">'General Inputs'!$D$5</definedName>
    <definedName name="CycleEndYear">'General Inputs'!$D$8</definedName>
    <definedName name="CycleStartYear">'General Inputs'!$D$7</definedName>
    <definedName name="DiscountRate" localSheetId="7">'[9]General Inputs'!$B$3</definedName>
    <definedName name="DiscountRate">'[10]General Inputs'!$B$3</definedName>
    <definedName name="DiscountRatePCT">'General Inputs'!$D$13</definedName>
    <definedName name="DiscountRateRIM">'General Inputs'!$D$14</definedName>
    <definedName name="DiscountRateSCT">'General Inputs'!$D$12</definedName>
    <definedName name="DiscountRateTRC">'General Inputs'!$D$10</definedName>
    <definedName name="DiscountRateUCT">'General Inputs'!$D$11</definedName>
    <definedName name="EndYear">'General Inputs'!$D$6</definedName>
    <definedName name="EnergyLineLoss" localSheetId="7">'[9]General Inputs'!$B$5</definedName>
    <definedName name="EnergyLineLoss">'[10]General Inputs'!$B$5</definedName>
    <definedName name="EscalationRate">'General Inputs'!$D$15</definedName>
    <definedName name="InputRows">ErrorCheck!$B$11</definedName>
    <definedName name="Loss_ElectricDemand">'General Inputs'!$D$18</definedName>
    <definedName name="Loss_ElectricEnergy">'General Inputs'!$D$17</definedName>
    <definedName name="Loss_GasEnergy">'General Inputs'!$D$19</definedName>
    <definedName name="Loss_OilEnergy">'General Inputs'!$D$22</definedName>
    <definedName name="Loss_Propane">'General Inputs'!$D$21</definedName>
    <definedName name="Loss_Water">'General Inputs'!$D$20</definedName>
    <definedName name="PeakLineLoss" localSheetId="7">'[9]General Inputs'!$B$6</definedName>
    <definedName name="PeakLineLoss">'[10]General Inputs'!$B$6</definedName>
    <definedName name="saraaksdf" localSheetId="7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saraaksdf" localSheetId="5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saraaksdf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saraaksdf_old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TotalMeasures">ErrorCheck!$B$10</definedName>
    <definedName name="TotalPrograms">ErrorCheck!$B$12</definedName>
    <definedName name="TotalSectors">ErrorCheck!$B$13</definedName>
    <definedName name="wr.COST_old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wrn.COST._.ALLOC._.STUDY._.1997._.CLFP." localSheetId="7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wrn.COST._.ALLOC._.STUDY._.1997._.CLFP." localSheetId="5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wrn.COST._.ALLOC._.STUDY._.1997._.CLFP.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wrn.DATA._.INPUTS." localSheetId="7" hidden="1">{#N/A,#N/A,TRUE,"DATA INPUTS"}</definedName>
    <definedName name="wrn.DATA._.INPUTS." localSheetId="5" hidden="1">{#N/A,#N/A,TRUE,"DATA INPUTS"}</definedName>
    <definedName name="wrn.DATA._.INPUTS." hidden="1">{#N/A,#N/A,TRUE,"DATA INPUTS"}</definedName>
    <definedName name="wrn.DATA_old" hidden="1">{#N/A,#N/A,TRUE,"DATA INPUTS"}</definedName>
    <definedName name="wrn.Other._.Schedules." localSheetId="7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wrn.Other._.Schedules." localSheetId="5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wrn.Other._.Schedules.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wrn.Other_Old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wrn.RAK1." localSheetId="7" hidden="1">{"RAK-1, Schedule 1",#N/A,FALSE,"Electric";"RAK-1, Schedule 2",#N/A,FALSE,"Electric";"RAK-1, Schedule 4",#N/A,FALSE,"Electric"}</definedName>
    <definedName name="wrn.RAK1." localSheetId="5" hidden="1">{"RAK-1, Schedule 1",#N/A,FALSE,"Electric";"RAK-1, Schedule 2",#N/A,FALSE,"Electric";"RAK-1, Schedule 4",#N/A,FALSE,"Electric"}</definedName>
    <definedName name="wrn.RAK1." hidden="1">{"RAK-1, Schedule 1",#N/A,FALSE,"Electric";"RAK-1, Schedule 2",#N/A,FALSE,"Electric";"RAK-1, Schedule 4",#N/A,FALSE,"Electric"}</definedName>
    <definedName name="wrn.RAK1.old" hidden="1">{"RAK-1, Schedule 1",#N/A,FALSE,"Electric";"RAK-1, Schedule 2",#N/A,FALSE,"Electric";"RAK-1, Schedule 4",#N/A,FALSE,"Electric"}</definedName>
    <definedName name="wrn.RAK2." localSheetId="7" hidden="1">{"RAK-2, Schedule 1A",#N/A,FALSE,"Electric";"RAK-2, Schedule 1B",#N/A,FALSE,"Electric";"RAK-2, Schedule 1C",#N/A,FALSE,"Electric";"RAK-2, Schedule 1D",#N/A,FALSE,"Electric";"RAK-2, Schedule 2A",#N/A,FALSE,"Electric";"RAK-2, Schedule 2B",#N/A,FALSE,"Electric";"RAK-2, Schedule 2C",#N/A,FALSE,"Electric";"RAK-2, Schedule 2D",#N/A,FALSE,"Electric";"RAK-2, Schedule 3A",#N/A,FALSE,"Electric";"RAK-2, Schedule 3B",#N/A,FALSE,"Electric";"RAK-2, Schedule 3C",#N/A,FALSE,"Electric";"RAK-2, Schedule 3D",#N/A,FALSE,"Electric";"RAK-2, Schedule 4A",#N/A,FALSE,"Electric";"RAK-2, Schedule 4B",#N/A,FALSE,"Electric";"RAK-2, Schedule 4C",#N/A,FALSE,"Electric";"RAK-2, Schedule 4D",#N/A,FALSE,"Electric"}</definedName>
    <definedName name="wrn.RAK2." localSheetId="5" hidden="1">{"RAK-2, Schedule 1A",#N/A,FALSE,"Electric";"RAK-2, Schedule 1B",#N/A,FALSE,"Electric";"RAK-2, Schedule 1C",#N/A,FALSE,"Electric";"RAK-2, Schedule 1D",#N/A,FALSE,"Electric";"RAK-2, Schedule 2A",#N/A,FALSE,"Electric";"RAK-2, Schedule 2B",#N/A,FALSE,"Electric";"RAK-2, Schedule 2C",#N/A,FALSE,"Electric";"RAK-2, Schedule 2D",#N/A,FALSE,"Electric";"RAK-2, Schedule 3A",#N/A,FALSE,"Electric";"RAK-2, Schedule 3B",#N/A,FALSE,"Electric";"RAK-2, Schedule 3C",#N/A,FALSE,"Electric";"RAK-2, Schedule 3D",#N/A,FALSE,"Electric";"RAK-2, Schedule 4A",#N/A,FALSE,"Electric";"RAK-2, Schedule 4B",#N/A,FALSE,"Electric";"RAK-2, Schedule 4C",#N/A,FALSE,"Electric";"RAK-2, Schedule 4D",#N/A,FALSE,"Electric"}</definedName>
    <definedName name="wrn.RAK2." hidden="1">{"RAK-2, Schedule 1A",#N/A,FALSE,"Electric";"RAK-2, Schedule 1B",#N/A,FALSE,"Electric";"RAK-2, Schedule 1C",#N/A,FALSE,"Electric";"RAK-2, Schedule 1D",#N/A,FALSE,"Electric";"RAK-2, Schedule 2A",#N/A,FALSE,"Electric";"RAK-2, Schedule 2B",#N/A,FALSE,"Electric";"RAK-2, Schedule 2C",#N/A,FALSE,"Electric";"RAK-2, Schedule 2D",#N/A,FALSE,"Electric";"RAK-2, Schedule 3A",#N/A,FALSE,"Electric";"RAK-2, Schedule 3B",#N/A,FALSE,"Electric";"RAK-2, Schedule 3C",#N/A,FALSE,"Electric";"RAK-2, Schedule 3D",#N/A,FALSE,"Electric";"RAK-2, Schedule 4A",#N/A,FALSE,"Electric";"RAK-2, Schedule 4B",#N/A,FALSE,"Electric";"RAK-2, Schedule 4C",#N/A,FALSE,"Electric";"RAK-2, Schedule 4D",#N/A,FALSE,"Electric"}</definedName>
    <definedName name="wrn.RAK2.old" hidden="1">{"RAK-2, Schedule 1A",#N/A,FALSE,"Electric";"RAK-2, Schedule 1B",#N/A,FALSE,"Electric";"RAK-2, Schedule 1C",#N/A,FALSE,"Electric";"RAK-2, Schedule 1D",#N/A,FALSE,"Electric";"RAK-2, Schedule 2A",#N/A,FALSE,"Electric";"RAK-2, Schedule 2B",#N/A,FALSE,"Electric";"RAK-2, Schedule 2C",#N/A,FALSE,"Electric";"RAK-2, Schedule 2D",#N/A,FALSE,"Electric";"RAK-2, Schedule 3A",#N/A,FALSE,"Electric";"RAK-2, Schedule 3B",#N/A,FALSE,"Electric";"RAK-2, Schedule 3C",#N/A,FALSE,"Electric";"RAK-2, Schedule 3D",#N/A,FALSE,"Electric";"RAK-2, Schedule 4A",#N/A,FALSE,"Electric";"RAK-2, Schedule 4B",#N/A,FALSE,"Electric";"RAK-2, Schedule 4C",#N/A,FALSE,"Electric";"RAK-2, Schedule 4D",#N/A,FALSE,"Electric"}</definedName>
    <definedName name="wrn.RevReq." localSheetId="7" hidden="1">{#N/A,#N/A,FALSE,"Revenue Requirements";#N/A,#N/A,FALSE,"Capital Structure";#N/A,#N/A,FALSE,"Cost of Debt";#N/A,#N/A,FALSE,"Electric";#N/A,#N/A,FALSE,"Gas";#N/A,#N/A,FALSE,"CWC";#N/A,#N/A,FALSE,"Income Taxes"}</definedName>
    <definedName name="wrn.RevReq." localSheetId="5" hidden="1">{#N/A,#N/A,FALSE,"Revenue Requirements";#N/A,#N/A,FALSE,"Capital Structure";#N/A,#N/A,FALSE,"Cost of Debt";#N/A,#N/A,FALSE,"Electric";#N/A,#N/A,FALSE,"Gas";#N/A,#N/A,FALSE,"CWC";#N/A,#N/A,FALSE,"Income Taxes"}</definedName>
    <definedName name="wrn.RevReq." hidden="1">{#N/A,#N/A,FALSE,"Revenue Requirements";#N/A,#N/A,FALSE,"Capital Structure";#N/A,#N/A,FALSE,"Cost of Debt";#N/A,#N/A,FALSE,"Electric";#N/A,#N/A,FALSE,"Gas";#N/A,#N/A,FALSE,"CWC";#N/A,#N/A,FALSE,"Income Taxes"}</definedName>
    <definedName name="wrn.Schedule._.4." localSheetId="7" hidden="1">{"ERB1",#N/A,FALSE,"Electric";"ERB2",#N/A,FALSE,"Electric";"ERB3",#N/A,FALSE,"Electric";"ERB4",#N/A,FALSE,"Electric";"ERB5",#N/A,FALSE,"Electric"}</definedName>
    <definedName name="wrn.Schedule._.4." localSheetId="5" hidden="1">{"ERB1",#N/A,FALSE,"Electric";"ERB2",#N/A,FALSE,"Electric";"ERB3",#N/A,FALSE,"Electric";"ERB4",#N/A,FALSE,"Electric";"ERB5",#N/A,FALSE,"Electric"}</definedName>
    <definedName name="wrn.Schedule._.4." hidden="1">{"ERB1",#N/A,FALSE,"Electric";"ERB2",#N/A,FALSE,"Electric";"ERB3",#N/A,FALSE,"Electric";"ERB4",#N/A,FALSE,"Electric";"ERB5",#N/A,FALSE,"Electric"}</definedName>
    <definedName name="wrn.Schedule._.4.Old" hidden="1">{"ERB1",#N/A,FALSE,"Electric";"ERB2",#N/A,FALSE,"Electric";"ERB3",#N/A,FALSE,"Electric";"ERB4",#N/A,FALSE,"Electric";"ERB5",#N/A,FALSE,"Electric"}</definedName>
    <definedName name="wrn.Schedule._.5." localSheetId="7" hidden="1">{"EE1",#N/A,FALSE,"Electric";"EE2",#N/A,FALSE,"Electric";"EE3",#N/A,FALSE,"Electric";"EE4",#N/A,FALSE,"Electric";"EE5",#N/A,FALSE,"Electric"}</definedName>
    <definedName name="wrn.Schedule._.5." localSheetId="5" hidden="1">{"EE1",#N/A,FALSE,"Electric";"EE2",#N/A,FALSE,"Electric";"EE3",#N/A,FALSE,"Electric";"EE4",#N/A,FALSE,"Electric";"EE5",#N/A,FALSE,"Electric"}</definedName>
    <definedName name="wrn.Schedule._.5." hidden="1">{"EE1",#N/A,FALSE,"Electric";"EE2",#N/A,FALSE,"Electric";"EE3",#N/A,FALSE,"Electric";"EE4",#N/A,FALSE,"Electric";"EE5",#N/A,FALSE,"Electric"}</definedName>
    <definedName name="wrn.schedule_5.old" hidden="1">{"EE1",#N/A,FALSE,"Electric";"EE2",#N/A,FALSE,"Electric";"EE3",#N/A,FALSE,"Electric";"EE4",#N/A,FALSE,"Electric";"EE5",#N/A,FALSE,"Electric"}</definedName>
    <definedName name="wrnREvREq.Old" hidden="1">{#N/A,#N/A,FALSE,"Revenue Requirements";#N/A,#N/A,FALSE,"Capital Structure";#N/A,#N/A,FALSE,"Cost of Debt";#N/A,#N/A,FALSE,"Electric";#N/A,#N/A,FALSE,"Gas";#N/A,#N/A,FALSE,"CWC";#N/A,#N/A,FALSE,"Income Taxes"}</definedName>
  </definedNames>
  <calcPr calcId="152511"/>
</workbook>
</file>

<file path=xl/calcChain.xml><?xml version="1.0" encoding="utf-8"?>
<calcChain xmlns="http://schemas.openxmlformats.org/spreadsheetml/2006/main">
  <c r="P232" i="118" l="1"/>
  <c r="P169" i="118"/>
  <c r="P156" i="118"/>
  <c r="P93" i="118"/>
  <c r="P19" i="118" l="1"/>
  <c r="C112" i="248" l="1"/>
  <c r="B112" i="248"/>
  <c r="C111" i="248"/>
  <c r="B111" i="248"/>
  <c r="O16" i="118" l="1"/>
  <c r="G32" i="109"/>
  <c r="H32" i="109" s="1"/>
  <c r="I32" i="109" s="1"/>
  <c r="J32" i="109" s="1"/>
  <c r="K32" i="109" s="1"/>
  <c r="L32" i="109" s="1"/>
  <c r="M32" i="109" s="1"/>
  <c r="N32" i="109" s="1"/>
  <c r="O32" i="109" s="1"/>
  <c r="P32" i="109" s="1"/>
  <c r="Q32" i="109" s="1"/>
  <c r="R32" i="109" s="1"/>
  <c r="S32" i="109" s="1"/>
  <c r="T32" i="109" s="1"/>
  <c r="U32" i="109" s="1"/>
  <c r="V32" i="109" s="1"/>
  <c r="G33" i="109"/>
  <c r="H33" i="109" s="1"/>
  <c r="I33" i="109" s="1"/>
  <c r="J33" i="109" s="1"/>
  <c r="K33" i="109" s="1"/>
  <c r="L33" i="109" s="1"/>
  <c r="M33" i="109" s="1"/>
  <c r="N33" i="109" s="1"/>
  <c r="O33" i="109" s="1"/>
  <c r="P33" i="109" s="1"/>
  <c r="Q33" i="109" s="1"/>
  <c r="R33" i="109" s="1"/>
  <c r="S33" i="109" s="1"/>
  <c r="T33" i="109" s="1"/>
  <c r="U33" i="109" s="1"/>
  <c r="V33" i="109" s="1"/>
  <c r="L190" i="118" l="1"/>
  <c r="L189" i="118"/>
  <c r="L188" i="118"/>
  <c r="L187" i="118"/>
  <c r="L186" i="118"/>
  <c r="L185" i="118"/>
  <c r="L184" i="118"/>
  <c r="L182" i="118"/>
  <c r="L181" i="118"/>
  <c r="L180" i="118"/>
  <c r="L179" i="118"/>
  <c r="L178" i="118"/>
  <c r="L177" i="118"/>
  <c r="L176" i="118"/>
  <c r="L175" i="118"/>
  <c r="L174" i="118"/>
  <c r="L173" i="118"/>
  <c r="L172" i="118"/>
  <c r="L114" i="118"/>
  <c r="L113" i="118"/>
  <c r="L112" i="118"/>
  <c r="L111" i="118"/>
  <c r="L110" i="118"/>
  <c r="L109" i="118"/>
  <c r="L108" i="118"/>
  <c r="L106" i="118"/>
  <c r="L105" i="118"/>
  <c r="L104" i="118"/>
  <c r="L103" i="118"/>
  <c r="L102" i="118"/>
  <c r="L101" i="118"/>
  <c r="L100" i="118"/>
  <c r="L99" i="118"/>
  <c r="L98" i="118"/>
  <c r="L97" i="118"/>
  <c r="L96" i="118"/>
  <c r="B37" i="131" l="1"/>
  <c r="B36" i="131"/>
  <c r="B35" i="131"/>
  <c r="B34" i="131"/>
  <c r="B33" i="131"/>
  <c r="B32" i="131"/>
  <c r="B31" i="131"/>
  <c r="B30" i="131"/>
  <c r="B29" i="131"/>
  <c r="B28" i="131"/>
  <c r="B27" i="131"/>
  <c r="B26" i="131"/>
  <c r="B25" i="131"/>
  <c r="B24" i="131"/>
  <c r="B23" i="131"/>
  <c r="B22" i="131"/>
  <c r="B21" i="131"/>
  <c r="B20" i="131"/>
  <c r="B19" i="131"/>
  <c r="B18" i="131"/>
  <c r="B17" i="131"/>
  <c r="B16" i="131"/>
  <c r="I15" i="131" l="1"/>
  <c r="B15" i="131"/>
  <c r="I14" i="131"/>
  <c r="B14" i="131"/>
  <c r="O171" i="118" l="1"/>
  <c r="O170" i="118"/>
  <c r="O169" i="118"/>
  <c r="O168" i="118"/>
  <c r="O167" i="118"/>
  <c r="O166" i="118"/>
  <c r="O165" i="118"/>
  <c r="O164" i="118"/>
  <c r="O163" i="118"/>
  <c r="O95" i="118"/>
  <c r="O94" i="118"/>
  <c r="O93" i="118"/>
  <c r="O92" i="118"/>
  <c r="O91" i="118"/>
  <c r="O90" i="118"/>
  <c r="O89" i="118"/>
  <c r="O88" i="118"/>
  <c r="O87" i="118"/>
  <c r="O19" i="118"/>
  <c r="O18" i="118"/>
  <c r="O17" i="118"/>
  <c r="O15" i="118"/>
  <c r="O14" i="118"/>
  <c r="O13" i="118"/>
  <c r="O12" i="118"/>
  <c r="O11" i="118"/>
  <c r="N73" i="235" l="1"/>
  <c r="N72" i="235"/>
  <c r="N71" i="235"/>
  <c r="N70" i="235"/>
  <c r="N69" i="235"/>
  <c r="N68" i="235"/>
  <c r="N67" i="235"/>
  <c r="N66" i="235"/>
  <c r="N65" i="235"/>
  <c r="C114" i="235" l="1"/>
  <c r="B107" i="235"/>
  <c r="D111" i="235"/>
  <c r="F114" i="235"/>
  <c r="D108" i="235"/>
  <c r="D112" i="235"/>
  <c r="N74" i="235"/>
  <c r="D73" i="235" s="1"/>
  <c r="B75" i="235"/>
  <c r="D109" i="235"/>
  <c r="D113" i="235"/>
  <c r="B91" i="235"/>
  <c r="D110" i="235"/>
  <c r="D107" i="235"/>
  <c r="D104" i="235"/>
  <c r="D101" i="235"/>
  <c r="D98" i="235"/>
  <c r="D95" i="235"/>
  <c r="D91" i="235"/>
  <c r="D88" i="235"/>
  <c r="D85" i="235"/>
  <c r="D82" i="235"/>
  <c r="D79" i="235"/>
  <c r="D76" i="235"/>
  <c r="D106" i="235"/>
  <c r="D102" i="235"/>
  <c r="D99" i="235"/>
  <c r="D96" i="235"/>
  <c r="D93" i="235"/>
  <c r="D90" i="235"/>
  <c r="D87" i="235"/>
  <c r="D84" i="235"/>
  <c r="D81" i="235"/>
  <c r="D78" i="235"/>
  <c r="D75" i="235"/>
  <c r="D69" i="235"/>
  <c r="D105" i="235"/>
  <c r="D103" i="235"/>
  <c r="D100" i="235"/>
  <c r="D97" i="235"/>
  <c r="D94" i="235"/>
  <c r="D92" i="235"/>
  <c r="D89" i="235"/>
  <c r="D86" i="235"/>
  <c r="D83" i="235"/>
  <c r="D80" i="235"/>
  <c r="D77" i="235"/>
  <c r="D74" i="235"/>
  <c r="D70" i="235"/>
  <c r="B79" i="235"/>
  <c r="B95" i="235"/>
  <c r="B111" i="235"/>
  <c r="E74" i="235"/>
  <c r="E75" i="235"/>
  <c r="E76" i="235"/>
  <c r="E77" i="235"/>
  <c r="E78" i="235"/>
  <c r="E79" i="235"/>
  <c r="E80" i="235"/>
  <c r="E81" i="235"/>
  <c r="E82" i="235"/>
  <c r="E83" i="235"/>
  <c r="E84" i="235"/>
  <c r="E85" i="235"/>
  <c r="E86" i="235"/>
  <c r="E87" i="235"/>
  <c r="E88" i="235"/>
  <c r="E89" i="235"/>
  <c r="E90" i="235"/>
  <c r="E91" i="235"/>
  <c r="E92" i="235"/>
  <c r="E93" i="235"/>
  <c r="E94" i="235"/>
  <c r="E95" i="235"/>
  <c r="E96" i="235"/>
  <c r="E97" i="235"/>
  <c r="E98" i="235"/>
  <c r="E99" i="235"/>
  <c r="E100" i="235"/>
  <c r="E101" i="235"/>
  <c r="E102" i="235"/>
  <c r="E103" i="235"/>
  <c r="E104" i="235"/>
  <c r="E105" i="235"/>
  <c r="E106" i="235"/>
  <c r="E108" i="235"/>
  <c r="E109" i="235"/>
  <c r="E110" i="235"/>
  <c r="E111" i="235"/>
  <c r="E112" i="235"/>
  <c r="E113" i="235"/>
  <c r="D114" i="235"/>
  <c r="B67" i="235"/>
  <c r="B83" i="235"/>
  <c r="B99" i="235"/>
  <c r="F74" i="235"/>
  <c r="F75" i="235"/>
  <c r="F76" i="235"/>
  <c r="F77" i="235"/>
  <c r="F78" i="235"/>
  <c r="F79" i="235"/>
  <c r="F80" i="235"/>
  <c r="F81" i="235"/>
  <c r="F82" i="235"/>
  <c r="F83" i="235"/>
  <c r="F84" i="235"/>
  <c r="F85" i="235"/>
  <c r="F86" i="235"/>
  <c r="F87" i="235"/>
  <c r="F88" i="235"/>
  <c r="F89" i="235"/>
  <c r="F90" i="235"/>
  <c r="F91" i="235"/>
  <c r="F92" i="235"/>
  <c r="F93" i="235"/>
  <c r="F94" i="235"/>
  <c r="F95" i="235"/>
  <c r="F96" i="235"/>
  <c r="F97" i="235"/>
  <c r="F98" i="235"/>
  <c r="F99" i="235"/>
  <c r="F100" i="235"/>
  <c r="F101" i="235"/>
  <c r="F102" i="235"/>
  <c r="F103" i="235"/>
  <c r="F104" i="235"/>
  <c r="F105" i="235"/>
  <c r="F106" i="235"/>
  <c r="F108" i="235"/>
  <c r="F109" i="235"/>
  <c r="F110" i="235"/>
  <c r="F111" i="235"/>
  <c r="F112" i="235"/>
  <c r="F113" i="235"/>
  <c r="E114" i="235"/>
  <c r="B71" i="235"/>
  <c r="B87" i="235"/>
  <c r="B103" i="235"/>
  <c r="C65" i="235"/>
  <c r="C66" i="235"/>
  <c r="C67" i="235"/>
  <c r="C68" i="235"/>
  <c r="C69" i="235"/>
  <c r="C70" i="235"/>
  <c r="C71" i="235"/>
  <c r="C72" i="235"/>
  <c r="C73" i="235"/>
  <c r="C74" i="235"/>
  <c r="C75" i="235"/>
  <c r="C76" i="235"/>
  <c r="C77" i="235"/>
  <c r="C78" i="235"/>
  <c r="C79" i="235"/>
  <c r="C80" i="235"/>
  <c r="C81" i="235"/>
  <c r="C82" i="235"/>
  <c r="C83" i="235"/>
  <c r="C84" i="235"/>
  <c r="C85" i="235"/>
  <c r="C86" i="235"/>
  <c r="C87" i="235"/>
  <c r="C88" i="235"/>
  <c r="C89" i="235"/>
  <c r="C90" i="235"/>
  <c r="C91" i="235"/>
  <c r="C92" i="235"/>
  <c r="C93" i="235"/>
  <c r="C94" i="235"/>
  <c r="C95" i="235"/>
  <c r="C96" i="235"/>
  <c r="C97" i="235"/>
  <c r="C98" i="235"/>
  <c r="C99" i="235"/>
  <c r="C100" i="235"/>
  <c r="C101" i="235"/>
  <c r="C102" i="235"/>
  <c r="C103" i="235"/>
  <c r="C104" i="235"/>
  <c r="C105" i="235"/>
  <c r="C106" i="235"/>
  <c r="C107" i="235"/>
  <c r="C108" i="235"/>
  <c r="C109" i="235"/>
  <c r="C110" i="235"/>
  <c r="C111" i="235"/>
  <c r="C112" i="235"/>
  <c r="C113" i="235"/>
  <c r="B114" i="235"/>
  <c r="B65" i="235"/>
  <c r="B69" i="235"/>
  <c r="B73" i="235"/>
  <c r="B77" i="235"/>
  <c r="B81" i="235"/>
  <c r="B85" i="235"/>
  <c r="B89" i="235"/>
  <c r="B93" i="235"/>
  <c r="B97" i="235"/>
  <c r="B101" i="235"/>
  <c r="B105" i="235"/>
  <c r="B109" i="235"/>
  <c r="B113" i="235"/>
  <c r="B68" i="235"/>
  <c r="B72" i="235"/>
  <c r="B76" i="235"/>
  <c r="B80" i="235"/>
  <c r="B84" i="235"/>
  <c r="B88" i="235"/>
  <c r="B92" i="235"/>
  <c r="B96" i="235"/>
  <c r="B100" i="235"/>
  <c r="B104" i="235"/>
  <c r="B108" i="235"/>
  <c r="B112" i="235"/>
  <c r="B66" i="235"/>
  <c r="B70" i="235"/>
  <c r="B74" i="235"/>
  <c r="B78" i="235"/>
  <c r="B82" i="235"/>
  <c r="B86" i="235"/>
  <c r="B90" i="235"/>
  <c r="B94" i="235"/>
  <c r="B98" i="235"/>
  <c r="B102" i="235"/>
  <c r="B106" i="235"/>
  <c r="B110" i="235"/>
  <c r="V18" i="235"/>
  <c r="V19" i="235"/>
  <c r="V20" i="235"/>
  <c r="C21" i="235"/>
  <c r="V21" i="235"/>
  <c r="C22" i="235"/>
  <c r="V22" i="235"/>
  <c r="V23" i="235"/>
  <c r="C24" i="235"/>
  <c r="V24" i="235"/>
  <c r="V25" i="235"/>
  <c r="V26" i="235"/>
  <c r="C33" i="235"/>
  <c r="C34" i="235"/>
  <c r="C36" i="235"/>
  <c r="C45" i="235"/>
  <c r="C46" i="235"/>
  <c r="C48" i="235"/>
  <c r="B6" i="131"/>
  <c r="B7" i="131"/>
  <c r="B8" i="131"/>
  <c r="B9" i="131"/>
  <c r="B10" i="131"/>
  <c r="B11" i="131"/>
  <c r="B12" i="131"/>
  <c r="B13" i="131"/>
  <c r="B5" i="131"/>
  <c r="L38" i="118"/>
  <c r="L37" i="118"/>
  <c r="L36" i="118"/>
  <c r="L34" i="118"/>
  <c r="L35" i="118"/>
  <c r="L33" i="118"/>
  <c r="L32" i="118"/>
  <c r="J31" i="131"/>
  <c r="M31" i="131" s="1"/>
  <c r="J20" i="131"/>
  <c r="K20" i="131" s="1"/>
  <c r="J9" i="131"/>
  <c r="M9" i="131" s="1"/>
  <c r="L30" i="118"/>
  <c r="L29" i="118"/>
  <c r="L28" i="118"/>
  <c r="L24" i="118"/>
  <c r="L26" i="118"/>
  <c r="L25" i="118"/>
  <c r="D65" i="235" l="1"/>
  <c r="C15" i="131"/>
  <c r="C14" i="131"/>
  <c r="B12" i="178"/>
  <c r="C35" i="131"/>
  <c r="C37" i="131"/>
  <c r="C25" i="131"/>
  <c r="C36" i="131"/>
  <c r="C26" i="131"/>
  <c r="E107" i="235"/>
  <c r="I26" i="131"/>
  <c r="I25" i="131"/>
  <c r="D66" i="235"/>
  <c r="D67" i="235"/>
  <c r="D72" i="235"/>
  <c r="D68" i="235"/>
  <c r="D71" i="235"/>
  <c r="M20" i="131"/>
  <c r="K9" i="131"/>
  <c r="K31" i="131"/>
  <c r="L22" i="118"/>
  <c r="L21" i="118"/>
  <c r="L20" i="118"/>
  <c r="M28" i="246"/>
  <c r="J30" i="131"/>
  <c r="M30" i="131" s="1"/>
  <c r="B104" i="246"/>
  <c r="B103" i="246"/>
  <c r="B102" i="246"/>
  <c r="B101" i="246"/>
  <c r="B100" i="246"/>
  <c r="B99" i="246"/>
  <c r="B98" i="246"/>
  <c r="B97" i="246"/>
  <c r="B96" i="246"/>
  <c r="B95" i="246"/>
  <c r="B94" i="246"/>
  <c r="B93" i="246"/>
  <c r="B92" i="246"/>
  <c r="B91" i="246"/>
  <c r="B90" i="246"/>
  <c r="B89" i="246"/>
  <c r="B88" i="246"/>
  <c r="B87" i="246"/>
  <c r="B86" i="246"/>
  <c r="B85" i="246"/>
  <c r="B84" i="246"/>
  <c r="B83" i="246"/>
  <c r="B82" i="246"/>
  <c r="B81" i="246"/>
  <c r="B80" i="246"/>
  <c r="B79" i="246"/>
  <c r="B78" i="246"/>
  <c r="B77" i="246"/>
  <c r="B76" i="246"/>
  <c r="B75" i="246"/>
  <c r="B74" i="246"/>
  <c r="B73" i="246"/>
  <c r="B72" i="246"/>
  <c r="B71" i="246"/>
  <c r="B70" i="246"/>
  <c r="B69" i="246"/>
  <c r="B68" i="246"/>
  <c r="B67" i="246"/>
  <c r="B66" i="246"/>
  <c r="B65" i="246"/>
  <c r="B64" i="246"/>
  <c r="B63" i="246"/>
  <c r="B62" i="246"/>
  <c r="B61" i="246"/>
  <c r="B60" i="246"/>
  <c r="B59" i="246"/>
  <c r="B58" i="246"/>
  <c r="B57" i="246"/>
  <c r="B56" i="246"/>
  <c r="B55" i="246"/>
  <c r="B54" i="246"/>
  <c r="B53" i="246"/>
  <c r="B52" i="246"/>
  <c r="B51" i="246"/>
  <c r="B50" i="246"/>
  <c r="B49" i="246"/>
  <c r="B48" i="246"/>
  <c r="B47" i="246"/>
  <c r="B46" i="246"/>
  <c r="B45" i="246"/>
  <c r="B44" i="246"/>
  <c r="B43" i="246"/>
  <c r="B42" i="246"/>
  <c r="B41" i="246"/>
  <c r="B40" i="246"/>
  <c r="B39" i="246"/>
  <c r="B38" i="246"/>
  <c r="B37" i="246"/>
  <c r="B36" i="246"/>
  <c r="B35" i="246"/>
  <c r="B34" i="246"/>
  <c r="B33" i="246"/>
  <c r="B32" i="246"/>
  <c r="B31" i="246"/>
  <c r="B30" i="246"/>
  <c r="B29" i="246"/>
  <c r="B28" i="246"/>
  <c r="B27" i="246"/>
  <c r="B26" i="246"/>
  <c r="B25" i="246"/>
  <c r="B24" i="246"/>
  <c r="B23" i="246"/>
  <c r="B22" i="246"/>
  <c r="B21" i="246"/>
  <c r="B20" i="246"/>
  <c r="B19" i="246"/>
  <c r="B18" i="246"/>
  <c r="B17" i="246"/>
  <c r="B16" i="246"/>
  <c r="B15" i="246"/>
  <c r="B14" i="246"/>
  <c r="B13" i="246"/>
  <c r="B12" i="246"/>
  <c r="B11" i="246"/>
  <c r="B10" i="246"/>
  <c r="B9" i="246"/>
  <c r="B8" i="246"/>
  <c r="B7" i="246"/>
  <c r="B6" i="246"/>
  <c r="B4" i="246"/>
  <c r="B5" i="246"/>
  <c r="K30" i="131" l="1"/>
  <c r="B20" i="135" l="1"/>
  <c r="B13" i="135"/>
  <c r="B8" i="135"/>
  <c r="B9" i="135"/>
  <c r="B48" i="135"/>
  <c r="P159" i="118"/>
  <c r="P83" i="118"/>
  <c r="P7" i="118"/>
  <c r="B20" i="118"/>
  <c r="B12" i="135"/>
  <c r="B11" i="135"/>
  <c r="B10" i="135"/>
  <c r="B19" i="135"/>
  <c r="B18" i="135"/>
  <c r="B17" i="135"/>
  <c r="B16" i="135"/>
  <c r="B15" i="135"/>
  <c r="B14" i="135"/>
  <c r="B47" i="135"/>
  <c r="B46" i="135"/>
  <c r="B45" i="135"/>
  <c r="B44" i="135"/>
  <c r="B43" i="135"/>
  <c r="B42" i="135"/>
  <c r="B41" i="135"/>
  <c r="B40" i="135"/>
  <c r="B39" i="135"/>
  <c r="B38" i="135"/>
  <c r="B37" i="135"/>
  <c r="B36" i="135"/>
  <c r="B35" i="135"/>
  <c r="B34" i="135"/>
  <c r="B33" i="135"/>
  <c r="B32" i="135"/>
  <c r="B31" i="135"/>
  <c r="B30" i="135"/>
  <c r="B29" i="135"/>
  <c r="B28" i="135"/>
  <c r="B27" i="135"/>
  <c r="B26" i="135"/>
  <c r="B25" i="135"/>
  <c r="B24" i="135"/>
  <c r="B23" i="135"/>
  <c r="B22" i="135"/>
  <c r="B21" i="135"/>
  <c r="B50" i="135"/>
  <c r="B51" i="135"/>
  <c r="B52" i="135"/>
  <c r="B53" i="135"/>
  <c r="B54" i="135"/>
  <c r="B55" i="135"/>
  <c r="B56" i="135"/>
  <c r="B57" i="135"/>
  <c r="B58" i="135"/>
  <c r="B59" i="135"/>
  <c r="B60" i="135"/>
  <c r="B61" i="135"/>
  <c r="B62" i="135"/>
  <c r="B63" i="135"/>
  <c r="B64" i="135"/>
  <c r="B65" i="135"/>
  <c r="B66" i="135"/>
  <c r="B67" i="135"/>
  <c r="B68" i="135"/>
  <c r="B69" i="135"/>
  <c r="B70" i="135"/>
  <c r="B71" i="135"/>
  <c r="B72" i="135"/>
  <c r="B73" i="135"/>
  <c r="B74" i="135"/>
  <c r="B75" i="135"/>
  <c r="B76" i="135"/>
  <c r="B77" i="135"/>
  <c r="B78" i="135"/>
  <c r="B79" i="135"/>
  <c r="B80" i="135"/>
  <c r="B81" i="135"/>
  <c r="B82" i="135"/>
  <c r="B83" i="135"/>
  <c r="B84" i="135"/>
  <c r="B85" i="135"/>
  <c r="B86" i="135"/>
  <c r="B87" i="135"/>
  <c r="B88" i="135"/>
  <c r="B89" i="135"/>
  <c r="B90" i="135"/>
  <c r="B91" i="135"/>
  <c r="B92" i="135"/>
  <c r="B93" i="135"/>
  <c r="B94" i="135"/>
  <c r="B95" i="135"/>
  <c r="B96" i="135"/>
  <c r="B97" i="135"/>
  <c r="B98" i="135"/>
  <c r="B99" i="135"/>
  <c r="B100" i="135"/>
  <c r="B101" i="135"/>
  <c r="B102" i="135"/>
  <c r="B103" i="135"/>
  <c r="B104" i="135"/>
  <c r="B105" i="135"/>
  <c r="B106" i="135"/>
  <c r="B107" i="135"/>
  <c r="B108" i="135"/>
  <c r="B109" i="135"/>
  <c r="B110" i="135"/>
  <c r="B111" i="135"/>
  <c r="B112" i="135"/>
  <c r="B113" i="135"/>
  <c r="B114" i="135"/>
  <c r="B115" i="135"/>
  <c r="B116" i="135"/>
  <c r="B117" i="135"/>
  <c r="B118" i="135"/>
  <c r="B119" i="135"/>
  <c r="B120" i="135"/>
  <c r="B121" i="135"/>
  <c r="B122" i="135"/>
  <c r="B123" i="135"/>
  <c r="B124" i="135"/>
  <c r="B125" i="135"/>
  <c r="B126" i="135"/>
  <c r="B127" i="135"/>
  <c r="B128" i="135"/>
  <c r="B129" i="135"/>
  <c r="B130" i="135"/>
  <c r="B131" i="135"/>
  <c r="B132" i="135"/>
  <c r="B133" i="135"/>
  <c r="B134" i="135"/>
  <c r="B135" i="135"/>
  <c r="B136" i="135"/>
  <c r="B137" i="135"/>
  <c r="B138" i="135"/>
  <c r="B139" i="135"/>
  <c r="B140" i="135"/>
  <c r="B141" i="135"/>
  <c r="B142" i="135"/>
  <c r="B143" i="135"/>
  <c r="B144" i="135"/>
  <c r="B145" i="135"/>
  <c r="B146" i="135"/>
  <c r="B147" i="135"/>
  <c r="B148" i="135"/>
  <c r="B149" i="135"/>
  <c r="B150" i="135"/>
  <c r="B151" i="135"/>
  <c r="B152" i="135"/>
  <c r="B153" i="135"/>
  <c r="B154" i="135"/>
  <c r="B155" i="135"/>
  <c r="B156" i="135"/>
  <c r="B157" i="135"/>
  <c r="B158" i="135"/>
  <c r="B159" i="135"/>
  <c r="B160" i="135"/>
  <c r="B161" i="135"/>
  <c r="B162" i="135"/>
  <c r="B163" i="135"/>
  <c r="B164" i="135"/>
  <c r="B165" i="135"/>
  <c r="B166" i="135"/>
  <c r="B167" i="135"/>
  <c r="B168" i="135"/>
  <c r="B169" i="135"/>
  <c r="B170" i="135"/>
  <c r="B171" i="135"/>
  <c r="B172" i="135"/>
  <c r="B173" i="135"/>
  <c r="B174" i="135"/>
  <c r="B175" i="135"/>
  <c r="B176" i="135"/>
  <c r="B177" i="135"/>
  <c r="B178" i="135"/>
  <c r="B179" i="135"/>
  <c r="B180" i="135"/>
  <c r="B181" i="135"/>
  <c r="B182" i="135"/>
  <c r="B183" i="135"/>
  <c r="B184" i="135"/>
  <c r="B185" i="135"/>
  <c r="B186" i="135"/>
  <c r="B187" i="135"/>
  <c r="B188" i="135"/>
  <c r="B189" i="135"/>
  <c r="B190" i="135"/>
  <c r="B191" i="135"/>
  <c r="B192" i="135"/>
  <c r="B193" i="135"/>
  <c r="B194" i="135"/>
  <c r="B195" i="135"/>
  <c r="B196" i="135"/>
  <c r="B197" i="135"/>
  <c r="B198" i="135"/>
  <c r="B199" i="135"/>
  <c r="B200" i="135"/>
  <c r="B201" i="135"/>
  <c r="B202" i="135"/>
  <c r="B203" i="135"/>
  <c r="B204" i="135"/>
  <c r="B205" i="135"/>
  <c r="B206" i="135"/>
  <c r="B207" i="135"/>
  <c r="B208" i="135"/>
  <c r="B209" i="135"/>
  <c r="B210" i="135"/>
  <c r="B211" i="135"/>
  <c r="B212" i="135"/>
  <c r="B213" i="135"/>
  <c r="B214" i="135"/>
  <c r="B215" i="135"/>
  <c r="B216" i="135"/>
  <c r="B217" i="135"/>
  <c r="B218" i="135"/>
  <c r="B219" i="135"/>
  <c r="B220" i="135"/>
  <c r="B221" i="135"/>
  <c r="B222" i="135"/>
  <c r="B223" i="135"/>
  <c r="B224" i="135"/>
  <c r="B225" i="135"/>
  <c r="B226" i="135"/>
  <c r="B227" i="135"/>
  <c r="B228" i="135"/>
  <c r="B229" i="135"/>
  <c r="B230" i="135"/>
  <c r="B231" i="135"/>
  <c r="B232" i="135"/>
  <c r="B233" i="135"/>
  <c r="B234" i="135"/>
  <c r="B235" i="135"/>
  <c r="B236" i="135"/>
  <c r="B237" i="135"/>
  <c r="B238" i="135"/>
  <c r="B239" i="135"/>
  <c r="B240" i="135"/>
  <c r="B241" i="135"/>
  <c r="B242" i="135"/>
  <c r="B243" i="135"/>
  <c r="B244" i="135"/>
  <c r="B245" i="135"/>
  <c r="B246" i="135"/>
  <c r="B247" i="135"/>
  <c r="B248" i="135"/>
  <c r="B249" i="135"/>
  <c r="B250" i="135"/>
  <c r="B251" i="135"/>
  <c r="B252" i="135"/>
  <c r="B253" i="135"/>
  <c r="B254" i="135"/>
  <c r="B255" i="135"/>
  <c r="B256" i="135"/>
  <c r="B257" i="135"/>
  <c r="B258" i="135"/>
  <c r="B259" i="135"/>
  <c r="B260" i="135"/>
  <c r="B261" i="135"/>
  <c r="B262" i="135"/>
  <c r="B263" i="135"/>
  <c r="B264" i="135"/>
  <c r="B265" i="135"/>
  <c r="B266" i="135"/>
  <c r="B267" i="135"/>
  <c r="B268" i="135"/>
  <c r="B269" i="135"/>
  <c r="B270" i="135"/>
  <c r="B271" i="135"/>
  <c r="B272" i="135"/>
  <c r="B273" i="135"/>
  <c r="B274" i="135"/>
  <c r="B275" i="135"/>
  <c r="B276" i="135"/>
  <c r="B49" i="135"/>
  <c r="B8" i="118"/>
  <c r="B9" i="118"/>
  <c r="B10" i="118"/>
  <c r="B11" i="118"/>
  <c r="B12" i="118"/>
  <c r="B13" i="118"/>
  <c r="B14" i="118"/>
  <c r="B15" i="118"/>
  <c r="B16" i="118"/>
  <c r="B17" i="118"/>
  <c r="B18" i="118"/>
  <c r="B19" i="118"/>
  <c r="B21" i="118"/>
  <c r="B22" i="118"/>
  <c r="B23" i="118"/>
  <c r="B24" i="118"/>
  <c r="B25" i="118"/>
  <c r="B26" i="118"/>
  <c r="B27" i="118"/>
  <c r="B28" i="118"/>
  <c r="B29" i="118"/>
  <c r="B30" i="118"/>
  <c r="B31" i="118"/>
  <c r="B32" i="118"/>
  <c r="B33" i="118"/>
  <c r="B34" i="118"/>
  <c r="B35" i="118"/>
  <c r="B36" i="118"/>
  <c r="B37" i="118"/>
  <c r="B38" i="118"/>
  <c r="B39" i="118"/>
  <c r="B40" i="118"/>
  <c r="B41" i="118"/>
  <c r="B42" i="118"/>
  <c r="B43" i="118"/>
  <c r="B44" i="118"/>
  <c r="B45" i="118"/>
  <c r="B46" i="118"/>
  <c r="B47" i="118"/>
  <c r="B48" i="118"/>
  <c r="B49" i="118"/>
  <c r="B50" i="118"/>
  <c r="B51" i="118"/>
  <c r="B52" i="118"/>
  <c r="B53" i="118"/>
  <c r="B54" i="118"/>
  <c r="B55" i="118"/>
  <c r="B56" i="118"/>
  <c r="B57" i="118"/>
  <c r="B58" i="118"/>
  <c r="B59" i="118"/>
  <c r="B60" i="118"/>
  <c r="B61" i="118"/>
  <c r="B62" i="118"/>
  <c r="B63" i="118"/>
  <c r="B64" i="118"/>
  <c r="B65" i="118"/>
  <c r="B66" i="118"/>
  <c r="B67" i="118"/>
  <c r="B68" i="118"/>
  <c r="B69" i="118"/>
  <c r="B70" i="118"/>
  <c r="B71" i="118"/>
  <c r="B72" i="118"/>
  <c r="B73" i="118"/>
  <c r="B74" i="118"/>
  <c r="B75" i="118"/>
  <c r="B76" i="118"/>
  <c r="B77" i="118"/>
  <c r="B78" i="118"/>
  <c r="B79" i="118"/>
  <c r="B80" i="118"/>
  <c r="B81" i="118"/>
  <c r="B82" i="118"/>
  <c r="B83" i="118"/>
  <c r="B84" i="118"/>
  <c r="B85" i="118"/>
  <c r="B86" i="118"/>
  <c r="B87" i="118"/>
  <c r="B88" i="118"/>
  <c r="B89" i="118"/>
  <c r="B90" i="118"/>
  <c r="B91" i="118"/>
  <c r="B92" i="118"/>
  <c r="B93" i="118"/>
  <c r="B94" i="118"/>
  <c r="B95" i="118"/>
  <c r="B96" i="118"/>
  <c r="B97" i="118"/>
  <c r="B98" i="118"/>
  <c r="B99" i="118"/>
  <c r="B100" i="118"/>
  <c r="B101" i="118"/>
  <c r="B102" i="118"/>
  <c r="B103" i="118"/>
  <c r="B104" i="118"/>
  <c r="B105" i="118"/>
  <c r="B106" i="118"/>
  <c r="B107" i="118"/>
  <c r="B108" i="118"/>
  <c r="B109" i="118"/>
  <c r="B110" i="118"/>
  <c r="B111" i="118"/>
  <c r="B112" i="118"/>
  <c r="B113" i="118"/>
  <c r="B114" i="118"/>
  <c r="B115" i="118"/>
  <c r="B116" i="118"/>
  <c r="B117" i="118"/>
  <c r="B118" i="118"/>
  <c r="B119" i="118"/>
  <c r="B120" i="118"/>
  <c r="B121" i="118"/>
  <c r="B122" i="118"/>
  <c r="B123" i="118"/>
  <c r="B124" i="118"/>
  <c r="B125" i="118"/>
  <c r="B126" i="118"/>
  <c r="B127" i="118"/>
  <c r="B128" i="118"/>
  <c r="B129" i="118"/>
  <c r="B130" i="118"/>
  <c r="B131" i="118"/>
  <c r="B132" i="118"/>
  <c r="B133" i="118"/>
  <c r="B134" i="118"/>
  <c r="B135" i="118"/>
  <c r="B136" i="118"/>
  <c r="B137" i="118"/>
  <c r="B138" i="118"/>
  <c r="B139" i="118"/>
  <c r="B140" i="118"/>
  <c r="B141" i="118"/>
  <c r="B142" i="118"/>
  <c r="B143" i="118"/>
  <c r="B144" i="118"/>
  <c r="B145" i="118"/>
  <c r="B146" i="118"/>
  <c r="B147" i="118"/>
  <c r="B148" i="118"/>
  <c r="B149" i="118"/>
  <c r="B150" i="118"/>
  <c r="B151" i="118"/>
  <c r="B152" i="118"/>
  <c r="B153" i="118"/>
  <c r="B154" i="118"/>
  <c r="B155" i="118"/>
  <c r="B156" i="118"/>
  <c r="B157" i="118"/>
  <c r="B158" i="118"/>
  <c r="B159" i="118"/>
  <c r="B160" i="118"/>
  <c r="B161" i="118"/>
  <c r="B162" i="118"/>
  <c r="B163" i="118"/>
  <c r="B164" i="118"/>
  <c r="B165" i="118"/>
  <c r="B166" i="118"/>
  <c r="B167" i="118"/>
  <c r="B168" i="118"/>
  <c r="B169" i="118"/>
  <c r="B170" i="118"/>
  <c r="B171" i="118"/>
  <c r="B172" i="118"/>
  <c r="B173" i="118"/>
  <c r="B174" i="118"/>
  <c r="B175" i="118"/>
  <c r="B176" i="118"/>
  <c r="B177" i="118"/>
  <c r="B178" i="118"/>
  <c r="B179" i="118"/>
  <c r="B180" i="118"/>
  <c r="B181" i="118"/>
  <c r="B182" i="118"/>
  <c r="B183" i="118"/>
  <c r="B184" i="118"/>
  <c r="B185" i="118"/>
  <c r="B186" i="118"/>
  <c r="B187" i="118"/>
  <c r="B188" i="118"/>
  <c r="B189" i="118"/>
  <c r="B190" i="118"/>
  <c r="B191" i="118"/>
  <c r="B192" i="118"/>
  <c r="B193" i="118"/>
  <c r="B194" i="118"/>
  <c r="B195" i="118"/>
  <c r="B196" i="118"/>
  <c r="B197" i="118"/>
  <c r="B198" i="118"/>
  <c r="B199" i="118"/>
  <c r="B200" i="118"/>
  <c r="B201" i="118"/>
  <c r="B202" i="118"/>
  <c r="B203" i="118"/>
  <c r="B204" i="118"/>
  <c r="B205" i="118"/>
  <c r="B206" i="118"/>
  <c r="B207" i="118"/>
  <c r="B208" i="118"/>
  <c r="B209" i="118"/>
  <c r="B210" i="118"/>
  <c r="B211" i="118"/>
  <c r="B212" i="118"/>
  <c r="B213" i="118"/>
  <c r="B214" i="118"/>
  <c r="B215" i="118"/>
  <c r="B216" i="118"/>
  <c r="B217" i="118"/>
  <c r="B218" i="118"/>
  <c r="B219" i="118"/>
  <c r="B220" i="118"/>
  <c r="B221" i="118"/>
  <c r="B222" i="118"/>
  <c r="B223" i="118"/>
  <c r="B224" i="118"/>
  <c r="B225" i="118"/>
  <c r="B226" i="118"/>
  <c r="B227" i="118"/>
  <c r="B228" i="118"/>
  <c r="B229" i="118"/>
  <c r="B230" i="118"/>
  <c r="B231" i="118"/>
  <c r="B232" i="118"/>
  <c r="B233" i="118"/>
  <c r="B234" i="118"/>
  <c r="B7" i="118"/>
  <c r="V39" i="118" l="1"/>
  <c r="W39" i="118"/>
  <c r="V115" i="118"/>
  <c r="W115" i="118"/>
  <c r="V191" i="118"/>
  <c r="W191" i="118"/>
  <c r="P228" i="118" l="1"/>
  <c r="P227" i="118"/>
  <c r="P226" i="118"/>
  <c r="P225" i="118"/>
  <c r="P224" i="118"/>
  <c r="P223" i="118"/>
  <c r="M222" i="118"/>
  <c r="M221" i="118"/>
  <c r="M220" i="118"/>
  <c r="P219" i="118"/>
  <c r="M219" i="118"/>
  <c r="P218" i="118"/>
  <c r="P217" i="118"/>
  <c r="P216" i="118"/>
  <c r="P215" i="118"/>
  <c r="M215" i="118"/>
  <c r="P214" i="118"/>
  <c r="M214" i="118"/>
  <c r="P213" i="118"/>
  <c r="M213" i="118"/>
  <c r="P212" i="118"/>
  <c r="M212" i="118"/>
  <c r="M211" i="118"/>
  <c r="P210" i="118"/>
  <c r="M210" i="118"/>
  <c r="P209" i="118"/>
  <c r="P208" i="118"/>
  <c r="P207" i="118"/>
  <c r="P206" i="118"/>
  <c r="M206" i="118"/>
  <c r="P205" i="118"/>
  <c r="M205" i="118"/>
  <c r="P204" i="118"/>
  <c r="M204" i="118"/>
  <c r="P203" i="118"/>
  <c r="M203" i="118"/>
  <c r="P202" i="118"/>
  <c r="M202" i="118"/>
  <c r="P201" i="118"/>
  <c r="M201" i="118"/>
  <c r="P200" i="118"/>
  <c r="P199" i="118"/>
  <c r="M199" i="118"/>
  <c r="P198" i="118"/>
  <c r="M198" i="118"/>
  <c r="P197" i="118"/>
  <c r="M197" i="118"/>
  <c r="P196" i="118"/>
  <c r="M196" i="118"/>
  <c r="P195" i="118"/>
  <c r="M195" i="118"/>
  <c r="P194" i="118"/>
  <c r="M194" i="118"/>
  <c r="P193" i="118"/>
  <c r="M193" i="118"/>
  <c r="P192" i="118"/>
  <c r="M192" i="118"/>
  <c r="P152" i="118"/>
  <c r="P151" i="118"/>
  <c r="P150" i="118"/>
  <c r="P149" i="118"/>
  <c r="P148" i="118"/>
  <c r="P147" i="118"/>
  <c r="M146" i="118"/>
  <c r="M145" i="118"/>
  <c r="M144" i="118"/>
  <c r="P143" i="118"/>
  <c r="M143" i="118"/>
  <c r="P142" i="118"/>
  <c r="P141" i="118"/>
  <c r="P140" i="118"/>
  <c r="P139" i="118"/>
  <c r="M139" i="118"/>
  <c r="P138" i="118"/>
  <c r="M138" i="118"/>
  <c r="P137" i="118"/>
  <c r="M137" i="118"/>
  <c r="P136" i="118"/>
  <c r="M136" i="118"/>
  <c r="M135" i="118"/>
  <c r="P134" i="118"/>
  <c r="M134" i="118"/>
  <c r="P133" i="118"/>
  <c r="P132" i="118"/>
  <c r="P131" i="118"/>
  <c r="P130" i="118"/>
  <c r="M130" i="118"/>
  <c r="P129" i="118"/>
  <c r="M129" i="118"/>
  <c r="P128" i="118"/>
  <c r="M128" i="118"/>
  <c r="P127" i="118"/>
  <c r="M127" i="118"/>
  <c r="P126" i="118"/>
  <c r="M126" i="118"/>
  <c r="P125" i="118"/>
  <c r="M125" i="118"/>
  <c r="P124" i="118"/>
  <c r="P123" i="118"/>
  <c r="M123" i="118"/>
  <c r="P122" i="118"/>
  <c r="M122" i="118"/>
  <c r="P121" i="118"/>
  <c r="M121" i="118"/>
  <c r="P120" i="118"/>
  <c r="M120" i="118"/>
  <c r="P119" i="118"/>
  <c r="M119" i="118"/>
  <c r="P118" i="118"/>
  <c r="M118" i="118"/>
  <c r="P117" i="118"/>
  <c r="M117" i="118"/>
  <c r="P116" i="118"/>
  <c r="M116" i="118"/>
  <c r="M63" i="118"/>
  <c r="M62" i="118"/>
  <c r="M61" i="118"/>
  <c r="M60" i="118"/>
  <c r="M70" i="118"/>
  <c r="M69" i="118"/>
  <c r="M68" i="118"/>
  <c r="M67" i="118"/>
  <c r="M59" i="118"/>
  <c r="M58" i="118"/>
  <c r="M54" i="118"/>
  <c r="M53" i="118"/>
  <c r="M52" i="118"/>
  <c r="M51" i="118"/>
  <c r="M50" i="118"/>
  <c r="M49" i="118"/>
  <c r="M47" i="118"/>
  <c r="M46" i="118"/>
  <c r="M45" i="118"/>
  <c r="M44" i="118"/>
  <c r="M43" i="118"/>
  <c r="M42" i="118"/>
  <c r="M41" i="118"/>
  <c r="M40" i="118"/>
  <c r="P63" i="118"/>
  <c r="P62" i="118"/>
  <c r="P61" i="118"/>
  <c r="P60" i="118"/>
  <c r="P76" i="118"/>
  <c r="P75" i="118"/>
  <c r="P74" i="118"/>
  <c r="P73" i="118"/>
  <c r="P72" i="118"/>
  <c r="P71" i="118"/>
  <c r="P67" i="118"/>
  <c r="P66" i="118"/>
  <c r="P65" i="118"/>
  <c r="P64" i="118"/>
  <c r="P58" i="118"/>
  <c r="P57" i="118"/>
  <c r="P56" i="118"/>
  <c r="P55" i="118"/>
  <c r="P54" i="118"/>
  <c r="P53" i="118"/>
  <c r="P52" i="118"/>
  <c r="P51" i="118"/>
  <c r="P50" i="118"/>
  <c r="P49" i="118"/>
  <c r="P48" i="118"/>
  <c r="P47" i="118"/>
  <c r="P46" i="118"/>
  <c r="P45" i="118"/>
  <c r="P44" i="118"/>
  <c r="P43" i="118"/>
  <c r="P42" i="118"/>
  <c r="P41" i="118"/>
  <c r="P40" i="118"/>
  <c r="K309" i="248"/>
  <c r="H309" i="248"/>
  <c r="P222" i="118" s="1"/>
  <c r="G309" i="248"/>
  <c r="W222" i="118" s="1"/>
  <c r="F309" i="248"/>
  <c r="V146" i="118" s="1"/>
  <c r="E309" i="248"/>
  <c r="K308" i="248"/>
  <c r="H308" i="248"/>
  <c r="P145" i="118" s="1"/>
  <c r="G308" i="248"/>
  <c r="W221" i="118" s="1"/>
  <c r="F308" i="248"/>
  <c r="V69" i="118" s="1"/>
  <c r="E308" i="248"/>
  <c r="K307" i="248"/>
  <c r="H307" i="248"/>
  <c r="P220" i="118" s="1"/>
  <c r="D307" i="248"/>
  <c r="G307" i="248" s="1"/>
  <c r="W144" i="118" s="1"/>
  <c r="K306" i="248"/>
  <c r="H306" i="248"/>
  <c r="P135" i="118" s="1"/>
  <c r="G306" i="248"/>
  <c r="W211" i="118" s="1"/>
  <c r="F306" i="248"/>
  <c r="V59" i="118" s="1"/>
  <c r="E306" i="248"/>
  <c r="K305" i="248"/>
  <c r="G305" i="248"/>
  <c r="W134" i="118" s="1"/>
  <c r="F305" i="248"/>
  <c r="V134" i="118" s="1"/>
  <c r="E305" i="248"/>
  <c r="L304" i="248"/>
  <c r="M66" i="118" s="1"/>
  <c r="G304" i="248"/>
  <c r="W142" i="118" s="1"/>
  <c r="F304" i="248"/>
  <c r="V142" i="118" s="1"/>
  <c r="L303" i="248"/>
  <c r="M141" i="118" s="1"/>
  <c r="G303" i="248"/>
  <c r="W217" i="118" s="1"/>
  <c r="F303" i="248"/>
  <c r="V65" i="118" s="1"/>
  <c r="L302" i="248"/>
  <c r="M64" i="118" s="1"/>
  <c r="G302" i="248"/>
  <c r="W140" i="118" s="1"/>
  <c r="F302" i="248"/>
  <c r="V216" i="118" s="1"/>
  <c r="L301" i="248"/>
  <c r="K301" i="248"/>
  <c r="H301" i="248"/>
  <c r="G301" i="248"/>
  <c r="F301" i="248"/>
  <c r="L300" i="248"/>
  <c r="K300" i="248"/>
  <c r="H300" i="248"/>
  <c r="G300" i="248"/>
  <c r="F300" i="248"/>
  <c r="K299" i="248"/>
  <c r="G299" i="248"/>
  <c r="F299" i="248"/>
  <c r="E299" i="248"/>
  <c r="K298" i="248"/>
  <c r="G298" i="248"/>
  <c r="F298" i="248"/>
  <c r="E298" i="248"/>
  <c r="L297" i="248"/>
  <c r="M76" i="118" s="1"/>
  <c r="K297" i="248"/>
  <c r="G297" i="248"/>
  <c r="W152" i="118" s="1"/>
  <c r="F297" i="248"/>
  <c r="V228" i="118" s="1"/>
  <c r="L296" i="248"/>
  <c r="M151" i="118" s="1"/>
  <c r="K296" i="248"/>
  <c r="G296" i="248"/>
  <c r="W227" i="118" s="1"/>
  <c r="F296" i="248"/>
  <c r="V75" i="118" s="1"/>
  <c r="L295" i="248"/>
  <c r="M226" i="118" s="1"/>
  <c r="K295" i="248"/>
  <c r="G295" i="248"/>
  <c r="W150" i="118" s="1"/>
  <c r="F295" i="248"/>
  <c r="V74" i="118" s="1"/>
  <c r="L294" i="248"/>
  <c r="M149" i="118" s="1"/>
  <c r="K294" i="248"/>
  <c r="G294" i="248"/>
  <c r="W225" i="118" s="1"/>
  <c r="F294" i="248"/>
  <c r="V73" i="118" s="1"/>
  <c r="L293" i="248"/>
  <c r="M72" i="118" s="1"/>
  <c r="K293" i="248"/>
  <c r="G293" i="248"/>
  <c r="W148" i="118" s="1"/>
  <c r="F293" i="248"/>
  <c r="V72" i="118" s="1"/>
  <c r="L292" i="248"/>
  <c r="M147" i="118" s="1"/>
  <c r="K292" i="248"/>
  <c r="G292" i="248"/>
  <c r="W223" i="118" s="1"/>
  <c r="F292" i="248"/>
  <c r="V71" i="118" s="1"/>
  <c r="L291" i="248"/>
  <c r="M133" i="118" s="1"/>
  <c r="K291" i="248"/>
  <c r="G291" i="248"/>
  <c r="W209" i="118" s="1"/>
  <c r="F291" i="248"/>
  <c r="V57" i="118" s="1"/>
  <c r="E291" i="248"/>
  <c r="L290" i="248"/>
  <c r="M56" i="118" s="1"/>
  <c r="K290" i="248"/>
  <c r="G290" i="248"/>
  <c r="W132" i="118" s="1"/>
  <c r="F290" i="248"/>
  <c r="V132" i="118" s="1"/>
  <c r="E290" i="248"/>
  <c r="L289" i="248"/>
  <c r="M131" i="118" s="1"/>
  <c r="K289" i="248"/>
  <c r="G289" i="248"/>
  <c r="W207" i="118" s="1"/>
  <c r="F289" i="248"/>
  <c r="V207" i="118" s="1"/>
  <c r="E289" i="248"/>
  <c r="K288" i="248"/>
  <c r="G288" i="248"/>
  <c r="F288" i="248"/>
  <c r="E288" i="248"/>
  <c r="K287" i="248"/>
  <c r="G287" i="248"/>
  <c r="F287" i="248"/>
  <c r="E287" i="248"/>
  <c r="K286" i="248"/>
  <c r="G286" i="248"/>
  <c r="F286" i="248"/>
  <c r="E286" i="248"/>
  <c r="K285" i="248"/>
  <c r="G285" i="248"/>
  <c r="F285" i="248"/>
  <c r="E285" i="248"/>
  <c r="K284" i="248"/>
  <c r="G284" i="248"/>
  <c r="F284" i="248"/>
  <c r="E284" i="248"/>
  <c r="K283" i="248"/>
  <c r="G283" i="248"/>
  <c r="F283" i="248"/>
  <c r="E283" i="248"/>
  <c r="K282" i="248"/>
  <c r="G282" i="248"/>
  <c r="W130" i="118" s="1"/>
  <c r="F282" i="248"/>
  <c r="V54" i="118" s="1"/>
  <c r="E282" i="248"/>
  <c r="K281" i="248"/>
  <c r="G281" i="248"/>
  <c r="W205" i="118" s="1"/>
  <c r="F281" i="248"/>
  <c r="V53" i="118" s="1"/>
  <c r="E281" i="248"/>
  <c r="K280" i="248"/>
  <c r="G280" i="248"/>
  <c r="W219" i="118" s="1"/>
  <c r="F280" i="248"/>
  <c r="V67" i="118" s="1"/>
  <c r="E280" i="248"/>
  <c r="K279" i="248"/>
  <c r="G279" i="248"/>
  <c r="W128" i="118" s="1"/>
  <c r="F279" i="248"/>
  <c r="V128" i="118" s="1"/>
  <c r="E279" i="248"/>
  <c r="K278" i="248"/>
  <c r="G278" i="248"/>
  <c r="W203" i="118" s="1"/>
  <c r="F278" i="248"/>
  <c r="V51" i="118" s="1"/>
  <c r="E278" i="248"/>
  <c r="K277" i="248"/>
  <c r="G277" i="248"/>
  <c r="W126" i="118" s="1"/>
  <c r="F277" i="248"/>
  <c r="V202" i="118" s="1"/>
  <c r="E277" i="248"/>
  <c r="K276" i="248"/>
  <c r="G276" i="248"/>
  <c r="W201" i="118" s="1"/>
  <c r="F276" i="248"/>
  <c r="V49" i="118" s="1"/>
  <c r="E276" i="248"/>
  <c r="K275" i="248"/>
  <c r="H275" i="248"/>
  <c r="G275" i="248"/>
  <c r="F275" i="248"/>
  <c r="E275" i="248"/>
  <c r="K274" i="248"/>
  <c r="H274" i="248"/>
  <c r="G274" i="248"/>
  <c r="F274" i="248"/>
  <c r="E274" i="248"/>
  <c r="K273" i="248"/>
  <c r="H273" i="248"/>
  <c r="G273" i="248"/>
  <c r="F273" i="248"/>
  <c r="E273" i="248"/>
  <c r="K272" i="248"/>
  <c r="H272" i="248"/>
  <c r="G272" i="248"/>
  <c r="F272" i="248"/>
  <c r="E272" i="248"/>
  <c r="K271" i="248"/>
  <c r="H271" i="248"/>
  <c r="G271" i="248"/>
  <c r="F271" i="248"/>
  <c r="E271" i="248"/>
  <c r="K270" i="248"/>
  <c r="H270" i="248"/>
  <c r="G270" i="248"/>
  <c r="F270" i="248"/>
  <c r="E270" i="248"/>
  <c r="K269" i="248"/>
  <c r="H269" i="248"/>
  <c r="G269" i="248"/>
  <c r="F269" i="248"/>
  <c r="E269" i="248"/>
  <c r="K268" i="248"/>
  <c r="H268" i="248"/>
  <c r="G268" i="248"/>
  <c r="F268" i="248"/>
  <c r="E268" i="248"/>
  <c r="L267" i="248"/>
  <c r="M48" i="118" s="1"/>
  <c r="K267" i="248"/>
  <c r="G267" i="248"/>
  <c r="W124" i="118" s="1"/>
  <c r="F267" i="248"/>
  <c r="V124" i="118" s="1"/>
  <c r="E267" i="248"/>
  <c r="L266" i="248"/>
  <c r="K266" i="248"/>
  <c r="H266" i="248"/>
  <c r="G266" i="248"/>
  <c r="F266" i="248"/>
  <c r="E266" i="248"/>
  <c r="L265" i="248"/>
  <c r="K265" i="248"/>
  <c r="H265" i="248"/>
  <c r="G265" i="248"/>
  <c r="F265" i="248"/>
  <c r="E265" i="248"/>
  <c r="L264" i="248"/>
  <c r="K264" i="248"/>
  <c r="H264" i="248"/>
  <c r="G264" i="248"/>
  <c r="F264" i="248"/>
  <c r="E264" i="248"/>
  <c r="K263" i="248"/>
  <c r="G263" i="248"/>
  <c r="W199" i="118" s="1"/>
  <c r="F263" i="248"/>
  <c r="V47" i="118" s="1"/>
  <c r="E263" i="248"/>
  <c r="K262" i="248"/>
  <c r="G262" i="248"/>
  <c r="W122" i="118" s="1"/>
  <c r="F262" i="248"/>
  <c r="V122" i="118" s="1"/>
  <c r="E262" i="248"/>
  <c r="K261" i="248"/>
  <c r="G261" i="248"/>
  <c r="W197" i="118" s="1"/>
  <c r="F261" i="248"/>
  <c r="V197" i="118" s="1"/>
  <c r="E261" i="248"/>
  <c r="K260" i="248"/>
  <c r="G260" i="248"/>
  <c r="W120" i="118" s="1"/>
  <c r="F260" i="248"/>
  <c r="V120" i="118" s="1"/>
  <c r="E260" i="248"/>
  <c r="K259" i="248"/>
  <c r="G259" i="248"/>
  <c r="W195" i="118" s="1"/>
  <c r="F259" i="248"/>
  <c r="V43" i="118" s="1"/>
  <c r="E259" i="248"/>
  <c r="K258" i="248"/>
  <c r="G258" i="248"/>
  <c r="W118" i="118" s="1"/>
  <c r="F258" i="248"/>
  <c r="V118" i="118" s="1"/>
  <c r="E258" i="248"/>
  <c r="K257" i="248"/>
  <c r="G257" i="248"/>
  <c r="W193" i="118" s="1"/>
  <c r="F257" i="248"/>
  <c r="V193" i="118" s="1"/>
  <c r="E257" i="248"/>
  <c r="K256" i="248"/>
  <c r="G256" i="248"/>
  <c r="W116" i="118" s="1"/>
  <c r="F256" i="248"/>
  <c r="V116" i="118" s="1"/>
  <c r="E256" i="248"/>
  <c r="D250" i="248"/>
  <c r="C250" i="248"/>
  <c r="B250" i="248"/>
  <c r="D249" i="248"/>
  <c r="V138" i="118" s="1"/>
  <c r="C249" i="248"/>
  <c r="V61" i="118" s="1"/>
  <c r="B249" i="248"/>
  <c r="V212" i="118" s="1"/>
  <c r="D248" i="248"/>
  <c r="W138" i="118" s="1"/>
  <c r="C248" i="248"/>
  <c r="W213" i="118" s="1"/>
  <c r="B248" i="248"/>
  <c r="W136" i="118" s="1"/>
  <c r="B239" i="248"/>
  <c r="B238" i="248"/>
  <c r="V215" i="118" s="1"/>
  <c r="B237" i="248"/>
  <c r="W215" i="118" s="1"/>
  <c r="V126" i="118" l="1"/>
  <c r="V64" i="118"/>
  <c r="V201" i="118"/>
  <c r="V129" i="118"/>
  <c r="V204" i="118"/>
  <c r="V50" i="118"/>
  <c r="V55" i="118"/>
  <c r="W70" i="118"/>
  <c r="V130" i="118"/>
  <c r="V205" i="118"/>
  <c r="W69" i="118"/>
  <c r="V125" i="118"/>
  <c r="V143" i="118"/>
  <c r="V214" i="118"/>
  <c r="V219" i="118"/>
  <c r="M132" i="118"/>
  <c r="W45" i="118"/>
  <c r="V152" i="118"/>
  <c r="V218" i="118"/>
  <c r="V224" i="118"/>
  <c r="M216" i="118"/>
  <c r="V58" i="118"/>
  <c r="V76" i="118"/>
  <c r="V135" i="118"/>
  <c r="V145" i="118"/>
  <c r="V149" i="118"/>
  <c r="V210" i="118"/>
  <c r="V225" i="118"/>
  <c r="V52" i="118"/>
  <c r="V66" i="118"/>
  <c r="W41" i="118"/>
  <c r="W59" i="118"/>
  <c r="V60" i="118"/>
  <c r="V127" i="118"/>
  <c r="V131" i="118"/>
  <c r="V136" i="118"/>
  <c r="V140" i="118"/>
  <c r="W146" i="118"/>
  <c r="V150" i="118"/>
  <c r="V206" i="118"/>
  <c r="V211" i="118"/>
  <c r="V221" i="118"/>
  <c r="V226" i="118"/>
  <c r="M124" i="118"/>
  <c r="M142" i="118"/>
  <c r="M208" i="118"/>
  <c r="V148" i="118"/>
  <c r="V209" i="118"/>
  <c r="W47" i="118"/>
  <c r="W43" i="118"/>
  <c r="W65" i="118"/>
  <c r="V62" i="118"/>
  <c r="V133" i="118"/>
  <c r="V147" i="118"/>
  <c r="V151" i="118"/>
  <c r="V203" i="118"/>
  <c r="V223" i="118"/>
  <c r="V227" i="118"/>
  <c r="M140" i="118"/>
  <c r="M200" i="118"/>
  <c r="M218" i="118"/>
  <c r="V46" i="118"/>
  <c r="V40" i="118"/>
  <c r="V44" i="118"/>
  <c r="V48" i="118"/>
  <c r="V56" i="118"/>
  <c r="V70" i="118"/>
  <c r="W49" i="118"/>
  <c r="W53" i="118"/>
  <c r="W57" i="118"/>
  <c r="W67" i="118"/>
  <c r="W71" i="118"/>
  <c r="W75" i="118"/>
  <c r="W62" i="118"/>
  <c r="V117" i="118"/>
  <c r="V119" i="118"/>
  <c r="V121" i="118"/>
  <c r="V123" i="118"/>
  <c r="V137" i="118"/>
  <c r="V139" i="118"/>
  <c r="V141" i="118"/>
  <c r="V192" i="118"/>
  <c r="V194" i="118"/>
  <c r="V196" i="118"/>
  <c r="V198" i="118"/>
  <c r="V200" i="118"/>
  <c r="V208" i="118"/>
  <c r="V222" i="118"/>
  <c r="P68" i="118"/>
  <c r="M55" i="118"/>
  <c r="M65" i="118"/>
  <c r="M73" i="118"/>
  <c r="M148" i="118"/>
  <c r="M150" i="118"/>
  <c r="M152" i="118"/>
  <c r="M207" i="118"/>
  <c r="M209" i="118"/>
  <c r="M217" i="118"/>
  <c r="M223" i="118"/>
  <c r="M225" i="118"/>
  <c r="M227" i="118"/>
  <c r="V41" i="118"/>
  <c r="V45" i="118"/>
  <c r="W42" i="118"/>
  <c r="W46" i="118"/>
  <c r="W50" i="118"/>
  <c r="W54" i="118"/>
  <c r="W58" i="118"/>
  <c r="W64" i="118"/>
  <c r="W68" i="118"/>
  <c r="W72" i="118"/>
  <c r="W76" i="118"/>
  <c r="V63" i="118"/>
  <c r="W63" i="118"/>
  <c r="W117" i="118"/>
  <c r="W119" i="118"/>
  <c r="W121" i="118"/>
  <c r="W123" i="118"/>
  <c r="W125" i="118"/>
  <c r="W127" i="118"/>
  <c r="W129" i="118"/>
  <c r="W131" i="118"/>
  <c r="W133" i="118"/>
  <c r="W135" i="118"/>
  <c r="W137" i="118"/>
  <c r="W139" i="118"/>
  <c r="W141" i="118"/>
  <c r="W143" i="118"/>
  <c r="W145" i="118"/>
  <c r="W147" i="118"/>
  <c r="W149" i="118"/>
  <c r="W151" i="118"/>
  <c r="W192" i="118"/>
  <c r="W194" i="118"/>
  <c r="W196" i="118"/>
  <c r="W198" i="118"/>
  <c r="W200" i="118"/>
  <c r="W202" i="118"/>
  <c r="W204" i="118"/>
  <c r="W206" i="118"/>
  <c r="W208" i="118"/>
  <c r="W210" i="118"/>
  <c r="W212" i="118"/>
  <c r="W214" i="118"/>
  <c r="W216" i="118"/>
  <c r="W218" i="118"/>
  <c r="W220" i="118"/>
  <c r="W224" i="118"/>
  <c r="W226" i="118"/>
  <c r="W228" i="118"/>
  <c r="P59" i="118"/>
  <c r="P69" i="118"/>
  <c r="M74" i="118"/>
  <c r="P144" i="118"/>
  <c r="P146" i="118"/>
  <c r="P211" i="118"/>
  <c r="P221" i="118"/>
  <c r="V42" i="118"/>
  <c r="W51" i="118"/>
  <c r="W55" i="118"/>
  <c r="W73" i="118"/>
  <c r="W60" i="118"/>
  <c r="V195" i="118"/>
  <c r="V199" i="118"/>
  <c r="V213" i="118"/>
  <c r="V217" i="118"/>
  <c r="P70" i="118"/>
  <c r="M57" i="118"/>
  <c r="M71" i="118"/>
  <c r="M75" i="118"/>
  <c r="M224" i="118"/>
  <c r="M228" i="118"/>
  <c r="W40" i="118"/>
  <c r="W44" i="118"/>
  <c r="W48" i="118"/>
  <c r="W52" i="118"/>
  <c r="W56" i="118"/>
  <c r="W66" i="118"/>
  <c r="W74" i="118"/>
  <c r="W61" i="118"/>
  <c r="F307" i="248"/>
  <c r="M34" i="118"/>
  <c r="L27" i="118"/>
  <c r="L23" i="118"/>
  <c r="I12" i="131"/>
  <c r="C25" i="235" s="1"/>
  <c r="I13" i="131"/>
  <c r="C26" i="235" s="1"/>
  <c r="I6" i="131"/>
  <c r="C19" i="235" s="1"/>
  <c r="I7" i="131"/>
  <c r="C20" i="235" s="1"/>
  <c r="I10" i="131"/>
  <c r="C23" i="235" s="1"/>
  <c r="I5" i="131"/>
  <c r="M190" i="118"/>
  <c r="M182" i="118"/>
  <c r="M178" i="118"/>
  <c r="M114" i="118"/>
  <c r="M106" i="118"/>
  <c r="M102" i="118"/>
  <c r="M38" i="118"/>
  <c r="M30" i="118"/>
  <c r="M26" i="118"/>
  <c r="C38" i="248"/>
  <c r="C43" i="248" s="1"/>
  <c r="M189" i="118"/>
  <c r="M181" i="118"/>
  <c r="M177" i="118"/>
  <c r="M113" i="118"/>
  <c r="M105" i="118"/>
  <c r="M101" i="118"/>
  <c r="M37" i="118"/>
  <c r="M29" i="118"/>
  <c r="M25" i="118"/>
  <c r="B38" i="248"/>
  <c r="B43" i="248" s="1"/>
  <c r="V25" i="118" s="1"/>
  <c r="M184" i="118"/>
  <c r="M108" i="118"/>
  <c r="M32" i="118"/>
  <c r="M97" i="118"/>
  <c r="W173" i="118"/>
  <c r="M173" i="118"/>
  <c r="M172" i="118"/>
  <c r="W97" i="118"/>
  <c r="M96" i="118"/>
  <c r="W21" i="118"/>
  <c r="M21" i="118"/>
  <c r="M20" i="118"/>
  <c r="C26" i="248"/>
  <c r="B26" i="248"/>
  <c r="P160" i="118"/>
  <c r="M160" i="118"/>
  <c r="P84" i="118"/>
  <c r="M84" i="118"/>
  <c r="M188" i="118"/>
  <c r="M180" i="118"/>
  <c r="M176" i="118"/>
  <c r="M159" i="118"/>
  <c r="M112" i="118"/>
  <c r="M104" i="118"/>
  <c r="M100" i="118"/>
  <c r="M83" i="118"/>
  <c r="M36" i="118"/>
  <c r="M28" i="118"/>
  <c r="M24" i="118"/>
  <c r="C8" i="248"/>
  <c r="V160" i="118" s="1"/>
  <c r="C7" i="248"/>
  <c r="W84" i="118" s="1"/>
  <c r="B7" i="248"/>
  <c r="W188" i="118" s="1"/>
  <c r="B8" i="248"/>
  <c r="V188" i="118" s="1"/>
  <c r="P8" i="118"/>
  <c r="M8" i="118"/>
  <c r="M7" i="118"/>
  <c r="N171" i="118"/>
  <c r="M171" i="118"/>
  <c r="M170" i="118"/>
  <c r="N95" i="118"/>
  <c r="M95" i="118"/>
  <c r="M94" i="118"/>
  <c r="N19" i="118"/>
  <c r="M19" i="118"/>
  <c r="M18" i="118"/>
  <c r="C113" i="248"/>
  <c r="P171" i="118" s="1"/>
  <c r="B113" i="248"/>
  <c r="P18" i="118" s="1"/>
  <c r="C114" i="248"/>
  <c r="R171" i="118" s="1"/>
  <c r="C99" i="248"/>
  <c r="W91" i="118" s="1"/>
  <c r="B99" i="248"/>
  <c r="W92" i="118" s="1"/>
  <c r="C101" i="248"/>
  <c r="P167" i="118" s="1"/>
  <c r="B101" i="248"/>
  <c r="P16" i="118" s="1"/>
  <c r="M168" i="118"/>
  <c r="M167" i="118"/>
  <c r="M92" i="118"/>
  <c r="M91" i="118"/>
  <c r="M16" i="118"/>
  <c r="M15" i="118"/>
  <c r="B91" i="248"/>
  <c r="B100" i="248" s="1"/>
  <c r="V92" i="118" s="1"/>
  <c r="C100" i="248"/>
  <c r="V167" i="118" s="1"/>
  <c r="C5" i="235" l="1"/>
  <c r="J5" i="131"/>
  <c r="C18" i="235"/>
  <c r="V144" i="118"/>
  <c r="V68" i="118"/>
  <c r="V220" i="118"/>
  <c r="C42" i="248"/>
  <c r="V190" i="118"/>
  <c r="V182" i="118"/>
  <c r="V178" i="118"/>
  <c r="V114" i="118"/>
  <c r="V106" i="118"/>
  <c r="V102" i="118"/>
  <c r="V38" i="118"/>
  <c r="V30" i="118"/>
  <c r="V26" i="118"/>
  <c r="V29" i="118"/>
  <c r="V37" i="118"/>
  <c r="V101" i="118"/>
  <c r="V105" i="118"/>
  <c r="V113" i="118"/>
  <c r="V177" i="118"/>
  <c r="V181" i="118"/>
  <c r="V189" i="118"/>
  <c r="V24" i="118"/>
  <c r="W180" i="118"/>
  <c r="W16" i="118"/>
  <c r="V180" i="118"/>
  <c r="W168" i="118"/>
  <c r="V104" i="118"/>
  <c r="W15" i="118"/>
  <c r="W104" i="118"/>
  <c r="W160" i="118"/>
  <c r="P15" i="118"/>
  <c r="P91" i="118"/>
  <c r="P95" i="118"/>
  <c r="V28" i="118"/>
  <c r="V176" i="118"/>
  <c r="V16" i="118"/>
  <c r="V91" i="118"/>
  <c r="W167" i="118"/>
  <c r="P94" i="118"/>
  <c r="W28" i="118"/>
  <c r="V100" i="118"/>
  <c r="R19" i="118"/>
  <c r="V168" i="118"/>
  <c r="P170" i="118"/>
  <c r="R95" i="118"/>
  <c r="W24" i="118"/>
  <c r="V83" i="118"/>
  <c r="W100" i="118"/>
  <c r="V159" i="118"/>
  <c r="W176" i="118"/>
  <c r="V15" i="118"/>
  <c r="V36" i="118"/>
  <c r="W83" i="118"/>
  <c r="V112" i="118"/>
  <c r="W159" i="118"/>
  <c r="V84" i="118"/>
  <c r="W36" i="118"/>
  <c r="W112" i="118"/>
  <c r="P92" i="118"/>
  <c r="P168" i="118"/>
  <c r="P11" i="118"/>
  <c r="M165" i="118"/>
  <c r="M89" i="118"/>
  <c r="M13" i="118"/>
  <c r="N164" i="118"/>
  <c r="M164" i="118"/>
  <c r="N88" i="118"/>
  <c r="M88" i="118"/>
  <c r="N12" i="118"/>
  <c r="M12" i="118"/>
  <c r="P163" i="118"/>
  <c r="M163" i="118"/>
  <c r="P87" i="118"/>
  <c r="M87" i="118"/>
  <c r="M11" i="118"/>
  <c r="B84" i="248"/>
  <c r="W165" i="118" s="1"/>
  <c r="C69" i="248"/>
  <c r="D69" i="248"/>
  <c r="AA164" i="118" s="1"/>
  <c r="E69" i="248"/>
  <c r="B69" i="248"/>
  <c r="W11" i="118" s="1"/>
  <c r="C54" i="248"/>
  <c r="B54" i="248"/>
  <c r="E72" i="248"/>
  <c r="D72" i="248"/>
  <c r="R88" i="118" s="1"/>
  <c r="E71" i="248"/>
  <c r="D71" i="248"/>
  <c r="P88" i="118" s="1"/>
  <c r="P14" i="118"/>
  <c r="P166" i="118"/>
  <c r="M166" i="118"/>
  <c r="P90" i="118"/>
  <c r="M90" i="118"/>
  <c r="M14" i="118"/>
  <c r="M17" i="118"/>
  <c r="P17" i="118"/>
  <c r="B123" i="248"/>
  <c r="W182" i="118" l="1"/>
  <c r="W114" i="118"/>
  <c r="W106" i="118"/>
  <c r="W38" i="118"/>
  <c r="W26" i="118"/>
  <c r="W190" i="118"/>
  <c r="W178" i="118"/>
  <c r="W102" i="118"/>
  <c r="W30" i="118"/>
  <c r="P12" i="118"/>
  <c r="P164" i="118"/>
  <c r="AA12" i="118"/>
  <c r="W12" i="118"/>
  <c r="AA88" i="118"/>
  <c r="W88" i="118"/>
  <c r="R164" i="118"/>
  <c r="P13" i="118"/>
  <c r="P89" i="118"/>
  <c r="P165" i="118"/>
  <c r="W87" i="118"/>
  <c r="W163" i="118"/>
  <c r="R12" i="118"/>
  <c r="W164" i="118"/>
  <c r="W13" i="118"/>
  <c r="W89" i="118"/>
  <c r="P80" i="118"/>
  <c r="B131" i="248"/>
  <c r="B134" i="248" s="1"/>
  <c r="M80" i="118"/>
  <c r="M187" i="118"/>
  <c r="M111" i="118"/>
  <c r="M35" i="118"/>
  <c r="W185" i="118"/>
  <c r="V185" i="118"/>
  <c r="M185" i="118"/>
  <c r="W175" i="118"/>
  <c r="V175" i="118"/>
  <c r="M175" i="118"/>
  <c r="W109" i="118"/>
  <c r="V109" i="118"/>
  <c r="M109" i="118"/>
  <c r="W99" i="118"/>
  <c r="V99" i="118"/>
  <c r="M99" i="118"/>
  <c r="W33" i="118"/>
  <c r="V33" i="118"/>
  <c r="M33" i="118"/>
  <c r="W23" i="118"/>
  <c r="V23" i="118"/>
  <c r="M23" i="118"/>
  <c r="M22" i="118"/>
  <c r="B165" i="248"/>
  <c r="B145" i="248"/>
  <c r="V187" i="118" s="1"/>
  <c r="V22" i="118" l="1"/>
  <c r="V34" i="118"/>
  <c r="V35" i="118"/>
  <c r="V111" i="118"/>
  <c r="B133" i="248"/>
  <c r="V17" i="118"/>
  <c r="V232" i="118"/>
  <c r="V156" i="118"/>
  <c r="V169" i="118"/>
  <c r="V93" i="118"/>
  <c r="V80" i="118"/>
  <c r="W44" i="109"/>
  <c r="X44" i="109" s="1"/>
  <c r="Y44" i="109" s="1"/>
  <c r="W43" i="109"/>
  <c r="X43" i="109" s="1"/>
  <c r="Y43" i="109" s="1"/>
  <c r="W42" i="109"/>
  <c r="X42" i="109" s="1"/>
  <c r="Y42" i="109" s="1"/>
  <c r="W41" i="109"/>
  <c r="X41" i="109" s="1"/>
  <c r="Y41" i="109" s="1"/>
  <c r="W40" i="109"/>
  <c r="X40" i="109" s="1"/>
  <c r="Y40" i="109" s="1"/>
  <c r="W34" i="109"/>
  <c r="X34" i="109" s="1"/>
  <c r="Y34" i="109" s="1"/>
  <c r="W35" i="109"/>
  <c r="X35" i="109" s="1"/>
  <c r="Y35" i="109" s="1"/>
  <c r="W33" i="109"/>
  <c r="X33" i="109" s="1"/>
  <c r="Y33" i="109" s="1"/>
  <c r="W32" i="109"/>
  <c r="X32" i="109" s="1"/>
  <c r="Y32" i="109" s="1"/>
  <c r="W7" i="118"/>
  <c r="W8" i="118"/>
  <c r="V7" i="118"/>
  <c r="V8" i="118"/>
  <c r="B13" i="248"/>
  <c r="C13" i="248"/>
  <c r="C25" i="248" s="1"/>
  <c r="B42" i="248"/>
  <c r="B164" i="248"/>
  <c r="B166" i="248"/>
  <c r="B55" i="248"/>
  <c r="C55" i="248"/>
  <c r="B70" i="248"/>
  <c r="C70" i="248"/>
  <c r="D70" i="248"/>
  <c r="Z12" i="118" s="1"/>
  <c r="E70" i="248"/>
  <c r="B85" i="248"/>
  <c r="B107" i="248"/>
  <c r="B108" i="248"/>
  <c r="B109" i="248"/>
  <c r="B144" i="248"/>
  <c r="B188" i="248"/>
  <c r="C188" i="248"/>
  <c r="D188" i="248"/>
  <c r="E188" i="248"/>
  <c r="F188" i="248"/>
  <c r="B189" i="248"/>
  <c r="C189" i="248"/>
  <c r="D189" i="248"/>
  <c r="E189" i="248"/>
  <c r="F189" i="248"/>
  <c r="B190" i="248"/>
  <c r="C190" i="248"/>
  <c r="D190" i="248"/>
  <c r="E190" i="248"/>
  <c r="F190" i="248"/>
  <c r="B192" i="248"/>
  <c r="C192" i="248"/>
  <c r="D192" i="248"/>
  <c r="E192" i="248"/>
  <c r="F192" i="248"/>
  <c r="B194" i="248"/>
  <c r="B199" i="248" s="1"/>
  <c r="B201" i="248"/>
  <c r="B217" i="248"/>
  <c r="B218" i="248" s="1"/>
  <c r="C217" i="248"/>
  <c r="C218" i="248" s="1"/>
  <c r="B24" i="248" l="1"/>
  <c r="W20" i="118" s="1"/>
  <c r="B25" i="248"/>
  <c r="W22" i="118"/>
  <c r="W34" i="118"/>
  <c r="W25" i="118"/>
  <c r="W189" i="118"/>
  <c r="W181" i="118"/>
  <c r="W177" i="118"/>
  <c r="W113" i="118"/>
  <c r="W105" i="118"/>
  <c r="W101" i="118"/>
  <c r="W37" i="118"/>
  <c r="W29" i="118"/>
  <c r="W184" i="118"/>
  <c r="W96" i="118"/>
  <c r="W172" i="118"/>
  <c r="V21" i="118"/>
  <c r="V173" i="118"/>
  <c r="V97" i="118"/>
  <c r="Z95" i="118"/>
  <c r="Z171" i="118"/>
  <c r="Z19" i="118"/>
  <c r="AA171" i="118"/>
  <c r="AA19" i="118"/>
  <c r="AA95" i="118"/>
  <c r="W18" i="118"/>
  <c r="W170" i="118"/>
  <c r="W94" i="118"/>
  <c r="W19" i="118"/>
  <c r="W171" i="118"/>
  <c r="W95" i="118"/>
  <c r="V12" i="118"/>
  <c r="V11" i="118"/>
  <c r="Z164" i="118"/>
  <c r="Z88" i="118"/>
  <c r="V165" i="118"/>
  <c r="V89" i="118"/>
  <c r="V13" i="118"/>
  <c r="V88" i="118"/>
  <c r="V164" i="118"/>
  <c r="V163" i="118"/>
  <c r="V87" i="118"/>
  <c r="W14" i="118"/>
  <c r="W166" i="118"/>
  <c r="W90" i="118"/>
  <c r="W187" i="118"/>
  <c r="W111" i="118"/>
  <c r="W35" i="118"/>
  <c r="V90" i="118"/>
  <c r="V14" i="118"/>
  <c r="V166" i="118"/>
  <c r="W80" i="118"/>
  <c r="W169" i="118"/>
  <c r="W93" i="118"/>
  <c r="W17" i="118"/>
  <c r="W232" i="118"/>
  <c r="W156" i="118"/>
  <c r="B200" i="248"/>
  <c r="W32" i="118" l="1"/>
  <c r="W108" i="118"/>
  <c r="V184" i="118"/>
  <c r="V32" i="118"/>
  <c r="V96" i="118"/>
  <c r="V20" i="118"/>
  <c r="V108" i="118"/>
  <c r="V172" i="118"/>
  <c r="V170" i="118"/>
  <c r="V94" i="118"/>
  <c r="V19" i="118"/>
  <c r="V171" i="118"/>
  <c r="V95" i="118"/>
  <c r="V18" i="118"/>
  <c r="K104" i="246" l="1"/>
  <c r="K103" i="246"/>
  <c r="K50" i="246"/>
  <c r="K49" i="246"/>
  <c r="K48" i="246"/>
  <c r="K46" i="246"/>
  <c r="K45" i="246"/>
  <c r="K44" i="246"/>
  <c r="K43" i="246"/>
  <c r="K29" i="246"/>
  <c r="K28" i="246"/>
  <c r="K27" i="246"/>
  <c r="M27" i="246" s="1"/>
  <c r="K26" i="246"/>
  <c r="K33" i="246"/>
  <c r="K32" i="246"/>
  <c r="K31" i="246"/>
  <c r="J11" i="131" l="1"/>
  <c r="J10" i="131"/>
  <c r="J8" i="131"/>
  <c r="J7" i="131"/>
  <c r="J6" i="131"/>
  <c r="AG104" i="246"/>
  <c r="AC104" i="246"/>
  <c r="AA104" i="246"/>
  <c r="W104" i="246"/>
  <c r="AB104" i="246"/>
  <c r="Z104" i="246"/>
  <c r="J104" i="246"/>
  <c r="Y104" i="246"/>
  <c r="Z103" i="246"/>
  <c r="AC103" i="246"/>
  <c r="AG102" i="246"/>
  <c r="AC102" i="246"/>
  <c r="AB102" i="246"/>
  <c r="AA102" i="246"/>
  <c r="Z102" i="246"/>
  <c r="Y102" i="246"/>
  <c r="W102" i="246"/>
  <c r="AG101" i="246"/>
  <c r="AA101" i="246"/>
  <c r="J101" i="246"/>
  <c r="AG100" i="246"/>
  <c r="AC100" i="246"/>
  <c r="AA100" i="246"/>
  <c r="W100" i="246"/>
  <c r="AB100" i="246"/>
  <c r="Z100" i="246"/>
  <c r="J100" i="246"/>
  <c r="Y100" i="246"/>
  <c r="AG99" i="246"/>
  <c r="AC99" i="246"/>
  <c r="J99" i="246"/>
  <c r="AG98" i="246"/>
  <c r="AC98" i="246"/>
  <c r="AA98" i="246"/>
  <c r="Y98" i="246"/>
  <c r="W98" i="246"/>
  <c r="AB98" i="246"/>
  <c r="Z98" i="246"/>
  <c r="J98" i="246"/>
  <c r="AG97" i="246"/>
  <c r="AC97" i="246"/>
  <c r="AB97" i="246"/>
  <c r="AA97" i="246"/>
  <c r="Z97" i="246"/>
  <c r="X97" i="246"/>
  <c r="V97" i="246"/>
  <c r="Y97" i="246"/>
  <c r="AG96" i="246"/>
  <c r="AC96" i="246"/>
  <c r="AA96" i="246"/>
  <c r="W96" i="246"/>
  <c r="AB96" i="246"/>
  <c r="Z96" i="246"/>
  <c r="J96" i="246"/>
  <c r="Y96" i="246"/>
  <c r="Z95" i="246"/>
  <c r="AC95" i="246"/>
  <c r="J95" i="246"/>
  <c r="AG94" i="246"/>
  <c r="AC94" i="246"/>
  <c r="AA94" i="246"/>
  <c r="Y94" i="246"/>
  <c r="W94" i="246"/>
  <c r="AB94" i="246"/>
  <c r="Z94" i="246"/>
  <c r="J94" i="246"/>
  <c r="AG93" i="246"/>
  <c r="X93" i="246"/>
  <c r="AB93" i="246"/>
  <c r="AA93" i="246"/>
  <c r="J93" i="246"/>
  <c r="AG92" i="246"/>
  <c r="AC92" i="246"/>
  <c r="AA92" i="246"/>
  <c r="W92" i="246"/>
  <c r="AB92" i="246"/>
  <c r="Z92" i="246"/>
  <c r="J92" i="246"/>
  <c r="Y92" i="246"/>
  <c r="AG91" i="246"/>
  <c r="AC91" i="246"/>
  <c r="J91" i="246"/>
  <c r="AG90" i="246"/>
  <c r="AC90" i="246"/>
  <c r="AA90" i="246"/>
  <c r="Y90" i="246"/>
  <c r="W90" i="246"/>
  <c r="AB90" i="246"/>
  <c r="Z90" i="246"/>
  <c r="J90" i="246"/>
  <c r="AG89" i="246"/>
  <c r="AB89" i="246"/>
  <c r="AA89" i="246"/>
  <c r="J89" i="246"/>
  <c r="AG88" i="246"/>
  <c r="AC88" i="246"/>
  <c r="AA88" i="246"/>
  <c r="W88" i="246"/>
  <c r="AB88" i="246"/>
  <c r="Z88" i="246"/>
  <c r="J88" i="246"/>
  <c r="Y88" i="246"/>
  <c r="AG87" i="246"/>
  <c r="Z87" i="246"/>
  <c r="AC87" i="246"/>
  <c r="J87" i="246"/>
  <c r="AG86" i="246"/>
  <c r="AC86" i="246"/>
  <c r="AA86" i="246"/>
  <c r="Y86" i="246"/>
  <c r="W86" i="246"/>
  <c r="AB86" i="246"/>
  <c r="Z86" i="246"/>
  <c r="J86" i="246"/>
  <c r="AG85" i="246"/>
  <c r="AA85" i="246"/>
  <c r="J85" i="246"/>
  <c r="AG84" i="246"/>
  <c r="AC84" i="246"/>
  <c r="AA84" i="246"/>
  <c r="Y84" i="246"/>
  <c r="W84" i="246"/>
  <c r="AB84" i="246"/>
  <c r="Z84" i="246"/>
  <c r="J84" i="246"/>
  <c r="AG83" i="246"/>
  <c r="Z83" i="246"/>
  <c r="AC83" i="246"/>
  <c r="AG82" i="246"/>
  <c r="AC82" i="246"/>
  <c r="AA82" i="246"/>
  <c r="Y82" i="246"/>
  <c r="W82" i="246"/>
  <c r="AB82" i="246"/>
  <c r="Z82" i="246"/>
  <c r="J82" i="246"/>
  <c r="AG81" i="246"/>
  <c r="X81" i="246"/>
  <c r="AB81" i="246"/>
  <c r="AA81" i="246"/>
  <c r="J81" i="246"/>
  <c r="AG80" i="246"/>
  <c r="AC80" i="246"/>
  <c r="AA80" i="246"/>
  <c r="Y80" i="246"/>
  <c r="W80" i="246"/>
  <c r="AB80" i="246"/>
  <c r="Z80" i="246"/>
  <c r="J80" i="246"/>
  <c r="AG79" i="246"/>
  <c r="Z79" i="246"/>
  <c r="AC79" i="246"/>
  <c r="AG78" i="246"/>
  <c r="AC78" i="246"/>
  <c r="AA78" i="246"/>
  <c r="Y78" i="246"/>
  <c r="W78" i="246"/>
  <c r="AB78" i="246"/>
  <c r="Z78" i="246"/>
  <c r="J78" i="246"/>
  <c r="AG77" i="246"/>
  <c r="AA77" i="246"/>
  <c r="J77" i="246"/>
  <c r="AG76" i="246"/>
  <c r="AC76" i="246"/>
  <c r="AA76" i="246"/>
  <c r="Y76" i="246"/>
  <c r="W76" i="246"/>
  <c r="AB76" i="246"/>
  <c r="Z76" i="246"/>
  <c r="J76" i="246"/>
  <c r="AG75" i="246"/>
  <c r="Z75" i="246"/>
  <c r="AC75" i="246"/>
  <c r="AG74" i="246"/>
  <c r="AC74" i="246"/>
  <c r="AA74" i="246"/>
  <c r="Y74" i="246"/>
  <c r="W74" i="246"/>
  <c r="AB74" i="246"/>
  <c r="Z74" i="246"/>
  <c r="J74" i="246"/>
  <c r="AG73" i="246"/>
  <c r="X73" i="246"/>
  <c r="AB73" i="246"/>
  <c r="AA73" i="246"/>
  <c r="J73" i="246"/>
  <c r="AG72" i="246"/>
  <c r="AC72" i="246"/>
  <c r="AA72" i="246"/>
  <c r="Y72" i="246"/>
  <c r="W72" i="246"/>
  <c r="AB72" i="246"/>
  <c r="Z72" i="246"/>
  <c r="J72" i="246"/>
  <c r="AG71" i="246"/>
  <c r="X71" i="246"/>
  <c r="J71" i="246"/>
  <c r="AG70" i="246"/>
  <c r="AC70" i="246"/>
  <c r="Z70" i="246"/>
  <c r="W70" i="246"/>
  <c r="AA70" i="246"/>
  <c r="J70" i="246"/>
  <c r="AG69" i="246"/>
  <c r="AB69" i="246"/>
  <c r="X69" i="246"/>
  <c r="AA69" i="246"/>
  <c r="J69" i="246"/>
  <c r="AG68" i="246"/>
  <c r="AC68" i="246"/>
  <c r="AA68" i="246"/>
  <c r="Y68" i="246"/>
  <c r="W68" i="246"/>
  <c r="AB68" i="246"/>
  <c r="Z68" i="246"/>
  <c r="J68" i="246"/>
  <c r="AG67" i="246"/>
  <c r="Z67" i="246"/>
  <c r="AC67" i="246"/>
  <c r="AG66" i="246"/>
  <c r="AC66" i="246"/>
  <c r="AA66" i="246"/>
  <c r="Y66" i="246"/>
  <c r="W66" i="246"/>
  <c r="AB66" i="246"/>
  <c r="Z66" i="246"/>
  <c r="J66" i="246"/>
  <c r="AG65" i="246"/>
  <c r="AB65" i="246"/>
  <c r="AA65" i="246"/>
  <c r="J65" i="246"/>
  <c r="AG64" i="246"/>
  <c r="AC64" i="246"/>
  <c r="AA64" i="246"/>
  <c r="Y64" i="246"/>
  <c r="W64" i="246"/>
  <c r="AB64" i="246"/>
  <c r="Z64" i="246"/>
  <c r="J64" i="246"/>
  <c r="AG63" i="246"/>
  <c r="AC63" i="246"/>
  <c r="J63" i="246"/>
  <c r="AG62" i="246"/>
  <c r="AC62" i="246"/>
  <c r="AA62" i="246"/>
  <c r="Y62" i="246"/>
  <c r="W62" i="246"/>
  <c r="AB62" i="246"/>
  <c r="Z62" i="246"/>
  <c r="J62" i="246"/>
  <c r="AG61" i="246"/>
  <c r="X61" i="246"/>
  <c r="J61" i="246"/>
  <c r="AG60" i="246"/>
  <c r="AC60" i="246"/>
  <c r="AA60" i="246"/>
  <c r="Y60" i="246"/>
  <c r="W60" i="246"/>
  <c r="AB60" i="246"/>
  <c r="Z60" i="246"/>
  <c r="J60" i="246"/>
  <c r="AG59" i="246"/>
  <c r="X59" i="246"/>
  <c r="J59" i="246"/>
  <c r="AG58" i="246"/>
  <c r="AC58" i="246"/>
  <c r="AA58" i="246"/>
  <c r="Y58" i="246"/>
  <c r="W58" i="246"/>
  <c r="AB58" i="246"/>
  <c r="Z58" i="246"/>
  <c r="J58" i="246"/>
  <c r="AG57" i="246"/>
  <c r="X57" i="246"/>
  <c r="J57" i="246"/>
  <c r="AG56" i="246"/>
  <c r="AC56" i="246"/>
  <c r="AA56" i="246"/>
  <c r="Y56" i="246"/>
  <c r="W56" i="246"/>
  <c r="AB56" i="246"/>
  <c r="Z56" i="246"/>
  <c r="J56" i="246"/>
  <c r="AG55" i="246"/>
  <c r="X55" i="246"/>
  <c r="AG54" i="246"/>
  <c r="AC54" i="246"/>
  <c r="AB54" i="246"/>
  <c r="AA54" i="246"/>
  <c r="Z54" i="246"/>
  <c r="AG53" i="246"/>
  <c r="AG52" i="246"/>
  <c r="AC52" i="246"/>
  <c r="AA52" i="246"/>
  <c r="Y52" i="246"/>
  <c r="W52" i="246"/>
  <c r="AB52" i="246"/>
  <c r="Z52" i="246"/>
  <c r="J52" i="246"/>
  <c r="AG51" i="246"/>
  <c r="AC51" i="246"/>
  <c r="AB51" i="246"/>
  <c r="AA51" i="246"/>
  <c r="Z51" i="246"/>
  <c r="X51" i="246"/>
  <c r="V51" i="246"/>
  <c r="AG50" i="246"/>
  <c r="AC50" i="246"/>
  <c r="AA50" i="246"/>
  <c r="Y50" i="246"/>
  <c r="W50" i="246"/>
  <c r="AB50" i="246"/>
  <c r="Z50" i="246"/>
  <c r="J50" i="246"/>
  <c r="AG49" i="246"/>
  <c r="AB49" i="246"/>
  <c r="X49" i="246"/>
  <c r="AG48" i="246"/>
  <c r="AC48" i="246"/>
  <c r="AA48" i="246"/>
  <c r="Y48" i="246"/>
  <c r="W48" i="246"/>
  <c r="AB48" i="246"/>
  <c r="Z48" i="246"/>
  <c r="J48" i="246"/>
  <c r="AG47" i="246"/>
  <c r="AC47" i="246"/>
  <c r="AB47" i="246"/>
  <c r="AA47" i="246"/>
  <c r="Z47" i="246"/>
  <c r="X47" i="246"/>
  <c r="V47" i="246"/>
  <c r="AG46" i="246"/>
  <c r="AC46" i="246"/>
  <c r="AA46" i="246"/>
  <c r="Y46" i="246"/>
  <c r="W46" i="246"/>
  <c r="AB46" i="246"/>
  <c r="Z46" i="246"/>
  <c r="J46" i="246"/>
  <c r="AG45" i="246"/>
  <c r="AB45" i="246"/>
  <c r="Z45" i="246"/>
  <c r="X45" i="246"/>
  <c r="AG44" i="246"/>
  <c r="AC44" i="246"/>
  <c r="AA44" i="246"/>
  <c r="Y44" i="246"/>
  <c r="W44" i="246"/>
  <c r="AB44" i="246"/>
  <c r="Z44" i="246"/>
  <c r="J44" i="246"/>
  <c r="AG43" i="246"/>
  <c r="J43" i="246"/>
  <c r="AC42" i="246"/>
  <c r="AB42" i="246"/>
  <c r="AA42" i="246"/>
  <c r="Z42" i="246"/>
  <c r="W42" i="246"/>
  <c r="Y42" i="246"/>
  <c r="V42" i="246"/>
  <c r="AG41" i="246"/>
  <c r="J41" i="246"/>
  <c r="AG40" i="246"/>
  <c r="AC40" i="246"/>
  <c r="Z40" i="246"/>
  <c r="W40" i="246"/>
  <c r="AB40" i="246"/>
  <c r="AA40" i="246"/>
  <c r="J40" i="246"/>
  <c r="Y40" i="246"/>
  <c r="AG39" i="246"/>
  <c r="AC39" i="246"/>
  <c r="J39" i="246"/>
  <c r="K39" i="246"/>
  <c r="Z39" i="246" s="1"/>
  <c r="AG38" i="246"/>
  <c r="AC38" i="246"/>
  <c r="J38" i="246"/>
  <c r="K38" i="246"/>
  <c r="Z38" i="246" s="1"/>
  <c r="AG37" i="246"/>
  <c r="AC37" i="246"/>
  <c r="AC34" i="246" s="1"/>
  <c r="J37" i="246"/>
  <c r="K37" i="246"/>
  <c r="Z37" i="246" s="1"/>
  <c r="AC36" i="246"/>
  <c r="AB36" i="246"/>
  <c r="AA36" i="246"/>
  <c r="Z36" i="246"/>
  <c r="X36" i="246"/>
  <c r="V36" i="246"/>
  <c r="AG35" i="246"/>
  <c r="AC35" i="246"/>
  <c r="AB35" i="246"/>
  <c r="AA35" i="246"/>
  <c r="Z35" i="246"/>
  <c r="Y35" i="246"/>
  <c r="W35" i="246"/>
  <c r="AG34" i="246"/>
  <c r="J34" i="246"/>
  <c r="AG33" i="246"/>
  <c r="AC33" i="246"/>
  <c r="AA33" i="246"/>
  <c r="W33" i="246"/>
  <c r="J33" i="246"/>
  <c r="AG32" i="246"/>
  <c r="AC32" i="246"/>
  <c r="AA32" i="246"/>
  <c r="W32" i="246"/>
  <c r="J32" i="246"/>
  <c r="AG31" i="246"/>
  <c r="AC31" i="246"/>
  <c r="AA31" i="246"/>
  <c r="W31" i="246"/>
  <c r="J31" i="246"/>
  <c r="AG30" i="246"/>
  <c r="AC30" i="246"/>
  <c r="AB30" i="246"/>
  <c r="AA30" i="246"/>
  <c r="Z30" i="246"/>
  <c r="Y30" i="246"/>
  <c r="W30" i="246"/>
  <c r="J30" i="246"/>
  <c r="X30" i="246"/>
  <c r="AG29" i="246"/>
  <c r="AC29" i="246"/>
  <c r="J29" i="246"/>
  <c r="AG28" i="246"/>
  <c r="AC28" i="246"/>
  <c r="J28" i="246"/>
  <c r="AG27" i="246"/>
  <c r="AC27" i="246"/>
  <c r="J27" i="246"/>
  <c r="J26" i="246"/>
  <c r="AC25" i="246"/>
  <c r="AB25" i="246"/>
  <c r="AA25" i="246"/>
  <c r="Z25" i="246"/>
  <c r="X25" i="246"/>
  <c r="V25" i="246"/>
  <c r="AG24" i="246"/>
  <c r="J24" i="246"/>
  <c r="AG23" i="246"/>
  <c r="AA23" i="246"/>
  <c r="X23" i="246"/>
  <c r="Z23" i="246"/>
  <c r="J23" i="246"/>
  <c r="W23" i="246"/>
  <c r="AG22" i="246"/>
  <c r="AC22" i="246"/>
  <c r="AA22" i="246"/>
  <c r="W22" i="246"/>
  <c r="AB22" i="246"/>
  <c r="Z22" i="246"/>
  <c r="J22" i="246"/>
  <c r="Y22" i="246"/>
  <c r="Z21" i="246"/>
  <c r="AC21" i="246"/>
  <c r="AG20" i="246"/>
  <c r="AC20" i="246"/>
  <c r="AA20" i="246"/>
  <c r="Y20" i="246"/>
  <c r="W20" i="246"/>
  <c r="AB20" i="246"/>
  <c r="Z20" i="246"/>
  <c r="J20" i="246"/>
  <c r="AG19" i="246"/>
  <c r="X19" i="246"/>
  <c r="AA19" i="246"/>
  <c r="J19" i="246"/>
  <c r="AG18" i="246"/>
  <c r="AC18" i="246"/>
  <c r="AA18" i="246"/>
  <c r="W18" i="246"/>
  <c r="AB18" i="246"/>
  <c r="Z18" i="246"/>
  <c r="J18" i="246"/>
  <c r="Y18" i="246"/>
  <c r="AG17" i="246"/>
  <c r="AC17" i="246"/>
  <c r="J17" i="246"/>
  <c r="AG16" i="246"/>
  <c r="AC16" i="246"/>
  <c r="AA16" i="246"/>
  <c r="Y16" i="246"/>
  <c r="W16" i="246"/>
  <c r="AB16" i="246"/>
  <c r="Z16" i="246"/>
  <c r="J16" i="246"/>
  <c r="AG15" i="246"/>
  <c r="AB15" i="246"/>
  <c r="X15" i="246"/>
  <c r="AA15" i="246"/>
  <c r="J15" i="246"/>
  <c r="AG14" i="246"/>
  <c r="AC14" i="246"/>
  <c r="AA14" i="246"/>
  <c r="W14" i="246"/>
  <c r="AB14" i="246"/>
  <c r="Z14" i="246"/>
  <c r="J14" i="246"/>
  <c r="Y14" i="246"/>
  <c r="AG13" i="246"/>
  <c r="AC13" i="246"/>
  <c r="J13" i="246"/>
  <c r="AG12" i="246"/>
  <c r="J12" i="246"/>
  <c r="AG11" i="246"/>
  <c r="AA11" i="246"/>
  <c r="J11" i="246"/>
  <c r="AG10" i="246"/>
  <c r="AC10" i="246"/>
  <c r="AA10" i="246"/>
  <c r="Y10" i="246"/>
  <c r="W10" i="246"/>
  <c r="AB10" i="246"/>
  <c r="Z10" i="246"/>
  <c r="J10" i="246"/>
  <c r="AG9" i="246"/>
  <c r="AC9" i="246"/>
  <c r="J9" i="246"/>
  <c r="AG8" i="246"/>
  <c r="J8" i="246"/>
  <c r="AG7" i="246"/>
  <c r="X7" i="246"/>
  <c r="J7" i="246"/>
  <c r="AG6" i="246"/>
  <c r="AC6" i="246"/>
  <c r="AA6" i="246"/>
  <c r="Y6" i="246"/>
  <c r="W6" i="246"/>
  <c r="AB6" i="246"/>
  <c r="Z6" i="246"/>
  <c r="J6" i="246"/>
  <c r="AG5" i="246"/>
  <c r="AB5" i="246"/>
  <c r="X5" i="246"/>
  <c r="J5" i="246"/>
  <c r="AG4" i="246"/>
  <c r="J4" i="246"/>
  <c r="F107" i="235" l="1"/>
  <c r="I36" i="131"/>
  <c r="I37" i="131"/>
  <c r="I35" i="131"/>
  <c r="F72" i="235"/>
  <c r="E72" i="235"/>
  <c r="F73" i="235"/>
  <c r="E73" i="235"/>
  <c r="F67" i="235"/>
  <c r="E67" i="235"/>
  <c r="F71" i="235"/>
  <c r="E71" i="235"/>
  <c r="F68" i="235"/>
  <c r="E68" i="235"/>
  <c r="F69" i="235"/>
  <c r="E69" i="235"/>
  <c r="F70" i="235"/>
  <c r="E70" i="235"/>
  <c r="E66" i="235"/>
  <c r="F66" i="235"/>
  <c r="K10" i="131"/>
  <c r="M10" i="131"/>
  <c r="K11" i="131"/>
  <c r="M11" i="131"/>
  <c r="K8" i="131"/>
  <c r="M8" i="131"/>
  <c r="Z34" i="246"/>
  <c r="W47" i="246"/>
  <c r="Y47" i="246"/>
  <c r="J47" i="246"/>
  <c r="AC85" i="246"/>
  <c r="Y85" i="246"/>
  <c r="AB85" i="246"/>
  <c r="X85" i="246"/>
  <c r="AA91" i="246"/>
  <c r="W91" i="246"/>
  <c r="Z91" i="246"/>
  <c r="V91" i="246"/>
  <c r="AC11" i="246"/>
  <c r="AC8" i="246" s="1"/>
  <c r="Y11" i="246"/>
  <c r="AA5" i="246"/>
  <c r="W5" i="246"/>
  <c r="V5" i="246"/>
  <c r="AA7" i="246"/>
  <c r="W7" i="246"/>
  <c r="Z7" i="246"/>
  <c r="V7" i="246"/>
  <c r="AA9" i="246"/>
  <c r="AA8" i="246" s="1"/>
  <c r="W9" i="246"/>
  <c r="V9" i="246"/>
  <c r="AA13" i="246"/>
  <c r="W13" i="246"/>
  <c r="V13" i="246"/>
  <c r="W25" i="246"/>
  <c r="Y25" i="246"/>
  <c r="AC43" i="246"/>
  <c r="Y43" i="246"/>
  <c r="AB43" i="246"/>
  <c r="AB41" i="246" s="1"/>
  <c r="X43" i="246"/>
  <c r="AB31" i="246"/>
  <c r="Z32" i="246"/>
  <c r="V35" i="246"/>
  <c r="J35" i="246"/>
  <c r="X35" i="246"/>
  <c r="W36" i="246"/>
  <c r="Y36" i="246"/>
  <c r="AA55" i="246"/>
  <c r="W55" i="246"/>
  <c r="Z55" i="246"/>
  <c r="V55" i="246"/>
  <c r="AA57" i="246"/>
  <c r="W57" i="246"/>
  <c r="Z57" i="246"/>
  <c r="V57" i="246"/>
  <c r="AA59" i="246"/>
  <c r="W59" i="246"/>
  <c r="Z59" i="246"/>
  <c r="V59" i="246"/>
  <c r="AA61" i="246"/>
  <c r="W61" i="246"/>
  <c r="Z61" i="246"/>
  <c r="V61" i="246"/>
  <c r="AA63" i="246"/>
  <c r="W63" i="246"/>
  <c r="Z63" i="246"/>
  <c r="V63" i="246"/>
  <c r="Z9" i="246"/>
  <c r="X11" i="246"/>
  <c r="Z13" i="246"/>
  <c r="AA17" i="246"/>
  <c r="W17" i="246"/>
  <c r="V17" i="246"/>
  <c r="AC23" i="246"/>
  <c r="Y23" i="246"/>
  <c r="AB23" i="246"/>
  <c r="Z26" i="246"/>
  <c r="Z27" i="246"/>
  <c r="Z28" i="246"/>
  <c r="Z29" i="246"/>
  <c r="AB32" i="246"/>
  <c r="Z33" i="246"/>
  <c r="AC19" i="246"/>
  <c r="Y19" i="246"/>
  <c r="AC5" i="246"/>
  <c r="Y5" i="246"/>
  <c r="Z5" i="246"/>
  <c r="Z4" i="246" s="1"/>
  <c r="AC7" i="246"/>
  <c r="Y7" i="246"/>
  <c r="AB7" i="246"/>
  <c r="AB4" i="246" s="1"/>
  <c r="AB11" i="246"/>
  <c r="AC15" i="246"/>
  <c r="Y15" i="246"/>
  <c r="Z17" i="246"/>
  <c r="AB19" i="246"/>
  <c r="J21" i="246"/>
  <c r="AA21" i="246"/>
  <c r="W21" i="246"/>
  <c r="V21" i="246"/>
  <c r="AG21" i="246"/>
  <c r="AG25" i="246"/>
  <c r="AA26" i="246"/>
  <c r="W26" i="246"/>
  <c r="V26" i="246"/>
  <c r="AG26" i="246"/>
  <c r="AA27" i="246"/>
  <c r="W27" i="246"/>
  <c r="V27" i="246"/>
  <c r="AA28" i="246"/>
  <c r="W28" i="246"/>
  <c r="V28" i="246"/>
  <c r="AA29" i="246"/>
  <c r="W29" i="246"/>
  <c r="V29" i="246"/>
  <c r="Z31" i="246"/>
  <c r="AB33" i="246"/>
  <c r="AG36" i="246"/>
  <c r="AA37" i="246"/>
  <c r="W37" i="246"/>
  <c r="V37" i="246"/>
  <c r="AA38" i="246"/>
  <c r="W38" i="246"/>
  <c r="V38" i="246"/>
  <c r="AA39" i="246"/>
  <c r="W39" i="246"/>
  <c r="V39" i="246"/>
  <c r="V54" i="246"/>
  <c r="X54" i="246"/>
  <c r="X6" i="246"/>
  <c r="X4" i="246" s="1"/>
  <c r="X10" i="246"/>
  <c r="X14" i="246"/>
  <c r="V16" i="246"/>
  <c r="X18" i="246"/>
  <c r="V20" i="246"/>
  <c r="X22" i="246"/>
  <c r="J25" i="246"/>
  <c r="V30" i="246"/>
  <c r="X31" i="246"/>
  <c r="X32" i="246"/>
  <c r="X33" i="246"/>
  <c r="J36" i="246"/>
  <c r="X42" i="246"/>
  <c r="AC45" i="246"/>
  <c r="Y45" i="246"/>
  <c r="J49" i="246"/>
  <c r="AA49" i="246"/>
  <c r="W49" i="246"/>
  <c r="V49" i="246"/>
  <c r="J55" i="246"/>
  <c r="X65" i="246"/>
  <c r="AC69" i="246"/>
  <c r="Y69" i="246"/>
  <c r="AC77" i="246"/>
  <c r="Y77" i="246"/>
  <c r="AB77" i="246"/>
  <c r="X77" i="246"/>
  <c r="X9" i="246"/>
  <c r="AB9" i="246"/>
  <c r="V11" i="246"/>
  <c r="Z11" i="246"/>
  <c r="X13" i="246"/>
  <c r="AB13" i="246"/>
  <c r="V15" i="246"/>
  <c r="Z15" i="246"/>
  <c r="X17" i="246"/>
  <c r="AB17" i="246"/>
  <c r="V19" i="246"/>
  <c r="Z19" i="246"/>
  <c r="X21" i="246"/>
  <c r="AB21" i="246"/>
  <c r="V23" i="246"/>
  <c r="X26" i="246"/>
  <c r="AB26" i="246"/>
  <c r="X27" i="246"/>
  <c r="AB27" i="246"/>
  <c r="X28" i="246"/>
  <c r="AB28" i="246"/>
  <c r="X29" i="246"/>
  <c r="AB29" i="246"/>
  <c r="Y31" i="246"/>
  <c r="Y32" i="246"/>
  <c r="Y33" i="246"/>
  <c r="X37" i="246"/>
  <c r="AB37" i="246"/>
  <c r="X38" i="246"/>
  <c r="AB38" i="246"/>
  <c r="X39" i="246"/>
  <c r="AB39" i="246"/>
  <c r="W51" i="246"/>
  <c r="Y51" i="246"/>
  <c r="J51" i="246"/>
  <c r="AC55" i="246"/>
  <c r="Y55" i="246"/>
  <c r="AC57" i="246"/>
  <c r="Y57" i="246"/>
  <c r="AC59" i="246"/>
  <c r="Y59" i="246"/>
  <c r="AC61" i="246"/>
  <c r="Y61" i="246"/>
  <c r="J67" i="246"/>
  <c r="AA67" i="246"/>
  <c r="W67" i="246"/>
  <c r="V67" i="246"/>
  <c r="V6" i="246"/>
  <c r="Y9" i="246"/>
  <c r="Y8" i="246" s="1"/>
  <c r="V10" i="246"/>
  <c r="W11" i="246"/>
  <c r="Y13" i="246"/>
  <c r="V14" i="246"/>
  <c r="W15" i="246"/>
  <c r="X16" i="246"/>
  <c r="Y17" i="246"/>
  <c r="V18" i="246"/>
  <c r="W19" i="246"/>
  <c r="X20" i="246"/>
  <c r="Y21" i="246"/>
  <c r="V22" i="246"/>
  <c r="Y26" i="246"/>
  <c r="AC26" i="246"/>
  <c r="AC24" i="246" s="1"/>
  <c r="Y27" i="246"/>
  <c r="Y28" i="246"/>
  <c r="Y29" i="246"/>
  <c r="V31" i="246"/>
  <c r="V32" i="246"/>
  <c r="V33" i="246"/>
  <c r="Y37" i="246"/>
  <c r="Y38" i="246"/>
  <c r="Y39" i="246"/>
  <c r="V40" i="246"/>
  <c r="J42" i="246"/>
  <c r="AG42" i="246"/>
  <c r="J45" i="246"/>
  <c r="AA45" i="246"/>
  <c r="W45" i="246"/>
  <c r="V45" i="246"/>
  <c r="AC49" i="246"/>
  <c r="Y49" i="246"/>
  <c r="Z49" i="246"/>
  <c r="J53" i="246"/>
  <c r="AB55" i="246"/>
  <c r="AB57" i="246"/>
  <c r="AB59" i="246"/>
  <c r="AB61" i="246"/>
  <c r="AC65" i="246"/>
  <c r="Y65" i="246"/>
  <c r="AA71" i="246"/>
  <c r="W71" i="246"/>
  <c r="Z71" i="246"/>
  <c r="V71" i="246"/>
  <c r="AC101" i="246"/>
  <c r="Y101" i="246"/>
  <c r="AB101" i="246"/>
  <c r="X101" i="246"/>
  <c r="X44" i="246"/>
  <c r="V46" i="246"/>
  <c r="X48" i="246"/>
  <c r="V50" i="246"/>
  <c r="X52" i="246"/>
  <c r="X56" i="246"/>
  <c r="V58" i="246"/>
  <c r="X60" i="246"/>
  <c r="V62" i="246"/>
  <c r="X64" i="246"/>
  <c r="V66" i="246"/>
  <c r="X68" i="246"/>
  <c r="V70" i="246"/>
  <c r="J75" i="246"/>
  <c r="AA75" i="246"/>
  <c r="W75" i="246"/>
  <c r="V75" i="246"/>
  <c r="J83" i="246"/>
  <c r="AA83" i="246"/>
  <c r="W83" i="246"/>
  <c r="V83" i="246"/>
  <c r="AC89" i="246"/>
  <c r="Y89" i="246"/>
  <c r="AA95" i="246"/>
  <c r="W95" i="246"/>
  <c r="V95" i="246"/>
  <c r="AG95" i="246"/>
  <c r="J103" i="246"/>
  <c r="AA103" i="246"/>
  <c r="W103" i="246"/>
  <c r="V103" i="246"/>
  <c r="AG103" i="246"/>
  <c r="X63" i="246"/>
  <c r="AB63" i="246"/>
  <c r="V65" i="246"/>
  <c r="Z65" i="246"/>
  <c r="X67" i="246"/>
  <c r="AB67" i="246"/>
  <c r="V69" i="246"/>
  <c r="Z69" i="246"/>
  <c r="AC71" i="246"/>
  <c r="Y71" i="246"/>
  <c r="AC73" i="246"/>
  <c r="Y73" i="246"/>
  <c r="AC81" i="246"/>
  <c r="Y81" i="246"/>
  <c r="AC93" i="246"/>
  <c r="Y93" i="246"/>
  <c r="AA99" i="246"/>
  <c r="W99" i="246"/>
  <c r="V99" i="246"/>
  <c r="V102" i="246"/>
  <c r="J102" i="246"/>
  <c r="X102" i="246"/>
  <c r="X40" i="246"/>
  <c r="V44" i="246"/>
  <c r="X46" i="246"/>
  <c r="V48" i="246"/>
  <c r="X50" i="246"/>
  <c r="V52" i="246"/>
  <c r="V56" i="246"/>
  <c r="X58" i="246"/>
  <c r="V60" i="246"/>
  <c r="X62" i="246"/>
  <c r="Y63" i="246"/>
  <c r="V64" i="246"/>
  <c r="W65" i="246"/>
  <c r="X66" i="246"/>
  <c r="Y67" i="246"/>
  <c r="V68" i="246"/>
  <c r="W69" i="246"/>
  <c r="AB70" i="246"/>
  <c r="X70" i="246"/>
  <c r="Y70" i="246"/>
  <c r="AB71" i="246"/>
  <c r="J79" i="246"/>
  <c r="AA79" i="246"/>
  <c r="W79" i="246"/>
  <c r="V79" i="246"/>
  <c r="AA87" i="246"/>
  <c r="W87" i="246"/>
  <c r="V87" i="246"/>
  <c r="X89" i="246"/>
  <c r="Z99" i="246"/>
  <c r="X72" i="246"/>
  <c r="V74" i="246"/>
  <c r="X76" i="246"/>
  <c r="V78" i="246"/>
  <c r="X80" i="246"/>
  <c r="V82" i="246"/>
  <c r="X84" i="246"/>
  <c r="V86" i="246"/>
  <c r="X88" i="246"/>
  <c r="V90" i="246"/>
  <c r="X92" i="246"/>
  <c r="V94" i="246"/>
  <c r="X96" i="246"/>
  <c r="W97" i="246"/>
  <c r="V98" i="246"/>
  <c r="X100" i="246"/>
  <c r="X104" i="246"/>
  <c r="V73" i="246"/>
  <c r="Z73" i="246"/>
  <c r="X75" i="246"/>
  <c r="AB75" i="246"/>
  <c r="V77" i="246"/>
  <c r="Z77" i="246"/>
  <c r="X79" i="246"/>
  <c r="AB79" i="246"/>
  <c r="V81" i="246"/>
  <c r="Z81" i="246"/>
  <c r="X83" i="246"/>
  <c r="AB83" i="246"/>
  <c r="V85" i="246"/>
  <c r="Z85" i="246"/>
  <c r="X87" i="246"/>
  <c r="AB87" i="246"/>
  <c r="V89" i="246"/>
  <c r="Z89" i="246"/>
  <c r="X91" i="246"/>
  <c r="AB91" i="246"/>
  <c r="V93" i="246"/>
  <c r="Z93" i="246"/>
  <c r="X95" i="246"/>
  <c r="AB95" i="246"/>
  <c r="X99" i="246"/>
  <c r="AB99" i="246"/>
  <c r="V101" i="246"/>
  <c r="Z101" i="246"/>
  <c r="X103" i="246"/>
  <c r="AB103" i="246"/>
  <c r="V72" i="246"/>
  <c r="W73" i="246"/>
  <c r="X74" i="246"/>
  <c r="Y75" i="246"/>
  <c r="V76" i="246"/>
  <c r="W77" i="246"/>
  <c r="X78" i="246"/>
  <c r="Y79" i="246"/>
  <c r="V80" i="246"/>
  <c r="W81" i="246"/>
  <c r="X82" i="246"/>
  <c r="Y83" i="246"/>
  <c r="V84" i="246"/>
  <c r="W85" i="246"/>
  <c r="X86" i="246"/>
  <c r="Y87" i="246"/>
  <c r="V88" i="246"/>
  <c r="W89" i="246"/>
  <c r="X90" i="246"/>
  <c r="Y91" i="246"/>
  <c r="V92" i="246"/>
  <c r="W93" i="246"/>
  <c r="X94" i="246"/>
  <c r="Y95" i="246"/>
  <c r="V96" i="246"/>
  <c r="J97" i="246"/>
  <c r="X98" i="246"/>
  <c r="Y99" i="246"/>
  <c r="V100" i="246"/>
  <c r="W101" i="246"/>
  <c r="Y103" i="246"/>
  <c r="V104" i="246"/>
  <c r="E65" i="235" l="1"/>
  <c r="F65" i="235"/>
  <c r="I29" i="131"/>
  <c r="C44" i="235" s="1"/>
  <c r="I18" i="131"/>
  <c r="C32" i="235" s="1"/>
  <c r="I28" i="131"/>
  <c r="C43" i="235" s="1"/>
  <c r="I17" i="131"/>
  <c r="C31" i="235" s="1"/>
  <c r="I34" i="131"/>
  <c r="C49" i="235" s="1"/>
  <c r="I23" i="131"/>
  <c r="C37" i="235" s="1"/>
  <c r="C50" i="235"/>
  <c r="I24" i="131"/>
  <c r="C38" i="235" s="1"/>
  <c r="I27" i="131"/>
  <c r="I16" i="131"/>
  <c r="I32" i="131"/>
  <c r="C47" i="235" s="1"/>
  <c r="I21" i="131"/>
  <c r="C35" i="235" s="1"/>
  <c r="AC4" i="246"/>
  <c r="AB8" i="246"/>
  <c r="X8" i="246"/>
  <c r="AC12" i="246"/>
  <c r="X53" i="246"/>
  <c r="Y53" i="246"/>
  <c r="AB24" i="246"/>
  <c r="X12" i="246"/>
  <c r="W54" i="246"/>
  <c r="Y54" i="246"/>
  <c r="V34" i="246"/>
  <c r="V24" i="246"/>
  <c r="AA53" i="246"/>
  <c r="AC41" i="246"/>
  <c r="W12" i="246"/>
  <c r="AB53" i="246"/>
  <c r="Y12" i="246"/>
  <c r="AC53" i="246"/>
  <c r="AB34" i="246"/>
  <c r="X24" i="246"/>
  <c r="W34" i="246"/>
  <c r="W24" i="246"/>
  <c r="Y4" i="246"/>
  <c r="Z12" i="246"/>
  <c r="V53" i="246"/>
  <c r="X41" i="246"/>
  <c r="AA12" i="246"/>
  <c r="V4" i="246"/>
  <c r="X34" i="246"/>
  <c r="J54" i="246"/>
  <c r="AA34" i="246"/>
  <c r="AA24" i="246"/>
  <c r="Z24" i="246"/>
  <c r="Z53" i="246"/>
  <c r="V8" i="246"/>
  <c r="W4" i="246"/>
  <c r="Y34" i="246"/>
  <c r="Y24" i="246"/>
  <c r="AB12" i="246"/>
  <c r="AA43" i="246"/>
  <c r="AA41" i="246" s="1"/>
  <c r="W43" i="246"/>
  <c r="W41" i="246" s="1"/>
  <c r="Z43" i="246"/>
  <c r="Z41" i="246" s="1"/>
  <c r="V43" i="246"/>
  <c r="V41" i="246" s="1"/>
  <c r="Z8" i="246"/>
  <c r="W53" i="246"/>
  <c r="Y41" i="246"/>
  <c r="V12" i="246"/>
  <c r="W8" i="246"/>
  <c r="AA4" i="246"/>
  <c r="C6" i="235" l="1"/>
  <c r="C30" i="235"/>
  <c r="C7" i="235"/>
  <c r="C42" i="235"/>
  <c r="J27" i="131"/>
  <c r="J16" i="131"/>
  <c r="J18" i="131"/>
  <c r="J29" i="131"/>
  <c r="J17" i="131"/>
  <c r="J22" i="131"/>
  <c r="J28" i="131"/>
  <c r="J33" i="131"/>
  <c r="J21" i="131"/>
  <c r="J32" i="131"/>
  <c r="M32" i="131" s="1"/>
  <c r="J19" i="131"/>
  <c r="Z45" i="109"/>
  <c r="AA45" i="109" s="1"/>
  <c r="AB45" i="109" s="1"/>
  <c r="AC45" i="109" s="1"/>
  <c r="AD45" i="109" s="1"/>
  <c r="AE45" i="109" s="1"/>
  <c r="AF45" i="109" s="1"/>
  <c r="AG45" i="109" s="1"/>
  <c r="AH45" i="109" s="1"/>
  <c r="AI45" i="109" s="1"/>
  <c r="AJ45" i="109" s="1"/>
  <c r="AK45" i="109" s="1"/>
  <c r="AL45" i="109" s="1"/>
  <c r="AM45" i="109" s="1"/>
  <c r="AN45" i="109" s="1"/>
  <c r="D18" i="109"/>
  <c r="D17" i="109"/>
  <c r="Z46" i="109"/>
  <c r="AA46" i="109" s="1"/>
  <c r="AB46" i="109" s="1"/>
  <c r="AC46" i="109" s="1"/>
  <c r="AD46" i="109" s="1"/>
  <c r="AE46" i="109" s="1"/>
  <c r="AF46" i="109" s="1"/>
  <c r="AG46" i="109" s="1"/>
  <c r="AH46" i="109" s="1"/>
  <c r="AI46" i="109" s="1"/>
  <c r="AJ46" i="109" s="1"/>
  <c r="AK46" i="109" s="1"/>
  <c r="Z44" i="109"/>
  <c r="AA44" i="109" s="1"/>
  <c r="AB44" i="109" s="1"/>
  <c r="AC44" i="109" s="1"/>
  <c r="AD44" i="109" s="1"/>
  <c r="AE44" i="109" s="1"/>
  <c r="AF44" i="109" s="1"/>
  <c r="AG44" i="109" s="1"/>
  <c r="AH44" i="109" s="1"/>
  <c r="AI44" i="109" s="1"/>
  <c r="AJ44" i="109" s="1"/>
  <c r="AK44" i="109" s="1"/>
  <c r="Z43" i="109"/>
  <c r="AA43" i="109" s="1"/>
  <c r="AB43" i="109" s="1"/>
  <c r="AC43" i="109" s="1"/>
  <c r="AD43" i="109" s="1"/>
  <c r="AE43" i="109" s="1"/>
  <c r="AF43" i="109" s="1"/>
  <c r="AG43" i="109" s="1"/>
  <c r="AH43" i="109" s="1"/>
  <c r="AI43" i="109" s="1"/>
  <c r="AJ43" i="109" s="1"/>
  <c r="AK43" i="109" s="1"/>
  <c r="Z42" i="109"/>
  <c r="AA42" i="109" s="1"/>
  <c r="AB42" i="109" s="1"/>
  <c r="AC42" i="109" s="1"/>
  <c r="AD42" i="109" s="1"/>
  <c r="AE42" i="109" s="1"/>
  <c r="AF42" i="109" s="1"/>
  <c r="AG42" i="109" s="1"/>
  <c r="AH42" i="109" s="1"/>
  <c r="AI42" i="109" s="1"/>
  <c r="AJ42" i="109" s="1"/>
  <c r="AK42" i="109" s="1"/>
  <c r="Z41" i="109"/>
  <c r="AA41" i="109" s="1"/>
  <c r="AB41" i="109" s="1"/>
  <c r="AC41" i="109" s="1"/>
  <c r="AD41" i="109" s="1"/>
  <c r="AE41" i="109" s="1"/>
  <c r="AF41" i="109" s="1"/>
  <c r="AG41" i="109" s="1"/>
  <c r="AH41" i="109" s="1"/>
  <c r="AI41" i="109" s="1"/>
  <c r="AJ41" i="109" s="1"/>
  <c r="AK41" i="109" s="1"/>
  <c r="Z40" i="109"/>
  <c r="AA40" i="109" s="1"/>
  <c r="AB40" i="109" s="1"/>
  <c r="AC40" i="109" s="1"/>
  <c r="AD40" i="109" s="1"/>
  <c r="AE40" i="109" s="1"/>
  <c r="AF40" i="109" s="1"/>
  <c r="AG40" i="109" s="1"/>
  <c r="AH40" i="109" s="1"/>
  <c r="AI40" i="109" s="1"/>
  <c r="AJ40" i="109" s="1"/>
  <c r="AK40" i="109" s="1"/>
  <c r="Z35" i="109"/>
  <c r="AA35" i="109" s="1"/>
  <c r="AB35" i="109" s="1"/>
  <c r="AC35" i="109" s="1"/>
  <c r="AD35" i="109" s="1"/>
  <c r="AE35" i="109" s="1"/>
  <c r="AF35" i="109" s="1"/>
  <c r="AG35" i="109" s="1"/>
  <c r="AH35" i="109" s="1"/>
  <c r="AI35" i="109" s="1"/>
  <c r="AJ35" i="109" s="1"/>
  <c r="AK35" i="109" s="1"/>
  <c r="Z34" i="109"/>
  <c r="AA34" i="109" s="1"/>
  <c r="AB34" i="109" s="1"/>
  <c r="AC34" i="109" s="1"/>
  <c r="AD34" i="109" s="1"/>
  <c r="AE34" i="109" s="1"/>
  <c r="AF34" i="109" s="1"/>
  <c r="AG34" i="109" s="1"/>
  <c r="AH34" i="109" s="1"/>
  <c r="AI34" i="109" s="1"/>
  <c r="AJ34" i="109" s="1"/>
  <c r="AK34" i="109" s="1"/>
  <c r="Z33" i="109"/>
  <c r="AA33" i="109" s="1"/>
  <c r="AB33" i="109" s="1"/>
  <c r="AC33" i="109" s="1"/>
  <c r="AD33" i="109" s="1"/>
  <c r="AE33" i="109" s="1"/>
  <c r="AF33" i="109" s="1"/>
  <c r="AG33" i="109" s="1"/>
  <c r="AH33" i="109" s="1"/>
  <c r="AI33" i="109" s="1"/>
  <c r="AJ33" i="109" s="1"/>
  <c r="AK33" i="109" s="1"/>
  <c r="Z32" i="109"/>
  <c r="AA32" i="109" s="1"/>
  <c r="AB32" i="109" s="1"/>
  <c r="AC32" i="109" s="1"/>
  <c r="AD32" i="109" s="1"/>
  <c r="AE32" i="109" s="1"/>
  <c r="AF32" i="109" s="1"/>
  <c r="AG32" i="109" s="1"/>
  <c r="AH32" i="109" s="1"/>
  <c r="AI32" i="109" s="1"/>
  <c r="AJ32" i="109" s="1"/>
  <c r="AK32" i="109" s="1"/>
  <c r="CA8" i="135"/>
  <c r="DK8" i="135"/>
  <c r="M22" i="131" l="1"/>
  <c r="K22" i="131"/>
  <c r="M21" i="131"/>
  <c r="K21" i="131"/>
  <c r="M33" i="131"/>
  <c r="K33" i="131"/>
  <c r="K19" i="131"/>
  <c r="M19" i="131"/>
  <c r="C10" i="174"/>
  <c r="C9" i="174"/>
  <c r="C8" i="174"/>
  <c r="C7" i="174"/>
  <c r="C6" i="174"/>
  <c r="C5" i="174"/>
  <c r="C4" i="174"/>
  <c r="B6" i="118" l="1"/>
  <c r="C19" i="131" l="1"/>
  <c r="C31" i="131"/>
  <c r="C29" i="131"/>
  <c r="C23" i="131"/>
  <c r="C24" i="131"/>
  <c r="C32" i="131"/>
  <c r="C27" i="131"/>
  <c r="C30" i="131"/>
  <c r="C18" i="131"/>
  <c r="C21" i="131"/>
  <c r="C33" i="131"/>
  <c r="C34" i="131"/>
  <c r="C16" i="131"/>
  <c r="C17" i="131"/>
  <c r="C20" i="131"/>
  <c r="C22" i="131"/>
  <c r="C28" i="131"/>
  <c r="E12" i="118"/>
  <c r="C10" i="131"/>
  <c r="C11" i="131"/>
  <c r="C13" i="131"/>
  <c r="C12" i="131"/>
  <c r="G55" i="109" l="1"/>
  <c r="H55" i="109" s="1"/>
  <c r="I55" i="109" s="1"/>
  <c r="J55" i="109" s="1"/>
  <c r="K55" i="109" s="1"/>
  <c r="L55" i="109" s="1"/>
  <c r="M55" i="109" s="1"/>
  <c r="N55" i="109" s="1"/>
  <c r="O55" i="109" s="1"/>
  <c r="P55" i="109" s="1"/>
  <c r="Q55" i="109" s="1"/>
  <c r="R55" i="109" s="1"/>
  <c r="S55" i="109" s="1"/>
  <c r="T55" i="109" s="1"/>
  <c r="U55" i="109" s="1"/>
  <c r="V55" i="109" s="1"/>
  <c r="W55" i="109" s="1"/>
  <c r="X55" i="109" s="1"/>
  <c r="Y55" i="109" s="1"/>
  <c r="Z55" i="109" s="1"/>
  <c r="AA55" i="109" s="1"/>
  <c r="AB55" i="109" s="1"/>
  <c r="AC55" i="109" s="1"/>
  <c r="AD55" i="109" s="1"/>
  <c r="AE55" i="109" s="1"/>
  <c r="AF55" i="109" s="1"/>
  <c r="AG55" i="109" s="1"/>
  <c r="AH55" i="109" s="1"/>
  <c r="AI55" i="109" s="1"/>
  <c r="AJ55" i="109" s="1"/>
  <c r="AK55" i="109" s="1"/>
  <c r="AL55" i="109" s="1"/>
  <c r="AM55" i="109" s="1"/>
  <c r="AN55" i="109" s="1"/>
  <c r="G54" i="109"/>
  <c r="H54" i="109" s="1"/>
  <c r="I54" i="109" s="1"/>
  <c r="J54" i="109" s="1"/>
  <c r="K54" i="109" s="1"/>
  <c r="L54" i="109" s="1"/>
  <c r="M54" i="109" s="1"/>
  <c r="N54" i="109" s="1"/>
  <c r="O54" i="109" s="1"/>
  <c r="P54" i="109" s="1"/>
  <c r="Q54" i="109" s="1"/>
  <c r="R54" i="109" s="1"/>
  <c r="S54" i="109" s="1"/>
  <c r="T54" i="109" s="1"/>
  <c r="U54" i="109" s="1"/>
  <c r="V54" i="109" s="1"/>
  <c r="W54" i="109" s="1"/>
  <c r="X54" i="109" s="1"/>
  <c r="Y54" i="109" s="1"/>
  <c r="Z54" i="109" s="1"/>
  <c r="AA54" i="109" s="1"/>
  <c r="AB54" i="109" s="1"/>
  <c r="AC54" i="109" s="1"/>
  <c r="AD54" i="109" s="1"/>
  <c r="AE54" i="109" s="1"/>
  <c r="AF54" i="109" s="1"/>
  <c r="AG54" i="109" s="1"/>
  <c r="AH54" i="109" s="1"/>
  <c r="AI54" i="109" s="1"/>
  <c r="AJ54" i="109" s="1"/>
  <c r="AK54" i="109" s="1"/>
  <c r="AL54" i="109" s="1"/>
  <c r="AM54" i="109" s="1"/>
  <c r="AN54" i="109" s="1"/>
  <c r="G53" i="109"/>
  <c r="G52" i="109"/>
  <c r="G51" i="109"/>
  <c r="H51" i="109" s="1"/>
  <c r="F50" i="109"/>
  <c r="D8" i="118"/>
  <c r="D9" i="118" s="1"/>
  <c r="D10" i="118" s="1"/>
  <c r="D11" i="118" s="1"/>
  <c r="D12" i="118" s="1"/>
  <c r="D13" i="118" s="1"/>
  <c r="D14" i="118" s="1"/>
  <c r="D15" i="118" s="1"/>
  <c r="D16" i="118" s="1"/>
  <c r="D17" i="118" s="1"/>
  <c r="D18" i="118" s="1"/>
  <c r="D19" i="118" s="1"/>
  <c r="D20" i="118" s="1"/>
  <c r="D21" i="118" s="1"/>
  <c r="D22" i="118" s="1"/>
  <c r="D23" i="118" s="1"/>
  <c r="D24" i="118" s="1"/>
  <c r="D25" i="118" s="1"/>
  <c r="D26" i="118" s="1"/>
  <c r="D27" i="118" s="1"/>
  <c r="D28" i="118" s="1"/>
  <c r="D29" i="118" s="1"/>
  <c r="D30" i="118" s="1"/>
  <c r="D31" i="118" s="1"/>
  <c r="D32" i="118" s="1"/>
  <c r="D33" i="118" s="1"/>
  <c r="D34" i="118" s="1"/>
  <c r="D35" i="118" s="1"/>
  <c r="D36" i="118" s="1"/>
  <c r="D37" i="118" s="1"/>
  <c r="D38" i="118" s="1"/>
  <c r="D39" i="118" s="1"/>
  <c r="D40" i="118" s="1"/>
  <c r="D41" i="118" s="1"/>
  <c r="D42" i="118" s="1"/>
  <c r="D43" i="118" s="1"/>
  <c r="D44" i="118" s="1"/>
  <c r="D45" i="118" s="1"/>
  <c r="D46" i="118" s="1"/>
  <c r="D47" i="118" s="1"/>
  <c r="D48" i="118" s="1"/>
  <c r="D49" i="118" s="1"/>
  <c r="D50" i="118" s="1"/>
  <c r="D51" i="118" s="1"/>
  <c r="D52" i="118" s="1"/>
  <c r="D53" i="118" s="1"/>
  <c r="D54" i="118" s="1"/>
  <c r="D55" i="118" s="1"/>
  <c r="D56" i="118" s="1"/>
  <c r="D57" i="118" s="1"/>
  <c r="D58" i="118" s="1"/>
  <c r="D59" i="118" s="1"/>
  <c r="D60" i="118" s="1"/>
  <c r="D61" i="118" s="1"/>
  <c r="D62" i="118" s="1"/>
  <c r="D63" i="118" l="1"/>
  <c r="D64" i="118" s="1"/>
  <c r="D65" i="118" s="1"/>
  <c r="D66" i="118" s="1"/>
  <c r="D67" i="118" s="1"/>
  <c r="D68" i="118" s="1"/>
  <c r="D69" i="118" s="1"/>
  <c r="D70" i="118" s="1"/>
  <c r="D71" i="118" s="1"/>
  <c r="D72" i="118" s="1"/>
  <c r="D73" i="118" s="1"/>
  <c r="D74" i="118" s="1"/>
  <c r="D75" i="118" s="1"/>
  <c r="D76" i="118" s="1"/>
  <c r="D77" i="118" s="1"/>
  <c r="D78" i="118" s="1"/>
  <c r="D79" i="118" s="1"/>
  <c r="D80" i="118" s="1"/>
  <c r="D81" i="118" s="1"/>
  <c r="D82" i="118" s="1"/>
  <c r="D83" i="118" s="1"/>
  <c r="D84" i="118" s="1"/>
  <c r="D85" i="118" s="1"/>
  <c r="D86" i="118" s="1"/>
  <c r="D87" i="118" s="1"/>
  <c r="D88" i="118" s="1"/>
  <c r="D89" i="118" s="1"/>
  <c r="D90" i="118" s="1"/>
  <c r="D91" i="118" s="1"/>
  <c r="D92" i="118" s="1"/>
  <c r="D93" i="118" s="1"/>
  <c r="D94" i="118" s="1"/>
  <c r="D95" i="118" s="1"/>
  <c r="D96" i="118" s="1"/>
  <c r="D97" i="118" s="1"/>
  <c r="D98" i="118" s="1"/>
  <c r="D99" i="118" s="1"/>
  <c r="D100" i="118" s="1"/>
  <c r="D101" i="118" s="1"/>
  <c r="D102" i="118" s="1"/>
  <c r="D103" i="118" s="1"/>
  <c r="D104" i="118" s="1"/>
  <c r="D105" i="118" s="1"/>
  <c r="D106" i="118" s="1"/>
  <c r="D107" i="118" s="1"/>
  <c r="D108" i="118" s="1"/>
  <c r="D109" i="118" s="1"/>
  <c r="D110" i="118" s="1"/>
  <c r="D111" i="118" s="1"/>
  <c r="D112" i="118" s="1"/>
  <c r="D113" i="118" s="1"/>
  <c r="D114" i="118" s="1"/>
  <c r="D115" i="118" s="1"/>
  <c r="D116" i="118" s="1"/>
  <c r="D117" i="118" s="1"/>
  <c r="D118" i="118" s="1"/>
  <c r="D119" i="118" s="1"/>
  <c r="D120" i="118" s="1"/>
  <c r="D121" i="118" s="1"/>
  <c r="D122" i="118" s="1"/>
  <c r="D123" i="118" s="1"/>
  <c r="D124" i="118" s="1"/>
  <c r="D125" i="118" s="1"/>
  <c r="D126" i="118" s="1"/>
  <c r="D127" i="118" s="1"/>
  <c r="D128" i="118" s="1"/>
  <c r="D129" i="118" s="1"/>
  <c r="D130" i="118" s="1"/>
  <c r="D131" i="118" s="1"/>
  <c r="D132" i="118" s="1"/>
  <c r="D133" i="118" s="1"/>
  <c r="D134" i="118" s="1"/>
  <c r="D135" i="118" s="1"/>
  <c r="D136" i="118" s="1"/>
  <c r="D137" i="118" s="1"/>
  <c r="D138" i="118" s="1"/>
  <c r="D139" i="118" s="1"/>
  <c r="D140" i="118" s="1"/>
  <c r="D141" i="118" s="1"/>
  <c r="D142" i="118" s="1"/>
  <c r="D143" i="118" s="1"/>
  <c r="D144" i="118" s="1"/>
  <c r="D145" i="118" s="1"/>
  <c r="D146" i="118" s="1"/>
  <c r="D147" i="118" s="1"/>
  <c r="D148" i="118" s="1"/>
  <c r="D149" i="118" s="1"/>
  <c r="D150" i="118" s="1"/>
  <c r="D151" i="118" s="1"/>
  <c r="D152" i="118" s="1"/>
  <c r="D153" i="118" s="1"/>
  <c r="D154" i="118" s="1"/>
  <c r="D155" i="118" s="1"/>
  <c r="D156" i="118" s="1"/>
  <c r="D157" i="118" s="1"/>
  <c r="D158" i="118" s="1"/>
  <c r="D159" i="118" s="1"/>
  <c r="D160" i="118" s="1"/>
  <c r="D161" i="118" s="1"/>
  <c r="D162" i="118" s="1"/>
  <c r="D163" i="118" s="1"/>
  <c r="D164" i="118" s="1"/>
  <c r="D165" i="118" s="1"/>
  <c r="D166" i="118" s="1"/>
  <c r="D167" i="118" s="1"/>
  <c r="D168" i="118" s="1"/>
  <c r="D169" i="118" s="1"/>
  <c r="D170" i="118" s="1"/>
  <c r="D171" i="118" s="1"/>
  <c r="D172" i="118" s="1"/>
  <c r="D173" i="118" s="1"/>
  <c r="D174" i="118" s="1"/>
  <c r="D175" i="118" s="1"/>
  <c r="D176" i="118" s="1"/>
  <c r="D177" i="118" s="1"/>
  <c r="D178" i="118" s="1"/>
  <c r="D179" i="118" s="1"/>
  <c r="D180" i="118" s="1"/>
  <c r="D181" i="118" s="1"/>
  <c r="D182" i="118" s="1"/>
  <c r="D183" i="118" s="1"/>
  <c r="D184" i="118" s="1"/>
  <c r="D185" i="118" s="1"/>
  <c r="D186" i="118" s="1"/>
  <c r="D187" i="118" s="1"/>
  <c r="D188" i="118" s="1"/>
  <c r="D189" i="118" s="1"/>
  <c r="D190" i="118" s="1"/>
  <c r="D191" i="118" s="1"/>
  <c r="D192" i="118" s="1"/>
  <c r="D193" i="118" s="1"/>
  <c r="D194" i="118" s="1"/>
  <c r="D195" i="118" s="1"/>
  <c r="D196" i="118" s="1"/>
  <c r="D197" i="118" s="1"/>
  <c r="D198" i="118" s="1"/>
  <c r="D199" i="118" s="1"/>
  <c r="D200" i="118" s="1"/>
  <c r="D201" i="118" s="1"/>
  <c r="D202" i="118" s="1"/>
  <c r="D203" i="118" s="1"/>
  <c r="D204" i="118" s="1"/>
  <c r="D205" i="118" s="1"/>
  <c r="D206" i="118" s="1"/>
  <c r="D207" i="118" s="1"/>
  <c r="D208" i="118" s="1"/>
  <c r="D209" i="118" s="1"/>
  <c r="D210" i="118" s="1"/>
  <c r="D211" i="118" s="1"/>
  <c r="D212" i="118" s="1"/>
  <c r="D213" i="118" s="1"/>
  <c r="D214" i="118" s="1"/>
  <c r="D215" i="118" s="1"/>
  <c r="D216" i="118" s="1"/>
  <c r="D217" i="118" s="1"/>
  <c r="D218" i="118" s="1"/>
  <c r="D219" i="118" s="1"/>
  <c r="D220" i="118" s="1"/>
  <c r="D221" i="118" s="1"/>
  <c r="D222" i="118" s="1"/>
  <c r="D223" i="118" s="1"/>
  <c r="D224" i="118" s="1"/>
  <c r="D225" i="118" s="1"/>
  <c r="D226" i="118" s="1"/>
  <c r="D227" i="118" s="1"/>
  <c r="D228" i="118" s="1"/>
  <c r="D229" i="118" s="1"/>
  <c r="D230" i="118" s="1"/>
  <c r="D231" i="118" s="1"/>
  <c r="D232" i="118" s="1"/>
  <c r="D233" i="118" s="1"/>
  <c r="D234" i="118" s="1"/>
  <c r="G50" i="109"/>
  <c r="H50" i="109" s="1"/>
  <c r="I50" i="109" s="1"/>
  <c r="J50" i="109" s="1"/>
  <c r="K50" i="109" s="1"/>
  <c r="L50" i="109" s="1"/>
  <c r="M50" i="109" s="1"/>
  <c r="N50" i="109" s="1"/>
  <c r="O50" i="109" s="1"/>
  <c r="P50" i="109" s="1"/>
  <c r="Q50" i="109" s="1"/>
  <c r="R50" i="109" s="1"/>
  <c r="S50" i="109" s="1"/>
  <c r="T50" i="109" s="1"/>
  <c r="U50" i="109" s="1"/>
  <c r="V50" i="109" s="1"/>
  <c r="W50" i="109" s="1"/>
  <c r="X50" i="109" s="1"/>
  <c r="Y50" i="109" s="1"/>
  <c r="Z50" i="109" s="1"/>
  <c r="AA50" i="109" s="1"/>
  <c r="AB50" i="109" s="1"/>
  <c r="AC50" i="109" s="1"/>
  <c r="AD50" i="109" s="1"/>
  <c r="AE50" i="109" s="1"/>
  <c r="AF50" i="109" s="1"/>
  <c r="AG50" i="109" s="1"/>
  <c r="AH50" i="109" s="1"/>
  <c r="AI50" i="109" s="1"/>
  <c r="AJ50" i="109" s="1"/>
  <c r="AK50" i="109" s="1"/>
  <c r="AL50" i="109" s="1"/>
  <c r="AM50" i="109" s="1"/>
  <c r="AN50" i="109" s="1"/>
  <c r="C227" i="118"/>
  <c r="C223" i="118"/>
  <c r="C219" i="118"/>
  <c r="C228" i="118"/>
  <c r="C220" i="118"/>
  <c r="C216" i="118"/>
  <c r="C224" i="118"/>
  <c r="C226" i="118"/>
  <c r="C217" i="118"/>
  <c r="C225" i="118"/>
  <c r="C218" i="118"/>
  <c r="C222" i="118"/>
  <c r="C221" i="118"/>
  <c r="C151" i="118"/>
  <c r="C147" i="118"/>
  <c r="C150" i="118"/>
  <c r="C146" i="118"/>
  <c r="C142" i="118"/>
  <c r="C140" i="118"/>
  <c r="C152" i="118"/>
  <c r="C148" i="118"/>
  <c r="C144" i="118"/>
  <c r="C141" i="118"/>
  <c r="C145" i="118"/>
  <c r="C149" i="118"/>
  <c r="C143" i="118"/>
  <c r="C70" i="118"/>
  <c r="C68" i="118"/>
  <c r="C74" i="118"/>
  <c r="C66" i="118"/>
  <c r="C76" i="118"/>
  <c r="C72" i="118"/>
  <c r="C64" i="118"/>
  <c r="C73" i="118"/>
  <c r="C65" i="118"/>
  <c r="C69" i="118"/>
  <c r="C67" i="118"/>
  <c r="C71" i="118"/>
  <c r="C75" i="118"/>
  <c r="C204" i="118"/>
  <c r="C128" i="118"/>
  <c r="C52" i="118"/>
  <c r="C199" i="118"/>
  <c r="C123" i="118"/>
  <c r="C47" i="118"/>
  <c r="C196" i="118"/>
  <c r="C120" i="118"/>
  <c r="C44" i="118"/>
  <c r="C192" i="118"/>
  <c r="C116" i="118"/>
  <c r="C40" i="118"/>
  <c r="C181" i="118"/>
  <c r="C180" i="118"/>
  <c r="C182" i="118"/>
  <c r="C179" i="118"/>
  <c r="C104" i="118"/>
  <c r="C106" i="118"/>
  <c r="C105" i="118"/>
  <c r="C103" i="118"/>
  <c r="C29" i="118"/>
  <c r="C28" i="118"/>
  <c r="C30" i="118"/>
  <c r="C27" i="118"/>
  <c r="C231" i="118"/>
  <c r="C173" i="118"/>
  <c r="C85" i="118"/>
  <c r="C198" i="118"/>
  <c r="C183" i="118"/>
  <c r="C165" i="118"/>
  <c r="C101" i="118"/>
  <c r="C169" i="118"/>
  <c r="C160" i="118"/>
  <c r="C133" i="118"/>
  <c r="C92" i="118"/>
  <c r="C200" i="118"/>
  <c r="C209" i="118"/>
  <c r="C127" i="118"/>
  <c r="C157" i="118"/>
  <c r="C91" i="118"/>
  <c r="C114" i="118"/>
  <c r="C155" i="118"/>
  <c r="C111" i="118"/>
  <c r="C154" i="118"/>
  <c r="C230" i="118"/>
  <c r="C130" i="118"/>
  <c r="C210" i="118"/>
  <c r="C95" i="118"/>
  <c r="C137" i="118"/>
  <c r="C195" i="118"/>
  <c r="C189" i="118"/>
  <c r="C188" i="118"/>
  <c r="C167" i="118"/>
  <c r="C84" i="118"/>
  <c r="C186" i="118"/>
  <c r="C94" i="118"/>
  <c r="C164" i="118"/>
  <c r="C121" i="118"/>
  <c r="C190" i="118"/>
  <c r="C118" i="118"/>
  <c r="C168" i="118"/>
  <c r="C119" i="118"/>
  <c r="C136" i="118"/>
  <c r="C126" i="118"/>
  <c r="C203" i="118"/>
  <c r="C215" i="118"/>
  <c r="C122" i="118"/>
  <c r="C108" i="118"/>
  <c r="C82" i="118"/>
  <c r="C193" i="118"/>
  <c r="C170" i="118"/>
  <c r="C172" i="118"/>
  <c r="C205" i="118"/>
  <c r="C153" i="118"/>
  <c r="C212" i="118"/>
  <c r="C87" i="118"/>
  <c r="C97" i="118"/>
  <c r="C110" i="118"/>
  <c r="C117" i="118"/>
  <c r="C213" i="118"/>
  <c r="C184" i="118"/>
  <c r="C159" i="118"/>
  <c r="C175" i="118"/>
  <c r="C211" i="118"/>
  <c r="C185" i="118"/>
  <c r="C177" i="118"/>
  <c r="C163" i="118"/>
  <c r="C162" i="118"/>
  <c r="C208" i="118"/>
  <c r="C113" i="118"/>
  <c r="C88" i="118"/>
  <c r="C161" i="118"/>
  <c r="C129" i="118"/>
  <c r="C96" i="118"/>
  <c r="C124" i="118"/>
  <c r="C174" i="118"/>
  <c r="C214" i="118"/>
  <c r="C89" i="118"/>
  <c r="C131" i="118"/>
  <c r="C166" i="118"/>
  <c r="C115" i="118"/>
  <c r="C202" i="118"/>
  <c r="C201" i="118"/>
  <c r="C138" i="118"/>
  <c r="C176" i="118"/>
  <c r="C90" i="118"/>
  <c r="C83" i="118"/>
  <c r="C229" i="118"/>
  <c r="C232" i="118"/>
  <c r="C112" i="118"/>
  <c r="C132" i="118"/>
  <c r="C206" i="118"/>
  <c r="C191" i="118"/>
  <c r="C187" i="118"/>
  <c r="C178" i="118"/>
  <c r="C98" i="118"/>
  <c r="C171" i="118"/>
  <c r="C109" i="118"/>
  <c r="C156" i="118"/>
  <c r="C107" i="118"/>
  <c r="C233" i="118"/>
  <c r="C86" i="118"/>
  <c r="C100" i="118"/>
  <c r="C234" i="118"/>
  <c r="C134" i="118"/>
  <c r="C197" i="118"/>
  <c r="C102" i="118"/>
  <c r="C135" i="118"/>
  <c r="C139" i="118"/>
  <c r="C158" i="118"/>
  <c r="C125" i="118"/>
  <c r="C194" i="118"/>
  <c r="C207" i="118"/>
  <c r="C99" i="118"/>
  <c r="C93" i="118"/>
  <c r="C46" i="118"/>
  <c r="C38" i="118"/>
  <c r="C25" i="118"/>
  <c r="C43" i="118"/>
  <c r="C18" i="118"/>
  <c r="C26" i="118"/>
  <c r="C79" i="118"/>
  <c r="C80" i="118"/>
  <c r="C77" i="118"/>
  <c r="C51" i="118"/>
  <c r="C53" i="118"/>
  <c r="C55" i="118"/>
  <c r="C81" i="118"/>
  <c r="C20" i="118"/>
  <c r="C37" i="118"/>
  <c r="C45" i="118"/>
  <c r="C36" i="118"/>
  <c r="C22" i="118"/>
  <c r="C41" i="118"/>
  <c r="C39" i="118"/>
  <c r="C21" i="118"/>
  <c r="C49" i="118"/>
  <c r="C78" i="118"/>
  <c r="C56" i="118"/>
  <c r="C50" i="118"/>
  <c r="C32" i="118"/>
  <c r="C42" i="118"/>
  <c r="C35" i="118"/>
  <c r="C19" i="118"/>
  <c r="C31" i="118"/>
  <c r="C54" i="118"/>
  <c r="C59" i="118"/>
  <c r="C58" i="118"/>
  <c r="C63" i="118"/>
  <c r="C62" i="118"/>
  <c r="C33" i="118"/>
  <c r="C48" i="118"/>
  <c r="C34" i="118"/>
  <c r="C23" i="118"/>
  <c r="C24" i="118"/>
  <c r="C60" i="118"/>
  <c r="C61" i="118"/>
  <c r="C57" i="118"/>
  <c r="H53" i="109"/>
  <c r="H52" i="109"/>
  <c r="I51" i="109"/>
  <c r="J51" i="109" s="1"/>
  <c r="K51" i="109" s="1"/>
  <c r="L51" i="109" s="1"/>
  <c r="M51" i="109" s="1"/>
  <c r="N51" i="109" s="1"/>
  <c r="O51" i="109" s="1"/>
  <c r="P51" i="109" s="1"/>
  <c r="Q51" i="109" s="1"/>
  <c r="R51" i="109" s="1"/>
  <c r="S51" i="109" s="1"/>
  <c r="T51" i="109" s="1"/>
  <c r="U51" i="109" s="1"/>
  <c r="V51" i="109" s="1"/>
  <c r="W51" i="109" s="1"/>
  <c r="X51" i="109" s="1"/>
  <c r="Y51" i="109" s="1"/>
  <c r="Z51" i="109" s="1"/>
  <c r="AA51" i="109" s="1"/>
  <c r="AB51" i="109" s="1"/>
  <c r="AC51" i="109" s="1"/>
  <c r="AD51" i="109" s="1"/>
  <c r="AE51" i="109" s="1"/>
  <c r="AF51" i="109" s="1"/>
  <c r="AG51" i="109" s="1"/>
  <c r="AH51" i="109" s="1"/>
  <c r="AI51" i="109" s="1"/>
  <c r="AJ51" i="109" s="1"/>
  <c r="AK51" i="109" s="1"/>
  <c r="AL51" i="109" s="1"/>
  <c r="AM51" i="109" s="1"/>
  <c r="AN51" i="109" s="1"/>
  <c r="E8" i="118" l="1"/>
  <c r="E11" i="118"/>
  <c r="E10" i="118"/>
  <c r="E9" i="118"/>
  <c r="E226" i="118"/>
  <c r="E223" i="118"/>
  <c r="E216" i="118"/>
  <c r="E221" i="118"/>
  <c r="E222" i="118"/>
  <c r="E219" i="118"/>
  <c r="E224" i="118"/>
  <c r="E227" i="118"/>
  <c r="E225" i="118"/>
  <c r="E220" i="118"/>
  <c r="E217" i="118"/>
  <c r="E218" i="118"/>
  <c r="E228" i="118"/>
  <c r="E149" i="118"/>
  <c r="E140" i="118"/>
  <c r="E142" i="118"/>
  <c r="E144" i="118"/>
  <c r="E151" i="118"/>
  <c r="E141" i="118"/>
  <c r="E150" i="118"/>
  <c r="E145" i="118"/>
  <c r="E147" i="118"/>
  <c r="E148" i="118"/>
  <c r="E146" i="118"/>
  <c r="E152" i="118"/>
  <c r="E143" i="118"/>
  <c r="E64" i="118"/>
  <c r="E75" i="118"/>
  <c r="E66" i="118"/>
  <c r="E76" i="118"/>
  <c r="E69" i="118"/>
  <c r="E72" i="118"/>
  <c r="E74" i="118"/>
  <c r="E67" i="118"/>
  <c r="E65" i="118"/>
  <c r="E71" i="118"/>
  <c r="E68" i="118"/>
  <c r="E70" i="118"/>
  <c r="E73" i="118"/>
  <c r="E204" i="118"/>
  <c r="E128" i="118"/>
  <c r="E52" i="118"/>
  <c r="E199" i="118"/>
  <c r="E123" i="118"/>
  <c r="E47" i="118"/>
  <c r="E196" i="118"/>
  <c r="E120" i="118"/>
  <c r="E44" i="118"/>
  <c r="E192" i="118"/>
  <c r="E116" i="118"/>
  <c r="E40" i="118"/>
  <c r="C71" i="135"/>
  <c r="C72" i="135"/>
  <c r="C70" i="135"/>
  <c r="C69" i="135"/>
  <c r="E180" i="118"/>
  <c r="E181" i="118"/>
  <c r="E182" i="118"/>
  <c r="E179" i="118"/>
  <c r="E104" i="118"/>
  <c r="E106" i="118"/>
  <c r="E103" i="118"/>
  <c r="E105" i="118"/>
  <c r="E28" i="118"/>
  <c r="E159" i="118"/>
  <c r="E161" i="118"/>
  <c r="E231" i="118"/>
  <c r="E138" i="118"/>
  <c r="E112" i="118"/>
  <c r="E166" i="118"/>
  <c r="E206" i="118"/>
  <c r="E156" i="118"/>
  <c r="E82" i="118"/>
  <c r="E107" i="118"/>
  <c r="E91" i="118"/>
  <c r="E135" i="118"/>
  <c r="E185" i="118"/>
  <c r="E188" i="118"/>
  <c r="E129" i="118"/>
  <c r="E85" i="118"/>
  <c r="E30" i="118"/>
  <c r="E207" i="118"/>
  <c r="E177" i="118"/>
  <c r="E201" i="118"/>
  <c r="E175" i="118"/>
  <c r="E162" i="118"/>
  <c r="E98" i="118"/>
  <c r="E110" i="118"/>
  <c r="E124" i="118"/>
  <c r="E232" i="118"/>
  <c r="E160" i="118"/>
  <c r="E168" i="118"/>
  <c r="E198" i="118"/>
  <c r="E136" i="118"/>
  <c r="E117" i="118"/>
  <c r="E157" i="118"/>
  <c r="E209" i="118"/>
  <c r="E191" i="118"/>
  <c r="E163" i="118"/>
  <c r="E154" i="118"/>
  <c r="E118" i="118"/>
  <c r="E234" i="118"/>
  <c r="E197" i="118"/>
  <c r="E183" i="118"/>
  <c r="E229" i="118"/>
  <c r="E200" i="118"/>
  <c r="E208" i="118"/>
  <c r="E126" i="118"/>
  <c r="E84" i="118"/>
  <c r="E132" i="118"/>
  <c r="E137" i="118"/>
  <c r="E99" i="118"/>
  <c r="E27" i="118"/>
  <c r="E187" i="118"/>
  <c r="E164" i="118"/>
  <c r="E173" i="118"/>
  <c r="E133" i="118"/>
  <c r="E88" i="118"/>
  <c r="E111" i="118"/>
  <c r="E93" i="118"/>
  <c r="E109" i="118"/>
  <c r="E172" i="118"/>
  <c r="E186" i="118"/>
  <c r="E165" i="118"/>
  <c r="E134" i="118"/>
  <c r="E94" i="118"/>
  <c r="E127" i="118"/>
  <c r="E121" i="118"/>
  <c r="E130" i="118"/>
  <c r="E212" i="118"/>
  <c r="E189" i="118"/>
  <c r="E174" i="118"/>
  <c r="E176" i="118"/>
  <c r="E114" i="118"/>
  <c r="E96" i="118"/>
  <c r="E170" i="118"/>
  <c r="E211" i="118"/>
  <c r="E139" i="118"/>
  <c r="E108" i="118"/>
  <c r="E83" i="118"/>
  <c r="E29" i="118"/>
  <c r="E214" i="118"/>
  <c r="E215" i="118"/>
  <c r="E178" i="118"/>
  <c r="E195" i="118"/>
  <c r="E203" i="118"/>
  <c r="E158" i="118"/>
  <c r="E100" i="118"/>
  <c r="E155" i="118"/>
  <c r="E205" i="118"/>
  <c r="E202" i="118"/>
  <c r="E167" i="118"/>
  <c r="E190" i="118"/>
  <c r="E131" i="118"/>
  <c r="E86" i="118"/>
  <c r="E119" i="118"/>
  <c r="E115" i="118"/>
  <c r="E113" i="118"/>
  <c r="E230" i="118"/>
  <c r="E171" i="118"/>
  <c r="E92" i="118"/>
  <c r="E89" i="118"/>
  <c r="E210" i="118"/>
  <c r="E184" i="118"/>
  <c r="E193" i="118"/>
  <c r="E169" i="118"/>
  <c r="E233" i="118"/>
  <c r="E102" i="118"/>
  <c r="E87" i="118"/>
  <c r="E153" i="118"/>
  <c r="E95" i="118"/>
  <c r="E101" i="118"/>
  <c r="E125" i="118"/>
  <c r="E90" i="118"/>
  <c r="E213" i="118"/>
  <c r="E97" i="118"/>
  <c r="E122" i="118"/>
  <c r="E194" i="118"/>
  <c r="C49" i="135"/>
  <c r="C50" i="135"/>
  <c r="E24" i="118"/>
  <c r="E21" i="118"/>
  <c r="E18" i="118"/>
  <c r="E49" i="118"/>
  <c r="E42" i="118"/>
  <c r="E48" i="118"/>
  <c r="E46" i="118"/>
  <c r="E43" i="118"/>
  <c r="E41" i="118"/>
  <c r="E39" i="118"/>
  <c r="E37" i="118"/>
  <c r="E34" i="118"/>
  <c r="E32" i="118"/>
  <c r="E31" i="118"/>
  <c r="E26" i="118"/>
  <c r="E23" i="118"/>
  <c r="E45" i="118"/>
  <c r="E38" i="118"/>
  <c r="E36" i="118"/>
  <c r="E35" i="118"/>
  <c r="E33" i="118"/>
  <c r="E22" i="118"/>
  <c r="E20" i="118"/>
  <c r="E25" i="118"/>
  <c r="E19" i="118"/>
  <c r="E58" i="118"/>
  <c r="E62" i="118"/>
  <c r="E53" i="118"/>
  <c r="E81" i="118"/>
  <c r="E63" i="118"/>
  <c r="E55" i="118"/>
  <c r="E60" i="118"/>
  <c r="E79" i="118"/>
  <c r="E50" i="118"/>
  <c r="E56" i="118"/>
  <c r="E59" i="118"/>
  <c r="E61" i="118"/>
  <c r="E80" i="118"/>
  <c r="E51" i="118"/>
  <c r="E77" i="118"/>
  <c r="E57" i="118"/>
  <c r="E54" i="118"/>
  <c r="E78" i="118"/>
  <c r="C51" i="135"/>
  <c r="E15" i="118"/>
  <c r="E13" i="118"/>
  <c r="E14" i="118"/>
  <c r="E17" i="118"/>
  <c r="E16" i="118"/>
  <c r="I53" i="109"/>
  <c r="J53" i="109" s="1"/>
  <c r="K53" i="109" s="1"/>
  <c r="L53" i="109" s="1"/>
  <c r="M53" i="109" s="1"/>
  <c r="N53" i="109" s="1"/>
  <c r="O53" i="109" s="1"/>
  <c r="P53" i="109" s="1"/>
  <c r="Q53" i="109" s="1"/>
  <c r="R53" i="109" s="1"/>
  <c r="S53" i="109" s="1"/>
  <c r="T53" i="109" s="1"/>
  <c r="U53" i="109" s="1"/>
  <c r="V53" i="109" s="1"/>
  <c r="W53" i="109" s="1"/>
  <c r="X53" i="109" s="1"/>
  <c r="Y53" i="109" s="1"/>
  <c r="Z53" i="109" s="1"/>
  <c r="AA53" i="109" s="1"/>
  <c r="AB53" i="109" s="1"/>
  <c r="AC53" i="109" s="1"/>
  <c r="AD53" i="109" s="1"/>
  <c r="AE53" i="109" s="1"/>
  <c r="AF53" i="109" s="1"/>
  <c r="AG53" i="109" s="1"/>
  <c r="AH53" i="109" s="1"/>
  <c r="AI53" i="109" s="1"/>
  <c r="AJ53" i="109" s="1"/>
  <c r="AK53" i="109" s="1"/>
  <c r="AL53" i="109" s="1"/>
  <c r="AM53" i="109" s="1"/>
  <c r="AN53" i="109" s="1"/>
  <c r="I52" i="109"/>
  <c r="J52" i="109" s="1"/>
  <c r="K52" i="109" s="1"/>
  <c r="L52" i="109" s="1"/>
  <c r="M52" i="109" s="1"/>
  <c r="N52" i="109" s="1"/>
  <c r="O52" i="109" s="1"/>
  <c r="P52" i="109" s="1"/>
  <c r="Q52" i="109" s="1"/>
  <c r="R52" i="109" s="1"/>
  <c r="S52" i="109" s="1"/>
  <c r="T52" i="109" s="1"/>
  <c r="U52" i="109" s="1"/>
  <c r="V52" i="109" s="1"/>
  <c r="W52" i="109" s="1"/>
  <c r="X52" i="109" s="1"/>
  <c r="Y52" i="109" s="1"/>
  <c r="Z52" i="109" s="1"/>
  <c r="AA52" i="109" s="1"/>
  <c r="AB52" i="109" s="1"/>
  <c r="AC52" i="109" s="1"/>
  <c r="AD52" i="109" s="1"/>
  <c r="AE52" i="109" s="1"/>
  <c r="AF52" i="109" s="1"/>
  <c r="AG52" i="109" s="1"/>
  <c r="AH52" i="109" s="1"/>
  <c r="AI52" i="109" s="1"/>
  <c r="AJ52" i="109" s="1"/>
  <c r="AK52" i="109" s="1"/>
  <c r="AL52" i="109" s="1"/>
  <c r="AM52" i="109" s="1"/>
  <c r="AN52" i="109" s="1"/>
  <c r="C214" i="135" l="1"/>
  <c r="C52" i="135"/>
  <c r="C215" i="135" l="1"/>
  <c r="C53" i="135"/>
  <c r="C216" i="135" l="1"/>
  <c r="C54" i="135"/>
  <c r="B18" i="178"/>
  <c r="C217" i="135" l="1"/>
  <c r="C55" i="135"/>
  <c r="C218" i="135" l="1"/>
  <c r="C56" i="135"/>
  <c r="C219" i="135" l="1"/>
  <c r="C57" i="135"/>
  <c r="C220" i="135" l="1"/>
  <c r="C58" i="135"/>
  <c r="C221" i="135" l="1"/>
  <c r="C106" i="135"/>
  <c r="C59" i="135"/>
  <c r="C9" i="131"/>
  <c r="C7" i="131"/>
  <c r="C6" i="131"/>
  <c r="C8" i="131"/>
  <c r="E7" i="118"/>
  <c r="C5" i="131"/>
  <c r="C222" i="135" l="1"/>
  <c r="C107" i="135"/>
  <c r="B4" i="178"/>
  <c r="D4" i="178" s="1"/>
  <c r="C223" i="135" l="1"/>
  <c r="C108" i="135"/>
  <c r="C60" i="135"/>
  <c r="C224" i="135" l="1"/>
  <c r="C109" i="135"/>
  <c r="C61" i="135"/>
  <c r="C225" i="135" l="1"/>
  <c r="C110" i="135"/>
  <c r="AL43" i="109"/>
  <c r="AM43" i="109" s="1"/>
  <c r="AN43" i="109" s="1"/>
  <c r="AL42" i="109"/>
  <c r="AM42" i="109" s="1"/>
  <c r="AN42" i="109" s="1"/>
  <c r="AL41" i="109"/>
  <c r="AM41" i="109" s="1"/>
  <c r="AN41" i="109" s="1"/>
  <c r="AL40" i="109"/>
  <c r="AM40" i="109" s="1"/>
  <c r="AN40" i="109" s="1"/>
  <c r="AL46" i="109"/>
  <c r="AM46" i="109" s="1"/>
  <c r="AN46" i="109" s="1"/>
  <c r="AL44" i="109"/>
  <c r="AM44" i="109" s="1"/>
  <c r="AN44" i="109" s="1"/>
  <c r="AL35" i="109"/>
  <c r="AM35" i="109" s="1"/>
  <c r="AN35" i="109" s="1"/>
  <c r="AL34" i="109"/>
  <c r="AM34" i="109" s="1"/>
  <c r="AN34" i="109" s="1"/>
  <c r="AL32" i="109"/>
  <c r="AM32" i="109" s="1"/>
  <c r="AN32" i="109" s="1"/>
  <c r="AL33" i="109"/>
  <c r="AM33" i="109" s="1"/>
  <c r="AN33" i="109" s="1"/>
  <c r="C226" i="135" l="1"/>
  <c r="C111" i="135"/>
  <c r="C62" i="135"/>
  <c r="B11" i="178"/>
  <c r="T61" i="135" l="1"/>
  <c r="T60" i="135"/>
  <c r="C227" i="135"/>
  <c r="T227" i="135" s="1"/>
  <c r="AI227" i="135" s="1"/>
  <c r="T62" i="135"/>
  <c r="AI62" i="135" s="1"/>
  <c r="T111" i="135"/>
  <c r="T72" i="135"/>
  <c r="AI72" i="135" s="1"/>
  <c r="T217" i="135"/>
  <c r="AJ217" i="135" s="1"/>
  <c r="T215" i="135"/>
  <c r="AI215" i="135" s="1"/>
  <c r="T50" i="135"/>
  <c r="AJ50" i="135" s="1"/>
  <c r="T224" i="135"/>
  <c r="T71" i="135"/>
  <c r="T222" i="135"/>
  <c r="T219" i="135"/>
  <c r="T69" i="135"/>
  <c r="T218" i="135"/>
  <c r="AF218" i="135" s="1"/>
  <c r="T214" i="135"/>
  <c r="T51" i="135"/>
  <c r="T226" i="135"/>
  <c r="T220" i="135"/>
  <c r="AF220" i="135" s="1"/>
  <c r="T49" i="135"/>
  <c r="AJ49" i="135" s="1"/>
  <c r="T225" i="135"/>
  <c r="T70" i="135"/>
  <c r="AI70" i="135" s="1"/>
  <c r="T216" i="135"/>
  <c r="AF216" i="135" s="1"/>
  <c r="T223" i="135"/>
  <c r="AF223" i="135" s="1"/>
  <c r="T221" i="135"/>
  <c r="T52" i="135"/>
  <c r="T53" i="135"/>
  <c r="T54" i="135"/>
  <c r="AF54" i="135" s="1"/>
  <c r="T55" i="135"/>
  <c r="T56" i="135"/>
  <c r="AJ56" i="135" s="1"/>
  <c r="T57" i="135"/>
  <c r="T58" i="135"/>
  <c r="T59" i="135"/>
  <c r="AI59" i="135" s="1"/>
  <c r="T106" i="135"/>
  <c r="T107" i="135"/>
  <c r="AI107" i="135" s="1"/>
  <c r="T108" i="135"/>
  <c r="AJ61" i="135"/>
  <c r="T109" i="135"/>
  <c r="T110" i="135"/>
  <c r="V226" i="135"/>
  <c r="AL225" i="135"/>
  <c r="U224" i="135"/>
  <c r="V223" i="135"/>
  <c r="AL222" i="135"/>
  <c r="U221" i="135"/>
  <c r="V220" i="135"/>
  <c r="AL219" i="135"/>
  <c r="AL221" i="135"/>
  <c r="AL218" i="135"/>
  <c r="AL217" i="135"/>
  <c r="U216" i="135"/>
  <c r="V215" i="135"/>
  <c r="AL214" i="135"/>
  <c r="U226" i="135"/>
  <c r="U225" i="135"/>
  <c r="AL223" i="135"/>
  <c r="U222" i="135"/>
  <c r="V219" i="135"/>
  <c r="U218" i="135"/>
  <c r="AL224" i="135"/>
  <c r="U223" i="135"/>
  <c r="AL220" i="135"/>
  <c r="U219" i="135"/>
  <c r="AL216" i="135"/>
  <c r="V224" i="135"/>
  <c r="AK221" i="135"/>
  <c r="AK216" i="135"/>
  <c r="V214" i="135"/>
  <c r="U111" i="135"/>
  <c r="V110" i="135"/>
  <c r="AL109" i="135"/>
  <c r="U107" i="135"/>
  <c r="V106" i="135"/>
  <c r="AK225" i="135"/>
  <c r="U220" i="135"/>
  <c r="V217" i="135"/>
  <c r="AL215" i="135"/>
  <c r="AL111" i="135"/>
  <c r="U109" i="135"/>
  <c r="V108" i="135"/>
  <c r="AL107" i="135"/>
  <c r="AL226" i="135"/>
  <c r="V221" i="135"/>
  <c r="V216" i="135"/>
  <c r="U110" i="135"/>
  <c r="AL108" i="135"/>
  <c r="AL72" i="135"/>
  <c r="U70" i="135"/>
  <c r="AK69" i="135"/>
  <c r="V62" i="135"/>
  <c r="V61" i="135"/>
  <c r="V60" i="135"/>
  <c r="V59" i="135"/>
  <c r="AL58" i="135"/>
  <c r="U55" i="135"/>
  <c r="U54" i="135"/>
  <c r="U53" i="135"/>
  <c r="AK52" i="135"/>
  <c r="U51" i="135"/>
  <c r="V50" i="135"/>
  <c r="AL49" i="135"/>
  <c r="V225" i="135"/>
  <c r="U215" i="135"/>
  <c r="V218" i="135"/>
  <c r="U214" i="135"/>
  <c r="V109" i="135"/>
  <c r="U106" i="135"/>
  <c r="U72" i="135"/>
  <c r="V71" i="135"/>
  <c r="AL70" i="135"/>
  <c r="U69" i="135"/>
  <c r="U58" i="135"/>
  <c r="V57" i="135"/>
  <c r="V56" i="135"/>
  <c r="AL55" i="135"/>
  <c r="AL53" i="135"/>
  <c r="U52" i="135"/>
  <c r="AK51" i="135"/>
  <c r="U49" i="135"/>
  <c r="V222" i="135"/>
  <c r="U217" i="135"/>
  <c r="AL110" i="135"/>
  <c r="V107" i="135"/>
  <c r="V70" i="135"/>
  <c r="AL62" i="135"/>
  <c r="AL60" i="135"/>
  <c r="U57" i="135"/>
  <c r="V55" i="135"/>
  <c r="V53" i="135"/>
  <c r="AL50" i="135"/>
  <c r="V72" i="135"/>
  <c r="V69" i="135"/>
  <c r="U59" i="135"/>
  <c r="V52" i="135"/>
  <c r="V49" i="135"/>
  <c r="AL106" i="135"/>
  <c r="AL71" i="135"/>
  <c r="U62" i="135"/>
  <c r="U60" i="135"/>
  <c r="V58" i="135"/>
  <c r="AL56" i="135"/>
  <c r="AL51" i="135"/>
  <c r="U50" i="135"/>
  <c r="U71" i="135"/>
  <c r="AL69" i="135"/>
  <c r="AL59" i="135"/>
  <c r="U56" i="135"/>
  <c r="V54" i="135"/>
  <c r="AL52" i="135"/>
  <c r="V51" i="135"/>
  <c r="V111" i="135"/>
  <c r="U108" i="135"/>
  <c r="U61" i="135"/>
  <c r="AL57" i="135"/>
  <c r="AK108" i="135"/>
  <c r="AK110" i="135"/>
  <c r="AK111" i="135"/>
  <c r="AK106" i="135"/>
  <c r="AK109" i="135"/>
  <c r="AK71" i="135"/>
  <c r="AL61" i="135"/>
  <c r="AK62" i="135"/>
  <c r="AK219" i="135"/>
  <c r="AK72" i="135"/>
  <c r="AK61" i="135"/>
  <c r="AK70" i="135"/>
  <c r="AK218" i="135"/>
  <c r="AK215" i="135"/>
  <c r="AK58" i="135"/>
  <c r="AK50" i="135"/>
  <c r="AK60" i="135"/>
  <c r="AK49" i="135"/>
  <c r="AK222" i="135"/>
  <c r="AK226" i="135"/>
  <c r="AK223" i="135"/>
  <c r="AK220" i="135"/>
  <c r="AK57" i="135"/>
  <c r="AK214" i="135"/>
  <c r="AK107" i="135"/>
  <c r="AK224" i="135"/>
  <c r="AK53" i="135"/>
  <c r="AK54" i="135"/>
  <c r="AL54" i="135"/>
  <c r="AK59" i="135"/>
  <c r="AK56" i="135"/>
  <c r="AK55" i="135"/>
  <c r="AK217" i="135"/>
  <c r="AK227" i="135"/>
  <c r="C112" i="135"/>
  <c r="T112" i="135" s="1"/>
  <c r="C63" i="135"/>
  <c r="T63" i="135" s="1"/>
  <c r="B3" i="178"/>
  <c r="D3" i="178" s="1"/>
  <c r="V227" i="135" l="1"/>
  <c r="AL227" i="135"/>
  <c r="U227" i="135"/>
  <c r="C228" i="135"/>
  <c r="Z219" i="135"/>
  <c r="AJ215" i="135"/>
  <c r="AU215" i="135" s="1"/>
  <c r="AG215" i="135"/>
  <c r="AF215" i="135"/>
  <c r="AM215" i="135" s="1"/>
  <c r="AW215" i="135" s="1"/>
  <c r="AF59" i="135"/>
  <c r="AM59" i="135" s="1"/>
  <c r="Y215" i="135"/>
  <c r="AI217" i="135"/>
  <c r="X59" i="135"/>
  <c r="AG111" i="135"/>
  <c r="Y219" i="135"/>
  <c r="AF56" i="135"/>
  <c r="AM56" i="135" s="1"/>
  <c r="AJ219" i="135"/>
  <c r="Y59" i="135"/>
  <c r="AG59" i="135"/>
  <c r="AG223" i="135"/>
  <c r="AH219" i="135"/>
  <c r="AI223" i="135"/>
  <c r="BX223" i="135" s="1"/>
  <c r="AD59" i="135"/>
  <c r="AJ59" i="135"/>
  <c r="AF49" i="135"/>
  <c r="AH58" i="135"/>
  <c r="AG55" i="135"/>
  <c r="AG110" i="135"/>
  <c r="X219" i="135"/>
  <c r="AG219" i="135"/>
  <c r="AF219" i="135"/>
  <c r="AM219" i="135" s="1"/>
  <c r="AJ223" i="135"/>
  <c r="AB219" i="135"/>
  <c r="AI49" i="135"/>
  <c r="Y217" i="135"/>
  <c r="Y55" i="135"/>
  <c r="AG224" i="135"/>
  <c r="X50" i="135"/>
  <c r="Y58" i="135"/>
  <c r="AB223" i="135"/>
  <c r="Z61" i="135"/>
  <c r="AG72" i="135"/>
  <c r="Y71" i="135"/>
  <c r="DK71" i="135" s="1"/>
  <c r="Y62" i="135"/>
  <c r="AJ62" i="135"/>
  <c r="AG54" i="135"/>
  <c r="AH60" i="135"/>
  <c r="X220" i="135"/>
  <c r="AG220" i="135"/>
  <c r="AF227" i="135"/>
  <c r="AM227" i="135" s="1"/>
  <c r="AW227" i="135" s="1"/>
  <c r="AC107" i="135"/>
  <c r="Z72" i="135"/>
  <c r="Z51" i="135"/>
  <c r="AH109" i="135"/>
  <c r="AC54" i="135"/>
  <c r="Z216" i="135"/>
  <c r="X222" i="135"/>
  <c r="X61" i="135"/>
  <c r="X53" i="135"/>
  <c r="AG71" i="135"/>
  <c r="AB57" i="135"/>
  <c r="AB54" i="135"/>
  <c r="Y54" i="135"/>
  <c r="AC61" i="135"/>
  <c r="AG62" i="135"/>
  <c r="AI109" i="135"/>
  <c r="BH109" i="135" s="1"/>
  <c r="AJ110" i="135"/>
  <c r="BN110" i="135" s="1"/>
  <c r="AF62" i="135"/>
  <c r="AH53" i="135"/>
  <c r="AH49" i="135"/>
  <c r="AB50" i="135"/>
  <c r="X110" i="135"/>
  <c r="CA110" i="135" s="1"/>
  <c r="AG218" i="135"/>
  <c r="AG217" i="135"/>
  <c r="AH214" i="135"/>
  <c r="AH54" i="135"/>
  <c r="AF61" i="135"/>
  <c r="AM61" i="135" s="1"/>
  <c r="BP61" i="135" s="1"/>
  <c r="AH61" i="135"/>
  <c r="AG109" i="135"/>
  <c r="AF72" i="135"/>
  <c r="AM72" i="135" s="1"/>
  <c r="BY72" i="135" s="1"/>
  <c r="AH62" i="135"/>
  <c r="AC56" i="135"/>
  <c r="AD221" i="135"/>
  <c r="Y220" i="135"/>
  <c r="AG107" i="135"/>
  <c r="AJ70" i="135"/>
  <c r="BN70" i="135" s="1"/>
  <c r="AC223" i="135"/>
  <c r="AJ220" i="135"/>
  <c r="AI220" i="135"/>
  <c r="AJ72" i="135"/>
  <c r="BN72" i="135" s="1"/>
  <c r="AH50" i="135"/>
  <c r="Z50" i="135"/>
  <c r="AC72" i="135"/>
  <c r="AC71" i="135"/>
  <c r="X55" i="135"/>
  <c r="AC57" i="135"/>
  <c r="Y61" i="135"/>
  <c r="X214" i="135"/>
  <c r="AH224" i="135"/>
  <c r="AC217" i="135"/>
  <c r="Y72" i="135"/>
  <c r="DK72" i="135" s="1"/>
  <c r="X72" i="135"/>
  <c r="CA72" i="135" s="1"/>
  <c r="AJ227" i="135"/>
  <c r="AB62" i="135"/>
  <c r="AF70" i="135"/>
  <c r="AF107" i="135"/>
  <c r="AM107" i="135" s="1"/>
  <c r="BY107" i="135" s="1"/>
  <c r="AJ107" i="135"/>
  <c r="BN107" i="135" s="1"/>
  <c r="AH72" i="135"/>
  <c r="AJ69" i="135"/>
  <c r="AH69" i="135"/>
  <c r="AG69" i="135"/>
  <c r="AI69" i="135"/>
  <c r="AF106" i="135"/>
  <c r="AM106" i="135" s="1"/>
  <c r="BD106" i="135" s="1"/>
  <c r="AC106" i="135"/>
  <c r="AI106" i="135"/>
  <c r="BH106" i="135" s="1"/>
  <c r="AH106" i="135"/>
  <c r="AI226" i="135"/>
  <c r="AC226" i="135"/>
  <c r="AG56" i="135"/>
  <c r="X218" i="135"/>
  <c r="AJ106" i="135"/>
  <c r="BN106" i="135" s="1"/>
  <c r="AF69" i="135"/>
  <c r="AD51" i="135"/>
  <c r="AH51" i="135"/>
  <c r="Y109" i="135"/>
  <c r="DK109" i="135" s="1"/>
  <c r="Z109" i="135"/>
  <c r="X109" i="135"/>
  <c r="CA109" i="135" s="1"/>
  <c r="Z62" i="135"/>
  <c r="AD62" i="135"/>
  <c r="Y69" i="135"/>
  <c r="AD107" i="135"/>
  <c r="Z107" i="135"/>
  <c r="AH107" i="135"/>
  <c r="AB107" i="135"/>
  <c r="AC110" i="135"/>
  <c r="Z222" i="135"/>
  <c r="AB222" i="135"/>
  <c r="AH225" i="135"/>
  <c r="AC225" i="135"/>
  <c r="AD54" i="135"/>
  <c r="AJ54" i="135"/>
  <c r="AD57" i="135"/>
  <c r="AI54" i="135"/>
  <c r="AV54" i="135" s="1"/>
  <c r="X54" i="135"/>
  <c r="X62" i="135"/>
  <c r="Y214" i="135"/>
  <c r="X56" i="135"/>
  <c r="X217" i="135"/>
  <c r="Y222" i="135"/>
  <c r="X71" i="135"/>
  <c r="X106" i="135"/>
  <c r="CA106" i="135" s="1"/>
  <c r="X107" i="135"/>
  <c r="CA107" i="135" s="1"/>
  <c r="Y107" i="135"/>
  <c r="DK107" i="135" s="1"/>
  <c r="AH222" i="135"/>
  <c r="AD226" i="135"/>
  <c r="AC62" i="135"/>
  <c r="AB56" i="135"/>
  <c r="AJ53" i="135"/>
  <c r="AI53" i="135"/>
  <c r="AF53" i="135"/>
  <c r="AI50" i="135"/>
  <c r="BX50" i="135" s="1"/>
  <c r="AC50" i="135"/>
  <c r="AD50" i="135"/>
  <c r="AF50" i="135"/>
  <c r="AM50" i="135" s="1"/>
  <c r="AG50" i="135"/>
  <c r="AI108" i="135"/>
  <c r="AV108" i="135" s="1"/>
  <c r="AD108" i="135"/>
  <c r="Z108" i="135"/>
  <c r="AH216" i="135"/>
  <c r="AD216" i="135"/>
  <c r="AC216" i="135"/>
  <c r="AI218" i="135"/>
  <c r="AV218" i="135" s="1"/>
  <c r="AJ218" i="135"/>
  <c r="AU218" i="135" s="1"/>
  <c r="Y50" i="135"/>
  <c r="Y106" i="135"/>
  <c r="DK106" i="135" s="1"/>
  <c r="AJ226" i="135"/>
  <c r="AJ108" i="135"/>
  <c r="AU108" i="135" s="1"/>
  <c r="AB226" i="135"/>
  <c r="AF226" i="135"/>
  <c r="AH108" i="135"/>
  <c r="AI58" i="135"/>
  <c r="AJ58" i="135"/>
  <c r="AB58" i="135"/>
  <c r="AD58" i="135"/>
  <c r="AB55" i="135"/>
  <c r="AD55" i="135"/>
  <c r="AJ55" i="135"/>
  <c r="BN55" i="135" s="1"/>
  <c r="AH55" i="135"/>
  <c r="AF52" i="135"/>
  <c r="AM52" i="135" s="1"/>
  <c r="AJ52" i="135"/>
  <c r="AG52" i="135"/>
  <c r="AC52" i="135"/>
  <c r="AI52" i="135"/>
  <c r="AG70" i="135"/>
  <c r="AH70" i="135"/>
  <c r="AB70" i="135"/>
  <c r="Z217" i="135"/>
  <c r="Z54" i="135"/>
  <c r="AD61" i="135"/>
  <c r="Y56" i="135"/>
  <c r="Y226" i="135"/>
  <c r="X70" i="135"/>
  <c r="CA70" i="135" s="1"/>
  <c r="X58" i="135"/>
  <c r="Y218" i="135"/>
  <c r="Y70" i="135"/>
  <c r="DK70" i="135" s="1"/>
  <c r="Y110" i="135"/>
  <c r="DK110" i="135" s="1"/>
  <c r="Y108" i="135"/>
  <c r="DK108" i="135" s="1"/>
  <c r="AG58" i="135"/>
  <c r="AH217" i="135"/>
  <c r="AH218" i="135"/>
  <c r="AJ109" i="135"/>
  <c r="BN109" i="135" s="1"/>
  <c r="AC58" i="135"/>
  <c r="Z49" i="135"/>
  <c r="AF217" i="135"/>
  <c r="AM217" i="135" s="1"/>
  <c r="AC222" i="135"/>
  <c r="AG51" i="135"/>
  <c r="AC69" i="135"/>
  <c r="AD109" i="135"/>
  <c r="AF58" i="135"/>
  <c r="AM58" i="135" s="1"/>
  <c r="AW58" i="135" s="1"/>
  <c r="AF55" i="135"/>
  <c r="AM55" i="135" s="1"/>
  <c r="BD55" i="135" s="1"/>
  <c r="AH52" i="135"/>
  <c r="AG214" i="135"/>
  <c r="Z218" i="135"/>
  <c r="Z58" i="135"/>
  <c r="AD111" i="135"/>
  <c r="AC220" i="135"/>
  <c r="Y223" i="135"/>
  <c r="Z226" i="135"/>
  <c r="AH57" i="135"/>
  <c r="AI57" i="135"/>
  <c r="BC57" i="135" s="1"/>
  <c r="Z57" i="135"/>
  <c r="Y57" i="135"/>
  <c r="AF57" i="135"/>
  <c r="AM57" i="135" s="1"/>
  <c r="X57" i="135"/>
  <c r="AC60" i="135"/>
  <c r="AJ60" i="135"/>
  <c r="AD60" i="135"/>
  <c r="X60" i="135"/>
  <c r="AB60" i="135"/>
  <c r="Z60" i="135"/>
  <c r="AF60" i="135"/>
  <c r="AM60" i="135" s="1"/>
  <c r="AI60" i="135"/>
  <c r="BC60" i="135" s="1"/>
  <c r="Y60" i="135"/>
  <c r="AJ57" i="135"/>
  <c r="BN57" i="135" s="1"/>
  <c r="AG60" i="135"/>
  <c r="AG57" i="135"/>
  <c r="AJ224" i="135"/>
  <c r="AI224" i="135"/>
  <c r="BH224" i="135" s="1"/>
  <c r="Z224" i="135"/>
  <c r="AD224" i="135"/>
  <c r="AF224" i="135"/>
  <c r="AM224" i="135" s="1"/>
  <c r="AC224" i="135"/>
  <c r="AI71" i="135"/>
  <c r="BH71" i="135" s="1"/>
  <c r="AB71" i="135"/>
  <c r="AH71" i="135"/>
  <c r="AF71" i="135"/>
  <c r="Z71" i="135"/>
  <c r="AJ71" i="135"/>
  <c r="AJ216" i="135"/>
  <c r="AU216" i="135" s="1"/>
  <c r="Y216" i="135"/>
  <c r="AB216" i="135"/>
  <c r="AJ221" i="135"/>
  <c r="Z221" i="135"/>
  <c r="AB221" i="135"/>
  <c r="AF221" i="135"/>
  <c r="AG221" i="135"/>
  <c r="AI221" i="135"/>
  <c r="AC215" i="135"/>
  <c r="AB215" i="135"/>
  <c r="AF225" i="135"/>
  <c r="Z225" i="135"/>
  <c r="Y225" i="135"/>
  <c r="X225" i="135"/>
  <c r="AI225" i="135"/>
  <c r="BX225" i="135" s="1"/>
  <c r="AB225" i="135"/>
  <c r="AG225" i="135"/>
  <c r="AD225" i="135"/>
  <c r="AL63" i="135"/>
  <c r="AF63" i="135"/>
  <c r="AM63" i="135" s="1"/>
  <c r="AW63" i="135" s="1"/>
  <c r="AJ63" i="135"/>
  <c r="AU63" i="135" s="1"/>
  <c r="AI63" i="135"/>
  <c r="BH63" i="135" s="1"/>
  <c r="AG61" i="135"/>
  <c r="AI61" i="135"/>
  <c r="AB61" i="135"/>
  <c r="Y224" i="135"/>
  <c r="X224" i="135"/>
  <c r="AK63" i="135"/>
  <c r="AK112" i="135"/>
  <c r="AI216" i="135"/>
  <c r="BC216" i="135" s="1"/>
  <c r="AD71" i="135"/>
  <c r="X221" i="135"/>
  <c r="AF111" i="135"/>
  <c r="AM111" i="135" s="1"/>
  <c r="AW111" i="135" s="1"/>
  <c r="AC49" i="135"/>
  <c r="AG216" i="135"/>
  <c r="AJ225" i="135"/>
  <c r="AU225" i="135" s="1"/>
  <c r="AB51" i="135"/>
  <c r="AC51" i="135"/>
  <c r="AI51" i="135"/>
  <c r="AJ51" i="135"/>
  <c r="AU51" i="135" s="1"/>
  <c r="X51" i="135"/>
  <c r="AF51" i="135"/>
  <c r="Y51" i="135"/>
  <c r="V63" i="135"/>
  <c r="AH63" i="135" s="1"/>
  <c r="AF109" i="135"/>
  <c r="AM109" i="135" s="1"/>
  <c r="BY109" i="135" s="1"/>
  <c r="AC109" i="135"/>
  <c r="AB109" i="135"/>
  <c r="AC55" i="135"/>
  <c r="AI55" i="135"/>
  <c r="Z55" i="135"/>
  <c r="AB217" i="135"/>
  <c r="AD217" i="135"/>
  <c r="X52" i="135"/>
  <c r="AD52" i="135"/>
  <c r="AB52" i="135"/>
  <c r="Z52" i="135"/>
  <c r="Y52" i="135"/>
  <c r="AH59" i="135"/>
  <c r="Z59" i="135"/>
  <c r="AB59" i="135"/>
  <c r="AC59" i="135"/>
  <c r="AD72" i="135"/>
  <c r="AB72" i="135"/>
  <c r="AI56" i="135"/>
  <c r="AD56" i="135"/>
  <c r="Z56" i="135"/>
  <c r="AH56" i="135"/>
  <c r="U63" i="135"/>
  <c r="AF110" i="135"/>
  <c r="AM110" i="135" s="1"/>
  <c r="AW110" i="135" s="1"/>
  <c r="AB110" i="135"/>
  <c r="Z110" i="135"/>
  <c r="AD110" i="135"/>
  <c r="AH110" i="135"/>
  <c r="AI110" i="135"/>
  <c r="BC110" i="135" s="1"/>
  <c r="AB106" i="135"/>
  <c r="AG106" i="135"/>
  <c r="AD106" i="135"/>
  <c r="Z106" i="135"/>
  <c r="AC219" i="135"/>
  <c r="AD219" i="135"/>
  <c r="AI219" i="135"/>
  <c r="BH219" i="135" s="1"/>
  <c r="AJ222" i="135"/>
  <c r="AG222" i="135"/>
  <c r="AI222" i="135"/>
  <c r="AF222" i="135"/>
  <c r="AD222" i="135"/>
  <c r="AG49" i="135"/>
  <c r="AD49" i="135"/>
  <c r="AB53" i="135"/>
  <c r="Z53" i="135"/>
  <c r="AC53" i="135"/>
  <c r="AD53" i="135"/>
  <c r="AJ111" i="135"/>
  <c r="AU111" i="135" s="1"/>
  <c r="Y111" i="135"/>
  <c r="DK111" i="135" s="1"/>
  <c r="AC111" i="135"/>
  <c r="AH111" i="135"/>
  <c r="AB111" i="135"/>
  <c r="AI214" i="135"/>
  <c r="BH214" i="135" s="1"/>
  <c r="AF214" i="135"/>
  <c r="AB214" i="135"/>
  <c r="AC214" i="135"/>
  <c r="Z214" i="135"/>
  <c r="AB218" i="135"/>
  <c r="AC218" i="135"/>
  <c r="AD218" i="135"/>
  <c r="AH220" i="135"/>
  <c r="AD220" i="135"/>
  <c r="Z220" i="135"/>
  <c r="AB220" i="135"/>
  <c r="Z223" i="135"/>
  <c r="AD223" i="135"/>
  <c r="AH223" i="135"/>
  <c r="V112" i="135"/>
  <c r="AL112" i="135"/>
  <c r="U112" i="135"/>
  <c r="AJ112" i="135"/>
  <c r="X226" i="135"/>
  <c r="X215" i="135"/>
  <c r="Y49" i="135"/>
  <c r="X49" i="135"/>
  <c r="Y53" i="135"/>
  <c r="X223" i="135"/>
  <c r="AG53" i="135"/>
  <c r="AG226" i="135"/>
  <c r="X111" i="135"/>
  <c r="CA111" i="135" s="1"/>
  <c r="AH226" i="135"/>
  <c r="AC221" i="135"/>
  <c r="AB224" i="135"/>
  <c r="Y221" i="135"/>
  <c r="AD215" i="135"/>
  <c r="AD214" i="135"/>
  <c r="Z215" i="135"/>
  <c r="AI111" i="135"/>
  <c r="AV111" i="135" s="1"/>
  <c r="X216" i="135"/>
  <c r="AH221" i="135"/>
  <c r="AH215" i="135"/>
  <c r="Z111" i="135"/>
  <c r="AB49" i="135"/>
  <c r="AJ214" i="135"/>
  <c r="AU214" i="135" s="1"/>
  <c r="X69" i="135"/>
  <c r="AD69" i="135"/>
  <c r="AB69" i="135"/>
  <c r="Z69" i="135"/>
  <c r="AC70" i="135"/>
  <c r="Z70" i="135"/>
  <c r="AD70" i="135"/>
  <c r="AF108" i="135"/>
  <c r="AM108" i="135" s="1"/>
  <c r="AW108" i="135" s="1"/>
  <c r="AC108" i="135"/>
  <c r="AB108" i="135"/>
  <c r="X108" i="135"/>
  <c r="CA108" i="135" s="1"/>
  <c r="AG108" i="135"/>
  <c r="AM218" i="135"/>
  <c r="BD218" i="135" s="1"/>
  <c r="AM223" i="135"/>
  <c r="BX227" i="135"/>
  <c r="BH227" i="135"/>
  <c r="AV227" i="135"/>
  <c r="BC227" i="135"/>
  <c r="AU217" i="135"/>
  <c r="BN217" i="135"/>
  <c r="AM220" i="135"/>
  <c r="DK223" i="135"/>
  <c r="CA223" i="135"/>
  <c r="CA218" i="135"/>
  <c r="DK218" i="135"/>
  <c r="DK222" i="135"/>
  <c r="CA222" i="135"/>
  <c r="CA217" i="135"/>
  <c r="DK217" i="135"/>
  <c r="DK227" i="135"/>
  <c r="CA227" i="135"/>
  <c r="CA226" i="135"/>
  <c r="DK226" i="135"/>
  <c r="DK216" i="135"/>
  <c r="CA216" i="135"/>
  <c r="AM216" i="135"/>
  <c r="CA224" i="135"/>
  <c r="DK224" i="135"/>
  <c r="CA225" i="135"/>
  <c r="DK225" i="135"/>
  <c r="CA214" i="135"/>
  <c r="DK214" i="135"/>
  <c r="CA221" i="135"/>
  <c r="DK221" i="135"/>
  <c r="DK220" i="135"/>
  <c r="CA220" i="135"/>
  <c r="CA215" i="135"/>
  <c r="DK215" i="135"/>
  <c r="DK219" i="135"/>
  <c r="CA219" i="135"/>
  <c r="C113" i="135"/>
  <c r="T113" i="135" s="1"/>
  <c r="BX70" i="135"/>
  <c r="BC107" i="135"/>
  <c r="C64" i="135"/>
  <c r="T64" i="135" s="1"/>
  <c r="AM54" i="135"/>
  <c r="BY54" i="135" s="1"/>
  <c r="AU50" i="135"/>
  <c r="BC59" i="135"/>
  <c r="X227" i="135" l="1"/>
  <c r="AH227" i="135"/>
  <c r="AG227" i="135"/>
  <c r="AB227" i="135"/>
  <c r="AD227" i="135"/>
  <c r="AC227" i="135"/>
  <c r="Y227" i="135"/>
  <c r="Z227" i="135"/>
  <c r="AL228" i="135"/>
  <c r="AK228" i="135"/>
  <c r="T228" i="135"/>
  <c r="V228" i="135"/>
  <c r="U228" i="135"/>
  <c r="C229" i="135"/>
  <c r="AB25" i="135"/>
  <c r="X25" i="135"/>
  <c r="D22" i="235" s="1"/>
  <c r="W22" i="235" s="1"/>
  <c r="Z25" i="135"/>
  <c r="AC25" i="135"/>
  <c r="AJ25" i="135"/>
  <c r="AI25" i="135"/>
  <c r="AD25" i="135"/>
  <c r="AG25" i="135"/>
  <c r="Y25" i="135"/>
  <c r="E22" i="235" s="1"/>
  <c r="Z22" i="235" s="1"/>
  <c r="AH25" i="135"/>
  <c r="BN215" i="135"/>
  <c r="AM214" i="135"/>
  <c r="BP214" i="135" s="1"/>
  <c r="AM222" i="135"/>
  <c r="BY222" i="135" s="1"/>
  <c r="AM225" i="135"/>
  <c r="BY225" i="135" s="1"/>
  <c r="AM70" i="135"/>
  <c r="AW70" i="135" s="1"/>
  <c r="AM221" i="135"/>
  <c r="AW221" i="135" s="1"/>
  <c r="AM226" i="135"/>
  <c r="BD226" i="135" s="1"/>
  <c r="AM53" i="135"/>
  <c r="AW53" i="135" s="1"/>
  <c r="AW106" i="135"/>
  <c r="BY111" i="135"/>
  <c r="AN61" i="135"/>
  <c r="Q61" i="135" s="1"/>
  <c r="BD111" i="135"/>
  <c r="BY61" i="135"/>
  <c r="AW109" i="135"/>
  <c r="BY106" i="135"/>
  <c r="BP109" i="135"/>
  <c r="AV71" i="135"/>
  <c r="AW61" i="135"/>
  <c r="AU107" i="135"/>
  <c r="BD61" i="135"/>
  <c r="AV60" i="135"/>
  <c r="BC224" i="135"/>
  <c r="AU57" i="135"/>
  <c r="BH225" i="135"/>
  <c r="Z112" i="135"/>
  <c r="BP108" i="135"/>
  <c r="BX224" i="135"/>
  <c r="AU72" i="135"/>
  <c r="BN69" i="135"/>
  <c r="BN218" i="135"/>
  <c r="BN51" i="135"/>
  <c r="BY108" i="135"/>
  <c r="AV224" i="135"/>
  <c r="AG63" i="135"/>
  <c r="BH60" i="135"/>
  <c r="AU69" i="135"/>
  <c r="BN214" i="135"/>
  <c r="AC112" i="135"/>
  <c r="AJ22" i="135"/>
  <c r="BP106" i="135"/>
  <c r="BX71" i="135"/>
  <c r="BC225" i="135"/>
  <c r="BN216" i="135"/>
  <c r="AB63" i="135"/>
  <c r="Y112" i="135"/>
  <c r="DK112" i="135" s="1"/>
  <c r="X112" i="135"/>
  <c r="CA112" i="135" s="1"/>
  <c r="AB112" i="135"/>
  <c r="BX60" i="135"/>
  <c r="BD109" i="135"/>
  <c r="BD108" i="135"/>
  <c r="BP111" i="135"/>
  <c r="BC71" i="135"/>
  <c r="AV225" i="135"/>
  <c r="AI112" i="135"/>
  <c r="AD63" i="135"/>
  <c r="Z63" i="135"/>
  <c r="Y63" i="135"/>
  <c r="X63" i="135"/>
  <c r="AC63" i="135"/>
  <c r="AG112" i="135"/>
  <c r="V64" i="135"/>
  <c r="AL64" i="135"/>
  <c r="U64" i="135"/>
  <c r="AK64" i="135"/>
  <c r="AL113" i="135"/>
  <c r="V113" i="135"/>
  <c r="AK113" i="135"/>
  <c r="AF113" i="135"/>
  <c r="U113" i="135"/>
  <c r="AD112" i="135"/>
  <c r="AH112" i="135"/>
  <c r="AF112" i="135"/>
  <c r="AM112" i="135" s="1"/>
  <c r="BD112" i="135" s="1"/>
  <c r="BX216" i="135"/>
  <c r="BH216" i="135"/>
  <c r="AV216" i="135"/>
  <c r="BY218" i="135"/>
  <c r="BQ218" i="135"/>
  <c r="BY215" i="135"/>
  <c r="AN215" i="135"/>
  <c r="Q215" i="135" s="1"/>
  <c r="AX215" i="135"/>
  <c r="AQ215" i="135" s="1"/>
  <c r="AX218" i="135"/>
  <c r="BD227" i="135"/>
  <c r="AW218" i="135"/>
  <c r="BP218" i="135"/>
  <c r="AV214" i="135"/>
  <c r="AN227" i="135"/>
  <c r="BD215" i="135"/>
  <c r="BX214" i="135"/>
  <c r="BP215" i="135"/>
  <c r="BN225" i="135"/>
  <c r="AX223" i="135"/>
  <c r="AX226" i="135"/>
  <c r="BI222" i="135"/>
  <c r="BC223" i="135"/>
  <c r="AN223" i="135"/>
  <c r="Q223" i="135" s="1"/>
  <c r="AV109" i="135"/>
  <c r="BH223" i="135"/>
  <c r="BY223" i="135"/>
  <c r="AV223" i="135"/>
  <c r="BC219" i="135"/>
  <c r="BI223" i="135"/>
  <c r="BQ222" i="135"/>
  <c r="BI214" i="135"/>
  <c r="AX222" i="135"/>
  <c r="BC214" i="135"/>
  <c r="BI218" i="135"/>
  <c r="BY227" i="135"/>
  <c r="AV219" i="135"/>
  <c r="AW223" i="135"/>
  <c r="BX218" i="135"/>
  <c r="BI226" i="135"/>
  <c r="BX219" i="135"/>
  <c r="BP223" i="135"/>
  <c r="AN218" i="135"/>
  <c r="Q218" i="135" s="1"/>
  <c r="BD223" i="135"/>
  <c r="BH218" i="135"/>
  <c r="AX216" i="135"/>
  <c r="BI216" i="135"/>
  <c r="BQ216" i="135"/>
  <c r="BP227" i="135"/>
  <c r="BC218" i="135"/>
  <c r="BQ223" i="135"/>
  <c r="BQ226" i="135"/>
  <c r="AU222" i="135"/>
  <c r="BN222" i="135"/>
  <c r="AU227" i="135"/>
  <c r="BN227" i="135"/>
  <c r="BI215" i="135"/>
  <c r="AX214" i="135"/>
  <c r="AN220" i="135"/>
  <c r="Q220" i="135" s="1"/>
  <c r="BY220" i="135"/>
  <c r="AW220" i="135"/>
  <c r="BP220" i="135"/>
  <c r="BD220" i="135"/>
  <c r="AX224" i="135"/>
  <c r="BI224" i="135"/>
  <c r="BQ224" i="135"/>
  <c r="BH226" i="135"/>
  <c r="BX226" i="135"/>
  <c r="AV226" i="135"/>
  <c r="BC226" i="135"/>
  <c r="AN224" i="135"/>
  <c r="Q224" i="135" s="1"/>
  <c r="BY224" i="135"/>
  <c r="BP224" i="135"/>
  <c r="AW224" i="135"/>
  <c r="BD224" i="135"/>
  <c r="AU224" i="135"/>
  <c r="BN224" i="135"/>
  <c r="AN216" i="135"/>
  <c r="Q216" i="135" s="1"/>
  <c r="BY216" i="135"/>
  <c r="BP216" i="135"/>
  <c r="AW216" i="135"/>
  <c r="BD216" i="135"/>
  <c r="AU226" i="135"/>
  <c r="BN226" i="135"/>
  <c r="BX215" i="135"/>
  <c r="AV215" i="135"/>
  <c r="BH215" i="135"/>
  <c r="BC215" i="135"/>
  <c r="AV222" i="135"/>
  <c r="BH222" i="135"/>
  <c r="BX222" i="135"/>
  <c r="BC222" i="135"/>
  <c r="AX220" i="135"/>
  <c r="BI220" i="135"/>
  <c r="BQ220" i="135"/>
  <c r="AX217" i="135"/>
  <c r="BI217" i="135"/>
  <c r="BQ217" i="135"/>
  <c r="AU221" i="135"/>
  <c r="BN221" i="135"/>
  <c r="AU219" i="135"/>
  <c r="BN219" i="135"/>
  <c r="AN219" i="135"/>
  <c r="Q219" i="135" s="1"/>
  <c r="BP219" i="135"/>
  <c r="AW219" i="135"/>
  <c r="BY219" i="135"/>
  <c r="BD219" i="135"/>
  <c r="BI219" i="135"/>
  <c r="AX219" i="135"/>
  <c r="BQ219" i="135"/>
  <c r="BI221" i="135"/>
  <c r="AX221" i="135"/>
  <c r="BQ221" i="135"/>
  <c r="BX221" i="135"/>
  <c r="AV221" i="135"/>
  <c r="BH221" i="135"/>
  <c r="BC221" i="135"/>
  <c r="BQ215" i="135"/>
  <c r="AV217" i="135"/>
  <c r="BX217" i="135"/>
  <c r="BH217" i="135"/>
  <c r="BC217" i="135"/>
  <c r="BQ214" i="135"/>
  <c r="BH220" i="135"/>
  <c r="BX220" i="135"/>
  <c r="AV220" i="135"/>
  <c r="BC220" i="135"/>
  <c r="AU223" i="135"/>
  <c r="BN223" i="135"/>
  <c r="BI225" i="135"/>
  <c r="AX225" i="135"/>
  <c r="BQ225" i="135"/>
  <c r="AN217" i="135"/>
  <c r="Q217" i="135" s="1"/>
  <c r="BP217" i="135"/>
  <c r="BY217" i="135"/>
  <c r="AW217" i="135"/>
  <c r="BD217" i="135"/>
  <c r="AU220" i="135"/>
  <c r="BN220" i="135"/>
  <c r="AV106" i="135"/>
  <c r="AU70" i="135"/>
  <c r="BH70" i="135"/>
  <c r="BX109" i="135"/>
  <c r="BP107" i="135"/>
  <c r="AV107" i="135"/>
  <c r="BQ70" i="135"/>
  <c r="BC109" i="135"/>
  <c r="AN109" i="135"/>
  <c r="Q109" i="135" s="1"/>
  <c r="AU109" i="135"/>
  <c r="C114" i="135"/>
  <c r="T114" i="135" s="1"/>
  <c r="AN107" i="135"/>
  <c r="Q107" i="135" s="1"/>
  <c r="AN108" i="135"/>
  <c r="Q108" i="135" s="1"/>
  <c r="AN106" i="135"/>
  <c r="Q106" i="135" s="1"/>
  <c r="BH108" i="135"/>
  <c r="BC108" i="135"/>
  <c r="BI70" i="135"/>
  <c r="BX108" i="135"/>
  <c r="AV70" i="135"/>
  <c r="BX107" i="135"/>
  <c r="BC106" i="135"/>
  <c r="BH107" i="135"/>
  <c r="BX106" i="135"/>
  <c r="BC70" i="135"/>
  <c r="AX70" i="135"/>
  <c r="BH69" i="135"/>
  <c r="BD107" i="135"/>
  <c r="AW107" i="135"/>
  <c r="BN111" i="135"/>
  <c r="CA69" i="135"/>
  <c r="AN111" i="135"/>
  <c r="Q111" i="135" s="1"/>
  <c r="BC69" i="135"/>
  <c r="BX69" i="135"/>
  <c r="BH72" i="135"/>
  <c r="AV69" i="135"/>
  <c r="BH111" i="135"/>
  <c r="DK69" i="135"/>
  <c r="DK25" i="135" s="1"/>
  <c r="AV72" i="135"/>
  <c r="BC72" i="135"/>
  <c r="BI69" i="135"/>
  <c r="BX72" i="135"/>
  <c r="AX72" i="135"/>
  <c r="AM69" i="135"/>
  <c r="AF25" i="135"/>
  <c r="AU110" i="135"/>
  <c r="BY110" i="135"/>
  <c r="BD110" i="135"/>
  <c r="AW72" i="135"/>
  <c r="BP72" i="135"/>
  <c r="BI72" i="135"/>
  <c r="AN72" i="135"/>
  <c r="Q72" i="135" s="1"/>
  <c r="BD72" i="135"/>
  <c r="BQ111" i="135"/>
  <c r="AX69" i="135"/>
  <c r="BQ69" i="135"/>
  <c r="BN108" i="135"/>
  <c r="BP110" i="135"/>
  <c r="BQ72" i="135"/>
  <c r="BI71" i="135"/>
  <c r="BQ71" i="135"/>
  <c r="AX71" i="135"/>
  <c r="AU71" i="135"/>
  <c r="BN71" i="135"/>
  <c r="AM71" i="135"/>
  <c r="CA71" i="135"/>
  <c r="BC111" i="135"/>
  <c r="BX111" i="135"/>
  <c r="BI107" i="135"/>
  <c r="BI109" i="135"/>
  <c r="AX106" i="135"/>
  <c r="BQ107" i="135"/>
  <c r="AX107" i="135"/>
  <c r="AX108" i="135"/>
  <c r="AQ108" i="135" s="1"/>
  <c r="BI106" i="135"/>
  <c r="AX111" i="135"/>
  <c r="AQ111" i="135" s="1"/>
  <c r="BQ109" i="135"/>
  <c r="AX109" i="135"/>
  <c r="BQ106" i="135"/>
  <c r="BI111" i="135"/>
  <c r="AN110" i="135"/>
  <c r="Q110" i="135" s="1"/>
  <c r="AV110" i="135"/>
  <c r="BH110" i="135"/>
  <c r="BX110" i="135"/>
  <c r="BI110" i="135"/>
  <c r="AU112" i="135"/>
  <c r="BN112" i="135"/>
  <c r="AU106" i="135"/>
  <c r="BN63" i="135"/>
  <c r="AV63" i="135"/>
  <c r="BC63" i="135"/>
  <c r="BX63" i="135"/>
  <c r="AX110" i="135"/>
  <c r="AQ110" i="135" s="1"/>
  <c r="BI108" i="135"/>
  <c r="BQ108" i="135"/>
  <c r="BQ110" i="135"/>
  <c r="AU62" i="135"/>
  <c r="BX62" i="135"/>
  <c r="AU49" i="135"/>
  <c r="BQ61" i="135"/>
  <c r="AG22" i="135"/>
  <c r="AB22" i="135"/>
  <c r="BY63" i="135"/>
  <c r="BD63" i="135"/>
  <c r="AH22" i="135"/>
  <c r="X22" i="135"/>
  <c r="D19" i="235" s="1"/>
  <c r="W19" i="235" s="1"/>
  <c r="Y22" i="135"/>
  <c r="E19" i="235" s="1"/>
  <c r="Z19" i="235" s="1"/>
  <c r="X23" i="135"/>
  <c r="D20" i="235" s="1"/>
  <c r="W20" i="235" s="1"/>
  <c r="AC22" i="135"/>
  <c r="Z23" i="135"/>
  <c r="AI23" i="135"/>
  <c r="AB23" i="135"/>
  <c r="AI22" i="135"/>
  <c r="AU53" i="135"/>
  <c r="AJ23" i="135"/>
  <c r="BN62" i="135"/>
  <c r="AD22" i="135"/>
  <c r="AD23" i="135"/>
  <c r="AF22" i="135"/>
  <c r="AH23" i="135"/>
  <c r="AC23" i="135"/>
  <c r="BC62" i="135"/>
  <c r="AF23" i="135"/>
  <c r="Y23" i="135"/>
  <c r="E20" i="235" s="1"/>
  <c r="Z20" i="235" s="1"/>
  <c r="Z22" i="135"/>
  <c r="AG23" i="135"/>
  <c r="AX61" i="135"/>
  <c r="AN63" i="135"/>
  <c r="BP63" i="135"/>
  <c r="BQ62" i="135"/>
  <c r="AV62" i="135"/>
  <c r="AX62" i="135"/>
  <c r="BI61" i="135"/>
  <c r="BH62" i="135"/>
  <c r="BI62" i="135"/>
  <c r="AM62" i="135"/>
  <c r="AM51" i="135"/>
  <c r="BY51" i="135" s="1"/>
  <c r="AV49" i="135"/>
  <c r="AM49" i="135"/>
  <c r="BD49" i="135" s="1"/>
  <c r="AV53" i="135"/>
  <c r="AV51" i="135"/>
  <c r="C65" i="135"/>
  <c r="T65" i="135" s="1"/>
  <c r="BN53" i="135"/>
  <c r="BC51" i="135"/>
  <c r="BQ55" i="135"/>
  <c r="BX51" i="135"/>
  <c r="BN60" i="135"/>
  <c r="AU60" i="135"/>
  <c r="BH53" i="135"/>
  <c r="BH51" i="135"/>
  <c r="BN61" i="135"/>
  <c r="AU61" i="135"/>
  <c r="BQ60" i="135"/>
  <c r="AX60" i="135"/>
  <c r="BI60" i="135"/>
  <c r="BX61" i="135"/>
  <c r="AV61" i="135"/>
  <c r="BH61" i="135"/>
  <c r="BC61" i="135"/>
  <c r="AN60" i="135"/>
  <c r="Q60" i="135" s="1"/>
  <c r="BD60" i="135"/>
  <c r="BP60" i="135"/>
  <c r="AW60" i="135"/>
  <c r="BY60" i="135"/>
  <c r="AX55" i="135"/>
  <c r="BX53" i="135"/>
  <c r="BQ53" i="135"/>
  <c r="AV50" i="135"/>
  <c r="AN54" i="135"/>
  <c r="Q54" i="135" s="1"/>
  <c r="BI53" i="135"/>
  <c r="AN55" i="135"/>
  <c r="Q55" i="135" s="1"/>
  <c r="AU55" i="135"/>
  <c r="BX59" i="135"/>
  <c r="BD54" i="135"/>
  <c r="AW54" i="135"/>
  <c r="BP54" i="135"/>
  <c r="BH59" i="135"/>
  <c r="AV59" i="135"/>
  <c r="BI55" i="135"/>
  <c r="AX53" i="135"/>
  <c r="BI56" i="135"/>
  <c r="BC53" i="135"/>
  <c r="BN50" i="135"/>
  <c r="BH57" i="135"/>
  <c r="BX57" i="135"/>
  <c r="AV57" i="135"/>
  <c r="BD58" i="135"/>
  <c r="AX56" i="135"/>
  <c r="BC50" i="135"/>
  <c r="BH50" i="135"/>
  <c r="BQ56" i="135"/>
  <c r="BI57" i="135"/>
  <c r="BP55" i="135"/>
  <c r="BP58" i="135"/>
  <c r="AW55" i="135"/>
  <c r="BH54" i="135"/>
  <c r="BC54" i="135"/>
  <c r="BX54" i="135"/>
  <c r="BY55" i="135"/>
  <c r="BY58" i="135"/>
  <c r="BX52" i="135"/>
  <c r="BH52" i="135"/>
  <c r="AV52" i="135"/>
  <c r="BC52" i="135"/>
  <c r="BN56" i="135"/>
  <c r="AU56" i="135"/>
  <c r="BN52" i="135"/>
  <c r="AU52" i="135"/>
  <c r="AU22" i="135" s="1"/>
  <c r="AX54" i="135"/>
  <c r="BQ54" i="135"/>
  <c r="BI54" i="135"/>
  <c r="BQ51" i="135"/>
  <c r="AX51" i="135"/>
  <c r="BI51" i="135"/>
  <c r="AN52" i="135"/>
  <c r="Q52" i="135" s="1"/>
  <c r="BY52" i="135"/>
  <c r="BP52" i="135"/>
  <c r="AW52" i="135"/>
  <c r="BD52" i="135"/>
  <c r="AU59" i="135"/>
  <c r="BN59" i="135"/>
  <c r="AX58" i="135"/>
  <c r="AQ58" i="135" s="1"/>
  <c r="BQ58" i="135"/>
  <c r="BI58" i="135"/>
  <c r="BQ59" i="135"/>
  <c r="BI59" i="135"/>
  <c r="AX59" i="135"/>
  <c r="AN56" i="135"/>
  <c r="Q56" i="135" s="1"/>
  <c r="BY56" i="135"/>
  <c r="BD56" i="135"/>
  <c r="BP56" i="135"/>
  <c r="AW56" i="135"/>
  <c r="BQ57" i="135"/>
  <c r="AX50" i="135"/>
  <c r="BQ50" i="135"/>
  <c r="BI50" i="135"/>
  <c r="AV56" i="135"/>
  <c r="BH56" i="135"/>
  <c r="BC56" i="135"/>
  <c r="BX56" i="135"/>
  <c r="BP57" i="135"/>
  <c r="BY57" i="135"/>
  <c r="AN57" i="135"/>
  <c r="Q57" i="135" s="1"/>
  <c r="BD57" i="135"/>
  <c r="AW57" i="135"/>
  <c r="BY59" i="135"/>
  <c r="AW59" i="135"/>
  <c r="BD59" i="135"/>
  <c r="AN59" i="135"/>
  <c r="Q59" i="135" s="1"/>
  <c r="BP59" i="135"/>
  <c r="AX57" i="135"/>
  <c r="AN50" i="135"/>
  <c r="Q50" i="135" s="1"/>
  <c r="BD50" i="135"/>
  <c r="BP50" i="135"/>
  <c r="AW50" i="135"/>
  <c r="BY50" i="135"/>
  <c r="BN54" i="135"/>
  <c r="AU54" i="135"/>
  <c r="AV55" i="135"/>
  <c r="BX55" i="135"/>
  <c r="BC55" i="135"/>
  <c r="BH55" i="135"/>
  <c r="BI52" i="135"/>
  <c r="BQ52" i="135"/>
  <c r="AX52" i="135"/>
  <c r="BN58" i="135"/>
  <c r="AU58" i="135"/>
  <c r="AV58" i="135"/>
  <c r="BX58" i="135"/>
  <c r="BC58" i="135"/>
  <c r="BH58" i="135"/>
  <c r="AN58" i="135"/>
  <c r="Q58" i="135" s="1"/>
  <c r="C9" i="118"/>
  <c r="Z21" i="135"/>
  <c r="Y21" i="135"/>
  <c r="E18" i="235" s="1"/>
  <c r="Z18" i="235" s="1"/>
  <c r="X21" i="135"/>
  <c r="D18" i="235" s="1"/>
  <c r="W18" i="235" s="1"/>
  <c r="AD21" i="135"/>
  <c r="AC21" i="135"/>
  <c r="AB21" i="135"/>
  <c r="AG21" i="135"/>
  <c r="AH21" i="135"/>
  <c r="AI21" i="135"/>
  <c r="AF21" i="135"/>
  <c r="AJ21" i="135"/>
  <c r="BN49" i="135"/>
  <c r="BX49" i="135"/>
  <c r="BH49" i="135"/>
  <c r="BQ49" i="135"/>
  <c r="BI49" i="135"/>
  <c r="BC49" i="135"/>
  <c r="AX49" i="135"/>
  <c r="O9" i="131"/>
  <c r="O6" i="131"/>
  <c r="O7" i="131"/>
  <c r="O5" i="131"/>
  <c r="C10" i="118"/>
  <c r="C16" i="118"/>
  <c r="C15" i="118"/>
  <c r="C13" i="118"/>
  <c r="C11" i="118"/>
  <c r="C14" i="118"/>
  <c r="C17" i="118"/>
  <c r="C12" i="118"/>
  <c r="M6" i="131" l="1"/>
  <c r="Q227" i="135"/>
  <c r="K5" i="131"/>
  <c r="AX227" i="135"/>
  <c r="AQ227" i="135" s="1"/>
  <c r="BI227" i="135"/>
  <c r="BQ227" i="135"/>
  <c r="T229" i="135"/>
  <c r="AI229" i="135" s="1"/>
  <c r="AL229" i="135"/>
  <c r="V229" i="135"/>
  <c r="U229" i="135"/>
  <c r="AK229" i="135"/>
  <c r="AD228" i="135"/>
  <c r="AH228" i="135"/>
  <c r="Z228" i="135"/>
  <c r="Y228" i="135"/>
  <c r="AG228" i="135"/>
  <c r="AC228" i="135"/>
  <c r="AI228" i="135"/>
  <c r="AB228" i="135"/>
  <c r="AJ228" i="135"/>
  <c r="AF228" i="135"/>
  <c r="AM228" i="135" s="1"/>
  <c r="X228" i="135"/>
  <c r="C230" i="135"/>
  <c r="CA228" i="135"/>
  <c r="DK228" i="135"/>
  <c r="BQ25" i="135"/>
  <c r="BX25" i="135"/>
  <c r="AX25" i="135"/>
  <c r="BI25" i="135"/>
  <c r="AV25" i="135"/>
  <c r="BN25" i="135"/>
  <c r="CA25" i="135"/>
  <c r="BH25" i="135"/>
  <c r="AU25" i="135"/>
  <c r="BC25" i="135"/>
  <c r="BY214" i="135"/>
  <c r="AW214" i="135"/>
  <c r="AQ214" i="135" s="1"/>
  <c r="BP225" i="135"/>
  <c r="AW226" i="135"/>
  <c r="AQ226" i="135" s="1"/>
  <c r="BD225" i="135"/>
  <c r="BD70" i="135"/>
  <c r="BP226" i="135"/>
  <c r="AN221" i="135"/>
  <c r="Q221" i="135" s="1"/>
  <c r="AW222" i="135"/>
  <c r="AQ222" i="135" s="1"/>
  <c r="BP53" i="135"/>
  <c r="BD221" i="135"/>
  <c r="AQ70" i="135"/>
  <c r="AN70" i="135"/>
  <c r="Q70" i="135" s="1"/>
  <c r="BD214" i="135"/>
  <c r="AN214" i="135"/>
  <c r="Q214" i="135" s="1"/>
  <c r="AN225" i="135"/>
  <c r="Q225" i="135" s="1"/>
  <c r="AW225" i="135"/>
  <c r="AQ225" i="135" s="1"/>
  <c r="BP70" i="135"/>
  <c r="BY226" i="135"/>
  <c r="AN226" i="135"/>
  <c r="Q226" i="135" s="1"/>
  <c r="BY221" i="135"/>
  <c r="BD222" i="135"/>
  <c r="BY70" i="135"/>
  <c r="AN53" i="135"/>
  <c r="Q53" i="135" s="1"/>
  <c r="BD53" i="135"/>
  <c r="BP221" i="135"/>
  <c r="AN222" i="135"/>
  <c r="Q222" i="135" s="1"/>
  <c r="BY53" i="135"/>
  <c r="BP222" i="135"/>
  <c r="AQ106" i="135"/>
  <c r="AQ109" i="135"/>
  <c r="AQ61" i="135"/>
  <c r="BN22" i="135"/>
  <c r="AN112" i="135"/>
  <c r="Q112" i="135" s="1"/>
  <c r="AH113" i="135"/>
  <c r="AI113" i="135"/>
  <c r="AG64" i="135"/>
  <c r="X113" i="135"/>
  <c r="CA113" i="135" s="1"/>
  <c r="Y113" i="135"/>
  <c r="DK113" i="135" s="1"/>
  <c r="Y64" i="135"/>
  <c r="AW112" i="135"/>
  <c r="AJ64" i="135"/>
  <c r="AG113" i="135"/>
  <c r="AC113" i="135"/>
  <c r="AF64" i="135"/>
  <c r="BP112" i="135"/>
  <c r="AJ114" i="135"/>
  <c r="AL114" i="135"/>
  <c r="U114" i="135"/>
  <c r="V114" i="135"/>
  <c r="AG114" i="135" s="1"/>
  <c r="AK114" i="135"/>
  <c r="AJ113" i="135"/>
  <c r="Z113" i="135"/>
  <c r="AB113" i="135"/>
  <c r="AH64" i="135"/>
  <c r="Z64" i="135"/>
  <c r="AC64" i="135"/>
  <c r="AI64" i="135"/>
  <c r="AL65" i="135"/>
  <c r="AJ65" i="135"/>
  <c r="U65" i="135"/>
  <c r="V65" i="135"/>
  <c r="AK65" i="135"/>
  <c r="X64" i="135"/>
  <c r="AB64" i="135"/>
  <c r="AD64" i="135"/>
  <c r="AV112" i="135"/>
  <c r="BC112" i="135"/>
  <c r="BH112" i="135"/>
  <c r="BX112" i="135"/>
  <c r="BY112" i="135"/>
  <c r="AD113" i="135"/>
  <c r="BI112" i="135"/>
  <c r="AQ218" i="135"/>
  <c r="AX112" i="135"/>
  <c r="AQ223" i="135"/>
  <c r="BQ112" i="135"/>
  <c r="AQ217" i="135"/>
  <c r="AQ219" i="135"/>
  <c r="AQ224" i="135"/>
  <c r="AQ216" i="135"/>
  <c r="AQ220" i="135"/>
  <c r="AQ221" i="135"/>
  <c r="AQ107" i="135"/>
  <c r="C115" i="135"/>
  <c r="T115" i="135" s="1"/>
  <c r="AM113" i="135"/>
  <c r="AQ72" i="135"/>
  <c r="BY69" i="135"/>
  <c r="BD69" i="135"/>
  <c r="AW69" i="135"/>
  <c r="AQ69" i="135" s="1"/>
  <c r="BP69" i="135"/>
  <c r="AN69" i="135"/>
  <c r="Q69" i="135" s="1"/>
  <c r="BY71" i="135"/>
  <c r="AN71" i="135"/>
  <c r="Q71" i="135" s="1"/>
  <c r="BP71" i="135"/>
  <c r="AW71" i="135"/>
  <c r="AQ71" i="135" s="1"/>
  <c r="BD71" i="135"/>
  <c r="K7" i="131"/>
  <c r="M7" i="131"/>
  <c r="K6" i="131"/>
  <c r="M5" i="131"/>
  <c r="AU21" i="135"/>
  <c r="Q63" i="135"/>
  <c r="AX63" i="135"/>
  <c r="AQ63" i="135" s="1"/>
  <c r="BQ63" i="135"/>
  <c r="BI63" i="135"/>
  <c r="AW51" i="135"/>
  <c r="AQ51" i="135" s="1"/>
  <c r="AV21" i="135"/>
  <c r="AW49" i="135"/>
  <c r="BP49" i="135"/>
  <c r="BY49" i="135"/>
  <c r="AN49" i="135"/>
  <c r="Q49" i="135" s="1"/>
  <c r="BC23" i="135"/>
  <c r="AN51" i="135"/>
  <c r="Q51" i="135" s="1"/>
  <c r="BH22" i="135"/>
  <c r="BD51" i="135"/>
  <c r="BI22" i="135"/>
  <c r="BI23" i="135"/>
  <c r="BP51" i="135"/>
  <c r="AV23" i="135"/>
  <c r="AX22" i="135"/>
  <c r="BQ23" i="135"/>
  <c r="BQ22" i="135"/>
  <c r="AQ53" i="135"/>
  <c r="AX23" i="135"/>
  <c r="BX23" i="135"/>
  <c r="BH23" i="135"/>
  <c r="BC22" i="135"/>
  <c r="AV22" i="135"/>
  <c r="AU23" i="135"/>
  <c r="BX22" i="135"/>
  <c r="BN23" i="135"/>
  <c r="AQ55" i="135"/>
  <c r="AQ56" i="135"/>
  <c r="BD62" i="135"/>
  <c r="BY62" i="135"/>
  <c r="AN62" i="135"/>
  <c r="Q62" i="135" s="1"/>
  <c r="BP62" i="135"/>
  <c r="AW62" i="135"/>
  <c r="AQ60" i="135"/>
  <c r="AQ54" i="135"/>
  <c r="AQ59" i="135"/>
  <c r="AQ50" i="135"/>
  <c r="AQ52" i="135"/>
  <c r="AQ57" i="135"/>
  <c r="AX21" i="135"/>
  <c r="BC21" i="135"/>
  <c r="BH21" i="135"/>
  <c r="BI21" i="135"/>
  <c r="BQ21" i="135"/>
  <c r="BN21" i="135"/>
  <c r="BX21" i="135"/>
  <c r="AC229" i="135" l="1"/>
  <c r="AF229" i="135"/>
  <c r="AM229" i="135" s="1"/>
  <c r="BD229" i="135" s="1"/>
  <c r="Y229" i="135"/>
  <c r="AH229" i="135"/>
  <c r="AJ229" i="135"/>
  <c r="AU229" i="135" s="1"/>
  <c r="AD229" i="135"/>
  <c r="AB229" i="135"/>
  <c r="Z229" i="135"/>
  <c r="AG229" i="135"/>
  <c r="X229" i="135"/>
  <c r="C231" i="135"/>
  <c r="AV228" i="135"/>
  <c r="BX228" i="135"/>
  <c r="BC228" i="135"/>
  <c r="BH228" i="135"/>
  <c r="BX229" i="135"/>
  <c r="BC229" i="135"/>
  <c r="BH229" i="135"/>
  <c r="AV229" i="135"/>
  <c r="BD228" i="135"/>
  <c r="BY228" i="135"/>
  <c r="BP228" i="135"/>
  <c r="AW228" i="135"/>
  <c r="AN228" i="135"/>
  <c r="Q228" i="135" s="1"/>
  <c r="T230" i="135"/>
  <c r="AF230" i="135" s="1"/>
  <c r="AM230" i="135" s="1"/>
  <c r="V230" i="135"/>
  <c r="AL230" i="135"/>
  <c r="U230" i="135"/>
  <c r="AK230" i="135"/>
  <c r="BN228" i="135"/>
  <c r="AU228" i="135"/>
  <c r="BI228" i="135"/>
  <c r="BQ228" i="135"/>
  <c r="AX228" i="135"/>
  <c r="DK229" i="135"/>
  <c r="CA229" i="135"/>
  <c r="L6" i="131"/>
  <c r="L9" i="131"/>
  <c r="N9" i="131" s="1"/>
  <c r="AG65" i="135"/>
  <c r="AQ112" i="135"/>
  <c r="AC114" i="135"/>
  <c r="AB65" i="135"/>
  <c r="AI65" i="135"/>
  <c r="AH65" i="135"/>
  <c r="AI114" i="135"/>
  <c r="AV114" i="135" s="1"/>
  <c r="Y65" i="135"/>
  <c r="Z65" i="135"/>
  <c r="AC65" i="135"/>
  <c r="X114" i="135"/>
  <c r="CA114" i="135" s="1"/>
  <c r="AH114" i="135"/>
  <c r="Z114" i="135"/>
  <c r="X65" i="135"/>
  <c r="AD65" i="135"/>
  <c r="AF65" i="135"/>
  <c r="AM65" i="135" s="1"/>
  <c r="BP65" i="135" s="1"/>
  <c r="AB114" i="135"/>
  <c r="AF114" i="135"/>
  <c r="AM114" i="135" s="1"/>
  <c r="AW114" i="135" s="1"/>
  <c r="AD114" i="135"/>
  <c r="U115" i="135"/>
  <c r="AL115" i="135"/>
  <c r="V115" i="135"/>
  <c r="AJ115" i="135"/>
  <c r="AK115" i="135"/>
  <c r="Y114" i="135"/>
  <c r="DK114" i="135" s="1"/>
  <c r="AU114" i="135"/>
  <c r="AU113" i="135"/>
  <c r="BN113" i="135"/>
  <c r="BI113" i="135"/>
  <c r="BQ113" i="135"/>
  <c r="AX113" i="135"/>
  <c r="BD113" i="135"/>
  <c r="BP113" i="135"/>
  <c r="AN113" i="135"/>
  <c r="Q113" i="135" s="1"/>
  <c r="BY113" i="135"/>
  <c r="AW113" i="135"/>
  <c r="BC113" i="135"/>
  <c r="BH113" i="135"/>
  <c r="AV113" i="135"/>
  <c r="BX113" i="135"/>
  <c r="C116" i="135"/>
  <c r="T116" i="135" s="1"/>
  <c r="L7" i="131"/>
  <c r="N7" i="131" s="1"/>
  <c r="L5" i="131"/>
  <c r="N5" i="131" s="1"/>
  <c r="BC64" i="135"/>
  <c r="AX64" i="135"/>
  <c r="BN64" i="135"/>
  <c r="BH64" i="135"/>
  <c r="BX64" i="135"/>
  <c r="AV64" i="135"/>
  <c r="BQ64" i="135"/>
  <c r="BI64" i="135"/>
  <c r="AQ62" i="135"/>
  <c r="AM64" i="135"/>
  <c r="BD64" i="135" s="1"/>
  <c r="AU64" i="135"/>
  <c r="AU65" i="135"/>
  <c r="C66" i="135"/>
  <c r="T66" i="135" s="1"/>
  <c r="D10" i="230"/>
  <c r="BN229" i="135" l="1"/>
  <c r="BI229" i="135"/>
  <c r="AW229" i="135"/>
  <c r="BY229" i="135"/>
  <c r="AN229" i="135"/>
  <c r="Q229" i="135" s="1"/>
  <c r="BP229" i="135"/>
  <c r="AX229" i="135"/>
  <c r="BQ229" i="135"/>
  <c r="AI230" i="135"/>
  <c r="AV230" i="135" s="1"/>
  <c r="Z230" i="135"/>
  <c r="AB230" i="135"/>
  <c r="X230" i="135"/>
  <c r="AH230" i="135"/>
  <c r="AJ230" i="135"/>
  <c r="Y230" i="135"/>
  <c r="AG230" i="135"/>
  <c r="AQ228" i="135"/>
  <c r="CA230" i="135"/>
  <c r="DK230" i="135"/>
  <c r="AW230" i="135"/>
  <c r="BD230" i="135"/>
  <c r="BY230" i="135"/>
  <c r="BP230" i="135"/>
  <c r="AL231" i="135"/>
  <c r="V231" i="135"/>
  <c r="AK231" i="135"/>
  <c r="T231" i="135"/>
  <c r="U231" i="135"/>
  <c r="AC230" i="135"/>
  <c r="AD230" i="135"/>
  <c r="C232" i="135"/>
  <c r="P9" i="131"/>
  <c r="F22" i="235" s="1"/>
  <c r="AC22" i="235" s="1"/>
  <c r="N6" i="131"/>
  <c r="P6" i="131" s="1"/>
  <c r="F19" i="235" s="1"/>
  <c r="AC19" i="235" s="1"/>
  <c r="P7" i="131"/>
  <c r="F20" i="235" s="1"/>
  <c r="AC20" i="235" s="1"/>
  <c r="BD114" i="135"/>
  <c r="AW65" i="135"/>
  <c r="BP114" i="135"/>
  <c r="AG115" i="135"/>
  <c r="AH115" i="135"/>
  <c r="BY65" i="135"/>
  <c r="Y115" i="135"/>
  <c r="DK115" i="135" s="1"/>
  <c r="AC115" i="135"/>
  <c r="BD65" i="135"/>
  <c r="U66" i="135"/>
  <c r="V66" i="135"/>
  <c r="AI66" i="135"/>
  <c r="AL66" i="135"/>
  <c r="AK66" i="135"/>
  <c r="BY114" i="135"/>
  <c r="AF115" i="135"/>
  <c r="AM115" i="135" s="1"/>
  <c r="BD115" i="135" s="1"/>
  <c r="Z115" i="135"/>
  <c r="AB115" i="135"/>
  <c r="AD115" i="135"/>
  <c r="AL116" i="135"/>
  <c r="U116" i="135"/>
  <c r="AI116" i="135"/>
  <c r="V116" i="135"/>
  <c r="AK116" i="135"/>
  <c r="X115" i="135"/>
  <c r="CA115" i="135" s="1"/>
  <c r="AI115" i="135"/>
  <c r="BC114" i="135"/>
  <c r="AN114" i="135"/>
  <c r="Q114" i="135" s="1"/>
  <c r="BX114" i="135"/>
  <c r="BH114" i="135"/>
  <c r="BI114" i="135"/>
  <c r="BN114" i="135"/>
  <c r="BQ114" i="135"/>
  <c r="AX114" i="135"/>
  <c r="AQ114" i="135" s="1"/>
  <c r="AQ113" i="135"/>
  <c r="C117" i="135"/>
  <c r="T117" i="135" s="1"/>
  <c r="AM21" i="135"/>
  <c r="BY21" i="135" s="1"/>
  <c r="P5" i="131"/>
  <c r="AM25" i="135"/>
  <c r="BP25" i="135" s="1"/>
  <c r="AN65" i="135"/>
  <c r="Q65" i="135" s="1"/>
  <c r="BX65" i="135"/>
  <c r="BH65" i="135"/>
  <c r="BC65" i="135"/>
  <c r="AV65" i="135"/>
  <c r="BP64" i="135"/>
  <c r="BI65" i="135"/>
  <c r="BY64" i="135"/>
  <c r="BN65" i="135"/>
  <c r="AN64" i="135"/>
  <c r="Q64" i="135" s="1"/>
  <c r="BQ65" i="135"/>
  <c r="AW64" i="135"/>
  <c r="AX65" i="135"/>
  <c r="C67" i="135"/>
  <c r="T67" i="135" s="1"/>
  <c r="D11" i="230"/>
  <c r="D9" i="230"/>
  <c r="D8" i="230"/>
  <c r="D4" i="230"/>
  <c r="D3" i="230"/>
  <c r="D12" i="230"/>
  <c r="AQ229" i="135" l="1"/>
  <c r="X231" i="135"/>
  <c r="AN230" i="135"/>
  <c r="Q230" i="135" s="1"/>
  <c r="BH230" i="135"/>
  <c r="BC230" i="135"/>
  <c r="BX230" i="135"/>
  <c r="AB231" i="135"/>
  <c r="Z231" i="135"/>
  <c r="AD231" i="135"/>
  <c r="AF231" i="135"/>
  <c r="AM231" i="135" s="1"/>
  <c r="BY231" i="135" s="1"/>
  <c r="Y231" i="135"/>
  <c r="AC231" i="135"/>
  <c r="AI231" i="135"/>
  <c r="AG231" i="135"/>
  <c r="AU230" i="135"/>
  <c r="BN230" i="135"/>
  <c r="T232" i="135"/>
  <c r="AL232" i="135"/>
  <c r="V232" i="135"/>
  <c r="U232" i="135"/>
  <c r="AK232" i="135"/>
  <c r="BQ230" i="135"/>
  <c r="BI230" i="135"/>
  <c r="AX230" i="135"/>
  <c r="AQ230" i="135" s="1"/>
  <c r="C233" i="135"/>
  <c r="AJ231" i="135"/>
  <c r="AH231" i="135"/>
  <c r="DK231" i="135"/>
  <c r="CA231" i="135"/>
  <c r="F18" i="235"/>
  <c r="AC18" i="235" s="1"/>
  <c r="AM22" i="135"/>
  <c r="AW22" i="135" s="1"/>
  <c r="AQ22" i="135" s="1"/>
  <c r="AM23" i="135"/>
  <c r="BY23" i="135" s="1"/>
  <c r="AB66" i="135"/>
  <c r="Y66" i="135"/>
  <c r="AH66" i="135"/>
  <c r="Z66" i="135"/>
  <c r="X116" i="135"/>
  <c r="CA116" i="135" s="1"/>
  <c r="Z116" i="135"/>
  <c r="AH116" i="135"/>
  <c r="AB116" i="135"/>
  <c r="X66" i="135"/>
  <c r="AC66" i="135"/>
  <c r="AC116" i="135"/>
  <c r="U117" i="135"/>
  <c r="AL117" i="135"/>
  <c r="AI117" i="135"/>
  <c r="V117" i="135"/>
  <c r="AK117" i="135"/>
  <c r="AF116" i="135"/>
  <c r="AM116" i="135" s="1"/>
  <c r="Y116" i="135"/>
  <c r="DK116" i="135" s="1"/>
  <c r="AJ116" i="135"/>
  <c r="AJ66" i="135"/>
  <c r="AG66" i="135"/>
  <c r="AJ67" i="135"/>
  <c r="U67" i="135"/>
  <c r="V67" i="135"/>
  <c r="AL67" i="135"/>
  <c r="AK67" i="135"/>
  <c r="AG116" i="135"/>
  <c r="AD116" i="135"/>
  <c r="AF66" i="135"/>
  <c r="AD66" i="135"/>
  <c r="BY115" i="135"/>
  <c r="AN115" i="135"/>
  <c r="Q115" i="135" s="1"/>
  <c r="AW115" i="135"/>
  <c r="BP115" i="135"/>
  <c r="AV116" i="135"/>
  <c r="C118" i="135"/>
  <c r="T118" i="135" s="1"/>
  <c r="BX115" i="135"/>
  <c r="BH115" i="135"/>
  <c r="AV115" i="135"/>
  <c r="BC115" i="135"/>
  <c r="AX115" i="135"/>
  <c r="BQ115" i="135"/>
  <c r="BI115" i="135"/>
  <c r="AU115" i="135"/>
  <c r="BN115" i="135"/>
  <c r="BD21" i="135"/>
  <c r="AW21" i="135"/>
  <c r="AQ21" i="135" s="1"/>
  <c r="AN21" i="135"/>
  <c r="Q21" i="135" s="1"/>
  <c r="D2" i="230" s="1"/>
  <c r="BP21" i="135"/>
  <c r="BD25" i="135"/>
  <c r="BY25" i="135"/>
  <c r="AN25" i="135"/>
  <c r="Q25" i="135" s="1"/>
  <c r="AW25" i="135"/>
  <c r="AQ65" i="135"/>
  <c r="AQ64" i="135"/>
  <c r="C68" i="135"/>
  <c r="T68" i="135" s="1"/>
  <c r="D7" i="230"/>
  <c r="D6" i="230"/>
  <c r="D5" i="230"/>
  <c r="AH232" i="135" l="1"/>
  <c r="Y232" i="135"/>
  <c r="AJ232" i="135"/>
  <c r="BN232" i="135" s="1"/>
  <c r="Z232" i="135"/>
  <c r="AI232" i="135"/>
  <c r="BC232" i="135" s="1"/>
  <c r="AF232" i="135"/>
  <c r="AM232" i="135" s="1"/>
  <c r="BP232" i="135" s="1"/>
  <c r="AG232" i="135"/>
  <c r="AD232" i="135"/>
  <c r="AB232" i="135"/>
  <c r="AC232" i="135"/>
  <c r="X232" i="135"/>
  <c r="AN231" i="135"/>
  <c r="Q231" i="135" s="1"/>
  <c r="AW231" i="135"/>
  <c r="BD231" i="135"/>
  <c r="BP231" i="135"/>
  <c r="AU231" i="135"/>
  <c r="BN231" i="135"/>
  <c r="AK233" i="135"/>
  <c r="T233" i="135"/>
  <c r="AF233" i="135" s="1"/>
  <c r="AM233" i="135" s="1"/>
  <c r="U233" i="135"/>
  <c r="AL233" i="135"/>
  <c r="V233" i="135"/>
  <c r="C234" i="135"/>
  <c r="AX231" i="135"/>
  <c r="BI231" i="135"/>
  <c r="BQ231" i="135"/>
  <c r="CA232" i="135"/>
  <c r="DK232" i="135"/>
  <c r="BH231" i="135"/>
  <c r="AV231" i="135"/>
  <c r="BC231" i="135"/>
  <c r="BX231" i="135"/>
  <c r="BD22" i="135"/>
  <c r="BP22" i="135"/>
  <c r="AN22" i="135"/>
  <c r="Q22" i="135" s="1"/>
  <c r="BY22" i="135"/>
  <c r="BD23" i="135"/>
  <c r="BP23" i="135"/>
  <c r="AN23" i="135"/>
  <c r="Q23" i="135" s="1"/>
  <c r="AW23" i="135"/>
  <c r="AQ23" i="135" s="1"/>
  <c r="AM66" i="135"/>
  <c r="BY66" i="135" s="1"/>
  <c r="AG117" i="135"/>
  <c r="AB117" i="135"/>
  <c r="AB67" i="135"/>
  <c r="X117" i="135"/>
  <c r="CA117" i="135" s="1"/>
  <c r="AG67" i="135"/>
  <c r="Y117" i="135"/>
  <c r="DK117" i="135" s="1"/>
  <c r="AF117" i="135"/>
  <c r="AJ117" i="135"/>
  <c r="AH117" i="135"/>
  <c r="AC117" i="135"/>
  <c r="V68" i="135"/>
  <c r="U68" i="135"/>
  <c r="AL68" i="135"/>
  <c r="AK68" i="135"/>
  <c r="AI68" i="135"/>
  <c r="AL118" i="135"/>
  <c r="AK118" i="135"/>
  <c r="V118" i="135"/>
  <c r="U118" i="135"/>
  <c r="Y67" i="135"/>
  <c r="Z67" i="135"/>
  <c r="AI67" i="135"/>
  <c r="AD67" i="135"/>
  <c r="AD117" i="135"/>
  <c r="AF67" i="135"/>
  <c r="X67" i="135"/>
  <c r="AH67" i="135"/>
  <c r="AC67" i="135"/>
  <c r="Z117" i="135"/>
  <c r="BC116" i="135"/>
  <c r="BH116" i="135"/>
  <c r="AQ115" i="135"/>
  <c r="BX116" i="135"/>
  <c r="BY116" i="135"/>
  <c r="AW116" i="135"/>
  <c r="BD116" i="135"/>
  <c r="BP116" i="135"/>
  <c r="AN116" i="135"/>
  <c r="Q116" i="135" s="1"/>
  <c r="BN116" i="135"/>
  <c r="AU116" i="135"/>
  <c r="C119" i="135"/>
  <c r="T119" i="135" s="1"/>
  <c r="AX116" i="135"/>
  <c r="BI116" i="135"/>
  <c r="BQ116" i="135"/>
  <c r="AQ25" i="135"/>
  <c r="BH66" i="135"/>
  <c r="AU66" i="135"/>
  <c r="BN66" i="135"/>
  <c r="BQ66" i="135"/>
  <c r="AV66" i="135"/>
  <c r="BI66" i="135"/>
  <c r="BX66" i="135"/>
  <c r="AX66" i="135"/>
  <c r="BC66" i="135"/>
  <c r="AU67" i="135"/>
  <c r="BN67" i="135"/>
  <c r="A5" i="230"/>
  <c r="A6" i="230"/>
  <c r="A3" i="230"/>
  <c r="A10" i="230"/>
  <c r="A8" i="230"/>
  <c r="A7" i="230"/>
  <c r="A9" i="230"/>
  <c r="A12" i="230"/>
  <c r="A11" i="230"/>
  <c r="A4" i="230"/>
  <c r="AI233" i="135" l="1"/>
  <c r="BH233" i="135" s="1"/>
  <c r="AU232" i="135"/>
  <c r="BQ232" i="135"/>
  <c r="AX232" i="135"/>
  <c r="BI232" i="135"/>
  <c r="BH232" i="135"/>
  <c r="AN232" i="135"/>
  <c r="Q232" i="135" s="1"/>
  <c r="AW232" i="135"/>
  <c r="BD232" i="135"/>
  <c r="BY232" i="135"/>
  <c r="AJ233" i="135"/>
  <c r="BN233" i="135" s="1"/>
  <c r="AV232" i="135"/>
  <c r="AQ231" i="135"/>
  <c r="BX232" i="135"/>
  <c r="Y233" i="135"/>
  <c r="AH233" i="135"/>
  <c r="AB233" i="135"/>
  <c r="X233" i="135"/>
  <c r="AC233" i="135"/>
  <c r="AG233" i="135"/>
  <c r="BQ233" i="135" s="1"/>
  <c r="Z233" i="135"/>
  <c r="AW233" i="135"/>
  <c r="BP233" i="135"/>
  <c r="BY233" i="135"/>
  <c r="BD233" i="135"/>
  <c r="AD233" i="135"/>
  <c r="CA233" i="135"/>
  <c r="DK233" i="135"/>
  <c r="T234" i="135"/>
  <c r="AJ234" i="135" s="1"/>
  <c r="AL234" i="135"/>
  <c r="AK234" i="135"/>
  <c r="U234" i="135"/>
  <c r="V234" i="135"/>
  <c r="C235" i="135"/>
  <c r="O8" i="131"/>
  <c r="BX67" i="135"/>
  <c r="AI24" i="135"/>
  <c r="BP66" i="135"/>
  <c r="AN66" i="135"/>
  <c r="Q66" i="135" s="1"/>
  <c r="BD66" i="135"/>
  <c r="AW66" i="135"/>
  <c r="AQ66" i="135" s="1"/>
  <c r="AF68" i="135"/>
  <c r="AF24" i="135" s="1"/>
  <c r="Z118" i="135"/>
  <c r="AG68" i="135"/>
  <c r="AH118" i="135"/>
  <c r="AC68" i="135"/>
  <c r="Y68" i="135"/>
  <c r="X68" i="135"/>
  <c r="AJ68" i="135"/>
  <c r="AJ24" i="135" s="1"/>
  <c r="AB118" i="135"/>
  <c r="AD68" i="135"/>
  <c r="AB68" i="135"/>
  <c r="Y118" i="135"/>
  <c r="DK118" i="135" s="1"/>
  <c r="AJ118" i="135"/>
  <c r="AF118" i="135"/>
  <c r="AI118" i="135"/>
  <c r="X118" i="135"/>
  <c r="CA118" i="135" s="1"/>
  <c r="AD118" i="135"/>
  <c r="AH68" i="135"/>
  <c r="Z68" i="135"/>
  <c r="AG118" i="135"/>
  <c r="AL119" i="135"/>
  <c r="AJ119" i="135"/>
  <c r="V119" i="135"/>
  <c r="U119" i="135"/>
  <c r="AK119" i="135"/>
  <c r="AC118" i="135"/>
  <c r="BQ117" i="135"/>
  <c r="BN117" i="135"/>
  <c r="AU117" i="135"/>
  <c r="BI117" i="135"/>
  <c r="AX117" i="135"/>
  <c r="BC117" i="135"/>
  <c r="BH117" i="135"/>
  <c r="BX117" i="135"/>
  <c r="AV117" i="135"/>
  <c r="C120" i="135"/>
  <c r="T120" i="135" s="1"/>
  <c r="AQ116" i="135"/>
  <c r="AM117" i="135"/>
  <c r="AX67" i="135"/>
  <c r="BC67" i="135"/>
  <c r="AV67" i="135"/>
  <c r="BH67" i="135"/>
  <c r="BQ67" i="135"/>
  <c r="AM67" i="135"/>
  <c r="BD67" i="135" s="1"/>
  <c r="BI67" i="135"/>
  <c r="BC68" i="135"/>
  <c r="AV68" i="135"/>
  <c r="BX68" i="135"/>
  <c r="BH68" i="135"/>
  <c r="AQ232" i="135" l="1"/>
  <c r="BC233" i="135"/>
  <c r="BX233" i="135"/>
  <c r="AV233" i="135"/>
  <c r="AN233" i="135"/>
  <c r="Q233" i="135" s="1"/>
  <c r="L8" i="131"/>
  <c r="N8" i="131" s="1"/>
  <c r="AX233" i="135"/>
  <c r="AQ233" i="135" s="1"/>
  <c r="BI233" i="135"/>
  <c r="AF234" i="135"/>
  <c r="AM234" i="135" s="1"/>
  <c r="BY234" i="135" s="1"/>
  <c r="AU233" i="135"/>
  <c r="AD234" i="135"/>
  <c r="Y234" i="135"/>
  <c r="Z234" i="135"/>
  <c r="AB234" i="135"/>
  <c r="AG234" i="135"/>
  <c r="AH234" i="135"/>
  <c r="V235" i="135"/>
  <c r="AK235" i="135"/>
  <c r="T235" i="135"/>
  <c r="AF235" i="135" s="1"/>
  <c r="AM235" i="135" s="1"/>
  <c r="U235" i="135"/>
  <c r="AL235" i="135"/>
  <c r="BN234" i="135"/>
  <c r="AU234" i="135"/>
  <c r="C236" i="135"/>
  <c r="X234" i="135"/>
  <c r="AI234" i="135"/>
  <c r="AC234" i="135"/>
  <c r="DK234" i="135"/>
  <c r="CA234" i="135"/>
  <c r="AV24" i="135"/>
  <c r="BH24" i="135"/>
  <c r="BC24" i="135"/>
  <c r="AB24" i="135"/>
  <c r="AC24" i="135"/>
  <c r="AH24" i="135"/>
  <c r="Y24" i="135"/>
  <c r="E21" i="235" s="1"/>
  <c r="Z21" i="235" s="1"/>
  <c r="BX24" i="135"/>
  <c r="AM68" i="135"/>
  <c r="BY68" i="135" s="1"/>
  <c r="AC119" i="135"/>
  <c r="AD119" i="135"/>
  <c r="AG119" i="135"/>
  <c r="AH119" i="135"/>
  <c r="AF119" i="135"/>
  <c r="X119" i="135"/>
  <c r="CA119" i="135" s="1"/>
  <c r="AI119" i="135"/>
  <c r="Z119" i="135"/>
  <c r="Y119" i="135"/>
  <c r="DK119" i="135" s="1"/>
  <c r="U120" i="135"/>
  <c r="AF120" i="135"/>
  <c r="AL120" i="135"/>
  <c r="AK120" i="135"/>
  <c r="V120" i="135"/>
  <c r="AB119" i="135"/>
  <c r="AU118" i="135"/>
  <c r="BN118" i="135"/>
  <c r="BI118" i="135"/>
  <c r="AX118" i="135"/>
  <c r="BQ118" i="135"/>
  <c r="AN117" i="135"/>
  <c r="Q117" i="135" s="1"/>
  <c r="BY117" i="135"/>
  <c r="BP117" i="135"/>
  <c r="BD117" i="135"/>
  <c r="AW117" i="135"/>
  <c r="AQ117" i="135" s="1"/>
  <c r="AM118" i="135"/>
  <c r="C121" i="135"/>
  <c r="T121" i="135" s="1"/>
  <c r="AU119" i="135"/>
  <c r="BN119" i="135"/>
  <c r="BH118" i="135"/>
  <c r="BX118" i="135"/>
  <c r="BC118" i="135"/>
  <c r="AV118" i="135"/>
  <c r="AU68" i="135"/>
  <c r="AU24" i="135" s="1"/>
  <c r="BN68" i="135"/>
  <c r="BN24" i="135" s="1"/>
  <c r="BY67" i="135"/>
  <c r="BP67" i="135"/>
  <c r="AN67" i="135"/>
  <c r="Q67" i="135" s="1"/>
  <c r="AW67" i="135"/>
  <c r="AQ67" i="135" s="1"/>
  <c r="AX68" i="135"/>
  <c r="BQ68" i="135"/>
  <c r="BI68" i="135"/>
  <c r="AW234" i="135" l="1"/>
  <c r="BP234" i="135"/>
  <c r="BD234" i="135"/>
  <c r="AI235" i="135"/>
  <c r="AN235" i="135" s="1"/>
  <c r="AH235" i="135"/>
  <c r="AJ235" i="135"/>
  <c r="AU235" i="135" s="1"/>
  <c r="AG235" i="135"/>
  <c r="Y235" i="135"/>
  <c r="AD235" i="135"/>
  <c r="AB235" i="135"/>
  <c r="X235" i="135"/>
  <c r="AC235" i="135"/>
  <c r="Z235" i="135"/>
  <c r="T236" i="135"/>
  <c r="AF236" i="135" s="1"/>
  <c r="AM236" i="135" s="1"/>
  <c r="U236" i="135"/>
  <c r="V236" i="135"/>
  <c r="AL236" i="135"/>
  <c r="AK236" i="135"/>
  <c r="BC234" i="135"/>
  <c r="BH234" i="135"/>
  <c r="AV234" i="135"/>
  <c r="BX234" i="135"/>
  <c r="C237" i="135"/>
  <c r="BY235" i="135"/>
  <c r="BD235" i="135"/>
  <c r="BP235" i="135"/>
  <c r="AW235" i="135"/>
  <c r="BI234" i="135"/>
  <c r="AX234" i="135"/>
  <c r="BQ234" i="135"/>
  <c r="AN234" i="135"/>
  <c r="Q234" i="135" s="1"/>
  <c r="DK235" i="135"/>
  <c r="CA235" i="135"/>
  <c r="BP68" i="135"/>
  <c r="BD68" i="135"/>
  <c r="AN68" i="135"/>
  <c r="Q68" i="135" s="1"/>
  <c r="AW68" i="135"/>
  <c r="AQ68" i="135" s="1"/>
  <c r="AM119" i="135"/>
  <c r="BP119" i="135" s="1"/>
  <c r="AD120" i="135"/>
  <c r="AJ120" i="135"/>
  <c r="X120" i="135"/>
  <c r="CA120" i="135" s="1"/>
  <c r="Y120" i="135"/>
  <c r="DK120" i="135" s="1"/>
  <c r="AI120" i="135"/>
  <c r="AL121" i="135"/>
  <c r="U121" i="135"/>
  <c r="AK121" i="135"/>
  <c r="V121" i="135"/>
  <c r="AF121" i="135"/>
  <c r="AH120" i="135"/>
  <c r="AC120" i="135"/>
  <c r="AG120" i="135"/>
  <c r="Z120" i="135"/>
  <c r="AB120" i="135"/>
  <c r="BP118" i="135"/>
  <c r="AN118" i="135"/>
  <c r="Q118" i="135" s="1"/>
  <c r="BD118" i="135"/>
  <c r="BY118" i="135"/>
  <c r="AW118" i="135"/>
  <c r="AQ118" i="135" s="1"/>
  <c r="AM120" i="135"/>
  <c r="BC119" i="135"/>
  <c r="BX119" i="135"/>
  <c r="AV119" i="135"/>
  <c r="BH119" i="135"/>
  <c r="C122" i="135"/>
  <c r="T122" i="135" s="1"/>
  <c r="BQ119" i="135"/>
  <c r="BI119" i="135"/>
  <c r="AX119" i="135"/>
  <c r="BI235" i="135" l="1"/>
  <c r="AQ234" i="135"/>
  <c r="BQ235" i="135"/>
  <c r="BX235" i="135"/>
  <c r="AV235" i="135"/>
  <c r="BC235" i="135"/>
  <c r="BH235" i="135"/>
  <c r="BN235" i="135"/>
  <c r="AX235" i="135"/>
  <c r="AQ235" i="135" s="1"/>
  <c r="Q235" i="135"/>
  <c r="AH236" i="135"/>
  <c r="AD236" i="135"/>
  <c r="AC236" i="135"/>
  <c r="AI236" i="135"/>
  <c r="X236" i="135"/>
  <c r="Z236" i="135"/>
  <c r="AB236" i="135"/>
  <c r="AJ236" i="135"/>
  <c r="AU236" i="135" s="1"/>
  <c r="AG236" i="135"/>
  <c r="Y236" i="135"/>
  <c r="T237" i="135"/>
  <c r="AJ237" i="135" s="1"/>
  <c r="AK237" i="135"/>
  <c r="V237" i="135"/>
  <c r="AL237" i="135"/>
  <c r="U237" i="135"/>
  <c r="C238" i="135"/>
  <c r="CA236" i="135"/>
  <c r="DK236" i="135"/>
  <c r="BD236" i="135"/>
  <c r="AW236" i="135"/>
  <c r="BY236" i="135"/>
  <c r="BP236" i="135"/>
  <c r="AN119" i="135"/>
  <c r="Q119" i="135" s="1"/>
  <c r="AW119" i="135"/>
  <c r="AQ119" i="135" s="1"/>
  <c r="BY119" i="135"/>
  <c r="BD119" i="135"/>
  <c r="AC121" i="135"/>
  <c r="AG121" i="135"/>
  <c r="AI121" i="135"/>
  <c r="AJ121" i="135"/>
  <c r="BN121" i="135" s="1"/>
  <c r="X121" i="135"/>
  <c r="CA121" i="135" s="1"/>
  <c r="Z121" i="135"/>
  <c r="Y121" i="135"/>
  <c r="DK121" i="135" s="1"/>
  <c r="AL122" i="135"/>
  <c r="AI122" i="135"/>
  <c r="V122" i="135"/>
  <c r="AK122" i="135"/>
  <c r="U122" i="135"/>
  <c r="AD121" i="135"/>
  <c r="AH121" i="135"/>
  <c r="AB121" i="135"/>
  <c r="BI120" i="135"/>
  <c r="AX120" i="135"/>
  <c r="BQ120" i="135"/>
  <c r="BD120" i="135"/>
  <c r="BP120" i="135"/>
  <c r="AW120" i="135"/>
  <c r="BY120" i="135"/>
  <c r="AN120" i="135"/>
  <c r="Q120" i="135" s="1"/>
  <c r="C123" i="135"/>
  <c r="T123" i="135" s="1"/>
  <c r="BH120" i="135"/>
  <c r="BC120" i="135"/>
  <c r="AV120" i="135"/>
  <c r="BX120" i="135"/>
  <c r="BN120" i="135"/>
  <c r="AU120" i="135"/>
  <c r="BC236" i="135" l="1"/>
  <c r="AI237" i="135"/>
  <c r="AV237" i="135" s="1"/>
  <c r="AF237" i="135"/>
  <c r="AM237" i="135" s="1"/>
  <c r="BP237" i="135" s="1"/>
  <c r="AV236" i="135"/>
  <c r="BH236" i="135"/>
  <c r="BN236" i="135"/>
  <c r="AN236" i="135"/>
  <c r="Q236" i="135" s="1"/>
  <c r="BX236" i="135"/>
  <c r="AX236" i="135"/>
  <c r="AQ236" i="135" s="1"/>
  <c r="BQ236" i="135"/>
  <c r="BI236" i="135"/>
  <c r="Y237" i="135"/>
  <c r="AC237" i="135"/>
  <c r="X237" i="135"/>
  <c r="AB237" i="135"/>
  <c r="AG237" i="135"/>
  <c r="Z237" i="135"/>
  <c r="AH237" i="135"/>
  <c r="AD237" i="135"/>
  <c r="BN237" i="135"/>
  <c r="AU237" i="135"/>
  <c r="U238" i="135"/>
  <c r="T238" i="135"/>
  <c r="AJ238" i="135" s="1"/>
  <c r="V238" i="135"/>
  <c r="AL238" i="135"/>
  <c r="AK238" i="135"/>
  <c r="DK237" i="135"/>
  <c r="CA237" i="135"/>
  <c r="C239" i="135"/>
  <c r="AJ122" i="135"/>
  <c r="AU122" i="135" s="1"/>
  <c r="AG122" i="135"/>
  <c r="AF122" i="135"/>
  <c r="AM122" i="135" s="1"/>
  <c r="AH122" i="135"/>
  <c r="Z122" i="135"/>
  <c r="AU121" i="135"/>
  <c r="AC122" i="135"/>
  <c r="AB122" i="135"/>
  <c r="X122" i="135"/>
  <c r="CA122" i="135" s="1"/>
  <c r="AD122" i="135"/>
  <c r="AJ123" i="135"/>
  <c r="V123" i="135"/>
  <c r="AL123" i="135"/>
  <c r="AK123" i="135"/>
  <c r="U123" i="135"/>
  <c r="Y122" i="135"/>
  <c r="DK122" i="135" s="1"/>
  <c r="BC121" i="135"/>
  <c r="BH121" i="135"/>
  <c r="BX121" i="135"/>
  <c r="AV121" i="135"/>
  <c r="C124" i="135"/>
  <c r="T124" i="135" s="1"/>
  <c r="AQ120" i="135"/>
  <c r="AM121" i="135"/>
  <c r="BQ121" i="135"/>
  <c r="BI121" i="135"/>
  <c r="AX121" i="135"/>
  <c r="C73" i="135"/>
  <c r="T73" i="135" s="1"/>
  <c r="BX237" i="135" l="1"/>
  <c r="BC237" i="135"/>
  <c r="BH237" i="135"/>
  <c r="BD237" i="135"/>
  <c r="BY237" i="135"/>
  <c r="AW237" i="135"/>
  <c r="AN237" i="135"/>
  <c r="Q237" i="135" s="1"/>
  <c r="BQ237" i="135"/>
  <c r="AG238" i="135"/>
  <c r="AC238" i="135"/>
  <c r="AI238" i="135"/>
  <c r="BI237" i="135"/>
  <c r="AF238" i="135"/>
  <c r="AM238" i="135" s="1"/>
  <c r="AH238" i="135"/>
  <c r="AX237" i="135"/>
  <c r="Z238" i="135"/>
  <c r="Y238" i="135"/>
  <c r="AB238" i="135"/>
  <c r="AD238" i="135"/>
  <c r="X238" i="135"/>
  <c r="C240" i="135"/>
  <c r="CA238" i="135"/>
  <c r="DK238" i="135"/>
  <c r="U239" i="135"/>
  <c r="T239" i="135"/>
  <c r="AJ239" i="135" s="1"/>
  <c r="V239" i="135"/>
  <c r="AL239" i="135"/>
  <c r="AK239" i="135"/>
  <c r="AU238" i="135"/>
  <c r="BN238" i="135"/>
  <c r="BN122" i="135"/>
  <c r="AH123" i="135"/>
  <c r="X123" i="135"/>
  <c r="CA123" i="135" s="1"/>
  <c r="AF123" i="135"/>
  <c r="AB123" i="135"/>
  <c r="AC123" i="135"/>
  <c r="AI124" i="135"/>
  <c r="V124" i="135"/>
  <c r="AK124" i="135"/>
  <c r="U124" i="135"/>
  <c r="AL124" i="135"/>
  <c r="AD123" i="135"/>
  <c r="Z123" i="135"/>
  <c r="Y123" i="135"/>
  <c r="DK123" i="135" s="1"/>
  <c r="AK73" i="135"/>
  <c r="AJ73" i="135"/>
  <c r="U73" i="135"/>
  <c r="V73" i="135"/>
  <c r="AL73" i="135"/>
  <c r="AG123" i="135"/>
  <c r="AI123" i="135"/>
  <c r="BI122" i="135"/>
  <c r="AX122" i="135"/>
  <c r="BQ122" i="135"/>
  <c r="BP122" i="135"/>
  <c r="AW122" i="135"/>
  <c r="AN122" i="135"/>
  <c r="Q122" i="135" s="1"/>
  <c r="BD122" i="135"/>
  <c r="BY122" i="135"/>
  <c r="C125" i="135"/>
  <c r="T125" i="135" s="1"/>
  <c r="BH122" i="135"/>
  <c r="BX122" i="135"/>
  <c r="BC122" i="135"/>
  <c r="AV122" i="135"/>
  <c r="AN121" i="135"/>
  <c r="Q121" i="135" s="1"/>
  <c r="AW121" i="135"/>
  <c r="AQ121" i="135" s="1"/>
  <c r="BY121" i="135"/>
  <c r="BD121" i="135"/>
  <c r="BP121" i="135"/>
  <c r="BC238" i="135" l="1"/>
  <c r="AI239" i="135"/>
  <c r="BC239" i="135" s="1"/>
  <c r="AX238" i="135"/>
  <c r="BQ238" i="135"/>
  <c r="AQ237" i="135"/>
  <c r="BI238" i="135"/>
  <c r="BH238" i="135"/>
  <c r="AV238" i="135"/>
  <c r="BX238" i="135"/>
  <c r="AN238" i="135"/>
  <c r="Q238" i="135" s="1"/>
  <c r="BY238" i="135"/>
  <c r="BP238" i="135"/>
  <c r="AW238" i="135"/>
  <c r="BD238" i="135"/>
  <c r="AF239" i="135"/>
  <c r="AM239" i="135" s="1"/>
  <c r="AW239" i="135" s="1"/>
  <c r="AC239" i="135"/>
  <c r="AD239" i="135"/>
  <c r="Z239" i="135"/>
  <c r="X239" i="135"/>
  <c r="DK239" i="135"/>
  <c r="CA239" i="135"/>
  <c r="AB239" i="135"/>
  <c r="AG239" i="135"/>
  <c r="AU239" i="135"/>
  <c r="BN239" i="135"/>
  <c r="T240" i="135"/>
  <c r="AF240" i="135" s="1"/>
  <c r="AM240" i="135" s="1"/>
  <c r="V240" i="135"/>
  <c r="AK240" i="135"/>
  <c r="U240" i="135"/>
  <c r="AL240" i="135"/>
  <c r="AH239" i="135"/>
  <c r="Y239" i="135"/>
  <c r="C241" i="135"/>
  <c r="AM123" i="135"/>
  <c r="BP123" i="135" s="1"/>
  <c r="AG73" i="135"/>
  <c r="AH124" i="135"/>
  <c r="AC124" i="135"/>
  <c r="AF124" i="135"/>
  <c r="AM124" i="135" s="1"/>
  <c r="AF73" i="135"/>
  <c r="AJ124" i="135"/>
  <c r="AB124" i="135"/>
  <c r="Z124" i="135"/>
  <c r="Z73" i="135"/>
  <c r="AD124" i="135"/>
  <c r="Y124" i="135"/>
  <c r="DK124" i="135" s="1"/>
  <c r="AH73" i="135"/>
  <c r="AC73" i="135"/>
  <c r="X73" i="135"/>
  <c r="AD73" i="135"/>
  <c r="X124" i="135"/>
  <c r="CA124" i="135" s="1"/>
  <c r="AG124" i="135"/>
  <c r="V125" i="135"/>
  <c r="U125" i="135"/>
  <c r="AL125" i="135"/>
  <c r="AK125" i="135"/>
  <c r="AI73" i="135"/>
  <c r="AB73" i="135"/>
  <c r="Y73" i="135"/>
  <c r="AQ122" i="135"/>
  <c r="BH123" i="135"/>
  <c r="BX123" i="135"/>
  <c r="BC123" i="135"/>
  <c r="AV123" i="135"/>
  <c r="AV124" i="135"/>
  <c r="BC124" i="135"/>
  <c r="BH124" i="135"/>
  <c r="BX124" i="135"/>
  <c r="C126" i="135"/>
  <c r="T126" i="135" s="1"/>
  <c r="AX123" i="135"/>
  <c r="BQ123" i="135"/>
  <c r="BI123" i="135"/>
  <c r="AU123" i="135"/>
  <c r="BN123" i="135"/>
  <c r="AJ26" i="135"/>
  <c r="C74" i="135"/>
  <c r="T74" i="135" s="1"/>
  <c r="BN73" i="135"/>
  <c r="AU73" i="135"/>
  <c r="BH239" i="135" l="1"/>
  <c r="AV239" i="135"/>
  <c r="BX239" i="135"/>
  <c r="AQ238" i="135"/>
  <c r="BY239" i="135"/>
  <c r="AD240" i="135"/>
  <c r="AI240" i="135"/>
  <c r="BD239" i="135"/>
  <c r="BP239" i="135"/>
  <c r="AG240" i="135"/>
  <c r="AN239" i="135"/>
  <c r="Q239" i="135" s="1"/>
  <c r="AC240" i="135"/>
  <c r="AJ240" i="135"/>
  <c r="BN240" i="135" s="1"/>
  <c r="X240" i="135"/>
  <c r="Z240" i="135"/>
  <c r="V241" i="135"/>
  <c r="AK241" i="135"/>
  <c r="T241" i="135"/>
  <c r="AI241" i="135" s="1"/>
  <c r="AL241" i="135"/>
  <c r="U241" i="135"/>
  <c r="AB240" i="135"/>
  <c r="Y240" i="135"/>
  <c r="CA240" i="135"/>
  <c r="DK240" i="135"/>
  <c r="C242" i="135"/>
  <c r="BI239" i="135"/>
  <c r="BQ239" i="135"/>
  <c r="AX239" i="135"/>
  <c r="AQ239" i="135" s="1"/>
  <c r="BD240" i="135"/>
  <c r="BP240" i="135"/>
  <c r="AW240" i="135"/>
  <c r="BY240" i="135"/>
  <c r="AH240" i="135"/>
  <c r="AN123" i="135"/>
  <c r="Q123" i="135" s="1"/>
  <c r="BY123" i="135"/>
  <c r="BD123" i="135"/>
  <c r="AW123" i="135"/>
  <c r="AQ123" i="135" s="1"/>
  <c r="AG125" i="135"/>
  <c r="AH125" i="135"/>
  <c r="AC125" i="135"/>
  <c r="AI125" i="135"/>
  <c r="AF125" i="135"/>
  <c r="AD125" i="135"/>
  <c r="Y125" i="135"/>
  <c r="AJ125" i="135"/>
  <c r="BN125" i="135" s="1"/>
  <c r="Z125" i="135"/>
  <c r="V126" i="135"/>
  <c r="AJ126" i="135"/>
  <c r="U126" i="135"/>
  <c r="AL126" i="135"/>
  <c r="AK126" i="135"/>
  <c r="AL74" i="135"/>
  <c r="AI74" i="135"/>
  <c r="V74" i="135"/>
  <c r="U74" i="135"/>
  <c r="AK74" i="135"/>
  <c r="X125" i="135"/>
  <c r="AB125" i="135"/>
  <c r="AW124" i="135"/>
  <c r="BD124" i="135"/>
  <c r="BP124" i="135"/>
  <c r="BY124" i="135"/>
  <c r="AN124" i="135"/>
  <c r="Q124" i="135" s="1"/>
  <c r="BI124" i="135"/>
  <c r="BQ124" i="135"/>
  <c r="AX124" i="135"/>
  <c r="DK125" i="135"/>
  <c r="CA125" i="135"/>
  <c r="AU124" i="135"/>
  <c r="BN124" i="135"/>
  <c r="AH26" i="135"/>
  <c r="AU26" i="135"/>
  <c r="AB26" i="135"/>
  <c r="AC26" i="135"/>
  <c r="BN26" i="135"/>
  <c r="Z26" i="135"/>
  <c r="Y26" i="135"/>
  <c r="E23" i="235" s="1"/>
  <c r="Z23" i="235" s="1"/>
  <c r="AI26" i="135"/>
  <c r="AG26" i="135"/>
  <c r="AD26" i="135"/>
  <c r="X26" i="135"/>
  <c r="D23" i="235" s="1"/>
  <c r="W23" i="235" s="1"/>
  <c r="AF26" i="135"/>
  <c r="AX73" i="135"/>
  <c r="BQ73" i="135"/>
  <c r="BI73" i="135"/>
  <c r="O10" i="131"/>
  <c r="AM73" i="135"/>
  <c r="C75" i="135"/>
  <c r="T75" i="135" s="1"/>
  <c r="AV73" i="135"/>
  <c r="BC73" i="135"/>
  <c r="BX73" i="135"/>
  <c r="BH73" i="135"/>
  <c r="BH240" i="135" l="1"/>
  <c r="L10" i="131"/>
  <c r="BX240" i="135"/>
  <c r="AX240" i="135"/>
  <c r="AQ240" i="135" s="1"/>
  <c r="AU240" i="135"/>
  <c r="AN240" i="135"/>
  <c r="Q240" i="135" s="1"/>
  <c r="BC240" i="135"/>
  <c r="AV240" i="135"/>
  <c r="AC241" i="135"/>
  <c r="AJ241" i="135"/>
  <c r="AU241" i="135" s="1"/>
  <c r="AB241" i="135"/>
  <c r="AH241" i="135"/>
  <c r="X241" i="135"/>
  <c r="Z241" i="135"/>
  <c r="BQ240" i="135"/>
  <c r="C243" i="135"/>
  <c r="Y241" i="135"/>
  <c r="AF241" i="135"/>
  <c r="AM241" i="135" s="1"/>
  <c r="BI240" i="135"/>
  <c r="BX241" i="135"/>
  <c r="BC241" i="135"/>
  <c r="AV241" i="135"/>
  <c r="BH241" i="135"/>
  <c r="AG241" i="135"/>
  <c r="AD241" i="135"/>
  <c r="DK241" i="135"/>
  <c r="CA241" i="135"/>
  <c r="U242" i="135"/>
  <c r="T242" i="135"/>
  <c r="AF242" i="135" s="1"/>
  <c r="AM242" i="135" s="1"/>
  <c r="AL242" i="135"/>
  <c r="V242" i="135"/>
  <c r="AK242" i="135"/>
  <c r="AI126" i="135"/>
  <c r="AH126" i="135"/>
  <c r="AG126" i="135"/>
  <c r="AU125" i="135"/>
  <c r="AF74" i="135"/>
  <c r="Y74" i="135"/>
  <c r="AC74" i="135"/>
  <c r="AJ74" i="135"/>
  <c r="AB74" i="135"/>
  <c r="Z74" i="135"/>
  <c r="AC126" i="135"/>
  <c r="AF126" i="135"/>
  <c r="AG74" i="135"/>
  <c r="AH74" i="135"/>
  <c r="AD74" i="135"/>
  <c r="Y126" i="135"/>
  <c r="Z126" i="135"/>
  <c r="AB126" i="135"/>
  <c r="V75" i="135"/>
  <c r="AL75" i="135"/>
  <c r="U75" i="135"/>
  <c r="AK75" i="135"/>
  <c r="X74" i="135"/>
  <c r="X126" i="135"/>
  <c r="AD126" i="135"/>
  <c r="AM125" i="135"/>
  <c r="BY125" i="135" s="1"/>
  <c r="AQ124" i="135"/>
  <c r="DK126" i="135"/>
  <c r="CA126" i="135"/>
  <c r="BH125" i="135"/>
  <c r="AV125" i="135"/>
  <c r="BX125" i="135"/>
  <c r="BC125" i="135"/>
  <c r="C127" i="135"/>
  <c r="T127" i="135" s="1"/>
  <c r="BQ125" i="135"/>
  <c r="BI125" i="135"/>
  <c r="AX125" i="135"/>
  <c r="BI26" i="135"/>
  <c r="BX26" i="135"/>
  <c r="BQ26" i="135"/>
  <c r="AV26" i="135"/>
  <c r="AX26" i="135"/>
  <c r="BC26" i="135"/>
  <c r="BH26" i="135"/>
  <c r="BD73" i="135"/>
  <c r="BP73" i="135"/>
  <c r="AW73" i="135"/>
  <c r="AQ73" i="135" s="1"/>
  <c r="AN73" i="135"/>
  <c r="Q73" i="135" s="1"/>
  <c r="BY73" i="135"/>
  <c r="C76" i="135"/>
  <c r="T76" i="135" s="1"/>
  <c r="A2" i="235"/>
  <c r="AH4" i="230"/>
  <c r="BN241" i="135" l="1"/>
  <c r="Z242" i="135"/>
  <c r="X242" i="135"/>
  <c r="AH242" i="135"/>
  <c r="AD242" i="135"/>
  <c r="AI242" i="135"/>
  <c r="BH242" i="135" s="1"/>
  <c r="AG242" i="135"/>
  <c r="AJ242" i="135"/>
  <c r="AU242" i="135" s="1"/>
  <c r="AB242" i="135"/>
  <c r="AC242" i="135"/>
  <c r="Y242" i="135"/>
  <c r="AL243" i="135"/>
  <c r="U243" i="135"/>
  <c r="AK243" i="135"/>
  <c r="T243" i="135"/>
  <c r="AJ243" i="135" s="1"/>
  <c r="V243" i="135"/>
  <c r="BD242" i="135"/>
  <c r="BP242" i="135"/>
  <c r="BY242" i="135"/>
  <c r="AW242" i="135"/>
  <c r="C244" i="135"/>
  <c r="DK242" i="135"/>
  <c r="CA242" i="135"/>
  <c r="AX241" i="135"/>
  <c r="BQ241" i="135"/>
  <c r="BI241" i="135"/>
  <c r="BP241" i="135"/>
  <c r="BY241" i="135"/>
  <c r="BD241" i="135"/>
  <c r="AN241" i="135"/>
  <c r="Q241" i="135" s="1"/>
  <c r="AW241" i="135"/>
  <c r="N10" i="131"/>
  <c r="AM74" i="135"/>
  <c r="BP74" i="135" s="1"/>
  <c r="AC75" i="135"/>
  <c r="AH75" i="135"/>
  <c r="AG75" i="135"/>
  <c r="Y75" i="135"/>
  <c r="AJ75" i="135"/>
  <c r="AU75" i="135" s="1"/>
  <c r="AB75" i="135"/>
  <c r="Z75" i="135"/>
  <c r="X75" i="135"/>
  <c r="AD75" i="135"/>
  <c r="AF75" i="135"/>
  <c r="AK127" i="135"/>
  <c r="AJ127" i="135"/>
  <c r="V127" i="135"/>
  <c r="AL127" i="135"/>
  <c r="U127" i="135"/>
  <c r="AL76" i="135"/>
  <c r="AI76" i="135"/>
  <c r="U76" i="135"/>
  <c r="V76" i="135"/>
  <c r="AK76" i="135"/>
  <c r="AI75" i="135"/>
  <c r="BC75" i="135" s="1"/>
  <c r="BP125" i="135"/>
  <c r="BD125" i="135"/>
  <c r="AN125" i="135"/>
  <c r="Q125" i="135" s="1"/>
  <c r="AW125" i="135"/>
  <c r="AQ125" i="135" s="1"/>
  <c r="Z30" i="135"/>
  <c r="X30" i="135"/>
  <c r="D30" i="235" s="1"/>
  <c r="X18" i="235" s="1"/>
  <c r="AM126" i="135"/>
  <c r="AU126" i="135"/>
  <c r="BN126" i="135"/>
  <c r="BI126" i="135"/>
  <c r="BQ126" i="135"/>
  <c r="AX126" i="135"/>
  <c r="AV126" i="135"/>
  <c r="BC126" i="135"/>
  <c r="BX126" i="135"/>
  <c r="BH126" i="135"/>
  <c r="AJ30" i="135"/>
  <c r="AI30" i="135"/>
  <c r="AG30" i="135"/>
  <c r="AD30" i="135"/>
  <c r="Y30" i="135"/>
  <c r="E30" i="235" s="1"/>
  <c r="AA18" i="235" s="1"/>
  <c r="AH30" i="135"/>
  <c r="AB30" i="135"/>
  <c r="AC30" i="135"/>
  <c r="BC74" i="135"/>
  <c r="BN74" i="135"/>
  <c r="BX74" i="135"/>
  <c r="AV74" i="135"/>
  <c r="BH74" i="135"/>
  <c r="AU74" i="135"/>
  <c r="C77" i="135"/>
  <c r="T77" i="135" s="1"/>
  <c r="BI74" i="135"/>
  <c r="BQ74" i="135"/>
  <c r="AX74" i="135"/>
  <c r="T5" i="230"/>
  <c r="AH5" i="230" s="1"/>
  <c r="AG4" i="230"/>
  <c r="V4" i="230"/>
  <c r="H3" i="230"/>
  <c r="W1" i="230"/>
  <c r="W4" i="230" s="1"/>
  <c r="BC242" i="135" l="1"/>
  <c r="BN242" i="135"/>
  <c r="AX242" i="135"/>
  <c r="AQ242" i="135" s="1"/>
  <c r="BI242" i="135"/>
  <c r="BQ242" i="135"/>
  <c r="AB243" i="135"/>
  <c r="AV242" i="135"/>
  <c r="BX242" i="135"/>
  <c r="AN242" i="135"/>
  <c r="Q242" i="135" s="1"/>
  <c r="AC243" i="135"/>
  <c r="Z243" i="135"/>
  <c r="AQ241" i="135"/>
  <c r="AG243" i="135"/>
  <c r="AD243" i="135"/>
  <c r="Y243" i="135"/>
  <c r="AF243" i="135"/>
  <c r="AM243" i="135" s="1"/>
  <c r="AI243" i="135"/>
  <c r="BH243" i="135" s="1"/>
  <c r="AH243" i="135"/>
  <c r="X243" i="135"/>
  <c r="AL244" i="135"/>
  <c r="V244" i="135"/>
  <c r="T244" i="135"/>
  <c r="AI244" i="135" s="1"/>
  <c r="U244" i="135"/>
  <c r="AK244" i="135"/>
  <c r="AU243" i="135"/>
  <c r="BN243" i="135"/>
  <c r="C245" i="135"/>
  <c r="DK243" i="135"/>
  <c r="CA243" i="135"/>
  <c r="P10" i="131"/>
  <c r="F23" i="235" s="1"/>
  <c r="AC23" i="235" s="1"/>
  <c r="BY74" i="135"/>
  <c r="BD74" i="135"/>
  <c r="AN74" i="135"/>
  <c r="Q74" i="135" s="1"/>
  <c r="AW74" i="135"/>
  <c r="AQ74" i="135" s="1"/>
  <c r="BN75" i="135"/>
  <c r="Z76" i="135"/>
  <c r="AI127" i="135"/>
  <c r="AH76" i="135"/>
  <c r="Y127" i="135"/>
  <c r="AF76" i="135"/>
  <c r="AM76" i="135" s="1"/>
  <c r="BD76" i="135" s="1"/>
  <c r="AG76" i="135"/>
  <c r="Y76" i="135"/>
  <c r="AC127" i="135"/>
  <c r="AJ76" i="135"/>
  <c r="X76" i="135"/>
  <c r="AB76" i="135"/>
  <c r="AB127" i="135"/>
  <c r="AD127" i="135"/>
  <c r="AF127" i="135"/>
  <c r="X127" i="135"/>
  <c r="AC76" i="135"/>
  <c r="AJ77" i="135"/>
  <c r="AL77" i="135"/>
  <c r="U77" i="135"/>
  <c r="V77" i="135"/>
  <c r="AK77" i="135"/>
  <c r="AD76" i="135"/>
  <c r="Z127" i="135"/>
  <c r="AG127" i="135"/>
  <c r="AH127" i="135"/>
  <c r="AF30" i="135"/>
  <c r="O16" i="131"/>
  <c r="C128" i="135"/>
  <c r="T128" i="135" s="1"/>
  <c r="BH30" i="135"/>
  <c r="BC30" i="135"/>
  <c r="BX30" i="135"/>
  <c r="AV30" i="135"/>
  <c r="BD126" i="135"/>
  <c r="AN126" i="135"/>
  <c r="Q126" i="135" s="1"/>
  <c r="AW126" i="135"/>
  <c r="AQ126" i="135" s="1"/>
  <c r="BY126" i="135"/>
  <c r="BP126" i="135"/>
  <c r="CA127" i="135"/>
  <c r="DK127" i="135"/>
  <c r="BQ30" i="135"/>
  <c r="BI30" i="135"/>
  <c r="AX30" i="135"/>
  <c r="BN30" i="135"/>
  <c r="AU30" i="135"/>
  <c r="AM26" i="135"/>
  <c r="BP26" i="135" s="1"/>
  <c r="BX75" i="135"/>
  <c r="BI75" i="135"/>
  <c r="BH75" i="135"/>
  <c r="BQ75" i="135"/>
  <c r="AX75" i="135"/>
  <c r="AM75" i="135"/>
  <c r="AV75" i="135"/>
  <c r="T6" i="230"/>
  <c r="W5" i="230"/>
  <c r="H4" i="230"/>
  <c r="AG5" i="230"/>
  <c r="X1" i="230"/>
  <c r="X5" i="230" s="1"/>
  <c r="BX243" i="135" l="1"/>
  <c r="X244" i="135"/>
  <c r="AX243" i="135"/>
  <c r="BC243" i="135"/>
  <c r="AN243" i="135"/>
  <c r="Q243" i="135" s="1"/>
  <c r="AV243" i="135"/>
  <c r="BI243" i="135"/>
  <c r="AB244" i="135"/>
  <c r="BQ243" i="135"/>
  <c r="AG244" i="135"/>
  <c r="AC244" i="135"/>
  <c r="Y244" i="135"/>
  <c r="AF244" i="135"/>
  <c r="AM244" i="135" s="1"/>
  <c r="BP244" i="135" s="1"/>
  <c r="AJ244" i="135"/>
  <c r="BN244" i="135" s="1"/>
  <c r="Z244" i="135"/>
  <c r="AW243" i="135"/>
  <c r="BY243" i="135"/>
  <c r="AH244" i="135"/>
  <c r="BI244" i="135" s="1"/>
  <c r="BP243" i="135"/>
  <c r="AD244" i="135"/>
  <c r="BD243" i="135"/>
  <c r="U245" i="135"/>
  <c r="AL245" i="135"/>
  <c r="AK245" i="135"/>
  <c r="T245" i="135"/>
  <c r="AJ245" i="135" s="1"/>
  <c r="V245" i="135"/>
  <c r="C246" i="135"/>
  <c r="BH244" i="135"/>
  <c r="BC244" i="135"/>
  <c r="BX244" i="135"/>
  <c r="AV244" i="135"/>
  <c r="DK244" i="135"/>
  <c r="CA244" i="135"/>
  <c r="BY76" i="135"/>
  <c r="AW76" i="135"/>
  <c r="BP76" i="135"/>
  <c r="Z77" i="135"/>
  <c r="AC77" i="135"/>
  <c r="AH77" i="135"/>
  <c r="AG77" i="135"/>
  <c r="Y77" i="135"/>
  <c r="AF77" i="135"/>
  <c r="X77" i="135"/>
  <c r="AB77" i="135"/>
  <c r="V128" i="135"/>
  <c r="AL128" i="135"/>
  <c r="U128" i="135"/>
  <c r="AI128" i="135"/>
  <c r="AK128" i="135"/>
  <c r="AD77" i="135"/>
  <c r="AI77" i="135"/>
  <c r="M16" i="131"/>
  <c r="K16" i="131"/>
  <c r="AM127" i="135"/>
  <c r="AU127" i="135"/>
  <c r="BN127" i="135"/>
  <c r="BX127" i="135"/>
  <c r="BC127" i="135"/>
  <c r="AV127" i="135"/>
  <c r="BH127" i="135"/>
  <c r="C129" i="135"/>
  <c r="T129" i="135" s="1"/>
  <c r="BQ127" i="135"/>
  <c r="BI127" i="135"/>
  <c r="AX127" i="135"/>
  <c r="BD26" i="135"/>
  <c r="AN26" i="135"/>
  <c r="Q26" i="135" s="1"/>
  <c r="BY26" i="135"/>
  <c r="AW26" i="135"/>
  <c r="AQ26" i="135" s="1"/>
  <c r="BI76" i="135"/>
  <c r="BD75" i="135"/>
  <c r="BP75" i="135"/>
  <c r="AW75" i="135"/>
  <c r="AN75" i="135"/>
  <c r="Q75" i="135" s="1"/>
  <c r="BY75" i="135"/>
  <c r="AX76" i="135"/>
  <c r="BQ76" i="135"/>
  <c r="BX76" i="135"/>
  <c r="BC76" i="135"/>
  <c r="AV76" i="135"/>
  <c r="BH76" i="135"/>
  <c r="C78" i="135"/>
  <c r="T78" i="135" s="1"/>
  <c r="AU77" i="135"/>
  <c r="BN77" i="135"/>
  <c r="AU76" i="135"/>
  <c r="BN76" i="135"/>
  <c r="AN76" i="135"/>
  <c r="Q76" i="135" s="1"/>
  <c r="Y1" i="230"/>
  <c r="Z1" i="230" s="1"/>
  <c r="X4" i="230"/>
  <c r="X6" i="230"/>
  <c r="T7" i="230"/>
  <c r="AH7" i="230" s="1"/>
  <c r="Y6" i="230"/>
  <c r="W6" i="230"/>
  <c r="H5" i="230"/>
  <c r="BQ244" i="135" l="1"/>
  <c r="AU244" i="135"/>
  <c r="AQ243" i="135"/>
  <c r="AX244" i="135"/>
  <c r="Z245" i="135"/>
  <c r="AW244" i="135"/>
  <c r="BY244" i="135"/>
  <c r="AG245" i="135"/>
  <c r="AN244" i="135"/>
  <c r="Q244" i="135" s="1"/>
  <c r="BD244" i="135"/>
  <c r="AH245" i="135"/>
  <c r="AC245" i="135"/>
  <c r="AB245" i="135"/>
  <c r="AD245" i="135"/>
  <c r="X245" i="135"/>
  <c r="Y245" i="135"/>
  <c r="AI245" i="135"/>
  <c r="BH245" i="135" s="1"/>
  <c r="T246" i="135"/>
  <c r="AI246" i="135" s="1"/>
  <c r="AK246" i="135"/>
  <c r="U246" i="135"/>
  <c r="AL246" i="135"/>
  <c r="V246" i="135"/>
  <c r="CA245" i="135"/>
  <c r="DK245" i="135"/>
  <c r="C247" i="135"/>
  <c r="AF245" i="135"/>
  <c r="AM245" i="135" s="1"/>
  <c r="BN245" i="135"/>
  <c r="AU245" i="135"/>
  <c r="AQ76" i="135"/>
  <c r="X128" i="135"/>
  <c r="AJ128" i="135"/>
  <c r="AJ31" i="135" s="1"/>
  <c r="AB128" i="135"/>
  <c r="Z128" i="135"/>
  <c r="AH128" i="135"/>
  <c r="AF128" i="135"/>
  <c r="AG128" i="135"/>
  <c r="AG31" i="135" s="1"/>
  <c r="Y128" i="135"/>
  <c r="Y31" i="135" s="1"/>
  <c r="E31" i="235" s="1"/>
  <c r="AA19" i="235" s="1"/>
  <c r="AC128" i="135"/>
  <c r="AF129" i="135"/>
  <c r="V129" i="135"/>
  <c r="AL129" i="135"/>
  <c r="AK129" i="135"/>
  <c r="U129" i="135"/>
  <c r="U78" i="135"/>
  <c r="V78" i="135"/>
  <c r="AL78" i="135"/>
  <c r="AI78" i="135"/>
  <c r="AK78" i="135"/>
  <c r="AD128" i="135"/>
  <c r="AD31" i="135" s="1"/>
  <c r="L16" i="131"/>
  <c r="N16" i="131" s="1"/>
  <c r="DK128" i="135"/>
  <c r="CA128" i="135"/>
  <c r="BP127" i="135"/>
  <c r="BD127" i="135"/>
  <c r="BY127" i="135"/>
  <c r="AW127" i="135"/>
  <c r="AQ127" i="135" s="1"/>
  <c r="AN127" i="135"/>
  <c r="Q127" i="135" s="1"/>
  <c r="C130" i="135"/>
  <c r="T130" i="135" s="1"/>
  <c r="BX77" i="135"/>
  <c r="AV77" i="135"/>
  <c r="AM77" i="135"/>
  <c r="BD77" i="135" s="1"/>
  <c r="BH77" i="135"/>
  <c r="BC77" i="135"/>
  <c r="AQ75" i="135"/>
  <c r="C79" i="135"/>
  <c r="T79" i="135" s="1"/>
  <c r="AX77" i="135"/>
  <c r="BQ77" i="135"/>
  <c r="BI77" i="135"/>
  <c r="Z4" i="230"/>
  <c r="Z5" i="230"/>
  <c r="Z6" i="230"/>
  <c r="Z7" i="230"/>
  <c r="AA1" i="230"/>
  <c r="H6" i="230"/>
  <c r="Y4" i="230"/>
  <c r="Y5" i="230"/>
  <c r="Y7" i="230"/>
  <c r="AG7" i="230"/>
  <c r="T8" i="230"/>
  <c r="AH8" i="230" s="1"/>
  <c r="X7" i="230"/>
  <c r="W7" i="230"/>
  <c r="AH246" i="135" l="1"/>
  <c r="AV245" i="135"/>
  <c r="BX245" i="135"/>
  <c r="BC245" i="135"/>
  <c r="AQ244" i="135"/>
  <c r="AJ246" i="135"/>
  <c r="AU246" i="135" s="1"/>
  <c r="BI245" i="135"/>
  <c r="BQ245" i="135"/>
  <c r="AX245" i="135"/>
  <c r="AD246" i="135"/>
  <c r="Y246" i="135"/>
  <c r="Z246" i="135"/>
  <c r="AG246" i="135"/>
  <c r="BQ246" i="135" s="1"/>
  <c r="X246" i="135"/>
  <c r="AB246" i="135"/>
  <c r="AC246" i="135"/>
  <c r="AF246" i="135"/>
  <c r="AM246" i="135" s="1"/>
  <c r="BD246" i="135" s="1"/>
  <c r="BY245" i="135"/>
  <c r="AW245" i="135"/>
  <c r="BP245" i="135"/>
  <c r="AN245" i="135"/>
  <c r="Q245" i="135" s="1"/>
  <c r="BD245" i="135"/>
  <c r="AL247" i="135"/>
  <c r="AK247" i="135"/>
  <c r="U247" i="135"/>
  <c r="T247" i="135"/>
  <c r="AF247" i="135" s="1"/>
  <c r="AM247" i="135" s="1"/>
  <c r="V247" i="135"/>
  <c r="C248" i="135"/>
  <c r="CA246" i="135"/>
  <c r="DK246" i="135"/>
  <c r="AV246" i="135"/>
  <c r="BC246" i="135"/>
  <c r="BX246" i="135"/>
  <c r="BH246" i="135"/>
  <c r="AF31" i="135"/>
  <c r="AH129" i="135"/>
  <c r="Y129" i="135"/>
  <c r="X129" i="135"/>
  <c r="AD129" i="135"/>
  <c r="AL79" i="135"/>
  <c r="U79" i="135"/>
  <c r="V79" i="135"/>
  <c r="AK79" i="135"/>
  <c r="AG78" i="135"/>
  <c r="Z78" i="135"/>
  <c r="X78" i="135"/>
  <c r="AJ78" i="135"/>
  <c r="AC129" i="135"/>
  <c r="Y78" i="135"/>
  <c r="AF78" i="135"/>
  <c r="AC78" i="135"/>
  <c r="Z129" i="135"/>
  <c r="AJ129" i="135"/>
  <c r="AB129" i="135"/>
  <c r="U130" i="135"/>
  <c r="V130" i="135"/>
  <c r="AF130" i="135"/>
  <c r="AM130" i="135" s="1"/>
  <c r="AW130" i="135" s="1"/>
  <c r="AL130" i="135"/>
  <c r="AK130" i="135"/>
  <c r="AD78" i="135"/>
  <c r="AB78" i="135"/>
  <c r="AH78" i="135"/>
  <c r="AG129" i="135"/>
  <c r="AI129" i="135"/>
  <c r="P16" i="131"/>
  <c r="AM30" i="135"/>
  <c r="Z31" i="135"/>
  <c r="AH31" i="135"/>
  <c r="AC31" i="135"/>
  <c r="O17" i="131"/>
  <c r="AI31" i="135"/>
  <c r="X31" i="135"/>
  <c r="D31" i="235" s="1"/>
  <c r="X19" i="235" s="1"/>
  <c r="AB31" i="135"/>
  <c r="BH128" i="135"/>
  <c r="BX128" i="135"/>
  <c r="BC128" i="135"/>
  <c r="AV128" i="135"/>
  <c r="C131" i="135"/>
  <c r="T131" i="135" s="1"/>
  <c r="DK129" i="135"/>
  <c r="CA129" i="135"/>
  <c r="AU128" i="135"/>
  <c r="AU31" i="135" s="1"/>
  <c r="BN128" i="135"/>
  <c r="BN31" i="135" s="1"/>
  <c r="AM128" i="135"/>
  <c r="BQ128" i="135"/>
  <c r="AX128" i="135"/>
  <c r="BI128" i="135"/>
  <c r="AN77" i="135"/>
  <c r="Q77" i="135" s="1"/>
  <c r="BY77" i="135"/>
  <c r="AW77" i="135"/>
  <c r="AQ77" i="135" s="1"/>
  <c r="BP77" i="135"/>
  <c r="C80" i="135"/>
  <c r="T80" i="135" s="1"/>
  <c r="AV78" i="135"/>
  <c r="BX78" i="135"/>
  <c r="BH78" i="135"/>
  <c r="BC78" i="135"/>
  <c r="Z8" i="230"/>
  <c r="AA4" i="230"/>
  <c r="AA5" i="230"/>
  <c r="AA6" i="230"/>
  <c r="AA7" i="230"/>
  <c r="AA8" i="230"/>
  <c r="AB1" i="230"/>
  <c r="AG8" i="230"/>
  <c r="V8" i="230"/>
  <c r="T9" i="230"/>
  <c r="Z9" i="230" s="1"/>
  <c r="Y8" i="230"/>
  <c r="X8" i="230"/>
  <c r="H7" i="230"/>
  <c r="BN246" i="135" l="1"/>
  <c r="BI246" i="135"/>
  <c r="AQ245" i="135"/>
  <c r="BP246" i="135"/>
  <c r="AX246" i="135"/>
  <c r="BY246" i="135"/>
  <c r="AW246" i="135"/>
  <c r="AN246" i="135"/>
  <c r="Q246" i="135" s="1"/>
  <c r="AG247" i="135"/>
  <c r="AJ247" i="135"/>
  <c r="BN247" i="135" s="1"/>
  <c r="Z247" i="135"/>
  <c r="AI247" i="135"/>
  <c r="BX247" i="135" s="1"/>
  <c r="AH247" i="135"/>
  <c r="AD247" i="135"/>
  <c r="AB247" i="135"/>
  <c r="Y247" i="135"/>
  <c r="X247" i="135"/>
  <c r="AC247" i="135"/>
  <c r="AW247" i="135"/>
  <c r="BY247" i="135"/>
  <c r="BP247" i="135"/>
  <c r="BD247" i="135"/>
  <c r="C249" i="135"/>
  <c r="CA247" i="135"/>
  <c r="DK247" i="135"/>
  <c r="T248" i="135"/>
  <c r="AF248" i="135" s="1"/>
  <c r="AM248" i="135" s="1"/>
  <c r="U248" i="135"/>
  <c r="AL248" i="135"/>
  <c r="V248" i="135"/>
  <c r="AK248" i="135"/>
  <c r="F30" i="235"/>
  <c r="AD18" i="235" s="1"/>
  <c r="AD130" i="135"/>
  <c r="AH130" i="135"/>
  <c r="AJ130" i="135"/>
  <c r="Z130" i="135"/>
  <c r="AI130" i="135"/>
  <c r="AB130" i="135"/>
  <c r="Y130" i="135"/>
  <c r="Z79" i="135"/>
  <c r="X130" i="135"/>
  <c r="AC130" i="135"/>
  <c r="AI79" i="135"/>
  <c r="AG130" i="135"/>
  <c r="AB79" i="135"/>
  <c r="AC79" i="135"/>
  <c r="AF79" i="135"/>
  <c r="AM79" i="135" s="1"/>
  <c r="AW79" i="135" s="1"/>
  <c r="AD79" i="135"/>
  <c r="AG79" i="135"/>
  <c r="AH79" i="135"/>
  <c r="AJ79" i="135"/>
  <c r="AL131" i="135"/>
  <c r="U131" i="135"/>
  <c r="AK131" i="135"/>
  <c r="AJ131" i="135"/>
  <c r="V131" i="135"/>
  <c r="AI80" i="135"/>
  <c r="V80" i="135"/>
  <c r="U80" i="135"/>
  <c r="AK80" i="135"/>
  <c r="AL80" i="135"/>
  <c r="X79" i="135"/>
  <c r="Y79" i="135"/>
  <c r="BC31" i="135"/>
  <c r="M17" i="131"/>
  <c r="K17" i="131"/>
  <c r="AM129" i="135"/>
  <c r="AW129" i="135" s="1"/>
  <c r="BX31" i="135"/>
  <c r="BQ31" i="135"/>
  <c r="AV31" i="135"/>
  <c r="BH31" i="135"/>
  <c r="AX31" i="135"/>
  <c r="BD30" i="135"/>
  <c r="BP30" i="135"/>
  <c r="AN30" i="135"/>
  <c r="Q30" i="135" s="1"/>
  <c r="BY30" i="135"/>
  <c r="AW30" i="135"/>
  <c r="AQ30" i="135" s="1"/>
  <c r="BI31" i="135"/>
  <c r="BQ129" i="135"/>
  <c r="BY130" i="135"/>
  <c r="BD130" i="135"/>
  <c r="BP130" i="135"/>
  <c r="BY128" i="135"/>
  <c r="AW128" i="135"/>
  <c r="AQ128" i="135" s="1"/>
  <c r="AN128" i="135"/>
  <c r="Q128" i="135" s="1"/>
  <c r="BP128" i="135"/>
  <c r="BD128" i="135"/>
  <c r="AV129" i="135"/>
  <c r="BX129" i="135"/>
  <c r="BC129" i="135"/>
  <c r="BH129" i="135"/>
  <c r="AX129" i="135"/>
  <c r="BI129" i="135"/>
  <c r="CA130" i="135"/>
  <c r="DK130" i="135"/>
  <c r="BN129" i="135"/>
  <c r="AU129" i="135"/>
  <c r="C132" i="135"/>
  <c r="T132" i="135" s="1"/>
  <c r="AX78" i="135"/>
  <c r="AM78" i="135"/>
  <c r="AN78" i="135" s="1"/>
  <c r="Q78" i="135" s="1"/>
  <c r="AU78" i="135"/>
  <c r="BQ78" i="135"/>
  <c r="BI78" i="135"/>
  <c r="BN78" i="135"/>
  <c r="C81" i="135"/>
  <c r="T81" i="135" s="1"/>
  <c r="AA9" i="230"/>
  <c r="AB4" i="230"/>
  <c r="AB5" i="230"/>
  <c r="AB6" i="230"/>
  <c r="AB7" i="230"/>
  <c r="AB8" i="230"/>
  <c r="AB9" i="230"/>
  <c r="AC1" i="230"/>
  <c r="H8" i="230"/>
  <c r="H9" i="230" s="1"/>
  <c r="H10" i="230" s="1"/>
  <c r="H11" i="230" s="1"/>
  <c r="H12" i="230" s="1"/>
  <c r="Y9" i="230"/>
  <c r="V9" i="230"/>
  <c r="T10" i="230"/>
  <c r="AB10" i="230" s="1"/>
  <c r="X9" i="230"/>
  <c r="AU247" i="135" l="1"/>
  <c r="AQ246" i="135"/>
  <c r="BQ247" i="135"/>
  <c r="AV247" i="135"/>
  <c r="BH247" i="135"/>
  <c r="BC247" i="135"/>
  <c r="AN247" i="135"/>
  <c r="Q247" i="135" s="1"/>
  <c r="BI247" i="135"/>
  <c r="AX247" i="135"/>
  <c r="AQ247" i="135" s="1"/>
  <c r="AD248" i="135"/>
  <c r="Y248" i="135"/>
  <c r="AG248" i="135"/>
  <c r="AH248" i="135"/>
  <c r="AI248" i="135"/>
  <c r="CA248" i="135"/>
  <c r="DK248" i="135"/>
  <c r="BD248" i="135"/>
  <c r="BY248" i="135"/>
  <c r="BP248" i="135"/>
  <c r="AW248" i="135"/>
  <c r="V249" i="135"/>
  <c r="T249" i="135"/>
  <c r="AF249" i="135" s="1"/>
  <c r="AM249" i="135" s="1"/>
  <c r="AL249" i="135"/>
  <c r="U249" i="135"/>
  <c r="AK249" i="135"/>
  <c r="AC248" i="135"/>
  <c r="AJ248" i="135"/>
  <c r="C250" i="135"/>
  <c r="X248" i="135"/>
  <c r="Z248" i="135"/>
  <c r="AB248" i="135"/>
  <c r="AI27" i="135"/>
  <c r="O11" i="131"/>
  <c r="BY79" i="135"/>
  <c r="Y80" i="135"/>
  <c r="Z131" i="135"/>
  <c r="X131" i="135"/>
  <c r="BP79" i="135"/>
  <c r="AF80" i="135"/>
  <c r="AI131" i="135"/>
  <c r="BD79" i="135"/>
  <c r="AH80" i="135"/>
  <c r="AG131" i="135"/>
  <c r="AB131" i="135"/>
  <c r="Y131" i="135"/>
  <c r="U132" i="135"/>
  <c r="AI132" i="135"/>
  <c r="AL132" i="135"/>
  <c r="V132" i="135"/>
  <c r="AK132" i="135"/>
  <c r="X80" i="135"/>
  <c r="AJ80" i="135"/>
  <c r="BN80" i="135" s="1"/>
  <c r="AD80" i="135"/>
  <c r="AB80" i="135"/>
  <c r="AD131" i="135"/>
  <c r="AH131" i="135"/>
  <c r="AC80" i="135"/>
  <c r="Z80" i="135"/>
  <c r="U81" i="135"/>
  <c r="AK81" i="135"/>
  <c r="V81" i="135"/>
  <c r="AL81" i="135"/>
  <c r="AJ81" i="135"/>
  <c r="AG80" i="135"/>
  <c r="AC131" i="135"/>
  <c r="AF131" i="135"/>
  <c r="AN129" i="135"/>
  <c r="Q129" i="135" s="1"/>
  <c r="BY129" i="135"/>
  <c r="BD129" i="135"/>
  <c r="BP129" i="135"/>
  <c r="L17" i="131"/>
  <c r="N17" i="131" s="1"/>
  <c r="C133" i="135"/>
  <c r="T133" i="135" s="1"/>
  <c r="AQ129" i="135"/>
  <c r="BC130" i="135"/>
  <c r="BX130" i="135"/>
  <c r="BH130" i="135"/>
  <c r="AV130" i="135"/>
  <c r="BN130" i="135"/>
  <c r="AU130" i="135"/>
  <c r="DK131" i="135"/>
  <c r="CA131" i="135"/>
  <c r="BQ130" i="135"/>
  <c r="BI130" i="135"/>
  <c r="AX130" i="135"/>
  <c r="AQ130" i="135" s="1"/>
  <c r="AN130" i="135"/>
  <c r="Q130" i="135" s="1"/>
  <c r="AV79" i="135"/>
  <c r="AN79" i="135"/>
  <c r="Q79" i="135" s="1"/>
  <c r="BH79" i="135"/>
  <c r="BY78" i="135"/>
  <c r="BP78" i="135"/>
  <c r="BD78" i="135"/>
  <c r="AW78" i="135"/>
  <c r="AQ78" i="135" s="1"/>
  <c r="BC79" i="135"/>
  <c r="BX79" i="135"/>
  <c r="AX79" i="135"/>
  <c r="AQ79" i="135" s="1"/>
  <c r="BQ79" i="135"/>
  <c r="BH80" i="135"/>
  <c r="BI79" i="135"/>
  <c r="BN79" i="135"/>
  <c r="AU79" i="135"/>
  <c r="AH10" i="230"/>
  <c r="AG10" i="230" s="1"/>
  <c r="Z10" i="230"/>
  <c r="AA10" i="230"/>
  <c r="AD1" i="230"/>
  <c r="AC4" i="230"/>
  <c r="AC5" i="230"/>
  <c r="AC6" i="230"/>
  <c r="AC7" i="230"/>
  <c r="AC8" i="230"/>
  <c r="AC9" i="230"/>
  <c r="AC10" i="230"/>
  <c r="T11" i="230"/>
  <c r="AC11" i="230" s="1"/>
  <c r="V10" i="230"/>
  <c r="Y10" i="230"/>
  <c r="X10" i="230"/>
  <c r="AI249" i="135" l="1"/>
  <c r="BX249" i="135" s="1"/>
  <c r="Y249" i="135"/>
  <c r="Z249" i="135"/>
  <c r="AD249" i="135"/>
  <c r="AG249" i="135"/>
  <c r="AJ249" i="135"/>
  <c r="AU249" i="135" s="1"/>
  <c r="AH249" i="135"/>
  <c r="AB249" i="135"/>
  <c r="X249" i="135"/>
  <c r="C251" i="135"/>
  <c r="BY249" i="135"/>
  <c r="AW249" i="135"/>
  <c r="BD249" i="135"/>
  <c r="BP249" i="135"/>
  <c r="AU248" i="135"/>
  <c r="BN248" i="135"/>
  <c r="CA249" i="135"/>
  <c r="DK249" i="135"/>
  <c r="BC248" i="135"/>
  <c r="AV248" i="135"/>
  <c r="BH248" i="135"/>
  <c r="BX248" i="135"/>
  <c r="AN248" i="135"/>
  <c r="Q248" i="135" s="1"/>
  <c r="T250" i="135"/>
  <c r="AI250" i="135" s="1"/>
  <c r="V250" i="135"/>
  <c r="AL250" i="135"/>
  <c r="AK250" i="135"/>
  <c r="U250" i="135"/>
  <c r="AC249" i="135"/>
  <c r="AX248" i="135"/>
  <c r="AQ248" i="135" s="1"/>
  <c r="BI248" i="135"/>
  <c r="BQ248" i="135"/>
  <c r="BN27" i="135"/>
  <c r="L11" i="131"/>
  <c r="N11" i="131" s="1"/>
  <c r="AM80" i="135"/>
  <c r="BD80" i="135" s="1"/>
  <c r="AF27" i="135"/>
  <c r="AJ27" i="135"/>
  <c r="X81" i="135"/>
  <c r="AF132" i="135"/>
  <c r="AM132" i="135" s="1"/>
  <c r="BD132" i="135" s="1"/>
  <c r="AC132" i="135"/>
  <c r="Y132" i="135"/>
  <c r="AJ132" i="135"/>
  <c r="AD81" i="135"/>
  <c r="AB81" i="135"/>
  <c r="AG81" i="135"/>
  <c r="Y81" i="135"/>
  <c r="AH132" i="135"/>
  <c r="AL133" i="135"/>
  <c r="V133" i="135"/>
  <c r="U133" i="135"/>
  <c r="AK133" i="135"/>
  <c r="AI133" i="135"/>
  <c r="AH81" i="135"/>
  <c r="Z81" i="135"/>
  <c r="AF81" i="135"/>
  <c r="AG132" i="135"/>
  <c r="X132" i="135"/>
  <c r="AD132" i="135"/>
  <c r="AI81" i="135"/>
  <c r="AC81" i="135"/>
  <c r="AB132" i="135"/>
  <c r="Z132" i="135"/>
  <c r="AM131" i="135"/>
  <c r="AW131" i="135" s="1"/>
  <c r="AM31" i="135"/>
  <c r="P17" i="131"/>
  <c r="BC132" i="135"/>
  <c r="DK132" i="135"/>
  <c r="CA132" i="135"/>
  <c r="BC131" i="135"/>
  <c r="BX131" i="135"/>
  <c r="AV131" i="135"/>
  <c r="BH131" i="135"/>
  <c r="AX131" i="135"/>
  <c r="BQ131" i="135"/>
  <c r="BI131" i="135"/>
  <c r="BN131" i="135"/>
  <c r="AU131" i="135"/>
  <c r="C134" i="135"/>
  <c r="T134" i="135" s="1"/>
  <c r="AU80" i="135"/>
  <c r="AU27" i="135" s="1"/>
  <c r="AJ28" i="135"/>
  <c r="BX80" i="135"/>
  <c r="BC80" i="135"/>
  <c r="AV80" i="135"/>
  <c r="C82" i="135"/>
  <c r="T82" i="135" s="1"/>
  <c r="AX80" i="135"/>
  <c r="AX27" i="135" s="1"/>
  <c r="BI80" i="135"/>
  <c r="BQ80" i="135"/>
  <c r="BN81" i="135"/>
  <c r="AU81" i="135"/>
  <c r="AH11" i="230"/>
  <c r="AG11" i="230" s="1"/>
  <c r="Z11" i="230"/>
  <c r="AA11" i="230"/>
  <c r="AB11" i="230"/>
  <c r="AD4" i="230"/>
  <c r="AD5" i="230"/>
  <c r="AD6" i="230"/>
  <c r="AD7" i="230"/>
  <c r="AD8" i="230"/>
  <c r="AD9" i="230"/>
  <c r="AD10" i="230"/>
  <c r="AD11" i="230"/>
  <c r="AE1" i="230"/>
  <c r="Y11" i="230"/>
  <c r="W11" i="230"/>
  <c r="T12" i="230"/>
  <c r="AD12" i="230" s="1"/>
  <c r="V11" i="230"/>
  <c r="BC249" i="135" l="1"/>
  <c r="AN249" i="135"/>
  <c r="BH249" i="135"/>
  <c r="BN249" i="135"/>
  <c r="AV249" i="135"/>
  <c r="Q249" i="135"/>
  <c r="BI249" i="135"/>
  <c r="BP80" i="135"/>
  <c r="BY80" i="135"/>
  <c r="AX249" i="135"/>
  <c r="AQ249" i="135" s="1"/>
  <c r="Y250" i="135"/>
  <c r="BQ249" i="135"/>
  <c r="AN80" i="135"/>
  <c r="Q80" i="135" s="1"/>
  <c r="AJ250" i="135"/>
  <c r="AU250" i="135" s="1"/>
  <c r="AB250" i="135"/>
  <c r="AF250" i="135"/>
  <c r="AM250" i="135" s="1"/>
  <c r="BP250" i="135" s="1"/>
  <c r="AG250" i="135"/>
  <c r="AH250" i="135"/>
  <c r="AC250" i="135"/>
  <c r="DK250" i="135"/>
  <c r="CA250" i="135"/>
  <c r="Z250" i="135"/>
  <c r="X250" i="135"/>
  <c r="AD250" i="135"/>
  <c r="BH250" i="135"/>
  <c r="BC250" i="135"/>
  <c r="AV250" i="135"/>
  <c r="BX250" i="135"/>
  <c r="U251" i="135"/>
  <c r="AK251" i="135"/>
  <c r="T251" i="135"/>
  <c r="AJ251" i="135" s="1"/>
  <c r="V251" i="135"/>
  <c r="AL251" i="135"/>
  <c r="C252" i="135"/>
  <c r="F31" i="235"/>
  <c r="AD19" i="235" s="1"/>
  <c r="AW80" i="135"/>
  <c r="AQ80" i="135" s="1"/>
  <c r="BY132" i="135"/>
  <c r="AW132" i="135"/>
  <c r="BP132" i="135"/>
  <c r="Y133" i="135"/>
  <c r="AD133" i="135"/>
  <c r="AB133" i="135"/>
  <c r="Z133" i="135"/>
  <c r="X133" i="135"/>
  <c r="AH133" i="135"/>
  <c r="AF133" i="135"/>
  <c r="AG133" i="135"/>
  <c r="AC133" i="135"/>
  <c r="V82" i="135"/>
  <c r="AL82" i="135"/>
  <c r="AK82" i="135"/>
  <c r="U82" i="135"/>
  <c r="AI82" i="135"/>
  <c r="U134" i="135"/>
  <c r="AJ134" i="135"/>
  <c r="AL134" i="135"/>
  <c r="V134" i="135"/>
  <c r="AK134" i="135"/>
  <c r="AJ133" i="135"/>
  <c r="AN131" i="135"/>
  <c r="Q131" i="135" s="1"/>
  <c r="BD131" i="135"/>
  <c r="BP131" i="135"/>
  <c r="BY131" i="135"/>
  <c r="BP31" i="135"/>
  <c r="AW31" i="135"/>
  <c r="AQ31" i="135" s="1"/>
  <c r="AN31" i="135"/>
  <c r="Q31" i="135" s="1"/>
  <c r="BY31" i="135"/>
  <c r="BD31" i="135"/>
  <c r="BX132" i="135"/>
  <c r="AV132" i="135"/>
  <c r="BH132" i="135"/>
  <c r="AN132" i="135"/>
  <c r="Q132" i="135" s="1"/>
  <c r="DK133" i="135"/>
  <c r="CA133" i="135"/>
  <c r="AU132" i="135"/>
  <c r="BN132" i="135"/>
  <c r="C135" i="135"/>
  <c r="T135" i="135" s="1"/>
  <c r="BI132" i="135"/>
  <c r="BQ132" i="135"/>
  <c r="AX132" i="135"/>
  <c r="AQ131" i="135"/>
  <c r="AD28" i="135"/>
  <c r="AG28" i="135"/>
  <c r="AU28" i="135"/>
  <c r="AC28" i="135"/>
  <c r="Y28" i="135"/>
  <c r="E25" i="235" s="1"/>
  <c r="Z25" i="235" s="1"/>
  <c r="AI28" i="135"/>
  <c r="BN28" i="135"/>
  <c r="AF28" i="135"/>
  <c r="X28" i="135"/>
  <c r="D25" i="235" s="1"/>
  <c r="W25" i="235" s="1"/>
  <c r="AB28" i="135"/>
  <c r="AH28" i="135"/>
  <c r="Z28" i="135"/>
  <c r="BC81" i="135"/>
  <c r="BQ81" i="135"/>
  <c r="AV81" i="135"/>
  <c r="BX81" i="135"/>
  <c r="BH81" i="135"/>
  <c r="O12" i="131"/>
  <c r="AX81" i="135"/>
  <c r="BI81" i="135"/>
  <c r="AM81" i="135"/>
  <c r="AW81" i="135" s="1"/>
  <c r="C83" i="135"/>
  <c r="T83" i="135" s="1"/>
  <c r="Z12" i="230"/>
  <c r="AA12" i="230"/>
  <c r="AB12" i="230"/>
  <c r="AC12" i="230"/>
  <c r="AE4" i="230"/>
  <c r="AE5" i="230"/>
  <c r="AE6" i="230"/>
  <c r="AE7" i="230"/>
  <c r="AE8" i="230"/>
  <c r="AE9" i="230"/>
  <c r="AE10" i="230"/>
  <c r="AE11" i="230"/>
  <c r="AE12" i="230"/>
  <c r="AF1" i="230"/>
  <c r="W12" i="230"/>
  <c r="T13" i="230"/>
  <c r="AE13" i="230" s="1"/>
  <c r="V12" i="230"/>
  <c r="Y12" i="230"/>
  <c r="BY250" i="135" l="1"/>
  <c r="BN250" i="135"/>
  <c r="Y251" i="135"/>
  <c r="BQ250" i="135"/>
  <c r="AF251" i="135"/>
  <c r="AM251" i="135" s="1"/>
  <c r="AW251" i="135" s="1"/>
  <c r="AW250" i="135"/>
  <c r="AD251" i="135"/>
  <c r="AC251" i="135"/>
  <c r="AN250" i="135"/>
  <c r="Q250" i="135" s="1"/>
  <c r="BD250" i="135"/>
  <c r="AH251" i="135"/>
  <c r="X251" i="135"/>
  <c r="BI250" i="135"/>
  <c r="AG251" i="135"/>
  <c r="AI251" i="135"/>
  <c r="AV251" i="135" s="1"/>
  <c r="AB251" i="135"/>
  <c r="Z251" i="135"/>
  <c r="U252" i="135"/>
  <c r="AL252" i="135"/>
  <c r="AK252" i="135"/>
  <c r="T252" i="135"/>
  <c r="AF252" i="135" s="1"/>
  <c r="AM252" i="135" s="1"/>
  <c r="V252" i="135"/>
  <c r="BH251" i="135"/>
  <c r="AU251" i="135"/>
  <c r="BN251" i="135"/>
  <c r="C253" i="135"/>
  <c r="DK251" i="135"/>
  <c r="CA251" i="135"/>
  <c r="AX250" i="135"/>
  <c r="K12" i="131"/>
  <c r="M12" i="131"/>
  <c r="J12" i="131"/>
  <c r="AQ132" i="135"/>
  <c r="Y134" i="135"/>
  <c r="AG134" i="135"/>
  <c r="AI134" i="135"/>
  <c r="AB82" i="135"/>
  <c r="Y82" i="135"/>
  <c r="Z82" i="135"/>
  <c r="AH82" i="135"/>
  <c r="X82" i="135"/>
  <c r="AJ82" i="135"/>
  <c r="BN82" i="135" s="1"/>
  <c r="Z134" i="135"/>
  <c r="AB134" i="135"/>
  <c r="AH134" i="135"/>
  <c r="AD134" i="135"/>
  <c r="AF134" i="135"/>
  <c r="AF82" i="135"/>
  <c r="AC82" i="135"/>
  <c r="U83" i="135"/>
  <c r="AJ83" i="135"/>
  <c r="AL83" i="135"/>
  <c r="AK83" i="135"/>
  <c r="V83" i="135"/>
  <c r="U135" i="135"/>
  <c r="AK135" i="135"/>
  <c r="V135" i="135"/>
  <c r="AF135" i="135"/>
  <c r="AL135" i="135"/>
  <c r="X134" i="135"/>
  <c r="AC134" i="135"/>
  <c r="AG82" i="135"/>
  <c r="AD82" i="135"/>
  <c r="AM133" i="135"/>
  <c r="BD133" i="135" s="1"/>
  <c r="BX133" i="135"/>
  <c r="BH133" i="135"/>
  <c r="BC133" i="135"/>
  <c r="AV133" i="135"/>
  <c r="DK134" i="135"/>
  <c r="CA134" i="135"/>
  <c r="AU133" i="135"/>
  <c r="BN133" i="135"/>
  <c r="AX133" i="135"/>
  <c r="BI133" i="135"/>
  <c r="BQ133" i="135"/>
  <c r="AV28" i="135"/>
  <c r="BQ28" i="135"/>
  <c r="BI28" i="135"/>
  <c r="BH28" i="135"/>
  <c r="BC28" i="135"/>
  <c r="AX28" i="135"/>
  <c r="BX28" i="135"/>
  <c r="AQ81" i="135"/>
  <c r="BP81" i="135"/>
  <c r="BY81" i="135"/>
  <c r="AN81" i="135"/>
  <c r="Q81" i="135" s="1"/>
  <c r="BD81" i="135"/>
  <c r="C84" i="135"/>
  <c r="T84" i="135" s="1"/>
  <c r="AH13" i="230"/>
  <c r="AG13" i="230" s="1"/>
  <c r="Z13" i="230"/>
  <c r="AA13" i="230"/>
  <c r="AB13" i="230"/>
  <c r="AC13" i="230"/>
  <c r="AD13" i="230"/>
  <c r="AF4" i="230"/>
  <c r="AF5" i="230"/>
  <c r="AF6" i="230"/>
  <c r="AF7" i="230"/>
  <c r="AF8" i="230"/>
  <c r="AF9" i="230"/>
  <c r="AF10" i="230"/>
  <c r="AF11" i="230"/>
  <c r="AF12" i="230"/>
  <c r="AF13" i="230"/>
  <c r="W13" i="230"/>
  <c r="T14" i="230"/>
  <c r="AF14" i="230" s="1"/>
  <c r="Y13" i="230"/>
  <c r="V13" i="230"/>
  <c r="BC251" i="135" l="1"/>
  <c r="BX251" i="135"/>
  <c r="BY251" i="135"/>
  <c r="AX251" i="135"/>
  <c r="AQ251" i="135" s="1"/>
  <c r="Y252" i="135"/>
  <c r="AD252" i="135"/>
  <c r="X252" i="135"/>
  <c r="BI251" i="135"/>
  <c r="AH252" i="135"/>
  <c r="AI252" i="135"/>
  <c r="BH252" i="135" s="1"/>
  <c r="AC252" i="135"/>
  <c r="Z252" i="135"/>
  <c r="BD251" i="135"/>
  <c r="BQ251" i="135"/>
  <c r="AQ250" i="135"/>
  <c r="BP251" i="135"/>
  <c r="AN251" i="135"/>
  <c r="Q251" i="135" s="1"/>
  <c r="AG252" i="135"/>
  <c r="AJ252" i="135"/>
  <c r="BN252" i="135" s="1"/>
  <c r="AB252" i="135"/>
  <c r="AW252" i="135"/>
  <c r="BY252" i="135"/>
  <c r="BD252" i="135"/>
  <c r="BP252" i="135"/>
  <c r="T253" i="135"/>
  <c r="AI253" i="135" s="1"/>
  <c r="AK253" i="135"/>
  <c r="V253" i="135"/>
  <c r="U253" i="135"/>
  <c r="AL253" i="135"/>
  <c r="DK252" i="135"/>
  <c r="CA252" i="135"/>
  <c r="C254" i="135"/>
  <c r="L12" i="131"/>
  <c r="N12" i="131" s="1"/>
  <c r="AU82" i="135"/>
  <c r="AG83" i="135"/>
  <c r="AG135" i="135"/>
  <c r="AD135" i="135"/>
  <c r="AF83" i="135"/>
  <c r="AM83" i="135" s="1"/>
  <c r="BY83" i="135" s="1"/>
  <c r="Z135" i="135"/>
  <c r="AH83" i="135"/>
  <c r="X135" i="135"/>
  <c r="AH135" i="135"/>
  <c r="AI83" i="135"/>
  <c r="AB135" i="135"/>
  <c r="Z83" i="135"/>
  <c r="AD83" i="135"/>
  <c r="AJ135" i="135"/>
  <c r="AI135" i="135"/>
  <c r="AB83" i="135"/>
  <c r="AF84" i="135"/>
  <c r="V84" i="135"/>
  <c r="U84" i="135"/>
  <c r="AL84" i="135"/>
  <c r="AK84" i="135"/>
  <c r="X83" i="135"/>
  <c r="Y83" i="135"/>
  <c r="AC83" i="135"/>
  <c r="Y135" i="135"/>
  <c r="AC135" i="135"/>
  <c r="BY133" i="135"/>
  <c r="BP133" i="135"/>
  <c r="AW133" i="135"/>
  <c r="AQ133" i="135" s="1"/>
  <c r="AN133" i="135"/>
  <c r="Q133" i="135" s="1"/>
  <c r="DK135" i="135"/>
  <c r="CA135" i="135"/>
  <c r="AX134" i="135"/>
  <c r="BI134" i="135"/>
  <c r="BQ134" i="135"/>
  <c r="AU134" i="135"/>
  <c r="BN134" i="135"/>
  <c r="AM134" i="135"/>
  <c r="AN134" i="135" s="1"/>
  <c r="Q134" i="135" s="1"/>
  <c r="BH134" i="135"/>
  <c r="AV134" i="135"/>
  <c r="BX134" i="135"/>
  <c r="BC134" i="135"/>
  <c r="AM82" i="135"/>
  <c r="BD82" i="135" s="1"/>
  <c r="BX82" i="135"/>
  <c r="AV82" i="135"/>
  <c r="BC82" i="135"/>
  <c r="BH82" i="135"/>
  <c r="C85" i="135"/>
  <c r="T85" i="135" s="1"/>
  <c r="BQ82" i="135"/>
  <c r="AX82" i="135"/>
  <c r="BI82" i="135"/>
  <c r="AH14" i="230"/>
  <c r="AG14" i="230" s="1"/>
  <c r="Z14" i="230"/>
  <c r="AA14" i="230"/>
  <c r="AB14" i="230"/>
  <c r="AC14" i="230"/>
  <c r="AD14" i="230"/>
  <c r="AE14" i="230"/>
  <c r="T15" i="230"/>
  <c r="X14" i="230"/>
  <c r="V14" i="230"/>
  <c r="W14" i="230"/>
  <c r="BC83" i="135" l="1"/>
  <c r="AX252" i="135"/>
  <c r="AQ252" i="135" s="1"/>
  <c r="AN252" i="135"/>
  <c r="Q252" i="135" s="1"/>
  <c r="BC252" i="135"/>
  <c r="AV252" i="135"/>
  <c r="BX252" i="135"/>
  <c r="BQ252" i="135"/>
  <c r="BI252" i="135"/>
  <c r="AU252" i="135"/>
  <c r="X253" i="135"/>
  <c r="AH253" i="135"/>
  <c r="AF253" i="135"/>
  <c r="AM253" i="135" s="1"/>
  <c r="AW253" i="135" s="1"/>
  <c r="AJ253" i="135"/>
  <c r="AG253" i="135"/>
  <c r="CA253" i="135"/>
  <c r="DK253" i="135"/>
  <c r="AV253" i="135"/>
  <c r="BH253" i="135"/>
  <c r="BC253" i="135"/>
  <c r="BX253" i="135"/>
  <c r="U254" i="135"/>
  <c r="V254" i="135"/>
  <c r="T254" i="135"/>
  <c r="AI254" i="135" s="1"/>
  <c r="AL254" i="135"/>
  <c r="AK254" i="135"/>
  <c r="AD253" i="135"/>
  <c r="Y253" i="135"/>
  <c r="C255" i="135"/>
  <c r="Z253" i="135"/>
  <c r="AC253" i="135"/>
  <c r="AB253" i="135"/>
  <c r="P12" i="131"/>
  <c r="F25" i="235" s="1"/>
  <c r="AC25" i="235" s="1"/>
  <c r="BH83" i="135"/>
  <c r="BX83" i="135"/>
  <c r="AJ84" i="135"/>
  <c r="AU84" i="135" s="1"/>
  <c r="AV83" i="135"/>
  <c r="AI84" i="135"/>
  <c r="AC84" i="135"/>
  <c r="AD84" i="135"/>
  <c r="Y84" i="135"/>
  <c r="Z84" i="135"/>
  <c r="AG84" i="135"/>
  <c r="AH84" i="135"/>
  <c r="X84" i="135"/>
  <c r="V85" i="135"/>
  <c r="AL85" i="135"/>
  <c r="AK85" i="135"/>
  <c r="U85" i="135"/>
  <c r="AJ85" i="135"/>
  <c r="AB84" i="135"/>
  <c r="AM135" i="135"/>
  <c r="BP135" i="135" s="1"/>
  <c r="BQ135" i="135"/>
  <c r="BX135" i="135"/>
  <c r="BH135" i="135"/>
  <c r="BC135" i="135"/>
  <c r="AV135" i="135"/>
  <c r="BI135" i="135"/>
  <c r="AX135" i="135"/>
  <c r="BD134" i="135"/>
  <c r="BY134" i="135"/>
  <c r="BP134" i="135"/>
  <c r="AW134" i="135"/>
  <c r="AQ134" i="135" s="1"/>
  <c r="C136" i="135"/>
  <c r="T136" i="135" s="1"/>
  <c r="AU135" i="135"/>
  <c r="BN135" i="135"/>
  <c r="AM28" i="135"/>
  <c r="AW28" i="135" s="1"/>
  <c r="AQ28" i="135" s="1"/>
  <c r="AW82" i="135"/>
  <c r="AQ82" i="135" s="1"/>
  <c r="AN82" i="135"/>
  <c r="Q82" i="135" s="1"/>
  <c r="BP82" i="135"/>
  <c r="BY82" i="135"/>
  <c r="AU83" i="135"/>
  <c r="AX83" i="135"/>
  <c r="BP83" i="135"/>
  <c r="AW83" i="135"/>
  <c r="AN83" i="135"/>
  <c r="Q83" i="135" s="1"/>
  <c r="BD83" i="135"/>
  <c r="BN83" i="135"/>
  <c r="BQ83" i="135"/>
  <c r="BI83" i="135"/>
  <c r="C86" i="135"/>
  <c r="T86" i="135" s="1"/>
  <c r="Z15" i="230"/>
  <c r="AA15" i="230"/>
  <c r="AB15" i="230"/>
  <c r="AC15" i="230"/>
  <c r="AD15" i="230"/>
  <c r="AE15" i="230"/>
  <c r="AF15" i="230"/>
  <c r="W15" i="230"/>
  <c r="T16" i="230"/>
  <c r="X15" i="230"/>
  <c r="V15" i="230"/>
  <c r="AH254" i="135" l="1"/>
  <c r="AN253" i="135"/>
  <c r="Q253" i="135" s="1"/>
  <c r="AG254" i="135"/>
  <c r="AF254" i="135"/>
  <c r="AM254" i="135" s="1"/>
  <c r="BD254" i="135" s="1"/>
  <c r="AB254" i="135"/>
  <c r="BY253" i="135"/>
  <c r="BP253" i="135"/>
  <c r="AC254" i="135"/>
  <c r="X254" i="135"/>
  <c r="BD253" i="135"/>
  <c r="Z254" i="135"/>
  <c r="AJ254" i="135"/>
  <c r="BN254" i="135" s="1"/>
  <c r="Y254" i="135"/>
  <c r="V255" i="135"/>
  <c r="AK255" i="135"/>
  <c r="T255" i="135"/>
  <c r="AJ255" i="135" s="1"/>
  <c r="AL255" i="135"/>
  <c r="U255" i="135"/>
  <c r="BC254" i="135"/>
  <c r="BX254" i="135"/>
  <c r="AV254" i="135"/>
  <c r="BH254" i="135"/>
  <c r="C256" i="135"/>
  <c r="AD254" i="135"/>
  <c r="CA254" i="135"/>
  <c r="DK254" i="135"/>
  <c r="BQ253" i="135"/>
  <c r="BI253" i="135"/>
  <c r="AX253" i="135"/>
  <c r="AQ253" i="135" s="1"/>
  <c r="AU253" i="135"/>
  <c r="BN253" i="135"/>
  <c r="BN84" i="135"/>
  <c r="X85" i="135"/>
  <c r="Z85" i="135"/>
  <c r="AF85" i="135"/>
  <c r="AM85" i="135" s="1"/>
  <c r="AW85" i="135" s="1"/>
  <c r="Y85" i="135"/>
  <c r="AC85" i="135"/>
  <c r="AI85" i="135"/>
  <c r="AB85" i="135"/>
  <c r="AI86" i="135"/>
  <c r="AL86" i="135"/>
  <c r="V86" i="135"/>
  <c r="U86" i="135"/>
  <c r="AK86" i="135"/>
  <c r="AD85" i="135"/>
  <c r="V136" i="135"/>
  <c r="AL136" i="135"/>
  <c r="U136" i="135"/>
  <c r="AK136" i="135"/>
  <c r="AH85" i="135"/>
  <c r="AG85" i="135"/>
  <c r="AW135" i="135"/>
  <c r="AQ135" i="135" s="1"/>
  <c r="BY135" i="135"/>
  <c r="BD135" i="135"/>
  <c r="AN135" i="135"/>
  <c r="Q135" i="135" s="1"/>
  <c r="C137" i="135"/>
  <c r="T137" i="135" s="1"/>
  <c r="AV84" i="135"/>
  <c r="BD28" i="135"/>
  <c r="AN28" i="135"/>
  <c r="Q28" i="135" s="1"/>
  <c r="BY28" i="135"/>
  <c r="BP28" i="135"/>
  <c r="BX84" i="135"/>
  <c r="AQ83" i="135"/>
  <c r="BH84" i="135"/>
  <c r="BC84" i="135"/>
  <c r="AM84" i="135"/>
  <c r="BQ84" i="135"/>
  <c r="AX84" i="135"/>
  <c r="BI84" i="135"/>
  <c r="AH16" i="230"/>
  <c r="AG16" i="230" s="1"/>
  <c r="Z16" i="230"/>
  <c r="AA16" i="230"/>
  <c r="AB16" i="230"/>
  <c r="AC16" i="230"/>
  <c r="AD16" i="230"/>
  <c r="AE16" i="230"/>
  <c r="AF16" i="230"/>
  <c r="T17" i="230"/>
  <c r="X16" i="230"/>
  <c r="V16" i="230"/>
  <c r="W16" i="230"/>
  <c r="BH85" i="135" l="1"/>
  <c r="BI254" i="135"/>
  <c r="AX254" i="135"/>
  <c r="BQ254" i="135"/>
  <c r="BY254" i="135"/>
  <c r="AI255" i="135"/>
  <c r="BX255" i="135" s="1"/>
  <c r="AN254" i="135"/>
  <c r="Q254" i="135" s="1"/>
  <c r="AC255" i="135"/>
  <c r="AW254" i="135"/>
  <c r="BP254" i="135"/>
  <c r="AB255" i="135"/>
  <c r="Z255" i="135"/>
  <c r="AF255" i="135"/>
  <c r="AM255" i="135" s="1"/>
  <c r="BY255" i="135" s="1"/>
  <c r="X255" i="135"/>
  <c r="AU254" i="135"/>
  <c r="AG255" i="135"/>
  <c r="AD255" i="135"/>
  <c r="Y255" i="135"/>
  <c r="AH255" i="135"/>
  <c r="AK256" i="135"/>
  <c r="V256" i="135"/>
  <c r="T256" i="135"/>
  <c r="AJ256" i="135" s="1"/>
  <c r="U256" i="135"/>
  <c r="AL256" i="135"/>
  <c r="BN255" i="135"/>
  <c r="AU255" i="135"/>
  <c r="C257" i="135"/>
  <c r="DK255" i="135"/>
  <c r="CA255" i="135"/>
  <c r="AD86" i="135"/>
  <c r="AD136" i="135"/>
  <c r="BP85" i="135"/>
  <c r="BD85" i="135"/>
  <c r="BY85" i="135"/>
  <c r="AB136" i="135"/>
  <c r="Y136" i="135"/>
  <c r="AC136" i="135"/>
  <c r="AI136" i="135"/>
  <c r="AG136" i="135"/>
  <c r="X136" i="135"/>
  <c r="AF136" i="135"/>
  <c r="AM136" i="135" s="1"/>
  <c r="X86" i="135"/>
  <c r="AC86" i="135"/>
  <c r="AJ136" i="135"/>
  <c r="Y86" i="135"/>
  <c r="AF86" i="135"/>
  <c r="Z86" i="135"/>
  <c r="Z136" i="135"/>
  <c r="AH136" i="135"/>
  <c r="AG86" i="135"/>
  <c r="AB86" i="135"/>
  <c r="AH86" i="135"/>
  <c r="AJ86" i="135"/>
  <c r="AU86" i="135" s="1"/>
  <c r="V137" i="135"/>
  <c r="AK137" i="135"/>
  <c r="U137" i="135"/>
  <c r="AI137" i="135"/>
  <c r="AL137" i="135"/>
  <c r="CA136" i="135"/>
  <c r="DK136" i="135"/>
  <c r="C138" i="135"/>
  <c r="T138" i="135" s="1"/>
  <c r="BX85" i="135"/>
  <c r="BN85" i="135"/>
  <c r="BI85" i="135"/>
  <c r="BC85" i="135"/>
  <c r="BQ85" i="135"/>
  <c r="AV85" i="135"/>
  <c r="AN85" i="135"/>
  <c r="Q85" i="135" s="1"/>
  <c r="AU85" i="135"/>
  <c r="AX85" i="135"/>
  <c r="AQ85" i="135" s="1"/>
  <c r="BY84" i="135"/>
  <c r="AW84" i="135"/>
  <c r="BD84" i="135"/>
  <c r="AN84" i="135"/>
  <c r="Q84" i="135" s="1"/>
  <c r="BP84" i="135"/>
  <c r="AH17" i="230"/>
  <c r="AG17" i="230" s="1"/>
  <c r="AA17" i="230"/>
  <c r="AB17" i="230"/>
  <c r="AC17" i="230"/>
  <c r="AD17" i="230"/>
  <c r="AE17" i="230"/>
  <c r="AF17" i="230"/>
  <c r="Y17" i="230"/>
  <c r="V17" i="230"/>
  <c r="W17" i="230"/>
  <c r="T18" i="230"/>
  <c r="X17" i="230"/>
  <c r="AQ254" i="135" l="1"/>
  <c r="AV255" i="135"/>
  <c r="BH255" i="135"/>
  <c r="BC255" i="135"/>
  <c r="AX255" i="135"/>
  <c r="BD255" i="135"/>
  <c r="AB256" i="135"/>
  <c r="BQ255" i="135"/>
  <c r="BP255" i="135"/>
  <c r="AH256" i="135"/>
  <c r="BI255" i="135"/>
  <c r="AI256" i="135"/>
  <c r="BH256" i="135" s="1"/>
  <c r="AN255" i="135"/>
  <c r="Q255" i="135" s="1"/>
  <c r="X256" i="135"/>
  <c r="AD256" i="135"/>
  <c r="AF256" i="135"/>
  <c r="AM256" i="135" s="1"/>
  <c r="BD256" i="135" s="1"/>
  <c r="AC256" i="135"/>
  <c r="Z256" i="135"/>
  <c r="Y256" i="135"/>
  <c r="AG256" i="135"/>
  <c r="AW255" i="135"/>
  <c r="BN256" i="135"/>
  <c r="AU256" i="135"/>
  <c r="DK256" i="135"/>
  <c r="CA256" i="135"/>
  <c r="AL257" i="135"/>
  <c r="T257" i="135"/>
  <c r="AJ257" i="135" s="1"/>
  <c r="V257" i="135"/>
  <c r="U257" i="135"/>
  <c r="AK257" i="135"/>
  <c r="AJ137" i="135"/>
  <c r="AH137" i="135"/>
  <c r="Y137" i="135"/>
  <c r="Z137" i="135"/>
  <c r="AB137" i="135"/>
  <c r="X137" i="135"/>
  <c r="AD137" i="135"/>
  <c r="AF137" i="135"/>
  <c r="AM137" i="135" s="1"/>
  <c r="AG137" i="135"/>
  <c r="AC137" i="135"/>
  <c r="AL138" i="135"/>
  <c r="V138" i="135"/>
  <c r="AJ138" i="135"/>
  <c r="U138" i="135"/>
  <c r="AK138" i="135"/>
  <c r="C139" i="135"/>
  <c r="T139" i="135" s="1"/>
  <c r="AX136" i="135"/>
  <c r="BQ136" i="135"/>
  <c r="BI136" i="135"/>
  <c r="BN136" i="135"/>
  <c r="AU136" i="135"/>
  <c r="BH137" i="135"/>
  <c r="BC137" i="135"/>
  <c r="AV137" i="135"/>
  <c r="BX137" i="135"/>
  <c r="BY136" i="135"/>
  <c r="BD136" i="135"/>
  <c r="BP136" i="135"/>
  <c r="AN136" i="135"/>
  <c r="Q136" i="135" s="1"/>
  <c r="AW136" i="135"/>
  <c r="BC136" i="135"/>
  <c r="BH136" i="135"/>
  <c r="AV136" i="135"/>
  <c r="BX136" i="135"/>
  <c r="DK137" i="135"/>
  <c r="CA137" i="135"/>
  <c r="BN86" i="135"/>
  <c r="AV86" i="135"/>
  <c r="BX86" i="135"/>
  <c r="BH86" i="135"/>
  <c r="BC86" i="135"/>
  <c r="AM86" i="135"/>
  <c r="AQ84" i="135"/>
  <c r="BI86" i="135"/>
  <c r="BQ86" i="135"/>
  <c r="AX86" i="135"/>
  <c r="AA18" i="230"/>
  <c r="AB18" i="230"/>
  <c r="AC18" i="230"/>
  <c r="AD18" i="230"/>
  <c r="AE18" i="230"/>
  <c r="AF18" i="230"/>
  <c r="Y18" i="230"/>
  <c r="W18" i="230"/>
  <c r="V18" i="230"/>
  <c r="X18" i="230"/>
  <c r="T19" i="230"/>
  <c r="AQ255" i="135" l="1"/>
  <c r="BC256" i="135"/>
  <c r="BX256" i="135"/>
  <c r="AI257" i="135"/>
  <c r="BC257" i="135" s="1"/>
  <c r="AV256" i="135"/>
  <c r="BQ256" i="135"/>
  <c r="AF257" i="135"/>
  <c r="AM257" i="135" s="1"/>
  <c r="BP257" i="135" s="1"/>
  <c r="AG257" i="135"/>
  <c r="AN256" i="135"/>
  <c r="Q256" i="135" s="1"/>
  <c r="BI256" i="135"/>
  <c r="BP256" i="135"/>
  <c r="AX256" i="135"/>
  <c r="AW256" i="135"/>
  <c r="BY256" i="135"/>
  <c r="X257" i="135"/>
  <c r="Z257" i="135"/>
  <c r="AH257" i="135"/>
  <c r="AC257" i="135"/>
  <c r="DK257" i="135"/>
  <c r="CA257" i="135"/>
  <c r="AB257" i="135"/>
  <c r="AD257" i="135"/>
  <c r="Y257" i="135"/>
  <c r="BN257" i="135"/>
  <c r="AU257" i="135"/>
  <c r="AB138" i="135"/>
  <c r="AH138" i="135"/>
  <c r="AI138" i="135"/>
  <c r="Y138" i="135"/>
  <c r="AG138" i="135"/>
  <c r="AF138" i="135"/>
  <c r="AD138" i="135"/>
  <c r="Z138" i="135"/>
  <c r="U139" i="135"/>
  <c r="AJ139" i="135"/>
  <c r="AL139" i="135"/>
  <c r="AK139" i="135"/>
  <c r="V139" i="135"/>
  <c r="AC138" i="135"/>
  <c r="X138" i="135"/>
  <c r="AQ136" i="135"/>
  <c r="CA138" i="135"/>
  <c r="DK138" i="135"/>
  <c r="BQ137" i="135"/>
  <c r="BI137" i="135"/>
  <c r="AX137" i="135"/>
  <c r="AU137" i="135"/>
  <c r="BN137" i="135"/>
  <c r="BY137" i="135"/>
  <c r="BD137" i="135"/>
  <c r="AW137" i="135"/>
  <c r="BP137" i="135"/>
  <c r="AN137" i="135"/>
  <c r="Q137" i="135" s="1"/>
  <c r="AU138" i="135"/>
  <c r="BN138" i="135"/>
  <c r="C140" i="135"/>
  <c r="T140" i="135" s="1"/>
  <c r="BD86" i="135"/>
  <c r="BP86" i="135"/>
  <c r="AW86" i="135"/>
  <c r="AN86" i="135"/>
  <c r="Q86" i="135" s="1"/>
  <c r="BY86" i="135"/>
  <c r="C87" i="135"/>
  <c r="T87" i="135" s="1"/>
  <c r="AH19" i="230"/>
  <c r="AG19" i="230" s="1"/>
  <c r="AA19" i="230"/>
  <c r="AB19" i="230"/>
  <c r="AC19" i="230"/>
  <c r="AD19" i="230"/>
  <c r="AE19" i="230"/>
  <c r="AF19" i="230"/>
  <c r="Y19" i="230"/>
  <c r="T20" i="230"/>
  <c r="X19" i="230"/>
  <c r="W19" i="230"/>
  <c r="V19" i="230"/>
  <c r="AV257" i="135" l="1"/>
  <c r="BH257" i="135"/>
  <c r="BX257" i="135"/>
  <c r="BI257" i="135"/>
  <c r="AQ256" i="135"/>
  <c r="AX257" i="135"/>
  <c r="BQ257" i="135"/>
  <c r="AW257" i="135"/>
  <c r="AN257" i="135"/>
  <c r="Q257" i="135" s="1"/>
  <c r="BY257" i="135"/>
  <c r="BD257" i="135"/>
  <c r="AF139" i="135"/>
  <c r="AM139" i="135" s="1"/>
  <c r="Z139" i="135"/>
  <c r="AI139" i="135"/>
  <c r="AB139" i="135"/>
  <c r="AG139" i="135"/>
  <c r="U140" i="135"/>
  <c r="AI140" i="135"/>
  <c r="V140" i="135"/>
  <c r="AL140" i="135"/>
  <c r="AK140" i="135"/>
  <c r="X139" i="135"/>
  <c r="Y139" i="135"/>
  <c r="AD139" i="135"/>
  <c r="U87" i="135"/>
  <c r="AL87" i="135"/>
  <c r="V87" i="135"/>
  <c r="AK87" i="135"/>
  <c r="AH139" i="135"/>
  <c r="AC139" i="135"/>
  <c r="AM138" i="135"/>
  <c r="BP138" i="135" s="1"/>
  <c r="C141" i="135"/>
  <c r="T141" i="135" s="1"/>
  <c r="AQ137" i="135"/>
  <c r="AX138" i="135"/>
  <c r="BI138" i="135"/>
  <c r="BQ138" i="135"/>
  <c r="CA139" i="135"/>
  <c r="DK139" i="135"/>
  <c r="BH138" i="135"/>
  <c r="BX138" i="135"/>
  <c r="BC138" i="135"/>
  <c r="AV138" i="135"/>
  <c r="AQ86" i="135"/>
  <c r="AH20" i="230"/>
  <c r="AG20" i="230" s="1"/>
  <c r="Z20" i="230"/>
  <c r="AB20" i="230"/>
  <c r="AC20" i="230"/>
  <c r="AD20" i="230"/>
  <c r="AE20" i="230"/>
  <c r="AF20" i="230"/>
  <c r="Y20" i="230"/>
  <c r="T21" i="230"/>
  <c r="X20" i="230"/>
  <c r="W20" i="230"/>
  <c r="V20" i="230"/>
  <c r="AQ257" i="135" l="1"/>
  <c r="AC87" i="135"/>
  <c r="AG140" i="135"/>
  <c r="Z140" i="135"/>
  <c r="AJ140" i="135"/>
  <c r="AF140" i="135"/>
  <c r="AL141" i="135"/>
  <c r="U141" i="135"/>
  <c r="AK141" i="135"/>
  <c r="V141" i="135"/>
  <c r="X87" i="135"/>
  <c r="AB140" i="135"/>
  <c r="AG87" i="135"/>
  <c r="Z87" i="135"/>
  <c r="AB87" i="135"/>
  <c r="AH140" i="135"/>
  <c r="Y140" i="135"/>
  <c r="AF87" i="135"/>
  <c r="AM87" i="135" s="1"/>
  <c r="AD87" i="135"/>
  <c r="AJ87" i="135"/>
  <c r="BN87" i="135" s="1"/>
  <c r="Y87" i="135"/>
  <c r="AD140" i="135"/>
  <c r="X140" i="135"/>
  <c r="AH87" i="135"/>
  <c r="AI87" i="135"/>
  <c r="AC140" i="135"/>
  <c r="AW138" i="135"/>
  <c r="AQ138" i="135" s="1"/>
  <c r="AN138" i="135"/>
  <c r="Q138" i="135" s="1"/>
  <c r="BY138" i="135"/>
  <c r="BD138" i="135"/>
  <c r="BI139" i="135"/>
  <c r="BQ139" i="135"/>
  <c r="AX139" i="135"/>
  <c r="CA140" i="135"/>
  <c r="DK140" i="135"/>
  <c r="BX139" i="135"/>
  <c r="BH139" i="135"/>
  <c r="AV139" i="135"/>
  <c r="BC139" i="135"/>
  <c r="C142" i="135"/>
  <c r="T142" i="135" s="1"/>
  <c r="BP139" i="135"/>
  <c r="BD139" i="135"/>
  <c r="AN139" i="135"/>
  <c r="Q139" i="135" s="1"/>
  <c r="BY139" i="135"/>
  <c r="AW139" i="135"/>
  <c r="BN139" i="135"/>
  <c r="AU139" i="135"/>
  <c r="Z21" i="230"/>
  <c r="AB21" i="230"/>
  <c r="AC21" i="230"/>
  <c r="AD21" i="230"/>
  <c r="AE21" i="230"/>
  <c r="AF21" i="230"/>
  <c r="Y21" i="230"/>
  <c r="V21" i="230"/>
  <c r="X21" i="230"/>
  <c r="W21" i="230"/>
  <c r="T22" i="230"/>
  <c r="BC87" i="135" l="1"/>
  <c r="AN87" i="135"/>
  <c r="Q87" i="135" s="1"/>
  <c r="AV87" i="135"/>
  <c r="BH87" i="135"/>
  <c r="Z141" i="135"/>
  <c r="BX87" i="135"/>
  <c r="AL142" i="135"/>
  <c r="U142" i="135"/>
  <c r="AK142" i="135"/>
  <c r="V142" i="135"/>
  <c r="AG141" i="135"/>
  <c r="Y141" i="135"/>
  <c r="AJ141" i="135"/>
  <c r="AF141" i="135"/>
  <c r="AM141" i="135" s="1"/>
  <c r="AD141" i="135"/>
  <c r="AI141" i="135"/>
  <c r="AB141" i="135"/>
  <c r="X141" i="135"/>
  <c r="AC141" i="135"/>
  <c r="AH141" i="135"/>
  <c r="AQ139" i="135"/>
  <c r="AM140" i="135"/>
  <c r="BP140" i="135" s="1"/>
  <c r="CA141" i="135"/>
  <c r="DK141" i="135"/>
  <c r="BI140" i="135"/>
  <c r="AX140" i="135"/>
  <c r="BQ140" i="135"/>
  <c r="AV140" i="135"/>
  <c r="BX140" i="135"/>
  <c r="BH140" i="135"/>
  <c r="BC140" i="135"/>
  <c r="C143" i="135"/>
  <c r="T143" i="135" s="1"/>
  <c r="AU140" i="135"/>
  <c r="BN140" i="135"/>
  <c r="AU87" i="135"/>
  <c r="BI87" i="135"/>
  <c r="BY87" i="135"/>
  <c r="BP87" i="135"/>
  <c r="BQ87" i="135"/>
  <c r="AW87" i="135"/>
  <c r="BD87" i="135"/>
  <c r="AX87" i="135"/>
  <c r="AH22" i="230"/>
  <c r="AG22" i="230" s="1"/>
  <c r="Z22" i="230"/>
  <c r="AB22" i="230"/>
  <c r="AC22" i="230"/>
  <c r="AD22" i="230"/>
  <c r="AE22" i="230"/>
  <c r="AF22" i="230"/>
  <c r="Y22" i="230"/>
  <c r="W22" i="230"/>
  <c r="V22" i="230"/>
  <c r="T23" i="230"/>
  <c r="X22" i="230"/>
  <c r="AC142" i="135" l="1"/>
  <c r="AD142" i="135"/>
  <c r="AG142" i="135"/>
  <c r="V143" i="135"/>
  <c r="U143" i="135"/>
  <c r="AJ143" i="135"/>
  <c r="AL143" i="135"/>
  <c r="AK143" i="135"/>
  <c r="Z142" i="135"/>
  <c r="AJ142" i="135"/>
  <c r="AH142" i="135"/>
  <c r="AF142" i="135"/>
  <c r="AB142" i="135"/>
  <c r="X142" i="135"/>
  <c r="Y142" i="135"/>
  <c r="AI142" i="135"/>
  <c r="BD140" i="135"/>
  <c r="AN140" i="135"/>
  <c r="Q140" i="135" s="1"/>
  <c r="BY140" i="135"/>
  <c r="AW140" i="135"/>
  <c r="AQ140" i="135" s="1"/>
  <c r="CA142" i="135"/>
  <c r="DK142" i="135"/>
  <c r="C144" i="135"/>
  <c r="T144" i="135" s="1"/>
  <c r="AU141" i="135"/>
  <c r="BN141" i="135"/>
  <c r="BQ141" i="135"/>
  <c r="BI141" i="135"/>
  <c r="AX141" i="135"/>
  <c r="BP141" i="135"/>
  <c r="BD141" i="135"/>
  <c r="BY141" i="135"/>
  <c r="AN141" i="135"/>
  <c r="Q141" i="135" s="1"/>
  <c r="AW141" i="135"/>
  <c r="BH141" i="135"/>
  <c r="BC141" i="135"/>
  <c r="BX141" i="135"/>
  <c r="AV141" i="135"/>
  <c r="AQ87" i="135"/>
  <c r="AH23" i="230"/>
  <c r="AG23" i="230" s="1"/>
  <c r="Z23" i="230"/>
  <c r="AA23" i="230"/>
  <c r="AC23" i="230"/>
  <c r="AD23" i="230"/>
  <c r="AE23" i="230"/>
  <c r="AF23" i="230"/>
  <c r="Y23" i="230"/>
  <c r="T24" i="230"/>
  <c r="X23" i="230"/>
  <c r="W23" i="230"/>
  <c r="V23" i="230"/>
  <c r="C258" i="135" l="1"/>
  <c r="AM142" i="135"/>
  <c r="BP142" i="135" s="1"/>
  <c r="Y143" i="135"/>
  <c r="X143" i="135"/>
  <c r="AD143" i="135"/>
  <c r="AG143" i="135"/>
  <c r="AI143" i="135"/>
  <c r="BH143" i="135" s="1"/>
  <c r="Z143" i="135"/>
  <c r="AC143" i="135"/>
  <c r="AH143" i="135"/>
  <c r="AF143" i="135"/>
  <c r="AB143" i="135"/>
  <c r="V144" i="135"/>
  <c r="AK144" i="135"/>
  <c r="AI144" i="135"/>
  <c r="AL144" i="135"/>
  <c r="U144" i="135"/>
  <c r="AQ141" i="135"/>
  <c r="AX142" i="135"/>
  <c r="BQ142" i="135"/>
  <c r="BI142" i="135"/>
  <c r="C145" i="135"/>
  <c r="T145" i="135" s="1"/>
  <c r="BN142" i="135"/>
  <c r="AU142" i="135"/>
  <c r="BH142" i="135"/>
  <c r="AV142" i="135"/>
  <c r="BC142" i="135"/>
  <c r="BX142" i="135"/>
  <c r="CA143" i="135"/>
  <c r="DK143" i="135"/>
  <c r="Z24" i="230"/>
  <c r="AA24" i="230"/>
  <c r="AC24" i="230"/>
  <c r="AD24" i="230"/>
  <c r="AE24" i="230"/>
  <c r="AF24" i="230"/>
  <c r="Y24" i="230"/>
  <c r="T25" i="230"/>
  <c r="X24" i="230"/>
  <c r="V24" i="230"/>
  <c r="W24" i="230"/>
  <c r="T258" i="135" l="1"/>
  <c r="AF258" i="135" s="1"/>
  <c r="AM258" i="135" s="1"/>
  <c r="AL258" i="135"/>
  <c r="U258" i="135"/>
  <c r="V258" i="135"/>
  <c r="AK258" i="135"/>
  <c r="C259" i="135"/>
  <c r="AM143" i="135"/>
  <c r="AN143" i="135" s="1"/>
  <c r="Q143" i="135" s="1"/>
  <c r="BD142" i="135"/>
  <c r="AW142" i="135"/>
  <c r="AQ142" i="135" s="1"/>
  <c r="BY142" i="135"/>
  <c r="AN142" i="135"/>
  <c r="Q142" i="135" s="1"/>
  <c r="BX143" i="135"/>
  <c r="AV143" i="135"/>
  <c r="BC143" i="135"/>
  <c r="AB144" i="135"/>
  <c r="AH144" i="135"/>
  <c r="AJ144" i="135"/>
  <c r="BN144" i="135" s="1"/>
  <c r="AF144" i="135"/>
  <c r="AF33" i="135" s="1"/>
  <c r="V145" i="135"/>
  <c r="AI145" i="135"/>
  <c r="AL145" i="135"/>
  <c r="AK145" i="135"/>
  <c r="U145" i="135"/>
  <c r="Y144" i="135"/>
  <c r="Z144" i="135"/>
  <c r="AG144" i="135"/>
  <c r="X144" i="135"/>
  <c r="AD144" i="135"/>
  <c r="AC144" i="135"/>
  <c r="BI143" i="135"/>
  <c r="AX143" i="135"/>
  <c r="BQ143" i="135"/>
  <c r="C146" i="135"/>
  <c r="T146" i="135" s="1"/>
  <c r="AU143" i="135"/>
  <c r="BN143" i="135"/>
  <c r="DK144" i="135"/>
  <c r="CA144" i="135"/>
  <c r="T26" i="230"/>
  <c r="AH25" i="230"/>
  <c r="AG25" i="230" s="1"/>
  <c r="Z25" i="230"/>
  <c r="AA25" i="230"/>
  <c r="AC25" i="230"/>
  <c r="AD25" i="230"/>
  <c r="AE25" i="230"/>
  <c r="AF25" i="230"/>
  <c r="Y25" i="230"/>
  <c r="V25" i="230"/>
  <c r="W25" i="230"/>
  <c r="X25" i="230"/>
  <c r="BD143" i="135" l="1"/>
  <c r="BY143" i="135"/>
  <c r="AJ258" i="135"/>
  <c r="AU258" i="135" s="1"/>
  <c r="AC258" i="135"/>
  <c r="AI258" i="135"/>
  <c r="BX258" i="135" s="1"/>
  <c r="Z258" i="135"/>
  <c r="AH258" i="135"/>
  <c r="AG258" i="135"/>
  <c r="AD258" i="135"/>
  <c r="Y258" i="135"/>
  <c r="AB258" i="135"/>
  <c r="V259" i="135"/>
  <c r="AL259" i="135"/>
  <c r="U259" i="135"/>
  <c r="T259" i="135"/>
  <c r="AJ259" i="135" s="1"/>
  <c r="AK259" i="135"/>
  <c r="X258" i="135"/>
  <c r="C260" i="135"/>
  <c r="CA258" i="135"/>
  <c r="DK258" i="135"/>
  <c r="BD258" i="135"/>
  <c r="BY258" i="135"/>
  <c r="BP258" i="135"/>
  <c r="AW258" i="135"/>
  <c r="BP143" i="135"/>
  <c r="AW143" i="135"/>
  <c r="AQ143" i="135" s="1"/>
  <c r="AM144" i="135"/>
  <c r="BP144" i="135" s="1"/>
  <c r="AU144" i="135"/>
  <c r="AC145" i="135"/>
  <c r="AF145" i="135"/>
  <c r="AL146" i="135"/>
  <c r="U146" i="135"/>
  <c r="AI146" i="135"/>
  <c r="AK146" i="135"/>
  <c r="V146" i="135"/>
  <c r="AB145" i="135"/>
  <c r="Y145" i="135"/>
  <c r="AH145" i="135"/>
  <c r="AG145" i="135"/>
  <c r="X145" i="135"/>
  <c r="Z145" i="135"/>
  <c r="AJ145" i="135"/>
  <c r="AD145" i="135"/>
  <c r="BH144" i="135"/>
  <c r="BC144" i="135"/>
  <c r="AV144" i="135"/>
  <c r="BX144" i="135"/>
  <c r="AX144" i="135"/>
  <c r="BQ144" i="135"/>
  <c r="BI144" i="135"/>
  <c r="DK145" i="135"/>
  <c r="CA145" i="135"/>
  <c r="C147" i="135"/>
  <c r="T147" i="135" s="1"/>
  <c r="X26" i="230"/>
  <c r="AB26" i="230"/>
  <c r="AF26" i="230"/>
  <c r="T27" i="230"/>
  <c r="Y26" i="230"/>
  <c r="AD26" i="230"/>
  <c r="W26" i="230"/>
  <c r="AE26" i="230"/>
  <c r="V26" i="230"/>
  <c r="AA26" i="230"/>
  <c r="Z26" i="230"/>
  <c r="AH26" i="230"/>
  <c r="AG26" i="230" s="1"/>
  <c r="EU8" i="135"/>
  <c r="BN258" i="135" l="1"/>
  <c r="BQ258" i="135"/>
  <c r="AX258" i="135"/>
  <c r="AQ258" i="135" s="1"/>
  <c r="BH258" i="135"/>
  <c r="BI258" i="135"/>
  <c r="AN258" i="135"/>
  <c r="Q258" i="135" s="1"/>
  <c r="BC258" i="135"/>
  <c r="AV258" i="135"/>
  <c r="X259" i="135"/>
  <c r="Z259" i="135"/>
  <c r="AH259" i="135"/>
  <c r="Y259" i="135"/>
  <c r="AF259" i="135"/>
  <c r="AM259" i="135" s="1"/>
  <c r="BD259" i="135" s="1"/>
  <c r="AD259" i="135"/>
  <c r="AG259" i="135"/>
  <c r="BQ259" i="135" s="1"/>
  <c r="AC259" i="135"/>
  <c r="AB259" i="135"/>
  <c r="AI259" i="135"/>
  <c r="BH259" i="135" s="1"/>
  <c r="AU259" i="135"/>
  <c r="BN259" i="135"/>
  <c r="AL260" i="135"/>
  <c r="AK260" i="135"/>
  <c r="EU260" i="135" s="1"/>
  <c r="T260" i="135"/>
  <c r="AF260" i="135" s="1"/>
  <c r="AM260" i="135" s="1"/>
  <c r="U260" i="135"/>
  <c r="V260" i="135"/>
  <c r="C261" i="135"/>
  <c r="CA259" i="135"/>
  <c r="DK259" i="135"/>
  <c r="BD144" i="135"/>
  <c r="AN144" i="135"/>
  <c r="Q144" i="135" s="1"/>
  <c r="BY144" i="135"/>
  <c r="AW144" i="135"/>
  <c r="AQ144" i="135" s="1"/>
  <c r="AD146" i="135"/>
  <c r="AB146" i="135"/>
  <c r="AG146" i="135"/>
  <c r="V147" i="135"/>
  <c r="U147" i="135"/>
  <c r="AL147" i="135"/>
  <c r="AJ147" i="135"/>
  <c r="AK147" i="135"/>
  <c r="EU147" i="135" s="1"/>
  <c r="Z146" i="135"/>
  <c r="X146" i="135"/>
  <c r="AJ146" i="135"/>
  <c r="AC146" i="135"/>
  <c r="Y146" i="135"/>
  <c r="AF146" i="135"/>
  <c r="AH146" i="135"/>
  <c r="AM145" i="135"/>
  <c r="AW145" i="135" s="1"/>
  <c r="EU235" i="135"/>
  <c r="EU231" i="135"/>
  <c r="EU234" i="135"/>
  <c r="EU221" i="135"/>
  <c r="EU218" i="135"/>
  <c r="EU217" i="135"/>
  <c r="EU216" i="135"/>
  <c r="EU230" i="135"/>
  <c r="EU220" i="135"/>
  <c r="EU215" i="135"/>
  <c r="EU214" i="135"/>
  <c r="EU219" i="135"/>
  <c r="EU228" i="135"/>
  <c r="EU223" i="135"/>
  <c r="EU236" i="135"/>
  <c r="EU242" i="135"/>
  <c r="EU244" i="135"/>
  <c r="EU257" i="135"/>
  <c r="EU239" i="135"/>
  <c r="EU243" i="135"/>
  <c r="EU246" i="135"/>
  <c r="EU248" i="135"/>
  <c r="EU226" i="135"/>
  <c r="EU222" i="135"/>
  <c r="EU238" i="135"/>
  <c r="EU224" i="135"/>
  <c r="EU250" i="135"/>
  <c r="EU253" i="135"/>
  <c r="EU254" i="135"/>
  <c r="EU255" i="135"/>
  <c r="EU227" i="135"/>
  <c r="EU232" i="135"/>
  <c r="EU240" i="135"/>
  <c r="EU233" i="135"/>
  <c r="EU237" i="135"/>
  <c r="EU241" i="135"/>
  <c r="EU247" i="135"/>
  <c r="EU249" i="135"/>
  <c r="EU252" i="135"/>
  <c r="EU225" i="135"/>
  <c r="EU258" i="135"/>
  <c r="EU245" i="135"/>
  <c r="EU251" i="135"/>
  <c r="EU256" i="135"/>
  <c r="EU259" i="135"/>
  <c r="EU229" i="135"/>
  <c r="BI145" i="135"/>
  <c r="CA146" i="135"/>
  <c r="DK146" i="135"/>
  <c r="AX145" i="135"/>
  <c r="BQ145" i="135"/>
  <c r="AU145" i="135"/>
  <c r="BN145" i="135"/>
  <c r="C148" i="135"/>
  <c r="T148" i="135" s="1"/>
  <c r="BX145" i="135"/>
  <c r="BH145" i="135"/>
  <c r="AV145" i="135"/>
  <c r="BC145" i="135"/>
  <c r="EU127" i="135"/>
  <c r="EU126" i="135"/>
  <c r="EU69" i="135"/>
  <c r="EU70" i="135"/>
  <c r="EU72" i="135"/>
  <c r="EU71" i="135"/>
  <c r="EU121" i="135"/>
  <c r="EU129" i="135"/>
  <c r="EU124" i="135"/>
  <c r="EU128" i="135"/>
  <c r="EU122" i="135"/>
  <c r="EU125" i="135"/>
  <c r="EU123" i="135"/>
  <c r="EU141" i="135"/>
  <c r="EU108" i="135"/>
  <c r="EU144" i="135"/>
  <c r="EU116" i="135"/>
  <c r="EU132" i="135"/>
  <c r="EU139" i="135"/>
  <c r="EU118" i="135"/>
  <c r="EU115" i="135"/>
  <c r="EU111" i="135"/>
  <c r="EU135" i="135"/>
  <c r="EU136" i="135"/>
  <c r="EU131" i="135"/>
  <c r="EU107" i="135"/>
  <c r="EU134" i="135"/>
  <c r="EU130" i="135"/>
  <c r="EU110" i="135"/>
  <c r="EU114" i="135"/>
  <c r="EU138" i="135"/>
  <c r="EU137" i="135"/>
  <c r="EU112" i="135"/>
  <c r="EU113" i="135"/>
  <c r="EU117" i="135"/>
  <c r="EU119" i="135"/>
  <c r="EU133" i="135"/>
  <c r="EU143" i="135"/>
  <c r="EU145" i="135"/>
  <c r="EU142" i="135"/>
  <c r="EU146" i="135"/>
  <c r="EU106" i="135"/>
  <c r="EU109" i="135"/>
  <c r="EU120" i="135"/>
  <c r="EU140" i="135"/>
  <c r="DK63" i="135"/>
  <c r="DK61" i="135"/>
  <c r="DK60" i="135"/>
  <c r="DK62" i="135"/>
  <c r="DK64" i="135"/>
  <c r="DK65" i="135"/>
  <c r="DK66" i="135"/>
  <c r="DK67" i="135"/>
  <c r="DK68" i="135"/>
  <c r="DK73" i="135"/>
  <c r="DK74" i="135"/>
  <c r="DK75" i="135"/>
  <c r="DK76" i="135"/>
  <c r="DK77" i="135"/>
  <c r="DK78" i="135"/>
  <c r="DK79" i="135"/>
  <c r="DK80" i="135"/>
  <c r="DK81" i="135"/>
  <c r="DK82" i="135"/>
  <c r="DK83" i="135"/>
  <c r="DK84" i="135"/>
  <c r="DK85" i="135"/>
  <c r="DK86" i="135"/>
  <c r="DK87" i="135"/>
  <c r="EU63" i="135"/>
  <c r="EU61" i="135"/>
  <c r="EU60" i="135"/>
  <c r="EU62" i="135"/>
  <c r="EU64" i="135"/>
  <c r="EU65" i="135"/>
  <c r="EU66" i="135"/>
  <c r="EU67" i="135"/>
  <c r="EU68" i="135"/>
  <c r="EU73" i="135"/>
  <c r="EU74" i="135"/>
  <c r="EU75" i="135"/>
  <c r="EU76" i="135"/>
  <c r="EU77" i="135"/>
  <c r="EU78" i="135"/>
  <c r="EU79" i="135"/>
  <c r="EU80" i="135"/>
  <c r="EU81" i="135"/>
  <c r="EU82" i="135"/>
  <c r="EU83" i="135"/>
  <c r="EU84" i="135"/>
  <c r="EU85" i="135"/>
  <c r="EU86" i="135"/>
  <c r="EU87" i="135"/>
  <c r="CA63" i="135"/>
  <c r="CA60" i="135"/>
  <c r="CA62" i="135"/>
  <c r="CA61" i="135"/>
  <c r="CA64" i="135"/>
  <c r="CA65" i="135"/>
  <c r="CA66" i="135"/>
  <c r="CA67" i="135"/>
  <c r="CA68" i="135"/>
  <c r="CA73" i="135"/>
  <c r="CA74" i="135"/>
  <c r="CA75" i="135"/>
  <c r="CA76" i="135"/>
  <c r="CA77" i="135"/>
  <c r="CA78" i="135"/>
  <c r="CA79" i="135"/>
  <c r="CA80" i="135"/>
  <c r="CA81" i="135"/>
  <c r="CA82" i="135"/>
  <c r="CA83" i="135"/>
  <c r="CA84" i="135"/>
  <c r="CA85" i="135"/>
  <c r="CA86" i="135"/>
  <c r="CA87" i="135"/>
  <c r="C88" i="135"/>
  <c r="T88" i="135" s="1"/>
  <c r="CA55" i="135"/>
  <c r="CA53" i="135"/>
  <c r="CA56" i="135"/>
  <c r="CA51" i="135"/>
  <c r="CA52" i="135"/>
  <c r="CA54" i="135"/>
  <c r="CA57" i="135"/>
  <c r="CA59" i="135"/>
  <c r="CA50" i="135"/>
  <c r="CA58" i="135"/>
  <c r="DK51" i="135"/>
  <c r="DK59" i="135"/>
  <c r="DK54" i="135"/>
  <c r="DK58" i="135"/>
  <c r="DK55" i="135"/>
  <c r="DK53" i="135"/>
  <c r="DK50" i="135"/>
  <c r="DK56" i="135"/>
  <c r="DK52" i="135"/>
  <c r="DK57" i="135"/>
  <c r="EU56" i="135"/>
  <c r="EU57" i="135"/>
  <c r="EU51" i="135"/>
  <c r="EU55" i="135"/>
  <c r="EU53" i="135"/>
  <c r="EU54" i="135"/>
  <c r="EU59" i="135"/>
  <c r="EU52" i="135"/>
  <c r="EU58" i="135"/>
  <c r="EU50" i="135"/>
  <c r="X27" i="230"/>
  <c r="AB27" i="230"/>
  <c r="AF27" i="230"/>
  <c r="T28" i="230"/>
  <c r="Y27" i="230"/>
  <c r="AD27" i="230"/>
  <c r="V27" i="230"/>
  <c r="Z27" i="230"/>
  <c r="W27" i="230"/>
  <c r="AA27" i="230"/>
  <c r="AE27" i="230"/>
  <c r="CA49" i="135"/>
  <c r="DK49" i="135"/>
  <c r="EU49" i="135"/>
  <c r="EV8" i="135"/>
  <c r="DL8" i="135"/>
  <c r="CB8" i="135"/>
  <c r="AX259" i="135" l="1"/>
  <c r="AV259" i="135"/>
  <c r="BC259" i="135"/>
  <c r="BX259" i="135"/>
  <c r="AG260" i="135"/>
  <c r="BP259" i="135"/>
  <c r="AJ260" i="135"/>
  <c r="BN260" i="135" s="1"/>
  <c r="AI260" i="135"/>
  <c r="BX260" i="135" s="1"/>
  <c r="AH260" i="135"/>
  <c r="AC260" i="135"/>
  <c r="AW259" i="135"/>
  <c r="AN259" i="135"/>
  <c r="Q259" i="135" s="1"/>
  <c r="Y260" i="135"/>
  <c r="BY259" i="135"/>
  <c r="AB260" i="135"/>
  <c r="Z260" i="135"/>
  <c r="X260" i="135"/>
  <c r="BI259" i="135"/>
  <c r="AD260" i="135"/>
  <c r="T261" i="135"/>
  <c r="AJ261" i="135" s="1"/>
  <c r="AL261" i="135"/>
  <c r="U261" i="135"/>
  <c r="V261" i="135"/>
  <c r="AK261" i="135"/>
  <c r="CB261" i="135" s="1"/>
  <c r="C262" i="135"/>
  <c r="AW260" i="135"/>
  <c r="BD260" i="135"/>
  <c r="BP260" i="135"/>
  <c r="BY260" i="135"/>
  <c r="DK260" i="135"/>
  <c r="CA260" i="135"/>
  <c r="AI147" i="135"/>
  <c r="AF147" i="135"/>
  <c r="Y147" i="135"/>
  <c r="DL147" i="135" s="1"/>
  <c r="X147" i="135"/>
  <c r="CB147" i="135" s="1"/>
  <c r="AC147" i="135"/>
  <c r="AG147" i="135"/>
  <c r="AB147" i="135"/>
  <c r="Z147" i="135"/>
  <c r="EV147" i="135" s="1"/>
  <c r="AI88" i="135"/>
  <c r="U88" i="135"/>
  <c r="AK88" i="135"/>
  <c r="V88" i="135"/>
  <c r="AL88" i="135"/>
  <c r="AI148" i="135"/>
  <c r="V148" i="135"/>
  <c r="U148" i="135"/>
  <c r="AK148" i="135"/>
  <c r="AL148" i="135"/>
  <c r="AD147" i="135"/>
  <c r="AH147" i="135"/>
  <c r="BD145" i="135"/>
  <c r="AN145" i="135"/>
  <c r="Q145" i="135" s="1"/>
  <c r="BY145" i="135"/>
  <c r="BP145" i="135"/>
  <c r="AM146" i="135"/>
  <c r="BD146" i="135" s="1"/>
  <c r="CB259" i="135"/>
  <c r="CB258" i="135"/>
  <c r="CB249" i="135"/>
  <c r="CB246" i="135"/>
  <c r="CB243" i="135"/>
  <c r="CB237" i="135"/>
  <c r="CB235" i="135"/>
  <c r="CB231" i="135"/>
  <c r="CB245" i="135"/>
  <c r="CB234" i="135"/>
  <c r="CB230" i="135"/>
  <c r="CB250" i="135"/>
  <c r="CB241" i="135"/>
  <c r="CB239" i="135"/>
  <c r="CB225" i="135"/>
  <c r="CB224" i="135"/>
  <c r="CB217" i="135"/>
  <c r="CB222" i="135"/>
  <c r="CB221" i="135"/>
  <c r="CB240" i="135"/>
  <c r="CB247" i="135"/>
  <c r="CB252" i="135"/>
  <c r="CB214" i="135"/>
  <c r="CB218" i="135"/>
  <c r="CB228" i="135"/>
  <c r="CB223" i="135"/>
  <c r="CB257" i="135"/>
  <c r="CB244" i="135"/>
  <c r="CB233" i="135"/>
  <c r="CB251" i="135"/>
  <c r="CB253" i="135"/>
  <c r="CB215" i="135"/>
  <c r="CB236" i="135"/>
  <c r="CB242" i="135"/>
  <c r="CB229" i="135"/>
  <c r="CB248" i="135"/>
  <c r="CB254" i="135"/>
  <c r="CB255" i="135"/>
  <c r="CB226" i="135"/>
  <c r="CB219" i="135"/>
  <c r="CB238" i="135"/>
  <c r="CB216" i="135"/>
  <c r="CB232" i="135"/>
  <c r="CB256" i="135"/>
  <c r="CB227" i="135"/>
  <c r="CB220" i="135"/>
  <c r="CB260" i="135"/>
  <c r="DL259" i="135"/>
  <c r="DL249" i="135"/>
  <c r="DL256" i="135"/>
  <c r="DL234" i="135"/>
  <c r="DL230" i="135"/>
  <c r="DL255" i="135"/>
  <c r="DL245" i="135"/>
  <c r="DL243" i="135"/>
  <c r="DL251" i="135"/>
  <c r="DL248" i="135"/>
  <c r="DL233" i="135"/>
  <c r="DL232" i="135"/>
  <c r="DL229" i="135"/>
  <c r="DL241" i="135"/>
  <c r="DL247" i="135"/>
  <c r="DL239" i="135"/>
  <c r="DL237" i="135"/>
  <c r="DL226" i="135"/>
  <c r="DL223" i="135"/>
  <c r="DL222" i="135"/>
  <c r="DL254" i="135"/>
  <c r="DL219" i="135"/>
  <c r="DL218" i="135"/>
  <c r="DL220" i="135"/>
  <c r="DL242" i="135"/>
  <c r="DL246" i="135"/>
  <c r="DL217" i="135"/>
  <c r="DL227" i="135"/>
  <c r="DL238" i="135"/>
  <c r="DL235" i="135"/>
  <c r="DL257" i="135"/>
  <c r="DL250" i="135"/>
  <c r="DL252" i="135"/>
  <c r="DL215" i="135"/>
  <c r="DL214" i="135"/>
  <c r="DL216" i="135"/>
  <c r="DL228" i="135"/>
  <c r="DL224" i="135"/>
  <c r="DL231" i="135"/>
  <c r="DL240" i="135"/>
  <c r="DL244" i="135"/>
  <c r="DL253" i="135"/>
  <c r="DL225" i="135"/>
  <c r="DL258" i="135"/>
  <c r="DL221" i="135"/>
  <c r="DL236" i="135"/>
  <c r="DL260" i="135"/>
  <c r="EV258" i="135"/>
  <c r="EV259" i="135"/>
  <c r="EV254" i="135"/>
  <c r="EV250" i="135"/>
  <c r="EV246" i="135"/>
  <c r="EV252" i="135"/>
  <c r="EV249" i="135"/>
  <c r="EV245" i="135"/>
  <c r="EV255" i="135"/>
  <c r="EV224" i="135"/>
  <c r="EV220" i="135"/>
  <c r="EV221" i="135"/>
  <c r="EV225" i="135"/>
  <c r="EV216" i="135"/>
  <c r="EV219" i="135"/>
  <c r="EV238" i="135"/>
  <c r="EV232" i="135"/>
  <c r="EV235" i="135"/>
  <c r="EV251" i="135"/>
  <c r="EV217" i="135"/>
  <c r="EV222" i="135"/>
  <c r="EV231" i="135"/>
  <c r="EV240" i="135"/>
  <c r="EV234" i="135"/>
  <c r="EV237" i="135"/>
  <c r="EV241" i="135"/>
  <c r="EV253" i="135"/>
  <c r="EV256" i="135"/>
  <c r="EV214" i="135"/>
  <c r="EV218" i="135"/>
  <c r="EV226" i="135"/>
  <c r="EV228" i="135"/>
  <c r="EV223" i="135"/>
  <c r="EV257" i="135"/>
  <c r="EV230" i="135"/>
  <c r="EV215" i="135"/>
  <c r="EV227" i="135"/>
  <c r="EV236" i="135"/>
  <c r="EV239" i="135"/>
  <c r="EV243" i="135"/>
  <c r="EV242" i="135"/>
  <c r="EV244" i="135"/>
  <c r="EV233" i="135"/>
  <c r="EV247" i="135"/>
  <c r="EV260" i="135"/>
  <c r="EV229" i="135"/>
  <c r="EV248" i="135"/>
  <c r="BN146" i="135"/>
  <c r="AU146" i="135"/>
  <c r="BI146" i="135"/>
  <c r="BQ146" i="135"/>
  <c r="AX146" i="135"/>
  <c r="AQ145" i="135"/>
  <c r="AV146" i="135"/>
  <c r="BC146" i="135"/>
  <c r="BX146" i="135"/>
  <c r="BH146" i="135"/>
  <c r="C149" i="135"/>
  <c r="T149" i="135" s="1"/>
  <c r="DK147" i="135"/>
  <c r="CA147" i="135"/>
  <c r="DK30" i="135"/>
  <c r="EU30" i="135"/>
  <c r="CA30" i="135"/>
  <c r="CB127" i="135"/>
  <c r="CB126" i="135"/>
  <c r="DL126" i="135"/>
  <c r="DL127" i="135"/>
  <c r="EV126" i="135"/>
  <c r="EV127" i="135"/>
  <c r="CB70" i="135"/>
  <c r="CB71" i="135"/>
  <c r="CB69" i="135"/>
  <c r="CB72" i="135"/>
  <c r="DL71" i="135"/>
  <c r="DL70" i="135"/>
  <c r="DL72" i="135"/>
  <c r="DL69" i="135"/>
  <c r="EV69" i="135"/>
  <c r="EV72" i="135"/>
  <c r="EV70" i="135"/>
  <c r="EV71" i="135"/>
  <c r="EU25" i="135"/>
  <c r="EU32" i="135"/>
  <c r="CB111" i="135"/>
  <c r="CB141" i="135"/>
  <c r="CB135" i="135"/>
  <c r="CB132" i="135"/>
  <c r="CB144" i="135"/>
  <c r="CB116" i="135"/>
  <c r="CB125" i="135"/>
  <c r="CB110" i="135"/>
  <c r="CB136" i="135"/>
  <c r="CB134" i="135"/>
  <c r="CB107" i="135"/>
  <c r="CB112" i="135"/>
  <c r="CB130" i="135"/>
  <c r="CB131" i="135"/>
  <c r="CB113" i="135"/>
  <c r="CB133" i="135"/>
  <c r="CB119" i="135"/>
  <c r="CB128" i="135"/>
  <c r="CB122" i="135"/>
  <c r="CB138" i="135"/>
  <c r="CB114" i="135"/>
  <c r="CB143" i="135"/>
  <c r="CB129" i="135"/>
  <c r="CB137" i="135"/>
  <c r="CB145" i="135"/>
  <c r="CB117" i="135"/>
  <c r="CB106" i="135"/>
  <c r="CB109" i="135"/>
  <c r="CB142" i="135"/>
  <c r="CB121" i="135"/>
  <c r="CB146" i="135"/>
  <c r="CB123" i="135"/>
  <c r="CB124" i="135"/>
  <c r="CB120" i="135"/>
  <c r="CB108" i="135"/>
  <c r="CB118" i="135"/>
  <c r="CB115" i="135"/>
  <c r="CB139" i="135"/>
  <c r="CB140" i="135"/>
  <c r="DL141" i="135"/>
  <c r="DL135" i="135"/>
  <c r="DL144" i="135"/>
  <c r="DL118" i="135"/>
  <c r="DL132" i="135"/>
  <c r="DL122" i="135"/>
  <c r="DL115" i="135"/>
  <c r="DL136" i="135"/>
  <c r="DL110" i="135"/>
  <c r="DL107" i="135"/>
  <c r="DL128" i="135"/>
  <c r="DL130" i="135"/>
  <c r="DL112" i="135"/>
  <c r="DL131" i="135"/>
  <c r="DL114" i="135"/>
  <c r="DL113" i="135"/>
  <c r="DL129" i="135"/>
  <c r="DL137" i="135"/>
  <c r="DL133" i="135"/>
  <c r="DL125" i="135"/>
  <c r="DL138" i="135"/>
  <c r="DL119" i="135"/>
  <c r="DL117" i="135"/>
  <c r="DL123" i="135"/>
  <c r="DL124" i="135"/>
  <c r="DL106" i="135"/>
  <c r="DL142" i="135"/>
  <c r="DL121" i="135"/>
  <c r="DL109" i="135"/>
  <c r="DL146" i="135"/>
  <c r="DL145" i="135"/>
  <c r="DL143" i="135"/>
  <c r="DL134" i="135"/>
  <c r="DL120" i="135"/>
  <c r="DL108" i="135"/>
  <c r="DL140" i="135"/>
  <c r="DL111" i="135"/>
  <c r="DL139" i="135"/>
  <c r="DL116" i="135"/>
  <c r="CA31" i="135"/>
  <c r="CA28" i="135"/>
  <c r="CA26" i="135"/>
  <c r="DK28" i="135"/>
  <c r="DK26" i="135"/>
  <c r="EU28" i="135"/>
  <c r="EU26" i="135"/>
  <c r="EV121" i="135"/>
  <c r="EV124" i="135"/>
  <c r="EV122" i="135"/>
  <c r="EV123" i="135"/>
  <c r="EV116" i="135"/>
  <c r="EV108" i="135"/>
  <c r="EV111" i="135"/>
  <c r="EV135" i="135"/>
  <c r="EV144" i="135"/>
  <c r="EV132" i="135"/>
  <c r="EV129" i="135"/>
  <c r="EV115" i="135"/>
  <c r="EV110" i="135"/>
  <c r="EV114" i="135"/>
  <c r="EV136" i="135"/>
  <c r="EV125" i="135"/>
  <c r="EV130" i="135"/>
  <c r="EV112" i="135"/>
  <c r="EV131" i="135"/>
  <c r="EV138" i="135"/>
  <c r="EV113" i="135"/>
  <c r="EV107" i="135"/>
  <c r="EV134" i="135"/>
  <c r="EV137" i="135"/>
  <c r="EV145" i="135"/>
  <c r="EV133" i="135"/>
  <c r="EV119" i="135"/>
  <c r="EV117" i="135"/>
  <c r="EV143" i="135"/>
  <c r="EV109" i="135"/>
  <c r="EV128" i="135"/>
  <c r="EV142" i="135"/>
  <c r="EV146" i="135"/>
  <c r="EV106" i="135"/>
  <c r="EV118" i="135"/>
  <c r="EV120" i="135"/>
  <c r="EV139" i="135"/>
  <c r="EV141" i="135"/>
  <c r="EV140" i="135"/>
  <c r="EU31" i="135"/>
  <c r="DK32" i="135"/>
  <c r="CA33" i="135"/>
  <c r="DK31" i="135"/>
  <c r="CA32" i="135"/>
  <c r="EU33" i="135"/>
  <c r="DK33" i="135"/>
  <c r="EU23" i="135"/>
  <c r="DK24" i="135"/>
  <c r="DK27" i="135"/>
  <c r="CA22" i="135"/>
  <c r="CA27" i="135"/>
  <c r="EU22" i="135"/>
  <c r="DK23" i="135"/>
  <c r="DK22" i="135"/>
  <c r="CA23" i="135"/>
  <c r="CA24" i="135"/>
  <c r="EU27" i="135"/>
  <c r="EU24" i="135"/>
  <c r="EV60" i="135"/>
  <c r="EV62" i="135"/>
  <c r="EV61" i="135"/>
  <c r="EV63" i="135"/>
  <c r="EV64" i="135"/>
  <c r="EV65" i="135"/>
  <c r="EV66" i="135"/>
  <c r="EV67" i="135"/>
  <c r="EV68" i="135"/>
  <c r="EV73" i="135"/>
  <c r="EV75" i="135"/>
  <c r="EV74" i="135"/>
  <c r="EV76" i="135"/>
  <c r="EV77" i="135"/>
  <c r="EV78" i="135"/>
  <c r="EV79" i="135"/>
  <c r="EV80" i="135"/>
  <c r="EV81" i="135"/>
  <c r="EV82" i="135"/>
  <c r="EV83" i="135"/>
  <c r="EV84" i="135"/>
  <c r="EV85" i="135"/>
  <c r="EV86" i="135"/>
  <c r="EV87" i="135"/>
  <c r="CB63" i="135"/>
  <c r="CB60" i="135"/>
  <c r="CB61" i="135"/>
  <c r="CB62" i="135"/>
  <c r="CB65" i="135"/>
  <c r="CB64" i="135"/>
  <c r="CB66" i="135"/>
  <c r="CB67" i="135"/>
  <c r="CB68" i="135"/>
  <c r="CB73" i="135"/>
  <c r="CB75" i="135"/>
  <c r="CB74" i="135"/>
  <c r="CB76" i="135"/>
  <c r="CB77" i="135"/>
  <c r="CB78" i="135"/>
  <c r="CB79" i="135"/>
  <c r="CB80" i="135"/>
  <c r="CB81" i="135"/>
  <c r="CB82" i="135"/>
  <c r="CB83" i="135"/>
  <c r="CB84" i="135"/>
  <c r="CB85" i="135"/>
  <c r="CB86" i="135"/>
  <c r="CB87" i="135"/>
  <c r="DL61" i="135"/>
  <c r="DL62" i="135"/>
  <c r="DL63" i="135"/>
  <c r="DL60" i="135"/>
  <c r="DL64" i="135"/>
  <c r="DL65" i="135"/>
  <c r="DL66" i="135"/>
  <c r="DL67" i="135"/>
  <c r="DL68" i="135"/>
  <c r="DL73" i="135"/>
  <c r="DL74" i="135"/>
  <c r="DL75" i="135"/>
  <c r="DL76" i="135"/>
  <c r="DL77" i="135"/>
  <c r="DL78" i="135"/>
  <c r="DL79" i="135"/>
  <c r="DL80" i="135"/>
  <c r="DL81" i="135"/>
  <c r="DL82" i="135"/>
  <c r="DL83" i="135"/>
  <c r="DL84" i="135"/>
  <c r="DL85" i="135"/>
  <c r="DL86" i="135"/>
  <c r="DL87" i="135"/>
  <c r="C89" i="135"/>
  <c r="T89" i="135" s="1"/>
  <c r="DL53" i="135"/>
  <c r="DL56" i="135"/>
  <c r="DL50" i="135"/>
  <c r="DL58" i="135"/>
  <c r="DL59" i="135"/>
  <c r="DL52" i="135"/>
  <c r="DL54" i="135"/>
  <c r="DL51" i="135"/>
  <c r="DL57" i="135"/>
  <c r="DL55" i="135"/>
  <c r="EV56" i="135"/>
  <c r="EV54" i="135"/>
  <c r="EV59" i="135"/>
  <c r="EV50" i="135"/>
  <c r="EV53" i="135"/>
  <c r="EV51" i="135"/>
  <c r="EV55" i="135"/>
  <c r="EV58" i="135"/>
  <c r="EV52" i="135"/>
  <c r="EV57" i="135"/>
  <c r="CB53" i="135"/>
  <c r="CB56" i="135"/>
  <c r="CB52" i="135"/>
  <c r="CB59" i="135"/>
  <c r="CB58" i="135"/>
  <c r="CB51" i="135"/>
  <c r="CB54" i="135"/>
  <c r="CB57" i="135"/>
  <c r="CB50" i="135"/>
  <c r="CB55" i="135"/>
  <c r="X28" i="230"/>
  <c r="AB28" i="230"/>
  <c r="AF28" i="230"/>
  <c r="T29" i="230"/>
  <c r="Y28" i="230"/>
  <c r="AD28" i="230"/>
  <c r="AA28" i="230"/>
  <c r="AH28" i="230"/>
  <c r="AG28" i="230" s="1"/>
  <c r="V28" i="230"/>
  <c r="W28" i="230"/>
  <c r="Z28" i="230"/>
  <c r="AE28" i="230"/>
  <c r="EV49" i="135"/>
  <c r="CB49" i="135"/>
  <c r="DL49" i="135"/>
  <c r="DK21" i="135"/>
  <c r="CA21" i="135"/>
  <c r="EU21" i="135"/>
  <c r="EW8" i="135"/>
  <c r="DM8" i="135"/>
  <c r="CC8" i="135"/>
  <c r="AN260" i="135" l="1"/>
  <c r="AQ259" i="135"/>
  <c r="AV260" i="135"/>
  <c r="BH260" i="135"/>
  <c r="BC260" i="135"/>
  <c r="AU260" i="135"/>
  <c r="AF261" i="135"/>
  <c r="AM261" i="135" s="1"/>
  <c r="AW261" i="135" s="1"/>
  <c r="BI260" i="135"/>
  <c r="Q260" i="135"/>
  <c r="DL261" i="135"/>
  <c r="AH261" i="135"/>
  <c r="AX260" i="135"/>
  <c r="AQ260" i="135" s="1"/>
  <c r="EV261" i="135"/>
  <c r="BQ260" i="135"/>
  <c r="AI261" i="135"/>
  <c r="BX261" i="135" s="1"/>
  <c r="AB261" i="135"/>
  <c r="AG261" i="135"/>
  <c r="X261" i="135"/>
  <c r="CC261" i="135" s="1"/>
  <c r="AC261" i="135"/>
  <c r="Y261" i="135"/>
  <c r="DM261" i="135" s="1"/>
  <c r="AD261" i="135"/>
  <c r="O20" i="131"/>
  <c r="L20" i="131" s="1"/>
  <c r="N20" i="131" s="1"/>
  <c r="Z261" i="135"/>
  <c r="EW261" i="135" s="1"/>
  <c r="AK262" i="135"/>
  <c r="T262" i="135"/>
  <c r="AI262" i="135" s="1"/>
  <c r="V262" i="135"/>
  <c r="AL262" i="135"/>
  <c r="U262" i="135"/>
  <c r="AJ262" i="135"/>
  <c r="AU261" i="135"/>
  <c r="BN261" i="135"/>
  <c r="C263" i="135"/>
  <c r="DK261" i="135"/>
  <c r="CA261" i="135"/>
  <c r="EU261" i="135"/>
  <c r="AI34" i="135"/>
  <c r="AM147" i="135"/>
  <c r="BD147" i="135" s="1"/>
  <c r="EV25" i="135"/>
  <c r="AF88" i="135"/>
  <c r="AM88" i="135" s="1"/>
  <c r="Z88" i="135"/>
  <c r="EU88" i="135" s="1"/>
  <c r="AH148" i="135"/>
  <c r="AD148" i="135"/>
  <c r="AD34" i="135" s="1"/>
  <c r="AJ88" i="135"/>
  <c r="Y88" i="135"/>
  <c r="DK88" i="135" s="1"/>
  <c r="V149" i="135"/>
  <c r="AK149" i="135"/>
  <c r="U149" i="135"/>
  <c r="AI149" i="135"/>
  <c r="AL149" i="135"/>
  <c r="AG148" i="135"/>
  <c r="AB148" i="135"/>
  <c r="AB88" i="135"/>
  <c r="AH88" i="135"/>
  <c r="X148" i="135"/>
  <c r="CB148" i="135" s="1"/>
  <c r="CB34" i="135" s="1"/>
  <c r="Y148" i="135"/>
  <c r="DL148" i="135" s="1"/>
  <c r="DL34" i="135" s="1"/>
  <c r="Z148" i="135"/>
  <c r="EV148" i="135" s="1"/>
  <c r="EV34" i="135" s="1"/>
  <c r="AC148" i="135"/>
  <c r="X88" i="135"/>
  <c r="CC88" i="135" s="1"/>
  <c r="AD88" i="135"/>
  <c r="U89" i="135"/>
  <c r="AL89" i="135"/>
  <c r="AJ89" i="135"/>
  <c r="V89" i="135"/>
  <c r="AK89" i="135"/>
  <c r="AF148" i="135"/>
  <c r="AF34" i="135" s="1"/>
  <c r="AJ148" i="135"/>
  <c r="AJ34" i="135" s="1"/>
  <c r="AG88" i="135"/>
  <c r="AC88" i="135"/>
  <c r="AN146" i="135"/>
  <c r="Q146" i="135" s="1"/>
  <c r="AW146" i="135"/>
  <c r="AQ146" i="135" s="1"/>
  <c r="BP146" i="135"/>
  <c r="BY146" i="135"/>
  <c r="CC252" i="135"/>
  <c r="CC234" i="135"/>
  <c r="CC230" i="135"/>
  <c r="CC233" i="135"/>
  <c r="CC229" i="135"/>
  <c r="CC220" i="135"/>
  <c r="CC217" i="135"/>
  <c r="CC216" i="135"/>
  <c r="CC218" i="135"/>
  <c r="CC221" i="135"/>
  <c r="CC215" i="135"/>
  <c r="CC214" i="135"/>
  <c r="CC225" i="135"/>
  <c r="CC232" i="135"/>
  <c r="CC235" i="135"/>
  <c r="CC251" i="135"/>
  <c r="CC219" i="135"/>
  <c r="CC228" i="135"/>
  <c r="CC223" i="135"/>
  <c r="CC231" i="135"/>
  <c r="CC236" i="135"/>
  <c r="CC242" i="135"/>
  <c r="CC244" i="135"/>
  <c r="CC257" i="135"/>
  <c r="CC239" i="135"/>
  <c r="CC243" i="135"/>
  <c r="CC246" i="135"/>
  <c r="CC248" i="135"/>
  <c r="CC226" i="135"/>
  <c r="CC222" i="135"/>
  <c r="CC238" i="135"/>
  <c r="CC224" i="135"/>
  <c r="CC245" i="135"/>
  <c r="CC250" i="135"/>
  <c r="CC253" i="135"/>
  <c r="CC254" i="135"/>
  <c r="CC255" i="135"/>
  <c r="CC258" i="135"/>
  <c r="CC259" i="135"/>
  <c r="CC240" i="135"/>
  <c r="CC237" i="135"/>
  <c r="CC227" i="135"/>
  <c r="CC241" i="135"/>
  <c r="CC247" i="135"/>
  <c r="CC260" i="135"/>
  <c r="CC256" i="135"/>
  <c r="CC249" i="135"/>
  <c r="DM258" i="135"/>
  <c r="DM245" i="135"/>
  <c r="DM243" i="135"/>
  <c r="DM241" i="135"/>
  <c r="DM239" i="135"/>
  <c r="DM237" i="135"/>
  <c r="DM251" i="135"/>
  <c r="DM250" i="135"/>
  <c r="DM247" i="135"/>
  <c r="DM246" i="135"/>
  <c r="DM240" i="135"/>
  <c r="DM244" i="135"/>
  <c r="DM236" i="135"/>
  <c r="DM222" i="135"/>
  <c r="DM235" i="135"/>
  <c r="DM231" i="135"/>
  <c r="DM232" i="135"/>
  <c r="DM216" i="135"/>
  <c r="DM228" i="135"/>
  <c r="DM220" i="135"/>
  <c r="DM238" i="135"/>
  <c r="DM257" i="135"/>
  <c r="DM234" i="135"/>
  <c r="DM217" i="135"/>
  <c r="DM221" i="135"/>
  <c r="DM242" i="135"/>
  <c r="DM230" i="135"/>
  <c r="DM254" i="135"/>
  <c r="DM255" i="135"/>
  <c r="DM219" i="135"/>
  <c r="DM214" i="135"/>
  <c r="DM218" i="135"/>
  <c r="DM223" i="135"/>
  <c r="DM227" i="135"/>
  <c r="DM229" i="135"/>
  <c r="DM233" i="135"/>
  <c r="DM248" i="135"/>
  <c r="DM215" i="135"/>
  <c r="DM226" i="135"/>
  <c r="DM256" i="135"/>
  <c r="DM225" i="135"/>
  <c r="DM252" i="135"/>
  <c r="DM249" i="135"/>
  <c r="DM260" i="135"/>
  <c r="DM224" i="135"/>
  <c r="DM253" i="135"/>
  <c r="DM259" i="135"/>
  <c r="EW254" i="135"/>
  <c r="EW252" i="135"/>
  <c r="EW249" i="135"/>
  <c r="EW245" i="135"/>
  <c r="EW256" i="135"/>
  <c r="EW248" i="135"/>
  <c r="EW238" i="135"/>
  <c r="EW234" i="135"/>
  <c r="EW230" i="135"/>
  <c r="EW240" i="135"/>
  <c r="EW227" i="135"/>
  <c r="EW223" i="135"/>
  <c r="EW229" i="135"/>
  <c r="EW233" i="135"/>
  <c r="EW228" i="135"/>
  <c r="EW224" i="135"/>
  <c r="EW219" i="135"/>
  <c r="EW221" i="135"/>
  <c r="EW231" i="135"/>
  <c r="EW236" i="135"/>
  <c r="EW242" i="135"/>
  <c r="EW244" i="135"/>
  <c r="EW239" i="135"/>
  <c r="EW243" i="135"/>
  <c r="EW247" i="135"/>
  <c r="EW225" i="135"/>
  <c r="EW218" i="135"/>
  <c r="EW220" i="135"/>
  <c r="EW251" i="135"/>
  <c r="EW253" i="135"/>
  <c r="EW214" i="135"/>
  <c r="EW217" i="135"/>
  <c r="EW215" i="135"/>
  <c r="EW222" i="135"/>
  <c r="EW237" i="135"/>
  <c r="EW241" i="135"/>
  <c r="EW246" i="135"/>
  <c r="EW226" i="135"/>
  <c r="EW216" i="135"/>
  <c r="EW232" i="135"/>
  <c r="EW257" i="135"/>
  <c r="EW250" i="135"/>
  <c r="EW255" i="135"/>
  <c r="EW235" i="135"/>
  <c r="EW260" i="135"/>
  <c r="EW259" i="135"/>
  <c r="EW258" i="135"/>
  <c r="BQ147" i="135"/>
  <c r="AX147" i="135"/>
  <c r="BI147" i="135"/>
  <c r="C150" i="135"/>
  <c r="T150" i="135" s="1"/>
  <c r="BX147" i="135"/>
  <c r="AV147" i="135"/>
  <c r="BH147" i="135"/>
  <c r="BC147" i="135"/>
  <c r="CA148" i="135"/>
  <c r="CA34" i="135" s="1"/>
  <c r="EU148" i="135"/>
  <c r="EU34" i="135" s="1"/>
  <c r="DK148" i="135"/>
  <c r="AU147" i="135"/>
  <c r="BN147" i="135"/>
  <c r="CC126" i="135"/>
  <c r="CC127" i="135"/>
  <c r="DM126" i="135"/>
  <c r="DM127" i="135"/>
  <c r="EW126" i="135"/>
  <c r="EW127" i="135"/>
  <c r="DL25" i="135"/>
  <c r="CB25" i="135"/>
  <c r="CC70" i="135"/>
  <c r="CC71" i="135"/>
  <c r="CC69" i="135"/>
  <c r="CC72" i="135"/>
  <c r="DM71" i="135"/>
  <c r="DM69" i="135"/>
  <c r="DM70" i="135"/>
  <c r="DM72" i="135"/>
  <c r="EW69" i="135"/>
  <c r="EW70" i="135"/>
  <c r="EW71" i="135"/>
  <c r="EW72" i="135"/>
  <c r="CB31" i="135"/>
  <c r="EV32" i="135"/>
  <c r="EV30" i="135"/>
  <c r="DL31" i="135"/>
  <c r="CC124" i="135"/>
  <c r="CC128" i="135"/>
  <c r="CC122" i="135"/>
  <c r="CC125" i="135"/>
  <c r="CC121" i="135"/>
  <c r="CC123" i="135"/>
  <c r="CC129" i="135"/>
  <c r="CC141" i="135"/>
  <c r="CC108" i="135"/>
  <c r="CC135" i="135"/>
  <c r="CC116" i="135"/>
  <c r="CC147" i="135"/>
  <c r="CC132" i="135"/>
  <c r="CC144" i="135"/>
  <c r="CC112" i="135"/>
  <c r="CC134" i="135"/>
  <c r="CC131" i="135"/>
  <c r="CC136" i="135"/>
  <c r="CC130" i="135"/>
  <c r="CC110" i="135"/>
  <c r="CC114" i="135"/>
  <c r="CC138" i="135"/>
  <c r="CC137" i="135"/>
  <c r="CC133" i="135"/>
  <c r="CC143" i="135"/>
  <c r="CC113" i="135"/>
  <c r="CC117" i="135"/>
  <c r="CC145" i="135"/>
  <c r="CC119" i="135"/>
  <c r="CC142" i="135"/>
  <c r="CC146" i="135"/>
  <c r="CC106" i="135"/>
  <c r="CC109" i="135"/>
  <c r="CC120" i="135"/>
  <c r="CC107" i="135"/>
  <c r="CC118" i="135"/>
  <c r="CC115" i="135"/>
  <c r="CC111" i="135"/>
  <c r="CC139" i="135"/>
  <c r="CC140" i="135"/>
  <c r="DL28" i="135"/>
  <c r="DL26" i="135"/>
  <c r="CB32" i="135"/>
  <c r="EV33" i="135"/>
  <c r="DM121" i="135"/>
  <c r="DM129" i="135"/>
  <c r="DM123" i="135"/>
  <c r="DM125" i="135"/>
  <c r="DM147" i="135"/>
  <c r="DM144" i="135"/>
  <c r="DM132" i="135"/>
  <c r="DM118" i="135"/>
  <c r="DM135" i="135"/>
  <c r="DM122" i="135"/>
  <c r="DM115" i="135"/>
  <c r="DM136" i="135"/>
  <c r="DM110" i="135"/>
  <c r="DM114" i="135"/>
  <c r="DM107" i="135"/>
  <c r="DM128" i="135"/>
  <c r="DM130" i="135"/>
  <c r="DM112" i="135"/>
  <c r="DM131" i="135"/>
  <c r="DM113" i="135"/>
  <c r="DM137" i="135"/>
  <c r="DM133" i="135"/>
  <c r="DM119" i="135"/>
  <c r="DM124" i="135"/>
  <c r="DM117" i="135"/>
  <c r="DM138" i="135"/>
  <c r="DM109" i="135"/>
  <c r="DM142" i="135"/>
  <c r="DM146" i="135"/>
  <c r="DM106" i="135"/>
  <c r="DM145" i="135"/>
  <c r="DM143" i="135"/>
  <c r="DM141" i="135"/>
  <c r="DM120" i="135"/>
  <c r="DM139" i="135"/>
  <c r="DM134" i="135"/>
  <c r="DM116" i="135"/>
  <c r="DM140" i="135"/>
  <c r="DM108" i="135"/>
  <c r="DM111" i="135"/>
  <c r="DL33" i="135"/>
  <c r="EW111" i="135"/>
  <c r="EW108" i="135"/>
  <c r="EW116" i="135"/>
  <c r="EW123" i="135"/>
  <c r="EW147" i="135"/>
  <c r="EW132" i="135"/>
  <c r="EW124" i="135"/>
  <c r="EW144" i="135"/>
  <c r="EW129" i="135"/>
  <c r="EW115" i="135"/>
  <c r="EW135" i="135"/>
  <c r="EW110" i="135"/>
  <c r="EW130" i="135"/>
  <c r="EW112" i="135"/>
  <c r="EW136" i="135"/>
  <c r="EW107" i="135"/>
  <c r="EW131" i="135"/>
  <c r="EW134" i="135"/>
  <c r="EW125" i="135"/>
  <c r="EW114" i="135"/>
  <c r="EW113" i="135"/>
  <c r="EW137" i="135"/>
  <c r="EW143" i="135"/>
  <c r="EW121" i="135"/>
  <c r="EW117" i="135"/>
  <c r="EW119" i="135"/>
  <c r="EW133" i="135"/>
  <c r="EW145" i="135"/>
  <c r="EW138" i="135"/>
  <c r="EW109" i="135"/>
  <c r="EW106" i="135"/>
  <c r="EW142" i="135"/>
  <c r="EW146" i="135"/>
  <c r="EW128" i="135"/>
  <c r="EW122" i="135"/>
  <c r="EW120" i="135"/>
  <c r="EW118" i="135"/>
  <c r="EW140" i="135"/>
  <c r="EW139" i="135"/>
  <c r="EW141" i="135"/>
  <c r="DL30" i="135"/>
  <c r="CB30" i="135"/>
  <c r="EV31" i="135"/>
  <c r="DL32" i="135"/>
  <c r="CB33" i="135"/>
  <c r="EV28" i="135"/>
  <c r="EV26" i="135"/>
  <c r="DL27" i="135"/>
  <c r="DL23" i="135"/>
  <c r="DL22" i="135"/>
  <c r="CB22" i="135"/>
  <c r="EV23" i="135"/>
  <c r="DL24" i="135"/>
  <c r="CB28" i="135"/>
  <c r="CB26" i="135"/>
  <c r="EV27" i="135"/>
  <c r="CB23" i="135"/>
  <c r="CB27" i="135"/>
  <c r="CB24" i="135"/>
  <c r="EV22" i="135"/>
  <c r="EV24" i="135"/>
  <c r="DM62" i="135"/>
  <c r="DM61" i="135"/>
  <c r="DM60" i="135"/>
  <c r="DM63" i="135"/>
  <c r="DM64" i="135"/>
  <c r="DM65" i="135"/>
  <c r="DM66" i="135"/>
  <c r="DM67" i="135"/>
  <c r="DM68" i="135"/>
  <c r="DM73" i="135"/>
  <c r="DM74" i="135"/>
  <c r="DM75" i="135"/>
  <c r="DM76" i="135"/>
  <c r="DM77" i="135"/>
  <c r="DM78" i="135"/>
  <c r="DM79" i="135"/>
  <c r="DM80" i="135"/>
  <c r="DM81" i="135"/>
  <c r="DM82" i="135"/>
  <c r="DM83" i="135"/>
  <c r="DM84" i="135"/>
  <c r="DM85" i="135"/>
  <c r="DM86" i="135"/>
  <c r="DM87" i="135"/>
  <c r="EW60" i="135"/>
  <c r="EW61" i="135"/>
  <c r="EW62" i="135"/>
  <c r="EW63" i="135"/>
  <c r="EW64" i="135"/>
  <c r="EW65" i="135"/>
  <c r="EW66" i="135"/>
  <c r="EW67" i="135"/>
  <c r="EW68" i="135"/>
  <c r="EW73" i="135"/>
  <c r="EW75" i="135"/>
  <c r="EW74" i="135"/>
  <c r="EW76" i="135"/>
  <c r="EW77" i="135"/>
  <c r="EW78" i="135"/>
  <c r="EW79" i="135"/>
  <c r="EW80" i="135"/>
  <c r="EW81" i="135"/>
  <c r="EW82" i="135"/>
  <c r="EW83" i="135"/>
  <c r="EW84" i="135"/>
  <c r="EW85" i="135"/>
  <c r="EW86" i="135"/>
  <c r="EW87" i="135"/>
  <c r="CC63" i="135"/>
  <c r="CC61" i="135"/>
  <c r="CC60" i="135"/>
  <c r="CC62" i="135"/>
  <c r="CC64" i="135"/>
  <c r="CC65" i="135"/>
  <c r="CC66" i="135"/>
  <c r="CC67" i="135"/>
  <c r="CC68" i="135"/>
  <c r="CC73" i="135"/>
  <c r="CC74" i="135"/>
  <c r="CC75" i="135"/>
  <c r="CC76" i="135"/>
  <c r="CC77" i="135"/>
  <c r="CC79" i="135"/>
  <c r="CC78" i="135"/>
  <c r="CC80" i="135"/>
  <c r="CC81" i="135"/>
  <c r="CC82" i="135"/>
  <c r="CC84" i="135"/>
  <c r="CC83" i="135"/>
  <c r="CC85" i="135"/>
  <c r="CC86" i="135"/>
  <c r="CC87" i="135"/>
  <c r="BH88" i="135"/>
  <c r="AV88" i="135"/>
  <c r="BC88" i="135"/>
  <c r="BX88" i="135"/>
  <c r="C90" i="135"/>
  <c r="T90" i="135" s="1"/>
  <c r="DM51" i="135"/>
  <c r="DM53" i="135"/>
  <c r="DM50" i="135"/>
  <c r="DM56" i="135"/>
  <c r="DM55" i="135"/>
  <c r="DM54" i="135"/>
  <c r="DM57" i="135"/>
  <c r="DM58" i="135"/>
  <c r="DM59" i="135"/>
  <c r="DM52" i="135"/>
  <c r="EW55" i="135"/>
  <c r="EW53" i="135"/>
  <c r="EW52" i="135"/>
  <c r="EW56" i="135"/>
  <c r="EW57" i="135"/>
  <c r="EW51" i="135"/>
  <c r="EW54" i="135"/>
  <c r="EW59" i="135"/>
  <c r="EW58" i="135"/>
  <c r="EW50" i="135"/>
  <c r="CC50" i="135"/>
  <c r="CC55" i="135"/>
  <c r="CC53" i="135"/>
  <c r="CC51" i="135"/>
  <c r="CC52" i="135"/>
  <c r="CC59" i="135"/>
  <c r="CC57" i="135"/>
  <c r="CC58" i="135"/>
  <c r="CC56" i="135"/>
  <c r="CC54" i="135"/>
  <c r="X29" i="230"/>
  <c r="AB29" i="230"/>
  <c r="AF29" i="230"/>
  <c r="T30" i="230"/>
  <c r="Y29" i="230"/>
  <c r="Z29" i="230"/>
  <c r="V29" i="230"/>
  <c r="AE29" i="230"/>
  <c r="AC29" i="230"/>
  <c r="AH29" i="230"/>
  <c r="AG29" i="230" s="1"/>
  <c r="AA29" i="230"/>
  <c r="W29" i="230"/>
  <c r="CC49" i="135"/>
  <c r="DM49" i="135"/>
  <c r="EW49" i="135"/>
  <c r="CB21" i="135"/>
  <c r="EV21" i="135"/>
  <c r="DL21" i="135"/>
  <c r="EX8" i="135"/>
  <c r="DN8" i="135"/>
  <c r="CD8" i="135"/>
  <c r="BY147" i="135" l="1"/>
  <c r="BP147" i="135"/>
  <c r="AX261" i="135"/>
  <c r="AQ261" i="135" s="1"/>
  <c r="BY261" i="135"/>
  <c r="BP261" i="135"/>
  <c r="BD261" i="135"/>
  <c r="BC261" i="135"/>
  <c r="BQ261" i="135"/>
  <c r="BI261" i="135"/>
  <c r="AN147" i="135"/>
  <c r="Q147" i="135" s="1"/>
  <c r="AW147" i="135"/>
  <c r="AQ147" i="135" s="1"/>
  <c r="AV261" i="135"/>
  <c r="AN261" i="135"/>
  <c r="Q261" i="135" s="1"/>
  <c r="BH261" i="135"/>
  <c r="Z262" i="135"/>
  <c r="EW262" i="135" s="1"/>
  <c r="AG262" i="135"/>
  <c r="AC262" i="135"/>
  <c r="X262" i="135"/>
  <c r="CC262" i="135" s="1"/>
  <c r="AF262" i="135"/>
  <c r="AM262" i="135" s="1"/>
  <c r="AN262" i="135" s="1"/>
  <c r="AH262" i="135"/>
  <c r="AD262" i="135"/>
  <c r="Y262" i="135"/>
  <c r="DM262" i="135" s="1"/>
  <c r="AB262" i="135"/>
  <c r="C264" i="135"/>
  <c r="AV262" i="135"/>
  <c r="BC262" i="135"/>
  <c r="BX262" i="135"/>
  <c r="BH262" i="135"/>
  <c r="AU262" i="135"/>
  <c r="BN262" i="135"/>
  <c r="V263" i="135"/>
  <c r="AL263" i="135"/>
  <c r="T263" i="135"/>
  <c r="AI263" i="135" s="1"/>
  <c r="U263" i="135"/>
  <c r="AK263" i="135"/>
  <c r="DK262" i="135"/>
  <c r="CA262" i="135"/>
  <c r="EU262" i="135"/>
  <c r="EV262" i="135"/>
  <c r="CB262" i="135"/>
  <c r="DL262" i="135"/>
  <c r="Z34" i="135"/>
  <c r="Y34" i="135"/>
  <c r="E34" i="235" s="1"/>
  <c r="AA22" i="235" s="1"/>
  <c r="X34" i="135"/>
  <c r="D34" i="235" s="1"/>
  <c r="X22" i="235" s="1"/>
  <c r="DM25" i="135"/>
  <c r="AM148" i="135"/>
  <c r="BP148" i="135" s="1"/>
  <c r="AH149" i="135"/>
  <c r="AH35" i="135" s="1"/>
  <c r="AB149" i="135"/>
  <c r="AB35" i="135" s="1"/>
  <c r="AC149" i="135"/>
  <c r="AC35" i="135" s="1"/>
  <c r="AF89" i="135"/>
  <c r="AM89" i="135" s="1"/>
  <c r="BD89" i="135" s="1"/>
  <c r="Y89" i="135"/>
  <c r="DM89" i="135" s="1"/>
  <c r="AI89" i="135"/>
  <c r="BC89" i="135" s="1"/>
  <c r="AJ149" i="135"/>
  <c r="AJ35" i="135" s="1"/>
  <c r="AG89" i="135"/>
  <c r="AB89" i="135"/>
  <c r="Z89" i="135"/>
  <c r="EU89" i="135" s="1"/>
  <c r="U90" i="135"/>
  <c r="AI90" i="135"/>
  <c r="AL90" i="135"/>
  <c r="V90" i="135"/>
  <c r="AK90" i="135"/>
  <c r="U150" i="135"/>
  <c r="AL150" i="135"/>
  <c r="V150" i="135"/>
  <c r="AK150" i="135"/>
  <c r="AD89" i="135"/>
  <c r="X149" i="135"/>
  <c r="CB149" i="135" s="1"/>
  <c r="X89" i="135"/>
  <c r="CD89" i="135" s="1"/>
  <c r="AH89" i="135"/>
  <c r="Y149" i="135"/>
  <c r="DN149" i="135" s="1"/>
  <c r="AF149" i="135"/>
  <c r="Z149" i="135"/>
  <c r="EX149" i="135" s="1"/>
  <c r="AC89" i="135"/>
  <c r="AG149" i="135"/>
  <c r="AG35" i="135" s="1"/>
  <c r="AD149" i="135"/>
  <c r="AD35" i="135" s="1"/>
  <c r="EW148" i="135"/>
  <c r="EW34" i="135" s="1"/>
  <c r="DM148" i="135"/>
  <c r="DM34" i="135" s="1"/>
  <c r="CC148" i="135"/>
  <c r="CC34" i="135" s="1"/>
  <c r="AI35" i="135"/>
  <c r="O21" i="131"/>
  <c r="L21" i="131" s="1"/>
  <c r="AM34" i="135"/>
  <c r="P20" i="131"/>
  <c r="F34" i="235" s="1"/>
  <c r="AD22" i="235" s="1"/>
  <c r="EX258" i="135"/>
  <c r="EX249" i="135"/>
  <c r="EX251" i="135"/>
  <c r="EX248" i="135"/>
  <c r="EX247" i="135"/>
  <c r="EX234" i="135"/>
  <c r="EX230" i="135"/>
  <c r="EX241" i="135"/>
  <c r="EX239" i="135"/>
  <c r="EX237" i="135"/>
  <c r="EX233" i="135"/>
  <c r="EX232" i="135"/>
  <c r="EX229" i="135"/>
  <c r="EX223" i="135"/>
  <c r="EX243" i="135"/>
  <c r="EX226" i="135"/>
  <c r="EX222" i="135"/>
  <c r="EX225" i="135"/>
  <c r="EX215" i="135"/>
  <c r="EX219" i="135"/>
  <c r="EX216" i="135"/>
  <c r="EX224" i="135"/>
  <c r="EX227" i="135"/>
  <c r="EX220" i="135"/>
  <c r="EX236" i="135"/>
  <c r="EX242" i="135"/>
  <c r="EX245" i="135"/>
  <c r="EX246" i="135"/>
  <c r="EX217" i="135"/>
  <c r="EX238" i="135"/>
  <c r="EX221" i="135"/>
  <c r="EX235" i="135"/>
  <c r="EX244" i="135"/>
  <c r="EX250" i="135"/>
  <c r="EX252" i="135"/>
  <c r="EX256" i="135"/>
  <c r="EX218" i="135"/>
  <c r="EX240" i="135"/>
  <c r="EX257" i="135"/>
  <c r="EX253" i="135"/>
  <c r="EX261" i="135"/>
  <c r="EX214" i="135"/>
  <c r="EX228" i="135"/>
  <c r="EX231" i="135"/>
  <c r="EX255" i="135"/>
  <c r="EX259" i="135"/>
  <c r="EX260" i="135"/>
  <c r="EX254" i="135"/>
  <c r="CD259" i="135"/>
  <c r="CD261" i="135"/>
  <c r="CD255" i="135"/>
  <c r="CD260" i="135"/>
  <c r="CD248" i="135"/>
  <c r="CD258" i="135"/>
  <c r="CD253" i="135"/>
  <c r="CD249" i="135"/>
  <c r="CD227" i="135"/>
  <c r="CD224" i="135"/>
  <c r="CD221" i="135"/>
  <c r="CD223" i="135"/>
  <c r="CD220" i="135"/>
  <c r="CD217" i="135"/>
  <c r="CD226" i="135"/>
  <c r="CD228" i="135"/>
  <c r="CD236" i="135"/>
  <c r="CD242" i="135"/>
  <c r="CD244" i="135"/>
  <c r="CD229" i="135"/>
  <c r="CD233" i="135"/>
  <c r="CD239" i="135"/>
  <c r="CD243" i="135"/>
  <c r="CD245" i="135"/>
  <c r="CD250" i="135"/>
  <c r="CD214" i="135"/>
  <c r="CD218" i="135"/>
  <c r="CD238" i="135"/>
  <c r="CD222" i="135"/>
  <c r="CD232" i="135"/>
  <c r="CD235" i="135"/>
  <c r="CD247" i="135"/>
  <c r="CD215" i="135"/>
  <c r="CD225" i="135"/>
  <c r="CD231" i="135"/>
  <c r="CD240" i="135"/>
  <c r="CD257" i="135"/>
  <c r="CD234" i="135"/>
  <c r="CD237" i="135"/>
  <c r="CD241" i="135"/>
  <c r="CD251" i="135"/>
  <c r="CD252" i="135"/>
  <c r="CD256" i="135"/>
  <c r="CD216" i="135"/>
  <c r="CD246" i="135"/>
  <c r="CD219" i="135"/>
  <c r="CD254" i="135"/>
  <c r="CD230" i="135"/>
  <c r="DN252" i="135"/>
  <c r="DN235" i="135"/>
  <c r="DN231" i="135"/>
  <c r="DN230" i="135"/>
  <c r="DN221" i="135"/>
  <c r="DN217" i="135"/>
  <c r="DN216" i="135"/>
  <c r="DN215" i="135"/>
  <c r="DN214" i="135"/>
  <c r="DN220" i="135"/>
  <c r="DN234" i="135"/>
  <c r="DN218" i="135"/>
  <c r="DN219" i="135"/>
  <c r="DN228" i="135"/>
  <c r="DN223" i="135"/>
  <c r="DN232" i="135"/>
  <c r="DN236" i="135"/>
  <c r="DN242" i="135"/>
  <c r="DN244" i="135"/>
  <c r="DN257" i="135"/>
  <c r="DN233" i="135"/>
  <c r="DN239" i="135"/>
  <c r="DN243" i="135"/>
  <c r="DN246" i="135"/>
  <c r="DN248" i="135"/>
  <c r="DN226" i="135"/>
  <c r="DN222" i="135"/>
  <c r="DN238" i="135"/>
  <c r="DN224" i="135"/>
  <c r="DN229" i="135"/>
  <c r="DN245" i="135"/>
  <c r="DN250" i="135"/>
  <c r="DN253" i="135"/>
  <c r="DN254" i="135"/>
  <c r="DN255" i="135"/>
  <c r="DN227" i="135"/>
  <c r="DN240" i="135"/>
  <c r="DN237" i="135"/>
  <c r="DN241" i="135"/>
  <c r="DN247" i="135"/>
  <c r="DN249" i="135"/>
  <c r="DN225" i="135"/>
  <c r="DN251" i="135"/>
  <c r="DN259" i="135"/>
  <c r="DN261" i="135"/>
  <c r="DN258" i="135"/>
  <c r="DN260" i="135"/>
  <c r="DN256" i="135"/>
  <c r="AV149" i="135"/>
  <c r="AV35" i="135" s="1"/>
  <c r="BC149" i="135"/>
  <c r="BC35" i="135" s="1"/>
  <c r="BH149" i="135"/>
  <c r="BH35" i="135" s="1"/>
  <c r="BX149" i="135"/>
  <c r="BX35" i="135" s="1"/>
  <c r="AU148" i="135"/>
  <c r="BN148" i="135"/>
  <c r="EU149" i="135"/>
  <c r="EU35" i="135" s="1"/>
  <c r="CA149" i="135"/>
  <c r="DK149" i="135"/>
  <c r="DK35" i="135" s="1"/>
  <c r="BX148" i="135"/>
  <c r="AV148" i="135"/>
  <c r="BH148" i="135"/>
  <c r="BC148" i="135"/>
  <c r="AX148" i="135"/>
  <c r="BI148" i="135"/>
  <c r="BQ148" i="135"/>
  <c r="C151" i="135"/>
  <c r="T151" i="135" s="1"/>
  <c r="EX127" i="135"/>
  <c r="EX126" i="135"/>
  <c r="CD127" i="135"/>
  <c r="CD126" i="135"/>
  <c r="DN127" i="135"/>
  <c r="DN126" i="135"/>
  <c r="CD70" i="135"/>
  <c r="CD69" i="135"/>
  <c r="CD71" i="135"/>
  <c r="CD72" i="135"/>
  <c r="CC25" i="135"/>
  <c r="DN69" i="135"/>
  <c r="DN70" i="135"/>
  <c r="DN72" i="135"/>
  <c r="DN71" i="135"/>
  <c r="EW25" i="135"/>
  <c r="EX72" i="135"/>
  <c r="EX71" i="135"/>
  <c r="EX70" i="135"/>
  <c r="EX69" i="135"/>
  <c r="DM30" i="135"/>
  <c r="DM32" i="135"/>
  <c r="DM33" i="135"/>
  <c r="EW30" i="135"/>
  <c r="DM31" i="135"/>
  <c r="EW31" i="135"/>
  <c r="EW32" i="135"/>
  <c r="EW33" i="135"/>
  <c r="DM28" i="135"/>
  <c r="DM26" i="135"/>
  <c r="CD124" i="135"/>
  <c r="CD121" i="135"/>
  <c r="CD123" i="135"/>
  <c r="CD122" i="135"/>
  <c r="CD125" i="135"/>
  <c r="CD141" i="135"/>
  <c r="CD148" i="135"/>
  <c r="CD144" i="135"/>
  <c r="CD116" i="135"/>
  <c r="CD135" i="135"/>
  <c r="CD111" i="135"/>
  <c r="CD147" i="135"/>
  <c r="CD132" i="135"/>
  <c r="CD136" i="135"/>
  <c r="CD107" i="135"/>
  <c r="CD134" i="135"/>
  <c r="CD138" i="135"/>
  <c r="CD130" i="135"/>
  <c r="CD112" i="135"/>
  <c r="CD131" i="135"/>
  <c r="CD113" i="135"/>
  <c r="CD137" i="135"/>
  <c r="CD114" i="135"/>
  <c r="CD133" i="135"/>
  <c r="CD119" i="135"/>
  <c r="CD143" i="135"/>
  <c r="CD145" i="135"/>
  <c r="CD129" i="135"/>
  <c r="CD128" i="135"/>
  <c r="CD117" i="135"/>
  <c r="CD146" i="135"/>
  <c r="CD106" i="135"/>
  <c r="CD109" i="135"/>
  <c r="CD142" i="135"/>
  <c r="CD118" i="135"/>
  <c r="CD115" i="135"/>
  <c r="CD110" i="135"/>
  <c r="CD108" i="135"/>
  <c r="CD139" i="135"/>
  <c r="CD140" i="135"/>
  <c r="CD120" i="135"/>
  <c r="CC30" i="135"/>
  <c r="CC32" i="135"/>
  <c r="EW26" i="135"/>
  <c r="CC31" i="135"/>
  <c r="DN129" i="135"/>
  <c r="DN121" i="135"/>
  <c r="DN124" i="135"/>
  <c r="DN128" i="135"/>
  <c r="DN122" i="135"/>
  <c r="DN123" i="135"/>
  <c r="DN125" i="135"/>
  <c r="DN147" i="135"/>
  <c r="DN144" i="135"/>
  <c r="DN132" i="135"/>
  <c r="DN115" i="135"/>
  <c r="DN135" i="135"/>
  <c r="DN118" i="135"/>
  <c r="DN136" i="135"/>
  <c r="DN110" i="135"/>
  <c r="DN131" i="135"/>
  <c r="DN107" i="135"/>
  <c r="DN130" i="135"/>
  <c r="DN114" i="135"/>
  <c r="DN138" i="135"/>
  <c r="DN137" i="135"/>
  <c r="DN112" i="135"/>
  <c r="DN113" i="135"/>
  <c r="DN133" i="135"/>
  <c r="DN119" i="135"/>
  <c r="DN145" i="135"/>
  <c r="DN143" i="135"/>
  <c r="DN117" i="135"/>
  <c r="DN142" i="135"/>
  <c r="DN146" i="135"/>
  <c r="DN106" i="135"/>
  <c r="DN109" i="135"/>
  <c r="DN108" i="135"/>
  <c r="DN134" i="135"/>
  <c r="DN116" i="135"/>
  <c r="DN148" i="135"/>
  <c r="DN120" i="135"/>
  <c r="DN111" i="135"/>
  <c r="DN141" i="135"/>
  <c r="DN139" i="135"/>
  <c r="DN140" i="135"/>
  <c r="EX108" i="135"/>
  <c r="EX148" i="135"/>
  <c r="EX111" i="135"/>
  <c r="EX144" i="135"/>
  <c r="EX116" i="135"/>
  <c r="EX135" i="135"/>
  <c r="EX132" i="135"/>
  <c r="EX147" i="135"/>
  <c r="EX123" i="135"/>
  <c r="EX124" i="135"/>
  <c r="EX115" i="135"/>
  <c r="EX129" i="135"/>
  <c r="EX107" i="135"/>
  <c r="EX125" i="135"/>
  <c r="EX112" i="135"/>
  <c r="EX138" i="135"/>
  <c r="EX136" i="135"/>
  <c r="EX134" i="135"/>
  <c r="EX110" i="135"/>
  <c r="EX130" i="135"/>
  <c r="EX131" i="135"/>
  <c r="EX114" i="135"/>
  <c r="EX119" i="135"/>
  <c r="EX145" i="135"/>
  <c r="EX113" i="135"/>
  <c r="EX137" i="135"/>
  <c r="EX143" i="135"/>
  <c r="EX121" i="135"/>
  <c r="EX117" i="135"/>
  <c r="EX133" i="135"/>
  <c r="EX146" i="135"/>
  <c r="EX128" i="135"/>
  <c r="EX106" i="135"/>
  <c r="EX122" i="135"/>
  <c r="EX109" i="135"/>
  <c r="EX142" i="135"/>
  <c r="EX120" i="135"/>
  <c r="EX118" i="135"/>
  <c r="EX140" i="135"/>
  <c r="EX141" i="135"/>
  <c r="EX139" i="135"/>
  <c r="CC26" i="135"/>
  <c r="CC33" i="135"/>
  <c r="EW28" i="135"/>
  <c r="CC28" i="135"/>
  <c r="EW88" i="135"/>
  <c r="CA88" i="135"/>
  <c r="CD88" i="135"/>
  <c r="EV88" i="135"/>
  <c r="CC27" i="135"/>
  <c r="CC22" i="135"/>
  <c r="EW22" i="135"/>
  <c r="DM23" i="135"/>
  <c r="EW27" i="135"/>
  <c r="DM27" i="135"/>
  <c r="DM24" i="135"/>
  <c r="CC23" i="135"/>
  <c r="EW23" i="135"/>
  <c r="DM22" i="135"/>
  <c r="CB88" i="135"/>
  <c r="EW24" i="135"/>
  <c r="CC24" i="135"/>
  <c r="DN60" i="135"/>
  <c r="DN62" i="135"/>
  <c r="DN61" i="135"/>
  <c r="DN63" i="135"/>
  <c r="DN64" i="135"/>
  <c r="DN65" i="135"/>
  <c r="DN66" i="135"/>
  <c r="DN67" i="135"/>
  <c r="DN68" i="135"/>
  <c r="DN73" i="135"/>
  <c r="DN75" i="135"/>
  <c r="DN74" i="135"/>
  <c r="DN76" i="135"/>
  <c r="DN77" i="135"/>
  <c r="DN78" i="135"/>
  <c r="DN79" i="135"/>
  <c r="DN80" i="135"/>
  <c r="DN81" i="135"/>
  <c r="DN82" i="135"/>
  <c r="DN83" i="135"/>
  <c r="DN84" i="135"/>
  <c r="DN85" i="135"/>
  <c r="DN86" i="135"/>
  <c r="DN87" i="135"/>
  <c r="EX61" i="135"/>
  <c r="EX60" i="135"/>
  <c r="EX62" i="135"/>
  <c r="EX63" i="135"/>
  <c r="EX64" i="135"/>
  <c r="EX65" i="135"/>
  <c r="EX66" i="135"/>
  <c r="EX67" i="135"/>
  <c r="EX68" i="135"/>
  <c r="EX73" i="135"/>
  <c r="EX74" i="135"/>
  <c r="EX75" i="135"/>
  <c r="EX76" i="135"/>
  <c r="EX77" i="135"/>
  <c r="EX78" i="135"/>
  <c r="EX79" i="135"/>
  <c r="EX80" i="135"/>
  <c r="EX81" i="135"/>
  <c r="EX82" i="135"/>
  <c r="EX83" i="135"/>
  <c r="EX85" i="135"/>
  <c r="EX84" i="135"/>
  <c r="EX86" i="135"/>
  <c r="EX87" i="135"/>
  <c r="CD63" i="135"/>
  <c r="CD62" i="135"/>
  <c r="CD61" i="135"/>
  <c r="CD60" i="135"/>
  <c r="CD64" i="135"/>
  <c r="CD65" i="135"/>
  <c r="CD66" i="135"/>
  <c r="CD67" i="135"/>
  <c r="CD68" i="135"/>
  <c r="CD73" i="135"/>
  <c r="CD74" i="135"/>
  <c r="CD75" i="135"/>
  <c r="CD76" i="135"/>
  <c r="CD77" i="135"/>
  <c r="CD78" i="135"/>
  <c r="CD79" i="135"/>
  <c r="CD80" i="135"/>
  <c r="CD81" i="135"/>
  <c r="CD82" i="135"/>
  <c r="CD83" i="135"/>
  <c r="CD84" i="135"/>
  <c r="CD85" i="135"/>
  <c r="CD86" i="135"/>
  <c r="CD87" i="135"/>
  <c r="DN88" i="135"/>
  <c r="EX88" i="135"/>
  <c r="DL88" i="135"/>
  <c r="BN89" i="135"/>
  <c r="DM88" i="135"/>
  <c r="C91" i="135"/>
  <c r="T91" i="135" s="1"/>
  <c r="BP88" i="135"/>
  <c r="BY88" i="135"/>
  <c r="BD88" i="135"/>
  <c r="AW88" i="135"/>
  <c r="AN88" i="135"/>
  <c r="Q88" i="135" s="1"/>
  <c r="BN88" i="135"/>
  <c r="AU88" i="135"/>
  <c r="BQ88" i="135"/>
  <c r="AX88" i="135"/>
  <c r="BI88" i="135"/>
  <c r="EX59" i="135"/>
  <c r="EX58" i="135"/>
  <c r="EX50" i="135"/>
  <c r="EX56" i="135"/>
  <c r="EX57" i="135"/>
  <c r="EX54" i="135"/>
  <c r="EX53" i="135"/>
  <c r="EX51" i="135"/>
  <c r="EX55" i="135"/>
  <c r="EX52" i="135"/>
  <c r="CD52" i="135"/>
  <c r="CD59" i="135"/>
  <c r="CD57" i="135"/>
  <c r="CD56" i="135"/>
  <c r="CD50" i="135"/>
  <c r="CD58" i="135"/>
  <c r="CD51" i="135"/>
  <c r="CD54" i="135"/>
  <c r="CD55" i="135"/>
  <c r="CD53" i="135"/>
  <c r="DN54" i="135"/>
  <c r="DN58" i="135"/>
  <c r="DN53" i="135"/>
  <c r="DN50" i="135"/>
  <c r="DN59" i="135"/>
  <c r="DN51" i="135"/>
  <c r="DN57" i="135"/>
  <c r="DN56" i="135"/>
  <c r="DN55" i="135"/>
  <c r="DN52" i="135"/>
  <c r="X30" i="230"/>
  <c r="AB30" i="230"/>
  <c r="AF30" i="230"/>
  <c r="T31" i="230"/>
  <c r="Y30" i="230"/>
  <c r="W30" i="230"/>
  <c r="AE30" i="230"/>
  <c r="Z30" i="230"/>
  <c r="AA30" i="230"/>
  <c r="AC30" i="230"/>
  <c r="V30" i="230"/>
  <c r="EX49" i="135"/>
  <c r="CD49" i="135"/>
  <c r="DN49" i="135"/>
  <c r="EW21" i="135"/>
  <c r="DM21" i="135"/>
  <c r="EY8" i="135"/>
  <c r="DO8" i="135"/>
  <c r="CE8" i="135"/>
  <c r="DN262" i="135" l="1"/>
  <c r="CD262" i="135"/>
  <c r="BI262" i="135"/>
  <c r="EX262" i="135"/>
  <c r="Q262" i="135"/>
  <c r="BQ262" i="135"/>
  <c r="AX262" i="135"/>
  <c r="BP262" i="135"/>
  <c r="BY262" i="135"/>
  <c r="AW262" i="135"/>
  <c r="BD262" i="135"/>
  <c r="Y263" i="135"/>
  <c r="DN263" i="135" s="1"/>
  <c r="X263" i="135"/>
  <c r="CD263" i="135" s="1"/>
  <c r="AF263" i="135"/>
  <c r="AM263" i="135" s="1"/>
  <c r="BP263" i="135" s="1"/>
  <c r="AB263" i="135"/>
  <c r="Z263" i="135"/>
  <c r="EX263" i="135" s="1"/>
  <c r="CA263" i="135"/>
  <c r="DK263" i="135"/>
  <c r="EU263" i="135"/>
  <c r="DL263" i="135"/>
  <c r="CB263" i="135"/>
  <c r="EV263" i="135"/>
  <c r="AH263" i="135"/>
  <c r="AJ263" i="135"/>
  <c r="BC263" i="135"/>
  <c r="AV263" i="135"/>
  <c r="BX263" i="135"/>
  <c r="BH263" i="135"/>
  <c r="U264" i="135"/>
  <c r="V264" i="135"/>
  <c r="T264" i="135"/>
  <c r="AF264" i="135" s="1"/>
  <c r="AM264" i="135" s="1"/>
  <c r="AL264" i="135"/>
  <c r="AK264" i="135"/>
  <c r="AG263" i="135"/>
  <c r="AC263" i="135"/>
  <c r="AD263" i="135"/>
  <c r="C265" i="135"/>
  <c r="EX25" i="135"/>
  <c r="DN25" i="135"/>
  <c r="AN148" i="135"/>
  <c r="Q148" i="135" s="1"/>
  <c r="BY89" i="135"/>
  <c r="BD148" i="135"/>
  <c r="BY148" i="135"/>
  <c r="AW148" i="135"/>
  <c r="AQ148" i="135" s="1"/>
  <c r="BP89" i="135"/>
  <c r="AW89" i="135"/>
  <c r="AG90" i="135"/>
  <c r="AF90" i="135"/>
  <c r="AM90" i="135" s="1"/>
  <c r="AC150" i="135"/>
  <c r="AJ90" i="135"/>
  <c r="BN90" i="135" s="1"/>
  <c r="AB90" i="135"/>
  <c r="V91" i="135"/>
  <c r="AL91" i="135"/>
  <c r="U91" i="135"/>
  <c r="AK91" i="135"/>
  <c r="Y150" i="135"/>
  <c r="DM150" i="135" s="1"/>
  <c r="AH150" i="135"/>
  <c r="Y90" i="135"/>
  <c r="DL90" i="135" s="1"/>
  <c r="AC90" i="135"/>
  <c r="AG150" i="135"/>
  <c r="AB150" i="135"/>
  <c r="AI150" i="135"/>
  <c r="X90" i="135"/>
  <c r="CC90" i="135" s="1"/>
  <c r="V151" i="135"/>
  <c r="U151" i="135"/>
  <c r="AL151" i="135"/>
  <c r="AK151" i="135"/>
  <c r="AJ150" i="135"/>
  <c r="AD150" i="135"/>
  <c r="Z150" i="135"/>
  <c r="EW150" i="135" s="1"/>
  <c r="AD90" i="135"/>
  <c r="Z90" i="135"/>
  <c r="EY90" i="135" s="1"/>
  <c r="X150" i="135"/>
  <c r="CC150" i="135" s="1"/>
  <c r="AF150" i="135"/>
  <c r="AH90" i="135"/>
  <c r="DL149" i="135"/>
  <c r="DL35" i="135" s="1"/>
  <c r="CD149" i="135"/>
  <c r="CD35" i="135" s="1"/>
  <c r="EW149" i="135"/>
  <c r="Z35" i="135"/>
  <c r="CB35" i="135"/>
  <c r="AM149" i="135"/>
  <c r="AN149" i="135" s="1"/>
  <c r="Q149" i="135" s="1"/>
  <c r="AF35" i="135"/>
  <c r="CC149" i="135"/>
  <c r="X35" i="135"/>
  <c r="D35" i="235" s="1"/>
  <c r="X23" i="235" s="1"/>
  <c r="DM149" i="135"/>
  <c r="Y35" i="135"/>
  <c r="E35" i="235" s="1"/>
  <c r="AA23" i="235" s="1"/>
  <c r="AN34" i="135"/>
  <c r="Q34" i="135" s="1"/>
  <c r="BY34" i="135"/>
  <c r="BD34" i="135"/>
  <c r="AW34" i="135"/>
  <c r="BP34" i="135"/>
  <c r="CA35" i="135"/>
  <c r="DO262" i="135"/>
  <c r="DO261" i="135"/>
  <c r="DO258" i="135"/>
  <c r="DO259" i="135"/>
  <c r="DO255" i="135"/>
  <c r="DO250" i="135"/>
  <c r="DO246" i="135"/>
  <c r="DO254" i="135"/>
  <c r="DO249" i="135"/>
  <c r="DO224" i="135"/>
  <c r="DO220" i="135"/>
  <c r="DO225" i="135"/>
  <c r="DO221" i="135"/>
  <c r="DO216" i="135"/>
  <c r="DO226" i="135"/>
  <c r="DO219" i="135"/>
  <c r="DO238" i="135"/>
  <c r="DO223" i="135"/>
  <c r="DO232" i="135"/>
  <c r="DO235" i="135"/>
  <c r="DO217" i="135"/>
  <c r="DO231" i="135"/>
  <c r="DO240" i="135"/>
  <c r="DO257" i="135"/>
  <c r="DO234" i="135"/>
  <c r="DO237" i="135"/>
  <c r="DO241" i="135"/>
  <c r="DO247" i="135"/>
  <c r="DO256" i="135"/>
  <c r="DO248" i="135"/>
  <c r="DO214" i="135"/>
  <c r="DO218" i="135"/>
  <c r="DO228" i="135"/>
  <c r="DO230" i="135"/>
  <c r="DO251" i="135"/>
  <c r="DO253" i="135"/>
  <c r="DO215" i="135"/>
  <c r="DO222" i="135"/>
  <c r="DO229" i="135"/>
  <c r="DO242" i="135"/>
  <c r="DO244" i="135"/>
  <c r="DO233" i="135"/>
  <c r="DO236" i="135"/>
  <c r="DO227" i="135"/>
  <c r="DO243" i="135"/>
  <c r="DO245" i="135"/>
  <c r="DO260" i="135"/>
  <c r="DO239" i="135"/>
  <c r="DO252" i="135"/>
  <c r="EY259" i="135"/>
  <c r="EY220" i="135"/>
  <c r="EY218" i="135"/>
  <c r="EY216" i="135"/>
  <c r="EY221" i="135"/>
  <c r="EY217" i="135"/>
  <c r="EY215" i="135"/>
  <c r="EY214" i="135"/>
  <c r="EY226" i="135"/>
  <c r="EY222" i="135"/>
  <c r="EY238" i="135"/>
  <c r="EY224" i="135"/>
  <c r="EY232" i="135"/>
  <c r="EY235" i="135"/>
  <c r="EY230" i="135"/>
  <c r="EY250" i="135"/>
  <c r="EY227" i="135"/>
  <c r="EY231" i="135"/>
  <c r="EY240" i="135"/>
  <c r="EY229" i="135"/>
  <c r="EY233" i="135"/>
  <c r="EY237" i="135"/>
  <c r="EY241" i="135"/>
  <c r="EY247" i="135"/>
  <c r="EY249" i="135"/>
  <c r="EY225" i="135"/>
  <c r="EY219" i="135"/>
  <c r="EY245" i="135"/>
  <c r="EY251" i="135"/>
  <c r="EY252" i="135"/>
  <c r="EY256" i="135"/>
  <c r="EY228" i="135"/>
  <c r="EY236" i="135"/>
  <c r="EY243" i="135"/>
  <c r="EY253" i="135"/>
  <c r="EY223" i="135"/>
  <c r="EY260" i="135"/>
  <c r="EY242" i="135"/>
  <c r="EY239" i="135"/>
  <c r="EY244" i="135"/>
  <c r="EY234" i="135"/>
  <c r="EY246" i="135"/>
  <c r="EY248" i="135"/>
  <c r="EY262" i="135"/>
  <c r="EY258" i="135"/>
  <c r="EY254" i="135"/>
  <c r="EY255" i="135"/>
  <c r="EY261" i="135"/>
  <c r="EY257" i="135"/>
  <c r="CE249" i="135"/>
  <c r="CE255" i="135"/>
  <c r="CE254" i="135"/>
  <c r="CE234" i="135"/>
  <c r="CE230" i="135"/>
  <c r="CE245" i="135"/>
  <c r="CE243" i="135"/>
  <c r="CE233" i="135"/>
  <c r="CE232" i="135"/>
  <c r="CE229" i="135"/>
  <c r="CE247" i="135"/>
  <c r="CE241" i="135"/>
  <c r="CE239" i="135"/>
  <c r="CE219" i="135"/>
  <c r="CE248" i="135"/>
  <c r="CE237" i="135"/>
  <c r="CE226" i="135"/>
  <c r="CE223" i="135"/>
  <c r="CE222" i="135"/>
  <c r="CE256" i="135"/>
  <c r="CE251" i="135"/>
  <c r="CE218" i="135"/>
  <c r="CE220" i="135"/>
  <c r="CE224" i="135"/>
  <c r="CE231" i="135"/>
  <c r="CE242" i="135"/>
  <c r="CE257" i="135"/>
  <c r="CE225" i="135"/>
  <c r="CE217" i="135"/>
  <c r="CE214" i="135"/>
  <c r="CE227" i="135"/>
  <c r="CE238" i="135"/>
  <c r="CE215" i="135"/>
  <c r="CE216" i="135"/>
  <c r="CE228" i="135"/>
  <c r="CE240" i="135"/>
  <c r="CE244" i="135"/>
  <c r="CE246" i="135"/>
  <c r="CE253" i="135"/>
  <c r="CE221" i="135"/>
  <c r="CE236" i="135"/>
  <c r="CE235" i="135"/>
  <c r="CE252" i="135"/>
  <c r="CE258" i="135"/>
  <c r="CE259" i="135"/>
  <c r="CE260" i="135"/>
  <c r="CE261" i="135"/>
  <c r="CE262" i="135"/>
  <c r="CE250" i="135"/>
  <c r="EV149" i="135"/>
  <c r="C152" i="135"/>
  <c r="T152" i="135" s="1"/>
  <c r="AX149" i="135"/>
  <c r="AX35" i="135" s="1"/>
  <c r="BI149" i="135"/>
  <c r="BI35" i="135" s="1"/>
  <c r="BQ149" i="135"/>
  <c r="BQ35" i="135" s="1"/>
  <c r="CA150" i="135"/>
  <c r="DK150" i="135"/>
  <c r="EU150" i="135"/>
  <c r="AU149" i="135"/>
  <c r="AU35" i="135" s="1"/>
  <c r="BN149" i="135"/>
  <c r="BN35" i="135" s="1"/>
  <c r="CE127" i="135"/>
  <c r="CE126" i="135"/>
  <c r="DO126" i="135"/>
  <c r="DO127" i="135"/>
  <c r="DN34" i="135"/>
  <c r="CD34" i="135"/>
  <c r="EY127" i="135"/>
  <c r="EY126" i="135"/>
  <c r="EX34" i="135"/>
  <c r="DO69" i="135"/>
  <c r="DO72" i="135"/>
  <c r="DO71" i="135"/>
  <c r="DO70" i="135"/>
  <c r="CE70" i="135"/>
  <c r="CE71" i="135"/>
  <c r="CE69" i="135"/>
  <c r="CE72" i="135"/>
  <c r="EY70" i="135"/>
  <c r="EY72" i="135"/>
  <c r="EY69" i="135"/>
  <c r="EY71" i="135"/>
  <c r="CD25" i="135"/>
  <c r="EX30" i="135"/>
  <c r="EX32" i="135"/>
  <c r="DN32" i="135"/>
  <c r="CD31" i="135"/>
  <c r="CE141" i="135"/>
  <c r="CE147" i="135"/>
  <c r="CE108" i="135"/>
  <c r="CE148" i="135"/>
  <c r="CE144" i="135"/>
  <c r="CE132" i="135"/>
  <c r="CE125" i="135"/>
  <c r="CE110" i="135"/>
  <c r="CE135" i="135"/>
  <c r="CE111" i="135"/>
  <c r="CE116" i="135"/>
  <c r="CE130" i="135"/>
  <c r="CE112" i="135"/>
  <c r="CE131" i="135"/>
  <c r="CE114" i="135"/>
  <c r="CE136" i="135"/>
  <c r="CE134" i="135"/>
  <c r="CE138" i="135"/>
  <c r="CE129" i="135"/>
  <c r="CE117" i="135"/>
  <c r="CE145" i="135"/>
  <c r="CE128" i="135"/>
  <c r="CE122" i="135"/>
  <c r="CE113" i="135"/>
  <c r="CE137" i="135"/>
  <c r="CE133" i="135"/>
  <c r="CE119" i="135"/>
  <c r="CE143" i="135"/>
  <c r="CE149" i="135"/>
  <c r="CE146" i="135"/>
  <c r="CE124" i="135"/>
  <c r="CE106" i="135"/>
  <c r="CE142" i="135"/>
  <c r="CE121" i="135"/>
  <c r="CE109" i="135"/>
  <c r="CE123" i="135"/>
  <c r="CE120" i="135"/>
  <c r="CE107" i="135"/>
  <c r="CE118" i="135"/>
  <c r="CE139" i="135"/>
  <c r="CE115" i="135"/>
  <c r="CE140" i="135"/>
  <c r="DN30" i="135"/>
  <c r="EX28" i="135"/>
  <c r="EX26" i="135"/>
  <c r="EX35" i="135"/>
  <c r="DN31" i="135"/>
  <c r="DO88" i="135"/>
  <c r="DO121" i="135"/>
  <c r="DO124" i="135"/>
  <c r="DO122" i="135"/>
  <c r="DO123" i="135"/>
  <c r="DO141" i="135"/>
  <c r="DO148" i="135"/>
  <c r="DO135" i="135"/>
  <c r="DO132" i="135"/>
  <c r="DO118" i="135"/>
  <c r="DO144" i="135"/>
  <c r="DO115" i="135"/>
  <c r="DO114" i="135"/>
  <c r="DO138" i="135"/>
  <c r="DO134" i="135"/>
  <c r="DO112" i="135"/>
  <c r="DO110" i="135"/>
  <c r="DO129" i="135"/>
  <c r="DO113" i="135"/>
  <c r="DO136" i="135"/>
  <c r="DO107" i="135"/>
  <c r="DO128" i="135"/>
  <c r="DO130" i="135"/>
  <c r="DO131" i="135"/>
  <c r="DO137" i="135"/>
  <c r="DO149" i="135"/>
  <c r="DO117" i="135"/>
  <c r="DO133" i="135"/>
  <c r="DO125" i="135"/>
  <c r="DO109" i="135"/>
  <c r="DO142" i="135"/>
  <c r="DO146" i="135"/>
  <c r="DO106" i="135"/>
  <c r="DO120" i="135"/>
  <c r="DO143" i="135"/>
  <c r="DO147" i="135"/>
  <c r="DO119" i="135"/>
  <c r="DO145" i="135"/>
  <c r="DO116" i="135"/>
  <c r="DO111" i="135"/>
  <c r="DO108" i="135"/>
  <c r="DO140" i="135"/>
  <c r="DO139" i="135"/>
  <c r="CD32" i="135"/>
  <c r="EX33" i="135"/>
  <c r="DN28" i="135"/>
  <c r="DN26" i="135"/>
  <c r="DN35" i="135"/>
  <c r="EY121" i="135"/>
  <c r="EY125" i="135"/>
  <c r="EY124" i="135"/>
  <c r="EY122" i="135"/>
  <c r="EY123" i="135"/>
  <c r="EY129" i="135"/>
  <c r="EY128" i="135"/>
  <c r="EY108" i="135"/>
  <c r="EY148" i="135"/>
  <c r="EY144" i="135"/>
  <c r="EY116" i="135"/>
  <c r="EY132" i="135"/>
  <c r="EY111" i="135"/>
  <c r="EY115" i="135"/>
  <c r="EY147" i="135"/>
  <c r="EY110" i="135"/>
  <c r="EY135" i="135"/>
  <c r="EY107" i="135"/>
  <c r="EY134" i="135"/>
  <c r="EY130" i="135"/>
  <c r="EY136" i="135"/>
  <c r="EY112" i="135"/>
  <c r="EY131" i="135"/>
  <c r="EY113" i="135"/>
  <c r="EY149" i="135"/>
  <c r="EY117" i="135"/>
  <c r="EY137" i="135"/>
  <c r="EY133" i="135"/>
  <c r="EY119" i="135"/>
  <c r="EY143" i="135"/>
  <c r="EY145" i="135"/>
  <c r="EY114" i="135"/>
  <c r="EY138" i="135"/>
  <c r="EY146" i="135"/>
  <c r="EY106" i="135"/>
  <c r="EY109" i="135"/>
  <c r="EY142" i="135"/>
  <c r="EY120" i="135"/>
  <c r="EY118" i="135"/>
  <c r="EY140" i="135"/>
  <c r="EY139" i="135"/>
  <c r="EY141" i="135"/>
  <c r="CD30" i="135"/>
  <c r="EX31" i="135"/>
  <c r="CD33" i="135"/>
  <c r="DN33" i="135"/>
  <c r="CE89" i="135"/>
  <c r="DK89" i="135"/>
  <c r="CA89" i="135"/>
  <c r="AU89" i="135"/>
  <c r="DL89" i="135"/>
  <c r="EX22" i="135"/>
  <c r="EX27" i="135"/>
  <c r="CD24" i="135"/>
  <c r="DN22" i="135"/>
  <c r="EX24" i="135"/>
  <c r="CD22" i="135"/>
  <c r="CD27" i="135"/>
  <c r="DN24" i="135"/>
  <c r="EX23" i="135"/>
  <c r="DN23" i="135"/>
  <c r="CD23" i="135"/>
  <c r="CD28" i="135"/>
  <c r="CD26" i="135"/>
  <c r="DN27" i="135"/>
  <c r="AN89" i="135"/>
  <c r="Q89" i="135" s="1"/>
  <c r="DN89" i="135"/>
  <c r="CE63" i="135"/>
  <c r="CE61" i="135"/>
  <c r="CE60" i="135"/>
  <c r="CE62" i="135"/>
  <c r="CE64" i="135"/>
  <c r="CE65" i="135"/>
  <c r="CE66" i="135"/>
  <c r="CE67" i="135"/>
  <c r="CE68" i="135"/>
  <c r="CE73" i="135"/>
  <c r="CE74" i="135"/>
  <c r="CE75" i="135"/>
  <c r="CE76" i="135"/>
  <c r="CE77" i="135"/>
  <c r="CE78" i="135"/>
  <c r="CE79" i="135"/>
  <c r="CE80" i="135"/>
  <c r="CE81" i="135"/>
  <c r="CE83" i="135"/>
  <c r="CE82" i="135"/>
  <c r="CE84" i="135"/>
  <c r="CE85" i="135"/>
  <c r="CE86" i="135"/>
  <c r="CE87" i="135"/>
  <c r="CE88" i="135"/>
  <c r="DO60" i="135"/>
  <c r="DO62" i="135"/>
  <c r="DO63" i="135"/>
  <c r="DO61" i="135"/>
  <c r="DO64" i="135"/>
  <c r="DO65" i="135"/>
  <c r="DO66" i="135"/>
  <c r="DO67" i="135"/>
  <c r="DO68" i="135"/>
  <c r="DO73" i="135"/>
  <c r="DO74" i="135"/>
  <c r="DO75" i="135"/>
  <c r="DO76" i="135"/>
  <c r="DO77" i="135"/>
  <c r="DO78" i="135"/>
  <c r="DO79" i="135"/>
  <c r="DO80" i="135"/>
  <c r="DO81" i="135"/>
  <c r="DO83" i="135"/>
  <c r="DO82" i="135"/>
  <c r="DO84" i="135"/>
  <c r="DO85" i="135"/>
  <c r="DO86" i="135"/>
  <c r="DO87" i="135"/>
  <c r="EY61" i="135"/>
  <c r="EY62" i="135"/>
  <c r="EY60" i="135"/>
  <c r="EY63" i="135"/>
  <c r="EY64" i="135"/>
  <c r="EY65" i="135"/>
  <c r="EY66" i="135"/>
  <c r="EY67" i="135"/>
  <c r="EY68" i="135"/>
  <c r="EY73" i="135"/>
  <c r="EY75" i="135"/>
  <c r="EY74" i="135"/>
  <c r="EY76" i="135"/>
  <c r="EY77" i="135"/>
  <c r="EY78" i="135"/>
  <c r="EY79" i="135"/>
  <c r="EY80" i="135"/>
  <c r="EY81" i="135"/>
  <c r="EY82" i="135"/>
  <c r="EY83" i="135"/>
  <c r="EY84" i="135"/>
  <c r="EY85" i="135"/>
  <c r="EY86" i="135"/>
  <c r="EY87" i="135"/>
  <c r="EY88" i="135"/>
  <c r="BX89" i="135"/>
  <c r="CC89" i="135"/>
  <c r="CB89" i="135"/>
  <c r="DO89" i="135"/>
  <c r="BH89" i="135"/>
  <c r="AV89" i="135"/>
  <c r="EY89" i="135"/>
  <c r="BC90" i="135"/>
  <c r="AV90" i="135"/>
  <c r="BX90" i="135"/>
  <c r="BH90" i="135"/>
  <c r="AQ88" i="135"/>
  <c r="EX89" i="135"/>
  <c r="EV89" i="135"/>
  <c r="AX89" i="135"/>
  <c r="BI89" i="135"/>
  <c r="BQ89" i="135"/>
  <c r="C92" i="135"/>
  <c r="T92" i="135" s="1"/>
  <c r="EW89" i="135"/>
  <c r="EY56" i="135"/>
  <c r="EY51" i="135"/>
  <c r="EY59" i="135"/>
  <c r="EY58" i="135"/>
  <c r="EY50" i="135"/>
  <c r="EY53" i="135"/>
  <c r="EY52" i="135"/>
  <c r="EY54" i="135"/>
  <c r="EY57" i="135"/>
  <c r="EY55" i="135"/>
  <c r="CE50" i="135"/>
  <c r="CE55" i="135"/>
  <c r="CE53" i="135"/>
  <c r="CE52" i="135"/>
  <c r="CE56" i="135"/>
  <c r="CE51" i="135"/>
  <c r="CE54" i="135"/>
  <c r="CE59" i="135"/>
  <c r="CE58" i="135"/>
  <c r="CE57" i="135"/>
  <c r="DO57" i="135"/>
  <c r="DO56" i="135"/>
  <c r="DO52" i="135"/>
  <c r="DO51" i="135"/>
  <c r="DO53" i="135"/>
  <c r="DO59" i="135"/>
  <c r="DO50" i="135"/>
  <c r="DO54" i="135"/>
  <c r="DO58" i="135"/>
  <c r="DO55" i="135"/>
  <c r="X31" i="230"/>
  <c r="AB31" i="230"/>
  <c r="AF31" i="230"/>
  <c r="T32" i="230"/>
  <c r="Y31" i="230"/>
  <c r="V31" i="230"/>
  <c r="AC31" i="230"/>
  <c r="AA31" i="230"/>
  <c r="W31" i="230"/>
  <c r="AH31" i="230"/>
  <c r="AG31" i="230" s="1"/>
  <c r="Z31" i="230"/>
  <c r="AE31" i="230"/>
  <c r="CE49" i="135"/>
  <c r="EY49" i="135"/>
  <c r="DO49" i="135"/>
  <c r="DN21" i="135"/>
  <c r="EX21" i="135"/>
  <c r="EZ8" i="135"/>
  <c r="DP8" i="135"/>
  <c r="CF8" i="135"/>
  <c r="EY263" i="135" l="1"/>
  <c r="DO263" i="135"/>
  <c r="AQ262" i="135"/>
  <c r="EW263" i="135"/>
  <c r="DM263" i="135"/>
  <c r="CC263" i="135"/>
  <c r="CE263" i="135"/>
  <c r="AG264" i="135"/>
  <c r="Y264" i="135"/>
  <c r="DO264" i="135" s="1"/>
  <c r="AJ264" i="135"/>
  <c r="BN264" i="135" s="1"/>
  <c r="AH264" i="135"/>
  <c r="AI264" i="135"/>
  <c r="AV264" i="135" s="1"/>
  <c r="AC264" i="135"/>
  <c r="BY263" i="135"/>
  <c r="X264" i="135"/>
  <c r="CE264" i="135" s="1"/>
  <c r="AD264" i="135"/>
  <c r="Z264" i="135"/>
  <c r="EY264" i="135" s="1"/>
  <c r="AW263" i="135"/>
  <c r="BD263" i="135"/>
  <c r="AN263" i="135"/>
  <c r="Q263" i="135" s="1"/>
  <c r="AB264" i="135"/>
  <c r="CA264" i="135"/>
  <c r="DK264" i="135"/>
  <c r="EU264" i="135"/>
  <c r="CB264" i="135"/>
  <c r="DL264" i="135"/>
  <c r="EV264" i="135"/>
  <c r="V265" i="135"/>
  <c r="AL265" i="135"/>
  <c r="AK265" i="135"/>
  <c r="T265" i="135"/>
  <c r="AF265" i="135" s="1"/>
  <c r="AM265" i="135" s="1"/>
  <c r="U265" i="135"/>
  <c r="BI263" i="135"/>
  <c r="BQ263" i="135"/>
  <c r="AX263" i="135"/>
  <c r="C266" i="135"/>
  <c r="BY264" i="135"/>
  <c r="BD264" i="135"/>
  <c r="AW264" i="135"/>
  <c r="BP264" i="135"/>
  <c r="BN263" i="135"/>
  <c r="AU263" i="135"/>
  <c r="AQ89" i="135"/>
  <c r="AM150" i="135"/>
  <c r="BY150" i="135" s="1"/>
  <c r="AH91" i="135"/>
  <c r="AC151" i="135"/>
  <c r="Z91" i="135"/>
  <c r="EZ91" i="135" s="1"/>
  <c r="AI151" i="135"/>
  <c r="BH151" i="135" s="1"/>
  <c r="AD151" i="135"/>
  <c r="AB151" i="135"/>
  <c r="AH151" i="135"/>
  <c r="V92" i="135"/>
  <c r="U92" i="135"/>
  <c r="AL92" i="135"/>
  <c r="AK92" i="135"/>
  <c r="AI92" i="135"/>
  <c r="Z151" i="135"/>
  <c r="EV151" i="135" s="1"/>
  <c r="AF151" i="135"/>
  <c r="AM151" i="135" s="1"/>
  <c r="Y91" i="135"/>
  <c r="DO91" i="135" s="1"/>
  <c r="AG91" i="135"/>
  <c r="AJ152" i="135"/>
  <c r="V152" i="135"/>
  <c r="AK152" i="135"/>
  <c r="AL152" i="135"/>
  <c r="U152" i="135"/>
  <c r="AJ151" i="135"/>
  <c r="AC91" i="135"/>
  <c r="AF91" i="135"/>
  <c r="AM91" i="135" s="1"/>
  <c r="BD91" i="135" s="1"/>
  <c r="AD91" i="135"/>
  <c r="X151" i="135"/>
  <c r="CB151" i="135" s="1"/>
  <c r="Y151" i="135"/>
  <c r="DN151" i="135" s="1"/>
  <c r="AG151" i="135"/>
  <c r="X91" i="135"/>
  <c r="CC91" i="135" s="1"/>
  <c r="AI91" i="135"/>
  <c r="AV91" i="135" s="1"/>
  <c r="AJ91" i="135"/>
  <c r="AU91" i="135" s="1"/>
  <c r="AB91" i="135"/>
  <c r="EY150" i="135"/>
  <c r="CE150" i="135"/>
  <c r="DO150" i="135"/>
  <c r="N21" i="131"/>
  <c r="AW149" i="135"/>
  <c r="AQ149" i="135" s="1"/>
  <c r="BY149" i="135"/>
  <c r="BD149" i="135"/>
  <c r="BP149" i="135"/>
  <c r="DM35" i="135"/>
  <c r="EV35" i="135"/>
  <c r="CC35" i="135"/>
  <c r="EW35" i="135"/>
  <c r="DO34" i="135"/>
  <c r="DP254" i="135"/>
  <c r="DP256" i="135"/>
  <c r="DP249" i="135"/>
  <c r="DP248" i="135"/>
  <c r="DP238" i="135"/>
  <c r="DP257" i="135"/>
  <c r="DP234" i="135"/>
  <c r="DP230" i="135"/>
  <c r="DP227" i="135"/>
  <c r="DP223" i="135"/>
  <c r="DP233" i="135"/>
  <c r="DP240" i="135"/>
  <c r="DP229" i="135"/>
  <c r="DP228" i="135"/>
  <c r="DP224" i="135"/>
  <c r="DP219" i="135"/>
  <c r="DP221" i="135"/>
  <c r="DP222" i="135"/>
  <c r="DP242" i="135"/>
  <c r="DP244" i="135"/>
  <c r="DP239" i="135"/>
  <c r="DP243" i="135"/>
  <c r="DP246" i="135"/>
  <c r="DP226" i="135"/>
  <c r="DP218" i="135"/>
  <c r="DP220" i="135"/>
  <c r="DP232" i="135"/>
  <c r="DP235" i="135"/>
  <c r="DP245" i="135"/>
  <c r="DP250" i="135"/>
  <c r="DP217" i="135"/>
  <c r="DP215" i="135"/>
  <c r="DP231" i="135"/>
  <c r="DP236" i="135"/>
  <c r="DP237" i="135"/>
  <c r="DP241" i="135"/>
  <c r="DP247" i="135"/>
  <c r="DP252" i="135"/>
  <c r="DP253" i="135"/>
  <c r="DP259" i="135"/>
  <c r="DP225" i="135"/>
  <c r="DP214" i="135"/>
  <c r="DP216" i="135"/>
  <c r="DP251" i="135"/>
  <c r="DP263" i="135"/>
  <c r="DP255" i="135"/>
  <c r="DP258" i="135"/>
  <c r="DP260" i="135"/>
  <c r="DP262" i="135"/>
  <c r="DP261" i="135"/>
  <c r="EZ263" i="135"/>
  <c r="EZ262" i="135"/>
  <c r="EZ261" i="135"/>
  <c r="EZ255" i="135"/>
  <c r="EZ253" i="135"/>
  <c r="EZ260" i="135"/>
  <c r="EZ258" i="135"/>
  <c r="EZ221" i="135"/>
  <c r="EZ222" i="135"/>
  <c r="EZ220" i="135"/>
  <c r="EZ227" i="135"/>
  <c r="EZ219" i="135"/>
  <c r="EZ215" i="135"/>
  <c r="EZ226" i="135"/>
  <c r="EZ231" i="135"/>
  <c r="EZ240" i="135"/>
  <c r="EZ234" i="135"/>
  <c r="EZ237" i="135"/>
  <c r="EZ241" i="135"/>
  <c r="EZ250" i="135"/>
  <c r="EZ216" i="135"/>
  <c r="EZ223" i="135"/>
  <c r="EZ257" i="135"/>
  <c r="EZ230" i="135"/>
  <c r="EZ247" i="135"/>
  <c r="EZ248" i="135"/>
  <c r="EZ217" i="135"/>
  <c r="EZ225" i="135"/>
  <c r="EZ224" i="135"/>
  <c r="EZ236" i="135"/>
  <c r="EZ242" i="135"/>
  <c r="EZ244" i="135"/>
  <c r="EZ229" i="135"/>
  <c r="EZ233" i="135"/>
  <c r="EZ239" i="135"/>
  <c r="EZ243" i="135"/>
  <c r="EZ251" i="135"/>
  <c r="EZ254" i="135"/>
  <c r="EZ214" i="135"/>
  <c r="EZ218" i="135"/>
  <c r="EZ246" i="135"/>
  <c r="EZ228" i="135"/>
  <c r="EZ238" i="135"/>
  <c r="EZ232" i="135"/>
  <c r="EZ245" i="135"/>
  <c r="EZ235" i="135"/>
  <c r="EZ252" i="135"/>
  <c r="EZ256" i="135"/>
  <c r="EZ259" i="135"/>
  <c r="EZ249" i="135"/>
  <c r="CF258" i="135"/>
  <c r="CF245" i="135"/>
  <c r="CF243" i="135"/>
  <c r="CF241" i="135"/>
  <c r="CF239" i="135"/>
  <c r="CF237" i="135"/>
  <c r="CF259" i="135"/>
  <c r="CF251" i="135"/>
  <c r="CF250" i="135"/>
  <c r="CF247" i="135"/>
  <c r="CF246" i="135"/>
  <c r="CF240" i="135"/>
  <c r="CF244" i="135"/>
  <c r="CF236" i="135"/>
  <c r="CF235" i="135"/>
  <c r="CF222" i="135"/>
  <c r="CF231" i="135"/>
  <c r="CF232" i="135"/>
  <c r="CF216" i="135"/>
  <c r="CF225" i="135"/>
  <c r="CF226" i="135"/>
  <c r="CF228" i="135"/>
  <c r="CF223" i="135"/>
  <c r="CF220" i="135"/>
  <c r="CF242" i="135"/>
  <c r="CF257" i="135"/>
  <c r="CF229" i="135"/>
  <c r="CF233" i="135"/>
  <c r="CF248" i="135"/>
  <c r="CF217" i="135"/>
  <c r="CF221" i="135"/>
  <c r="CF224" i="135"/>
  <c r="CF254" i="135"/>
  <c r="CF255" i="135"/>
  <c r="CF219" i="135"/>
  <c r="CF214" i="135"/>
  <c r="CF218" i="135"/>
  <c r="CF227" i="135"/>
  <c r="CF238" i="135"/>
  <c r="CF234" i="135"/>
  <c r="CF249" i="135"/>
  <c r="CF230" i="135"/>
  <c r="CF256" i="135"/>
  <c r="CF260" i="135"/>
  <c r="CF215" i="135"/>
  <c r="CF264" i="135"/>
  <c r="CF252" i="135"/>
  <c r="CF261" i="135"/>
  <c r="CF253" i="135"/>
  <c r="CF263" i="135"/>
  <c r="CF262" i="135"/>
  <c r="C153" i="135"/>
  <c r="T153" i="135" s="1"/>
  <c r="EV150" i="135"/>
  <c r="EX150" i="135"/>
  <c r="BN150" i="135"/>
  <c r="AU150" i="135"/>
  <c r="CB150" i="135"/>
  <c r="CD150" i="135"/>
  <c r="DL150" i="135"/>
  <c r="DN150" i="135"/>
  <c r="DK151" i="135"/>
  <c r="CA151" i="135"/>
  <c r="EU151" i="135"/>
  <c r="BI150" i="135"/>
  <c r="BQ150" i="135"/>
  <c r="AX150" i="135"/>
  <c r="BH150" i="135"/>
  <c r="BC150" i="135"/>
  <c r="AV150" i="135"/>
  <c r="BX150" i="135"/>
  <c r="EY34" i="135"/>
  <c r="EZ126" i="135"/>
  <c r="EZ127" i="135"/>
  <c r="CF127" i="135"/>
  <c r="CF126" i="135"/>
  <c r="DP126" i="135"/>
  <c r="DP127" i="135"/>
  <c r="CE34" i="135"/>
  <c r="CF72" i="135"/>
  <c r="CF70" i="135"/>
  <c r="CF71" i="135"/>
  <c r="CF69" i="135"/>
  <c r="DP71" i="135"/>
  <c r="DP69" i="135"/>
  <c r="DP72" i="135"/>
  <c r="DP70" i="135"/>
  <c r="DO25" i="135"/>
  <c r="EZ69" i="135"/>
  <c r="EZ70" i="135"/>
  <c r="EZ72" i="135"/>
  <c r="EZ71" i="135"/>
  <c r="EY25" i="135"/>
  <c r="CE25" i="135"/>
  <c r="CE30" i="135"/>
  <c r="DO31" i="135"/>
  <c r="DO33" i="135"/>
  <c r="EY32" i="135"/>
  <c r="CE33" i="135"/>
  <c r="CF129" i="135"/>
  <c r="CF123" i="135"/>
  <c r="CF125" i="135"/>
  <c r="CF121" i="135"/>
  <c r="CF148" i="135"/>
  <c r="CF141" i="135"/>
  <c r="CF147" i="135"/>
  <c r="CF144" i="135"/>
  <c r="CF116" i="135"/>
  <c r="CF135" i="135"/>
  <c r="CF108" i="135"/>
  <c r="CF111" i="135"/>
  <c r="CF132" i="135"/>
  <c r="CF150" i="135"/>
  <c r="CF136" i="135"/>
  <c r="CF134" i="135"/>
  <c r="CF114" i="135"/>
  <c r="CF107" i="135"/>
  <c r="CF112" i="135"/>
  <c r="CF113" i="135"/>
  <c r="CF110" i="135"/>
  <c r="CF130" i="135"/>
  <c r="CF131" i="135"/>
  <c r="CF138" i="135"/>
  <c r="CF149" i="135"/>
  <c r="CF137" i="135"/>
  <c r="CF133" i="135"/>
  <c r="CF143" i="135"/>
  <c r="CF119" i="135"/>
  <c r="CF145" i="135"/>
  <c r="CF128" i="135"/>
  <c r="CF122" i="135"/>
  <c r="CF117" i="135"/>
  <c r="CF109" i="135"/>
  <c r="CF142" i="135"/>
  <c r="CF146" i="135"/>
  <c r="CF124" i="135"/>
  <c r="CF106" i="135"/>
  <c r="CF118" i="135"/>
  <c r="CF115" i="135"/>
  <c r="CF139" i="135"/>
  <c r="CF120" i="135"/>
  <c r="CF140" i="135"/>
  <c r="CE31" i="135"/>
  <c r="DO30" i="135"/>
  <c r="CE32" i="135"/>
  <c r="EY31" i="135"/>
  <c r="EY28" i="135"/>
  <c r="EY26" i="135"/>
  <c r="EY35" i="135"/>
  <c r="EY33" i="135"/>
  <c r="DO28" i="135"/>
  <c r="DO26" i="135"/>
  <c r="DO35" i="135"/>
  <c r="DP144" i="135"/>
  <c r="DP135" i="135"/>
  <c r="DP122" i="135"/>
  <c r="DP118" i="135"/>
  <c r="DP115" i="135"/>
  <c r="DP150" i="135"/>
  <c r="DP132" i="135"/>
  <c r="DP129" i="135"/>
  <c r="DP128" i="135"/>
  <c r="DP130" i="135"/>
  <c r="DP112" i="135"/>
  <c r="DP110" i="135"/>
  <c r="DP136" i="135"/>
  <c r="DP107" i="135"/>
  <c r="DP131" i="135"/>
  <c r="DP138" i="135"/>
  <c r="DP114" i="135"/>
  <c r="DP133" i="135"/>
  <c r="DP123" i="135"/>
  <c r="DP124" i="135"/>
  <c r="DP149" i="135"/>
  <c r="DP137" i="135"/>
  <c r="DP125" i="135"/>
  <c r="DP117" i="135"/>
  <c r="DP113" i="135"/>
  <c r="DP119" i="135"/>
  <c r="DP109" i="135"/>
  <c r="DP106" i="135"/>
  <c r="DP142" i="135"/>
  <c r="DP146" i="135"/>
  <c r="DP121" i="135"/>
  <c r="DP145" i="135"/>
  <c r="DP147" i="135"/>
  <c r="DP120" i="135"/>
  <c r="DP134" i="135"/>
  <c r="DP141" i="135"/>
  <c r="DP143" i="135"/>
  <c r="DP148" i="135"/>
  <c r="DP116" i="135"/>
  <c r="DP111" i="135"/>
  <c r="DP108" i="135"/>
  <c r="DP140" i="135"/>
  <c r="DP139" i="135"/>
  <c r="EZ122" i="135"/>
  <c r="EZ123" i="135"/>
  <c r="EZ124" i="135"/>
  <c r="EZ121" i="135"/>
  <c r="EZ108" i="135"/>
  <c r="EZ148" i="135"/>
  <c r="EZ111" i="135"/>
  <c r="EZ132" i="135"/>
  <c r="EZ147" i="135"/>
  <c r="EZ144" i="135"/>
  <c r="EZ129" i="135"/>
  <c r="EZ110" i="135"/>
  <c r="EZ116" i="135"/>
  <c r="EZ115" i="135"/>
  <c r="EZ135" i="135"/>
  <c r="EZ136" i="135"/>
  <c r="EZ134" i="135"/>
  <c r="EZ112" i="135"/>
  <c r="EZ131" i="135"/>
  <c r="EZ107" i="135"/>
  <c r="EZ125" i="135"/>
  <c r="EZ130" i="135"/>
  <c r="EZ138" i="135"/>
  <c r="EZ114" i="135"/>
  <c r="EZ137" i="135"/>
  <c r="EZ133" i="135"/>
  <c r="EZ119" i="135"/>
  <c r="EZ149" i="135"/>
  <c r="EZ117" i="135"/>
  <c r="EZ143" i="135"/>
  <c r="EZ113" i="135"/>
  <c r="EZ145" i="135"/>
  <c r="EZ142" i="135"/>
  <c r="EZ146" i="135"/>
  <c r="EZ106" i="135"/>
  <c r="EZ128" i="135"/>
  <c r="EZ109" i="135"/>
  <c r="EZ120" i="135"/>
  <c r="EZ141" i="135"/>
  <c r="EZ140" i="135"/>
  <c r="EZ139" i="135"/>
  <c r="EZ118" i="135"/>
  <c r="EZ150" i="135"/>
  <c r="EY30" i="135"/>
  <c r="DO32" i="135"/>
  <c r="CE28" i="135"/>
  <c r="CE26" i="135"/>
  <c r="CE35" i="135"/>
  <c r="DM90" i="135"/>
  <c r="DP90" i="135"/>
  <c r="DK90" i="135"/>
  <c r="EU90" i="135"/>
  <c r="AU90" i="135"/>
  <c r="CA90" i="135"/>
  <c r="DO22" i="135"/>
  <c r="EY23" i="135"/>
  <c r="EY24" i="135"/>
  <c r="DO23" i="135"/>
  <c r="CE23" i="135"/>
  <c r="AX90" i="135"/>
  <c r="EY22" i="135"/>
  <c r="CB90" i="135"/>
  <c r="CD90" i="135"/>
  <c r="CE22" i="135"/>
  <c r="EV90" i="135"/>
  <c r="EY27" i="135"/>
  <c r="DO27" i="135"/>
  <c r="CE24" i="135"/>
  <c r="DO24" i="135"/>
  <c r="CE27" i="135"/>
  <c r="EW90" i="135"/>
  <c r="EX90" i="135"/>
  <c r="BI90" i="135"/>
  <c r="DO90" i="135"/>
  <c r="BQ90" i="135"/>
  <c r="DN90" i="135"/>
  <c r="CE90" i="135"/>
  <c r="CF63" i="135"/>
  <c r="CF61" i="135"/>
  <c r="CF62" i="135"/>
  <c r="CF60" i="135"/>
  <c r="CF64" i="135"/>
  <c r="CF65" i="135"/>
  <c r="CF66" i="135"/>
  <c r="CF67" i="135"/>
  <c r="CF68" i="135"/>
  <c r="CF73" i="135"/>
  <c r="CF74" i="135"/>
  <c r="CF75" i="135"/>
  <c r="CF76" i="135"/>
  <c r="CF77" i="135"/>
  <c r="CF78" i="135"/>
  <c r="CF79" i="135"/>
  <c r="CF80" i="135"/>
  <c r="CF81" i="135"/>
  <c r="CF82" i="135"/>
  <c r="CF83" i="135"/>
  <c r="CF84" i="135"/>
  <c r="CF85" i="135"/>
  <c r="CF86" i="135"/>
  <c r="CF87" i="135"/>
  <c r="CF88" i="135"/>
  <c r="CF89" i="135"/>
  <c r="EZ90" i="135"/>
  <c r="DP63" i="135"/>
  <c r="DP60" i="135"/>
  <c r="DP62" i="135"/>
  <c r="DP61" i="135"/>
  <c r="DP64" i="135"/>
  <c r="DP65" i="135"/>
  <c r="DP66" i="135"/>
  <c r="DP67" i="135"/>
  <c r="DP68" i="135"/>
  <c r="DP73" i="135"/>
  <c r="DP74" i="135"/>
  <c r="DP75" i="135"/>
  <c r="DP76" i="135"/>
  <c r="DP77" i="135"/>
  <c r="DP78" i="135"/>
  <c r="DP79" i="135"/>
  <c r="DP80" i="135"/>
  <c r="DP81" i="135"/>
  <c r="DP82" i="135"/>
  <c r="DP83" i="135"/>
  <c r="DP84" i="135"/>
  <c r="DP85" i="135"/>
  <c r="DP86" i="135"/>
  <c r="DP87" i="135"/>
  <c r="DP88" i="135"/>
  <c r="DP89" i="135"/>
  <c r="EZ61" i="135"/>
  <c r="EZ60" i="135"/>
  <c r="EZ62" i="135"/>
  <c r="EZ63" i="135"/>
  <c r="EZ64" i="135"/>
  <c r="EZ65" i="135"/>
  <c r="EZ66" i="135"/>
  <c r="EZ67" i="135"/>
  <c r="EZ68" i="135"/>
  <c r="EZ73" i="135"/>
  <c r="EZ74" i="135"/>
  <c r="EZ75" i="135"/>
  <c r="EZ76" i="135"/>
  <c r="EZ77" i="135"/>
  <c r="EZ78" i="135"/>
  <c r="EZ79" i="135"/>
  <c r="EZ80" i="135"/>
  <c r="EZ81" i="135"/>
  <c r="EZ82" i="135"/>
  <c r="EZ83" i="135"/>
  <c r="EZ85" i="135"/>
  <c r="EZ84" i="135"/>
  <c r="EZ86" i="135"/>
  <c r="EZ87" i="135"/>
  <c r="EZ88" i="135"/>
  <c r="EZ89" i="135"/>
  <c r="CF90" i="135"/>
  <c r="AN90" i="135"/>
  <c r="Q90" i="135" s="1"/>
  <c r="AW90" i="135"/>
  <c r="BP90" i="135"/>
  <c r="BD90" i="135"/>
  <c r="BY90" i="135"/>
  <c r="C93" i="135"/>
  <c r="T93" i="135" s="1"/>
  <c r="EZ51" i="135"/>
  <c r="EZ59" i="135"/>
  <c r="EZ58" i="135"/>
  <c r="EZ52" i="135"/>
  <c r="EZ56" i="135"/>
  <c r="EZ57" i="135"/>
  <c r="EZ55" i="135"/>
  <c r="EZ53" i="135"/>
  <c r="EZ54" i="135"/>
  <c r="EZ50" i="135"/>
  <c r="DP57" i="135"/>
  <c r="DP50" i="135"/>
  <c r="DP54" i="135"/>
  <c r="DP58" i="135"/>
  <c r="DP52" i="135"/>
  <c r="DP53" i="135"/>
  <c r="DP56" i="135"/>
  <c r="DP59" i="135"/>
  <c r="DP51" i="135"/>
  <c r="DP55" i="135"/>
  <c r="CF57" i="135"/>
  <c r="CF58" i="135"/>
  <c r="CF56" i="135"/>
  <c r="CF53" i="135"/>
  <c r="CF52" i="135"/>
  <c r="CF54" i="135"/>
  <c r="CF50" i="135"/>
  <c r="CF51" i="135"/>
  <c r="CF59" i="135"/>
  <c r="CF55" i="135"/>
  <c r="X32" i="230"/>
  <c r="AB32" i="230"/>
  <c r="AF32" i="230"/>
  <c r="T33" i="230"/>
  <c r="Y32" i="230"/>
  <c r="AD32" i="230"/>
  <c r="AA32" i="230"/>
  <c r="AH32" i="230"/>
  <c r="AG32" i="230" s="1"/>
  <c r="V32" i="230"/>
  <c r="W32" i="230"/>
  <c r="AC32" i="230"/>
  <c r="Z32" i="230"/>
  <c r="EZ49" i="135"/>
  <c r="CF49" i="135"/>
  <c r="DP49" i="135"/>
  <c r="DO21" i="135"/>
  <c r="EY21" i="135"/>
  <c r="FA8" i="135"/>
  <c r="DQ8" i="135"/>
  <c r="CG8" i="135"/>
  <c r="BH264" i="135" l="1"/>
  <c r="BC264" i="135"/>
  <c r="BX264" i="135"/>
  <c r="AN264" i="135"/>
  <c r="Q264" i="135" s="1"/>
  <c r="BI264" i="135"/>
  <c r="AQ263" i="135"/>
  <c r="CD264" i="135"/>
  <c r="AU264" i="135"/>
  <c r="AX264" i="135"/>
  <c r="AQ264" i="135" s="1"/>
  <c r="CC264" i="135"/>
  <c r="BQ264" i="135"/>
  <c r="AD265" i="135"/>
  <c r="EX264" i="135"/>
  <c r="EW264" i="135"/>
  <c r="EZ264" i="135"/>
  <c r="DM264" i="135"/>
  <c r="DP264" i="135"/>
  <c r="DN264" i="135"/>
  <c r="AH265" i="135"/>
  <c r="X265" i="135"/>
  <c r="CF265" i="135" s="1"/>
  <c r="Y265" i="135"/>
  <c r="DP265" i="135" s="1"/>
  <c r="Z265" i="135"/>
  <c r="EZ265" i="135" s="1"/>
  <c r="AG265" i="135"/>
  <c r="BQ265" i="135" s="1"/>
  <c r="AI265" i="135"/>
  <c r="AV265" i="135" s="1"/>
  <c r="AB265" i="135"/>
  <c r="AK266" i="135"/>
  <c r="V266" i="135"/>
  <c r="T266" i="135"/>
  <c r="AI266" i="135" s="1"/>
  <c r="AL266" i="135"/>
  <c r="U266" i="135"/>
  <c r="BP265" i="135"/>
  <c r="AW265" i="135"/>
  <c r="BD265" i="135"/>
  <c r="BY265" i="135"/>
  <c r="C267" i="135"/>
  <c r="AC265" i="135"/>
  <c r="DK265" i="135"/>
  <c r="CA265" i="135"/>
  <c r="EU265" i="135"/>
  <c r="CB265" i="135"/>
  <c r="EV265" i="135"/>
  <c r="DL265" i="135"/>
  <c r="AJ265" i="135"/>
  <c r="BP150" i="135"/>
  <c r="AN150" i="135"/>
  <c r="Q150" i="135" s="1"/>
  <c r="AW150" i="135"/>
  <c r="AQ150" i="135" s="1"/>
  <c r="BD150" i="135"/>
  <c r="P21" i="131"/>
  <c r="F35" i="235" s="1"/>
  <c r="AD23" i="235" s="1"/>
  <c r="BC151" i="135"/>
  <c r="AV151" i="135"/>
  <c r="BX151" i="135"/>
  <c r="AF152" i="135"/>
  <c r="Z152" i="135"/>
  <c r="EW152" i="135" s="1"/>
  <c r="AI152" i="135"/>
  <c r="Y152" i="135"/>
  <c r="DQ152" i="135" s="1"/>
  <c r="AG152" i="135"/>
  <c r="BN91" i="135"/>
  <c r="AD92" i="135"/>
  <c r="AD152" i="135"/>
  <c r="AG92" i="135"/>
  <c r="AB92" i="135"/>
  <c r="X92" i="135"/>
  <c r="CF92" i="135" s="1"/>
  <c r="AC92" i="135"/>
  <c r="X152" i="135"/>
  <c r="CE152" i="135" s="1"/>
  <c r="AB152" i="135"/>
  <c r="AH152" i="135"/>
  <c r="AC152" i="135"/>
  <c r="Y92" i="135"/>
  <c r="DN92" i="135" s="1"/>
  <c r="AF92" i="135"/>
  <c r="AM92" i="135" s="1"/>
  <c r="AJ92" i="135"/>
  <c r="Z92" i="135"/>
  <c r="EV92" i="135" s="1"/>
  <c r="AJ93" i="135"/>
  <c r="AK93" i="135"/>
  <c r="AL93" i="135"/>
  <c r="U93" i="135"/>
  <c r="V93" i="135"/>
  <c r="V153" i="135"/>
  <c r="AI153" i="135"/>
  <c r="U153" i="135"/>
  <c r="AK153" i="135"/>
  <c r="AL153" i="135"/>
  <c r="AH92" i="135"/>
  <c r="EZ151" i="135"/>
  <c r="CF151" i="135"/>
  <c r="FA255" i="135"/>
  <c r="FA249" i="135"/>
  <c r="FA259" i="135"/>
  <c r="FA243" i="135"/>
  <c r="FA239" i="135"/>
  <c r="FA235" i="135"/>
  <c r="FA231" i="135"/>
  <c r="FA246" i="135"/>
  <c r="FA237" i="135"/>
  <c r="FA234" i="135"/>
  <c r="FA230" i="135"/>
  <c r="FA225" i="135"/>
  <c r="FA250" i="135"/>
  <c r="FA241" i="135"/>
  <c r="FA224" i="135"/>
  <c r="FA214" i="135"/>
  <c r="FA216" i="135"/>
  <c r="FA238" i="135"/>
  <c r="FA229" i="135"/>
  <c r="FA226" i="135"/>
  <c r="FA228" i="135"/>
  <c r="FA221" i="135"/>
  <c r="FA232" i="135"/>
  <c r="FA240" i="135"/>
  <c r="FA245" i="135"/>
  <c r="FA253" i="135"/>
  <c r="FA254" i="135"/>
  <c r="FA256" i="135"/>
  <c r="FA218" i="135"/>
  <c r="FA220" i="135"/>
  <c r="FA222" i="135"/>
  <c r="FA227" i="135"/>
  <c r="FA236" i="135"/>
  <c r="FA247" i="135"/>
  <c r="FA258" i="135"/>
  <c r="FA217" i="135"/>
  <c r="FA242" i="135"/>
  <c r="FA244" i="135"/>
  <c r="FA233" i="135"/>
  <c r="FA261" i="135"/>
  <c r="FA215" i="135"/>
  <c r="FA219" i="135"/>
  <c r="FA223" i="135"/>
  <c r="FA248" i="135"/>
  <c r="FA262" i="135"/>
  <c r="FA263" i="135"/>
  <c r="FA252" i="135"/>
  <c r="FA251" i="135"/>
  <c r="FA260" i="135"/>
  <c r="FA264" i="135"/>
  <c r="FA257" i="135"/>
  <c r="CG235" i="135"/>
  <c r="CG231" i="135"/>
  <c r="CG221" i="135"/>
  <c r="CG230" i="135"/>
  <c r="CG215" i="135"/>
  <c r="CG214" i="135"/>
  <c r="CG220" i="135"/>
  <c r="CG234" i="135"/>
  <c r="CG218" i="135"/>
  <c r="CG217" i="135"/>
  <c r="CG216" i="135"/>
  <c r="CG228" i="135"/>
  <c r="CG223" i="135"/>
  <c r="CG236" i="135"/>
  <c r="CG242" i="135"/>
  <c r="CG244" i="135"/>
  <c r="CG257" i="135"/>
  <c r="CG239" i="135"/>
  <c r="CG243" i="135"/>
  <c r="CG246" i="135"/>
  <c r="CG248" i="135"/>
  <c r="CG226" i="135"/>
  <c r="CG222" i="135"/>
  <c r="CG238" i="135"/>
  <c r="CG224" i="135"/>
  <c r="CG245" i="135"/>
  <c r="CG250" i="135"/>
  <c r="CG253" i="135"/>
  <c r="CG252" i="135"/>
  <c r="CG254" i="135"/>
  <c r="CG255" i="135"/>
  <c r="CG219" i="135"/>
  <c r="CG227" i="135"/>
  <c r="CG232" i="135"/>
  <c r="CG240" i="135"/>
  <c r="CG233" i="135"/>
  <c r="CG237" i="135"/>
  <c r="CG241" i="135"/>
  <c r="CG247" i="135"/>
  <c r="CG249" i="135"/>
  <c r="CG225" i="135"/>
  <c r="CG229" i="135"/>
  <c r="CG258" i="135"/>
  <c r="CG260" i="135"/>
  <c r="CG261" i="135"/>
  <c r="CG262" i="135"/>
  <c r="CG256" i="135"/>
  <c r="CG259" i="135"/>
  <c r="CG264" i="135"/>
  <c r="CG251" i="135"/>
  <c r="CG263" i="135"/>
  <c r="CD151" i="135"/>
  <c r="DQ258" i="135"/>
  <c r="DQ249" i="135"/>
  <c r="DQ251" i="135"/>
  <c r="DQ248" i="135"/>
  <c r="DQ247" i="135"/>
  <c r="DQ234" i="135"/>
  <c r="DQ230" i="135"/>
  <c r="DQ245" i="135"/>
  <c r="DQ241" i="135"/>
  <c r="DQ239" i="135"/>
  <c r="DQ237" i="135"/>
  <c r="DQ233" i="135"/>
  <c r="DQ232" i="135"/>
  <c r="DQ229" i="135"/>
  <c r="DQ226" i="135"/>
  <c r="DQ243" i="135"/>
  <c r="DQ223" i="135"/>
  <c r="DQ222" i="135"/>
  <c r="DQ215" i="135"/>
  <c r="DQ235" i="135"/>
  <c r="DQ250" i="135"/>
  <c r="DQ219" i="135"/>
  <c r="DQ216" i="135"/>
  <c r="DQ227" i="135"/>
  <c r="DQ220" i="135"/>
  <c r="DQ231" i="135"/>
  <c r="DQ236" i="135"/>
  <c r="DQ242" i="135"/>
  <c r="DQ225" i="135"/>
  <c r="DQ217" i="135"/>
  <c r="DQ238" i="135"/>
  <c r="DQ221" i="135"/>
  <c r="DQ244" i="135"/>
  <c r="DQ252" i="135"/>
  <c r="DQ256" i="135"/>
  <c r="DQ214" i="135"/>
  <c r="DQ228" i="135"/>
  <c r="DQ253" i="135"/>
  <c r="DQ261" i="135"/>
  <c r="DQ263" i="135"/>
  <c r="DQ218" i="135"/>
  <c r="DQ224" i="135"/>
  <c r="DQ240" i="135"/>
  <c r="DQ257" i="135"/>
  <c r="DQ246" i="135"/>
  <c r="DQ255" i="135"/>
  <c r="DQ264" i="135"/>
  <c r="DQ254" i="135"/>
  <c r="DQ259" i="135"/>
  <c r="DQ260" i="135"/>
  <c r="DQ262" i="135"/>
  <c r="AU152" i="135"/>
  <c r="DP151" i="135"/>
  <c r="CC151" i="135"/>
  <c r="CE151" i="135"/>
  <c r="AU151" i="135"/>
  <c r="BN151" i="135"/>
  <c r="EX151" i="135"/>
  <c r="DM151" i="135"/>
  <c r="DO151" i="135"/>
  <c r="CA152" i="135"/>
  <c r="DK152" i="135"/>
  <c r="EU152" i="135"/>
  <c r="BQ151" i="135"/>
  <c r="BI151" i="135"/>
  <c r="AX151" i="135"/>
  <c r="EW151" i="135"/>
  <c r="EY151" i="135"/>
  <c r="BD151" i="135"/>
  <c r="AW151" i="135"/>
  <c r="AN151" i="135"/>
  <c r="Q151" i="135" s="1"/>
  <c r="BP151" i="135"/>
  <c r="BY151" i="135"/>
  <c r="C154" i="135"/>
  <c r="T154" i="135" s="1"/>
  <c r="DL151" i="135"/>
  <c r="EZ34" i="135"/>
  <c r="FA127" i="135"/>
  <c r="FA126" i="135"/>
  <c r="DQ127" i="135"/>
  <c r="DQ126" i="135"/>
  <c r="CF34" i="135"/>
  <c r="CG126" i="135"/>
  <c r="CG127" i="135"/>
  <c r="DP34" i="135"/>
  <c r="CF25" i="135"/>
  <c r="CG69" i="135"/>
  <c r="CG70" i="135"/>
  <c r="CG72" i="135"/>
  <c r="CG71" i="135"/>
  <c r="DP25" i="135"/>
  <c r="FA72" i="135"/>
  <c r="FA70" i="135"/>
  <c r="FA69" i="135"/>
  <c r="FA71" i="135"/>
  <c r="DQ72" i="135"/>
  <c r="DQ69" i="135"/>
  <c r="DQ71" i="135"/>
  <c r="DQ70" i="135"/>
  <c r="EZ25" i="135"/>
  <c r="CF33" i="135"/>
  <c r="DP31" i="135"/>
  <c r="CF30" i="135"/>
  <c r="DP30" i="135"/>
  <c r="EZ33" i="135"/>
  <c r="CF35" i="135"/>
  <c r="CG121" i="135"/>
  <c r="CG129" i="135"/>
  <c r="CG124" i="135"/>
  <c r="CG128" i="135"/>
  <c r="CG122" i="135"/>
  <c r="CG151" i="135"/>
  <c r="CG123" i="135"/>
  <c r="CG125" i="135"/>
  <c r="CG148" i="135"/>
  <c r="CG147" i="135"/>
  <c r="CG144" i="135"/>
  <c r="CG132" i="135"/>
  <c r="CG141" i="135"/>
  <c r="CG135" i="135"/>
  <c r="CG150" i="135"/>
  <c r="CG136" i="135"/>
  <c r="CG134" i="135"/>
  <c r="CG131" i="135"/>
  <c r="CG130" i="135"/>
  <c r="CG114" i="135"/>
  <c r="CG138" i="135"/>
  <c r="CG137" i="135"/>
  <c r="CG112" i="135"/>
  <c r="CG113" i="135"/>
  <c r="CG149" i="135"/>
  <c r="CG117" i="135"/>
  <c r="CG119" i="135"/>
  <c r="CG145" i="135"/>
  <c r="CG133" i="135"/>
  <c r="CG143" i="135"/>
  <c r="CG142" i="135"/>
  <c r="CG146" i="135"/>
  <c r="CG106" i="135"/>
  <c r="CG109" i="135"/>
  <c r="CG110" i="135"/>
  <c r="CG111" i="135"/>
  <c r="CG107" i="135"/>
  <c r="CG108" i="135"/>
  <c r="CG115" i="135"/>
  <c r="CG118" i="135"/>
  <c r="CG116" i="135"/>
  <c r="CG139" i="135"/>
  <c r="CG140" i="135"/>
  <c r="CG120" i="135"/>
  <c r="DQ122" i="135"/>
  <c r="DQ128" i="135"/>
  <c r="DQ148" i="135"/>
  <c r="DQ141" i="135"/>
  <c r="DQ147" i="135"/>
  <c r="DQ144" i="135"/>
  <c r="DQ132" i="135"/>
  <c r="DQ135" i="135"/>
  <c r="DQ118" i="135"/>
  <c r="DQ150" i="135"/>
  <c r="DQ115" i="135"/>
  <c r="DQ136" i="135"/>
  <c r="DQ107" i="135"/>
  <c r="DQ112" i="135"/>
  <c r="DQ130" i="135"/>
  <c r="DQ131" i="135"/>
  <c r="DQ129" i="135"/>
  <c r="DQ138" i="135"/>
  <c r="DQ110" i="135"/>
  <c r="DQ114" i="135"/>
  <c r="DQ137" i="135"/>
  <c r="DQ151" i="135"/>
  <c r="DQ113" i="135"/>
  <c r="DQ133" i="135"/>
  <c r="DQ143" i="135"/>
  <c r="DQ123" i="135"/>
  <c r="DQ124" i="135"/>
  <c r="DQ117" i="135"/>
  <c r="DQ119" i="135"/>
  <c r="DQ145" i="135"/>
  <c r="DQ125" i="135"/>
  <c r="DQ149" i="135"/>
  <c r="DQ146" i="135"/>
  <c r="DQ106" i="135"/>
  <c r="DQ121" i="135"/>
  <c r="DQ109" i="135"/>
  <c r="DQ142" i="135"/>
  <c r="DQ111" i="135"/>
  <c r="DQ134" i="135"/>
  <c r="DQ120" i="135"/>
  <c r="DQ116" i="135"/>
  <c r="DQ140" i="135"/>
  <c r="DQ108" i="135"/>
  <c r="DQ139" i="135"/>
  <c r="FA122" i="135"/>
  <c r="FA128" i="135"/>
  <c r="FA151" i="135"/>
  <c r="FA108" i="135"/>
  <c r="FA148" i="135"/>
  <c r="FA144" i="135"/>
  <c r="FA116" i="135"/>
  <c r="FA147" i="135"/>
  <c r="FA135" i="135"/>
  <c r="FA111" i="135"/>
  <c r="FA132" i="135"/>
  <c r="FA129" i="135"/>
  <c r="FA123" i="135"/>
  <c r="FA124" i="135"/>
  <c r="FA115" i="135"/>
  <c r="FA136" i="135"/>
  <c r="FA130" i="135"/>
  <c r="FA131" i="135"/>
  <c r="FA138" i="135"/>
  <c r="FA110" i="135"/>
  <c r="FA125" i="135"/>
  <c r="FA114" i="135"/>
  <c r="FA107" i="135"/>
  <c r="FA134" i="135"/>
  <c r="FA112" i="135"/>
  <c r="FA117" i="135"/>
  <c r="FA143" i="135"/>
  <c r="FA119" i="135"/>
  <c r="FA121" i="135"/>
  <c r="FA113" i="135"/>
  <c r="FA137" i="135"/>
  <c r="FA133" i="135"/>
  <c r="FA145" i="135"/>
  <c r="FA149" i="135"/>
  <c r="FA109" i="135"/>
  <c r="FA142" i="135"/>
  <c r="FA146" i="135"/>
  <c r="FA106" i="135"/>
  <c r="FA150" i="135"/>
  <c r="FA118" i="135"/>
  <c r="FA120" i="135"/>
  <c r="FA140" i="135"/>
  <c r="FA141" i="135"/>
  <c r="FA139" i="135"/>
  <c r="CF31" i="135"/>
  <c r="EZ31" i="135"/>
  <c r="DP33" i="135"/>
  <c r="EZ30" i="135"/>
  <c r="CF32" i="135"/>
  <c r="EZ32" i="135"/>
  <c r="DP28" i="135"/>
  <c r="DP26" i="135"/>
  <c r="DP35" i="135"/>
  <c r="DP32" i="135"/>
  <c r="EZ28" i="135"/>
  <c r="EZ26" i="135"/>
  <c r="EZ35" i="135"/>
  <c r="CF28" i="135"/>
  <c r="AX91" i="135"/>
  <c r="BC91" i="135"/>
  <c r="CF27" i="135"/>
  <c r="EU91" i="135"/>
  <c r="DK91" i="135"/>
  <c r="DP91" i="135"/>
  <c r="CA91" i="135"/>
  <c r="EY91" i="135"/>
  <c r="EW91" i="135"/>
  <c r="EZ27" i="135"/>
  <c r="DP22" i="135"/>
  <c r="EX91" i="135"/>
  <c r="CF24" i="135"/>
  <c r="DP23" i="135"/>
  <c r="EZ24" i="135"/>
  <c r="CF26" i="135"/>
  <c r="DP27" i="135"/>
  <c r="DP24" i="135"/>
  <c r="CF22" i="135"/>
  <c r="EZ22" i="135"/>
  <c r="CF23" i="135"/>
  <c r="EZ23" i="135"/>
  <c r="DL91" i="135"/>
  <c r="DM91" i="135"/>
  <c r="CD91" i="135"/>
  <c r="CF91" i="135"/>
  <c r="CB91" i="135"/>
  <c r="CG63" i="135"/>
  <c r="CG62" i="135"/>
  <c r="CG60" i="135"/>
  <c r="CG61" i="135"/>
  <c r="CG64" i="135"/>
  <c r="CG65" i="135"/>
  <c r="CG66" i="135"/>
  <c r="CG67" i="135"/>
  <c r="CG68" i="135"/>
  <c r="CG73" i="135"/>
  <c r="CG74" i="135"/>
  <c r="CG75" i="135"/>
  <c r="CG76" i="135"/>
  <c r="CG77" i="135"/>
  <c r="CG78" i="135"/>
  <c r="CG79" i="135"/>
  <c r="CG80" i="135"/>
  <c r="CG81" i="135"/>
  <c r="CG82" i="135"/>
  <c r="CG83" i="135"/>
  <c r="CG84" i="135"/>
  <c r="CG85" i="135"/>
  <c r="CG86" i="135"/>
  <c r="CG87" i="135"/>
  <c r="CG88" i="135"/>
  <c r="CG89" i="135"/>
  <c r="CG90" i="135"/>
  <c r="DQ60" i="135"/>
  <c r="DQ62" i="135"/>
  <c r="DQ61" i="135"/>
  <c r="DQ63" i="135"/>
  <c r="DQ64" i="135"/>
  <c r="DQ65" i="135"/>
  <c r="DQ66" i="135"/>
  <c r="DQ67" i="135"/>
  <c r="DQ68" i="135"/>
  <c r="DQ73" i="135"/>
  <c r="DQ74" i="135"/>
  <c r="DQ75" i="135"/>
  <c r="DQ76" i="135"/>
  <c r="DQ77" i="135"/>
  <c r="DQ78" i="135"/>
  <c r="DQ79" i="135"/>
  <c r="DQ80" i="135"/>
  <c r="DQ81" i="135"/>
  <c r="DQ82" i="135"/>
  <c r="DQ83" i="135"/>
  <c r="DQ84" i="135"/>
  <c r="DQ85" i="135"/>
  <c r="DQ86" i="135"/>
  <c r="DQ87" i="135"/>
  <c r="DQ88" i="135"/>
  <c r="DQ89" i="135"/>
  <c r="DQ91" i="135"/>
  <c r="FA61" i="135"/>
  <c r="FA60" i="135"/>
  <c r="FA62" i="135"/>
  <c r="FA63" i="135"/>
  <c r="FA64" i="135"/>
  <c r="FA65" i="135"/>
  <c r="FA66" i="135"/>
  <c r="FA67" i="135"/>
  <c r="FA68" i="135"/>
  <c r="FA73" i="135"/>
  <c r="FA74" i="135"/>
  <c r="FA75" i="135"/>
  <c r="FA76" i="135"/>
  <c r="FA77" i="135"/>
  <c r="FA78" i="135"/>
  <c r="FA79" i="135"/>
  <c r="FA81" i="135"/>
  <c r="FA80" i="135"/>
  <c r="FA82" i="135"/>
  <c r="FA83" i="135"/>
  <c r="FA84" i="135"/>
  <c r="FA85" i="135"/>
  <c r="FA86" i="135"/>
  <c r="FA87" i="135"/>
  <c r="FA88" i="135"/>
  <c r="FA89" i="135"/>
  <c r="FA90" i="135"/>
  <c r="CG91" i="135"/>
  <c r="FA91" i="135"/>
  <c r="DQ90" i="135"/>
  <c r="CE91" i="135"/>
  <c r="DN91" i="135"/>
  <c r="AW91" i="135"/>
  <c r="BP91" i="135"/>
  <c r="EV91" i="135"/>
  <c r="BY91" i="135"/>
  <c r="AN91" i="135"/>
  <c r="Q91" i="135" s="1"/>
  <c r="BX91" i="135"/>
  <c r="BI91" i="135"/>
  <c r="BH91" i="135"/>
  <c r="BQ91" i="135"/>
  <c r="C94" i="135"/>
  <c r="T94" i="135" s="1"/>
  <c r="AQ90" i="135"/>
  <c r="BX92" i="135"/>
  <c r="BH92" i="135"/>
  <c r="BC92" i="135"/>
  <c r="AV92" i="135"/>
  <c r="CG57" i="135"/>
  <c r="CG50" i="135"/>
  <c r="CG56" i="135"/>
  <c r="CG52" i="135"/>
  <c r="CG55" i="135"/>
  <c r="CG58" i="135"/>
  <c r="CG53" i="135"/>
  <c r="CG51" i="135"/>
  <c r="CG54" i="135"/>
  <c r="CG59" i="135"/>
  <c r="DQ57" i="135"/>
  <c r="DQ54" i="135"/>
  <c r="DQ52" i="135"/>
  <c r="DQ51" i="135"/>
  <c r="DQ53" i="135"/>
  <c r="DQ55" i="135"/>
  <c r="DQ50" i="135"/>
  <c r="DQ56" i="135"/>
  <c r="DQ58" i="135"/>
  <c r="DQ59" i="135"/>
  <c r="FA52" i="135"/>
  <c r="FA55" i="135"/>
  <c r="FA57" i="135"/>
  <c r="FA54" i="135"/>
  <c r="FA58" i="135"/>
  <c r="FA50" i="135"/>
  <c r="FA56" i="135"/>
  <c r="FA51" i="135"/>
  <c r="FA59" i="135"/>
  <c r="FA53" i="135"/>
  <c r="X33" i="230"/>
  <c r="AB33" i="230"/>
  <c r="AF33" i="230"/>
  <c r="T34" i="230"/>
  <c r="Y33" i="230"/>
  <c r="AD33" i="230"/>
  <c r="Z33" i="230"/>
  <c r="W33" i="230"/>
  <c r="AC33" i="230"/>
  <c r="V33" i="230"/>
  <c r="AA33" i="230"/>
  <c r="CG49" i="135"/>
  <c r="FA49" i="135"/>
  <c r="DQ49" i="135"/>
  <c r="EZ21" i="135"/>
  <c r="DP21" i="135"/>
  <c r="FB8" i="135"/>
  <c r="DR8" i="135"/>
  <c r="CH8" i="135"/>
  <c r="CG265" i="135" l="1"/>
  <c r="DQ265" i="135"/>
  <c r="BH265" i="135"/>
  <c r="CE265" i="135"/>
  <c r="BC265" i="135"/>
  <c r="CD265" i="135"/>
  <c r="CC265" i="135"/>
  <c r="AX265" i="135"/>
  <c r="AQ265" i="135" s="1"/>
  <c r="DO265" i="135"/>
  <c r="BI265" i="135"/>
  <c r="EY265" i="135"/>
  <c r="EW265" i="135"/>
  <c r="FA265" i="135"/>
  <c r="EX265" i="135"/>
  <c r="BX265" i="135"/>
  <c r="AN265" i="135"/>
  <c r="Q265" i="135" s="1"/>
  <c r="AB266" i="135"/>
  <c r="AG266" i="135"/>
  <c r="DM265" i="135"/>
  <c r="Y266" i="135"/>
  <c r="DQ266" i="135" s="1"/>
  <c r="DN265" i="135"/>
  <c r="X266" i="135"/>
  <c r="CG266" i="135" s="1"/>
  <c r="AF266" i="135"/>
  <c r="AM266" i="135" s="1"/>
  <c r="BY266" i="135" s="1"/>
  <c r="AH266" i="135"/>
  <c r="Z266" i="135"/>
  <c r="FA266" i="135" s="1"/>
  <c r="AD266" i="135"/>
  <c r="AC266" i="135"/>
  <c r="AJ266" i="135"/>
  <c r="AU266" i="135" s="1"/>
  <c r="BN265" i="135"/>
  <c r="AU265" i="135"/>
  <c r="AK267" i="135"/>
  <c r="V267" i="135"/>
  <c r="T267" i="135"/>
  <c r="AJ267" i="135" s="1"/>
  <c r="AL267" i="135"/>
  <c r="U267" i="135"/>
  <c r="BH266" i="135"/>
  <c r="BC266" i="135"/>
  <c r="AV266" i="135"/>
  <c r="BX266" i="135"/>
  <c r="C268" i="135"/>
  <c r="DK266" i="135"/>
  <c r="CA266" i="135"/>
  <c r="EU266" i="135"/>
  <c r="CB266" i="135"/>
  <c r="EV266" i="135"/>
  <c r="DL266" i="135"/>
  <c r="AM35" i="135"/>
  <c r="BY35" i="135" s="1"/>
  <c r="AM152" i="135"/>
  <c r="BY152" i="135" s="1"/>
  <c r="AJ153" i="135"/>
  <c r="AH153" i="135"/>
  <c r="AG93" i="135"/>
  <c r="AF93" i="135"/>
  <c r="AM93" i="135" s="1"/>
  <c r="BD93" i="135" s="1"/>
  <c r="AB93" i="135"/>
  <c r="Y153" i="135"/>
  <c r="AI93" i="135"/>
  <c r="BX93" i="135" s="1"/>
  <c r="AC93" i="135"/>
  <c r="AG153" i="135"/>
  <c r="AJ154" i="135"/>
  <c r="U154" i="135"/>
  <c r="AL154" i="135"/>
  <c r="V154" i="135"/>
  <c r="AK154" i="135"/>
  <c r="Z153" i="135"/>
  <c r="Y93" i="135"/>
  <c r="DP93" i="135" s="1"/>
  <c r="X93" i="135"/>
  <c r="CD93" i="135" s="1"/>
  <c r="Z93" i="135"/>
  <c r="EX93" i="135" s="1"/>
  <c r="AD153" i="135"/>
  <c r="AC153" i="135"/>
  <c r="AF153" i="135"/>
  <c r="AM153" i="135" s="1"/>
  <c r="AH93" i="135"/>
  <c r="AD93" i="135"/>
  <c r="AI94" i="135"/>
  <c r="V94" i="135"/>
  <c r="U94" i="135"/>
  <c r="AL94" i="135"/>
  <c r="AK94" i="135"/>
  <c r="X153" i="135"/>
  <c r="AB153" i="135"/>
  <c r="CG152" i="135"/>
  <c r="EZ92" i="135"/>
  <c r="FA152" i="135"/>
  <c r="AQ151" i="135"/>
  <c r="FB258" i="135"/>
  <c r="FB248" i="135"/>
  <c r="FB243" i="135"/>
  <c r="FB241" i="135"/>
  <c r="FB239" i="135"/>
  <c r="FB237" i="135"/>
  <c r="FB245" i="135"/>
  <c r="FB236" i="135"/>
  <c r="FB234" i="135"/>
  <c r="FB230" i="135"/>
  <c r="FB244" i="135"/>
  <c r="FB233" i="135"/>
  <c r="FB229" i="135"/>
  <c r="FB249" i="135"/>
  <c r="FB240" i="135"/>
  <c r="FB238" i="135"/>
  <c r="FB224" i="135"/>
  <c r="FB223" i="135"/>
  <c r="FB225" i="135"/>
  <c r="FB219" i="135"/>
  <c r="FB214" i="135"/>
  <c r="FB218" i="135"/>
  <c r="FB227" i="135"/>
  <c r="FB251" i="135"/>
  <c r="FB215" i="135"/>
  <c r="FB246" i="135"/>
  <c r="FB252" i="135"/>
  <c r="FB256" i="135"/>
  <c r="FB226" i="135"/>
  <c r="FB216" i="135"/>
  <c r="FB228" i="135"/>
  <c r="FB220" i="135"/>
  <c r="FB232" i="135"/>
  <c r="FB235" i="135"/>
  <c r="FB242" i="135"/>
  <c r="FB257" i="135"/>
  <c r="FB250" i="135"/>
  <c r="FB253" i="135"/>
  <c r="FB231" i="135"/>
  <c r="FB217" i="135"/>
  <c r="FB222" i="135"/>
  <c r="FB247" i="135"/>
  <c r="FB254" i="135"/>
  <c r="FB259" i="135"/>
  <c r="FB265" i="135"/>
  <c r="FB221" i="135"/>
  <c r="FB262" i="135"/>
  <c r="FB255" i="135"/>
  <c r="FB260" i="135"/>
  <c r="FB263" i="135"/>
  <c r="FB261" i="135"/>
  <c r="FB264" i="135"/>
  <c r="CH264" i="135"/>
  <c r="CH262" i="135"/>
  <c r="CH263" i="135"/>
  <c r="CH261" i="135"/>
  <c r="CH258" i="135"/>
  <c r="CH260" i="135"/>
  <c r="CH259" i="135"/>
  <c r="CH254" i="135"/>
  <c r="CH252" i="135"/>
  <c r="CH250" i="135"/>
  <c r="CH246" i="135"/>
  <c r="CH249" i="135"/>
  <c r="CH255" i="135"/>
  <c r="CH224" i="135"/>
  <c r="CH220" i="135"/>
  <c r="CH225" i="135"/>
  <c r="CH221" i="135"/>
  <c r="CH216" i="135"/>
  <c r="CH238" i="135"/>
  <c r="CH232" i="135"/>
  <c r="CH235" i="135"/>
  <c r="CH257" i="135"/>
  <c r="CH251" i="135"/>
  <c r="CH217" i="135"/>
  <c r="CH222" i="135"/>
  <c r="CH231" i="135"/>
  <c r="CH240" i="135"/>
  <c r="CH234" i="135"/>
  <c r="CH237" i="135"/>
  <c r="CH241" i="135"/>
  <c r="CH256" i="135"/>
  <c r="CH214" i="135"/>
  <c r="CH218" i="135"/>
  <c r="CH226" i="135"/>
  <c r="CH219" i="135"/>
  <c r="CH228" i="135"/>
  <c r="CH223" i="135"/>
  <c r="CH230" i="135"/>
  <c r="CH215" i="135"/>
  <c r="CH236" i="135"/>
  <c r="CH239" i="135"/>
  <c r="CH243" i="135"/>
  <c r="CH245" i="135"/>
  <c r="CH265" i="135"/>
  <c r="CH227" i="135"/>
  <c r="CH242" i="135"/>
  <c r="CH244" i="135"/>
  <c r="CH233" i="135"/>
  <c r="CH247" i="135"/>
  <c r="CH229" i="135"/>
  <c r="CH253" i="135"/>
  <c r="CH248" i="135"/>
  <c r="DR259" i="135"/>
  <c r="DR218" i="135"/>
  <c r="DR221" i="135"/>
  <c r="DR220" i="135"/>
  <c r="DR217" i="135"/>
  <c r="DR216" i="135"/>
  <c r="DR215" i="135"/>
  <c r="DR214" i="135"/>
  <c r="DR226" i="135"/>
  <c r="DR222" i="135"/>
  <c r="DR238" i="135"/>
  <c r="DR224" i="135"/>
  <c r="DR245" i="135"/>
  <c r="DR250" i="135"/>
  <c r="DR227" i="135"/>
  <c r="DR232" i="135"/>
  <c r="DR235" i="135"/>
  <c r="DR240" i="135"/>
  <c r="DR234" i="135"/>
  <c r="DR237" i="135"/>
  <c r="DR241" i="135"/>
  <c r="DR247" i="135"/>
  <c r="DR249" i="135"/>
  <c r="DR225" i="135"/>
  <c r="DR219" i="135"/>
  <c r="DR231" i="135"/>
  <c r="DR230" i="135"/>
  <c r="DR251" i="135"/>
  <c r="DR256" i="135"/>
  <c r="DR242" i="135"/>
  <c r="DR244" i="135"/>
  <c r="DR257" i="135"/>
  <c r="DR246" i="135"/>
  <c r="DR248" i="135"/>
  <c r="DR252" i="135"/>
  <c r="DR253" i="135"/>
  <c r="DR239" i="135"/>
  <c r="DR258" i="135"/>
  <c r="DR260" i="135"/>
  <c r="DR265" i="135"/>
  <c r="DR228" i="135"/>
  <c r="DR236" i="135"/>
  <c r="DR223" i="135"/>
  <c r="DR233" i="135"/>
  <c r="DR254" i="135"/>
  <c r="DR255" i="135"/>
  <c r="DR262" i="135"/>
  <c r="DR263" i="135"/>
  <c r="DR229" i="135"/>
  <c r="DR243" i="135"/>
  <c r="DR261" i="135"/>
  <c r="DR264" i="135"/>
  <c r="BI152" i="135"/>
  <c r="BN152" i="135"/>
  <c r="EY152" i="135"/>
  <c r="BQ152" i="135"/>
  <c r="BH153" i="135"/>
  <c r="AX152" i="135"/>
  <c r="EV152" i="135"/>
  <c r="CF153" i="135"/>
  <c r="CD152" i="135"/>
  <c r="CC152" i="135"/>
  <c r="CF152" i="135"/>
  <c r="CB152" i="135"/>
  <c r="EZ153" i="135"/>
  <c r="DN153" i="135"/>
  <c r="DN152" i="135"/>
  <c r="DP152" i="135"/>
  <c r="DL152" i="135"/>
  <c r="EX152" i="135"/>
  <c r="EZ152" i="135"/>
  <c r="C155" i="135"/>
  <c r="T155" i="135" s="1"/>
  <c r="DO152" i="135"/>
  <c r="AV152" i="135"/>
  <c r="BX152" i="135"/>
  <c r="BC152" i="135"/>
  <c r="BH152" i="135"/>
  <c r="DK153" i="135"/>
  <c r="CA153" i="135"/>
  <c r="EU153" i="135"/>
  <c r="DM152" i="135"/>
  <c r="CH126" i="135"/>
  <c r="CH127" i="135"/>
  <c r="DR127" i="135"/>
  <c r="DR126" i="135"/>
  <c r="CG34" i="135"/>
  <c r="FB126" i="135"/>
  <c r="FB127" i="135"/>
  <c r="DQ34" i="135"/>
  <c r="FA34" i="135"/>
  <c r="DQ25" i="135"/>
  <c r="CH71" i="135"/>
  <c r="CH69" i="135"/>
  <c r="CH72" i="135"/>
  <c r="CH70" i="135"/>
  <c r="DR70" i="135"/>
  <c r="DR72" i="135"/>
  <c r="DR69" i="135"/>
  <c r="DR71" i="135"/>
  <c r="FB69" i="135"/>
  <c r="FB70" i="135"/>
  <c r="FB71" i="135"/>
  <c r="FB72" i="135"/>
  <c r="FA25" i="135"/>
  <c r="CG25" i="135"/>
  <c r="FA30" i="135"/>
  <c r="DQ31" i="135"/>
  <c r="AQ91" i="135"/>
  <c r="CG32" i="135"/>
  <c r="DQ33" i="135"/>
  <c r="FA31" i="135"/>
  <c r="FA28" i="135"/>
  <c r="DR124" i="135"/>
  <c r="DR128" i="135"/>
  <c r="DR122" i="135"/>
  <c r="DR121" i="135"/>
  <c r="DR151" i="135"/>
  <c r="DR125" i="135"/>
  <c r="DR123" i="135"/>
  <c r="DR129" i="135"/>
  <c r="DR148" i="135"/>
  <c r="DR147" i="135"/>
  <c r="DR144" i="135"/>
  <c r="DR132" i="135"/>
  <c r="DR141" i="135"/>
  <c r="DR150" i="135"/>
  <c r="DR115" i="135"/>
  <c r="DR110" i="135"/>
  <c r="DR135" i="135"/>
  <c r="DR118" i="135"/>
  <c r="DR107" i="135"/>
  <c r="DR134" i="135"/>
  <c r="DR130" i="135"/>
  <c r="DR112" i="135"/>
  <c r="DR152" i="135"/>
  <c r="DR136" i="135"/>
  <c r="DR131" i="135"/>
  <c r="DR113" i="135"/>
  <c r="DR133" i="135"/>
  <c r="DR145" i="135"/>
  <c r="DR114" i="135"/>
  <c r="DR138" i="135"/>
  <c r="DR137" i="135"/>
  <c r="DR119" i="135"/>
  <c r="DR143" i="135"/>
  <c r="DR149" i="135"/>
  <c r="DR117" i="135"/>
  <c r="DR146" i="135"/>
  <c r="DR106" i="135"/>
  <c r="DR109" i="135"/>
  <c r="DR142" i="135"/>
  <c r="DR120" i="135"/>
  <c r="DR140" i="135"/>
  <c r="DR111" i="135"/>
  <c r="DR139" i="135"/>
  <c r="DR108" i="135"/>
  <c r="DR116" i="135"/>
  <c r="DQ30" i="135"/>
  <c r="DQ32" i="135"/>
  <c r="CG31" i="135"/>
  <c r="FA26" i="135"/>
  <c r="FA35" i="135"/>
  <c r="FA33" i="135"/>
  <c r="FA32" i="135"/>
  <c r="CG28" i="135"/>
  <c r="CG26" i="135"/>
  <c r="CG35" i="135"/>
  <c r="FB122" i="135"/>
  <c r="FB128" i="135"/>
  <c r="FB129" i="135"/>
  <c r="FB125" i="135"/>
  <c r="FB123" i="135"/>
  <c r="FB121" i="135"/>
  <c r="FB108" i="135"/>
  <c r="FB148" i="135"/>
  <c r="FB144" i="135"/>
  <c r="FB116" i="135"/>
  <c r="FB147" i="135"/>
  <c r="FB135" i="135"/>
  <c r="FB111" i="135"/>
  <c r="FB124" i="135"/>
  <c r="FB151" i="135"/>
  <c r="FB110" i="135"/>
  <c r="FB115" i="135"/>
  <c r="FB132" i="135"/>
  <c r="FB136" i="135"/>
  <c r="FB152" i="135"/>
  <c r="FB134" i="135"/>
  <c r="FB131" i="135"/>
  <c r="FB114" i="135"/>
  <c r="FB138" i="135"/>
  <c r="FB107" i="135"/>
  <c r="FB130" i="135"/>
  <c r="FB112" i="135"/>
  <c r="FB153" i="135"/>
  <c r="FB113" i="135"/>
  <c r="FB133" i="135"/>
  <c r="FB119" i="135"/>
  <c r="FB143" i="135"/>
  <c r="FB117" i="135"/>
  <c r="FB149" i="135"/>
  <c r="FB137" i="135"/>
  <c r="FB145" i="135"/>
  <c r="FB106" i="135"/>
  <c r="FB109" i="135"/>
  <c r="FB142" i="135"/>
  <c r="FB146" i="135"/>
  <c r="FB141" i="135"/>
  <c r="FB120" i="135"/>
  <c r="FB118" i="135"/>
  <c r="FB139" i="135"/>
  <c r="FB150" i="135"/>
  <c r="FB140" i="135"/>
  <c r="CG30" i="135"/>
  <c r="CH128" i="135"/>
  <c r="CH121" i="135"/>
  <c r="CH124" i="135"/>
  <c r="CH122" i="135"/>
  <c r="CH123" i="135"/>
  <c r="CH151" i="135"/>
  <c r="CH125" i="135"/>
  <c r="CH141" i="135"/>
  <c r="CH148" i="135"/>
  <c r="CH108" i="135"/>
  <c r="CH111" i="135"/>
  <c r="CH147" i="135"/>
  <c r="CH116" i="135"/>
  <c r="CH150" i="135"/>
  <c r="CH110" i="135"/>
  <c r="CH144" i="135"/>
  <c r="CH132" i="135"/>
  <c r="CH135" i="135"/>
  <c r="CH114" i="135"/>
  <c r="CH130" i="135"/>
  <c r="CH112" i="135"/>
  <c r="CH131" i="135"/>
  <c r="CH152" i="135"/>
  <c r="CH136" i="135"/>
  <c r="CH138" i="135"/>
  <c r="CH113" i="135"/>
  <c r="CH107" i="135"/>
  <c r="CH134" i="135"/>
  <c r="CH153" i="135"/>
  <c r="CH137" i="135"/>
  <c r="CH119" i="135"/>
  <c r="CH143" i="135"/>
  <c r="CH145" i="135"/>
  <c r="CH133" i="135"/>
  <c r="CH149" i="135"/>
  <c r="CH117" i="135"/>
  <c r="CH129" i="135"/>
  <c r="CH109" i="135"/>
  <c r="CH142" i="135"/>
  <c r="CH146" i="135"/>
  <c r="CH106" i="135"/>
  <c r="CH139" i="135"/>
  <c r="CH115" i="135"/>
  <c r="CH118" i="135"/>
  <c r="CH120" i="135"/>
  <c r="CH140" i="135"/>
  <c r="DQ28" i="135"/>
  <c r="DQ26" i="135"/>
  <c r="DQ35" i="135"/>
  <c r="CG33" i="135"/>
  <c r="EU92" i="135"/>
  <c r="DK92" i="135"/>
  <c r="CA92" i="135"/>
  <c r="CH92" i="135"/>
  <c r="CG23" i="135"/>
  <c r="DQ27" i="135"/>
  <c r="DQ23" i="135"/>
  <c r="FA22" i="135"/>
  <c r="CG22" i="135"/>
  <c r="DQ24" i="135"/>
  <c r="CG27" i="135"/>
  <c r="FA23" i="135"/>
  <c r="FA27" i="135"/>
  <c r="CG24" i="135"/>
  <c r="DQ22" i="135"/>
  <c r="FA24" i="135"/>
  <c r="CG92" i="135"/>
  <c r="DP92" i="135"/>
  <c r="CD92" i="135"/>
  <c r="FA92" i="135"/>
  <c r="CB92" i="135"/>
  <c r="CC92" i="135"/>
  <c r="CE92" i="135"/>
  <c r="FB61" i="135"/>
  <c r="FB62" i="135"/>
  <c r="FB60" i="135"/>
  <c r="FB63" i="135"/>
  <c r="FB64" i="135"/>
  <c r="FB65" i="135"/>
  <c r="FB66" i="135"/>
  <c r="FB67" i="135"/>
  <c r="FB68" i="135"/>
  <c r="FB73" i="135"/>
  <c r="FB74" i="135"/>
  <c r="FB75" i="135"/>
  <c r="FB76" i="135"/>
  <c r="FB77" i="135"/>
  <c r="FB78" i="135"/>
  <c r="FB79" i="135"/>
  <c r="FB80" i="135"/>
  <c r="FB81" i="135"/>
  <c r="FB82" i="135"/>
  <c r="FB83" i="135"/>
  <c r="FB84" i="135"/>
  <c r="FB85" i="135"/>
  <c r="FB86" i="135"/>
  <c r="FB87" i="135"/>
  <c r="FB88" i="135"/>
  <c r="FB89" i="135"/>
  <c r="FB90" i="135"/>
  <c r="FB91" i="135"/>
  <c r="DR61" i="135"/>
  <c r="DR60" i="135"/>
  <c r="DR62" i="135"/>
  <c r="DR63" i="135"/>
  <c r="DR64" i="135"/>
  <c r="DR65" i="135"/>
  <c r="DR66" i="135"/>
  <c r="DR67" i="135"/>
  <c r="DR68" i="135"/>
  <c r="DR73" i="135"/>
  <c r="DR74" i="135"/>
  <c r="DR75" i="135"/>
  <c r="DR76" i="135"/>
  <c r="DR77" i="135"/>
  <c r="DR78" i="135"/>
  <c r="DR79" i="135"/>
  <c r="DR80" i="135"/>
  <c r="DR81" i="135"/>
  <c r="DR82" i="135"/>
  <c r="DR83" i="135"/>
  <c r="DR84" i="135"/>
  <c r="DR85" i="135"/>
  <c r="DR86" i="135"/>
  <c r="DR87" i="135"/>
  <c r="DR88" i="135"/>
  <c r="DR89" i="135"/>
  <c r="DR90" i="135"/>
  <c r="DR91" i="135"/>
  <c r="FB92" i="135"/>
  <c r="CH63" i="135"/>
  <c r="CH61" i="135"/>
  <c r="CH62" i="135"/>
  <c r="CH60" i="135"/>
  <c r="CH64" i="135"/>
  <c r="CH65" i="135"/>
  <c r="CH66" i="135"/>
  <c r="CH67" i="135"/>
  <c r="CH68" i="135"/>
  <c r="CH73" i="135"/>
  <c r="CH74" i="135"/>
  <c r="CH75" i="135"/>
  <c r="CH76" i="135"/>
  <c r="CH77" i="135"/>
  <c r="CH79" i="135"/>
  <c r="CH78" i="135"/>
  <c r="CH80" i="135"/>
  <c r="CH81" i="135"/>
  <c r="CH82" i="135"/>
  <c r="CH83" i="135"/>
  <c r="CH84" i="135"/>
  <c r="CH85" i="135"/>
  <c r="CH86" i="135"/>
  <c r="CH87" i="135"/>
  <c r="CH88" i="135"/>
  <c r="CH90" i="135"/>
  <c r="CH89" i="135"/>
  <c r="CH91" i="135"/>
  <c r="EX92" i="135"/>
  <c r="EY92" i="135"/>
  <c r="EW92" i="135"/>
  <c r="DL92" i="135"/>
  <c r="DO92" i="135"/>
  <c r="DR92" i="135"/>
  <c r="DM92" i="135"/>
  <c r="DQ92" i="135"/>
  <c r="BN93" i="135"/>
  <c r="AW92" i="135"/>
  <c r="AN92" i="135"/>
  <c r="Q92" i="135" s="1"/>
  <c r="BD92" i="135"/>
  <c r="BP92" i="135"/>
  <c r="BY92" i="135"/>
  <c r="C95" i="135"/>
  <c r="T95" i="135" s="1"/>
  <c r="BQ92" i="135"/>
  <c r="BI92" i="135"/>
  <c r="AX92" i="135"/>
  <c r="AU92" i="135"/>
  <c r="BN92" i="135"/>
  <c r="DR53" i="135"/>
  <c r="DR58" i="135"/>
  <c r="DR55" i="135"/>
  <c r="DR57" i="135"/>
  <c r="DR54" i="135"/>
  <c r="DR51" i="135"/>
  <c r="DR50" i="135"/>
  <c r="DR59" i="135"/>
  <c r="DR52" i="135"/>
  <c r="DR56" i="135"/>
  <c r="FB55" i="135"/>
  <c r="FB58" i="135"/>
  <c r="FB50" i="135"/>
  <c r="FB52" i="135"/>
  <c r="FB56" i="135"/>
  <c r="FB51" i="135"/>
  <c r="FB54" i="135"/>
  <c r="FB53" i="135"/>
  <c r="FB59" i="135"/>
  <c r="FB57" i="135"/>
  <c r="CH57" i="135"/>
  <c r="CH58" i="135"/>
  <c r="CH51" i="135"/>
  <c r="CH54" i="135"/>
  <c r="CH59" i="135"/>
  <c r="CH50" i="135"/>
  <c r="CH55" i="135"/>
  <c r="CH56" i="135"/>
  <c r="CH52" i="135"/>
  <c r="CH53" i="135"/>
  <c r="X34" i="230"/>
  <c r="AB34" i="230"/>
  <c r="AF34" i="230"/>
  <c r="T35" i="230"/>
  <c r="Y34" i="230"/>
  <c r="AD34" i="230"/>
  <c r="W34" i="230"/>
  <c r="AA34" i="230"/>
  <c r="Z34" i="230"/>
  <c r="AC34" i="230"/>
  <c r="V34" i="230"/>
  <c r="AH34" i="230"/>
  <c r="AG34" i="230" s="1"/>
  <c r="FB49" i="135"/>
  <c r="CH49" i="135"/>
  <c r="DR49" i="135"/>
  <c r="DQ21" i="135"/>
  <c r="FA21" i="135"/>
  <c r="FC8" i="135"/>
  <c r="DS8" i="135"/>
  <c r="CI8" i="135"/>
  <c r="CE266" i="135" l="1"/>
  <c r="BQ266" i="135"/>
  <c r="EX266" i="135"/>
  <c r="DR266" i="135"/>
  <c r="EZ266" i="135"/>
  <c r="FB266" i="135"/>
  <c r="BN266" i="135"/>
  <c r="DN266" i="135"/>
  <c r="BP266" i="135"/>
  <c r="DO266" i="135"/>
  <c r="EW266" i="135"/>
  <c r="DP266" i="135"/>
  <c r="EY266" i="135"/>
  <c r="DM266" i="135"/>
  <c r="AX266" i="135"/>
  <c r="BI266" i="135"/>
  <c r="AW35" i="135"/>
  <c r="AQ35" i="135" s="1"/>
  <c r="CF266" i="135"/>
  <c r="CH266" i="135"/>
  <c r="CC266" i="135"/>
  <c r="BD266" i="135"/>
  <c r="AI267" i="135"/>
  <c r="BX267" i="135" s="1"/>
  <c r="CD266" i="135"/>
  <c r="AW266" i="135"/>
  <c r="AN266" i="135"/>
  <c r="Q266" i="135" s="1"/>
  <c r="AC267" i="135"/>
  <c r="AG267" i="135"/>
  <c r="AF267" i="135"/>
  <c r="AM267" i="135" s="1"/>
  <c r="BY267" i="135" s="1"/>
  <c r="AD267" i="135"/>
  <c r="AB267" i="135"/>
  <c r="X267" i="135"/>
  <c r="CH267" i="135" s="1"/>
  <c r="Y267" i="135"/>
  <c r="DR267" i="135" s="1"/>
  <c r="Z267" i="135"/>
  <c r="FB267" i="135" s="1"/>
  <c r="AH267" i="135"/>
  <c r="V268" i="135"/>
  <c r="U268" i="135"/>
  <c r="T268" i="135"/>
  <c r="AI268" i="135" s="1"/>
  <c r="AL268" i="135"/>
  <c r="AK268" i="135"/>
  <c r="DK267" i="135"/>
  <c r="CA267" i="135"/>
  <c r="EU267" i="135"/>
  <c r="DL267" i="135"/>
  <c r="EV267" i="135"/>
  <c r="CB267" i="135"/>
  <c r="C269" i="135"/>
  <c r="BN267" i="135"/>
  <c r="AU267" i="135"/>
  <c r="DR25" i="135"/>
  <c r="AN152" i="135"/>
  <c r="Q152" i="135" s="1"/>
  <c r="BP35" i="135"/>
  <c r="AN35" i="135"/>
  <c r="Q35" i="135" s="1"/>
  <c r="BD35" i="135"/>
  <c r="BD152" i="135"/>
  <c r="BP152" i="135"/>
  <c r="AW152" i="135"/>
  <c r="AQ152" i="135" s="1"/>
  <c r="BN153" i="135"/>
  <c r="AU153" i="135"/>
  <c r="AG94" i="135"/>
  <c r="AW93" i="135"/>
  <c r="BP93" i="135"/>
  <c r="BY93" i="135"/>
  <c r="AF94" i="135"/>
  <c r="AM94" i="135" s="1"/>
  <c r="AN94" i="135" s="1"/>
  <c r="AF154" i="135"/>
  <c r="AB154" i="135"/>
  <c r="Z94" i="135"/>
  <c r="EY94" i="135" s="1"/>
  <c r="AI154" i="135"/>
  <c r="AG154" i="135"/>
  <c r="AH94" i="135"/>
  <c r="AC154" i="135"/>
  <c r="X94" i="135"/>
  <c r="CH94" i="135" s="1"/>
  <c r="X154" i="135"/>
  <c r="CF154" i="135" s="1"/>
  <c r="Z154" i="135"/>
  <c r="EX154" i="135" s="1"/>
  <c r="AB94" i="135"/>
  <c r="AC94" i="135"/>
  <c r="AH154" i="135"/>
  <c r="AD154" i="135"/>
  <c r="Y94" i="135"/>
  <c r="AD94" i="135"/>
  <c r="AJ94" i="135"/>
  <c r="BN94" i="135" s="1"/>
  <c r="AL155" i="135"/>
  <c r="U155" i="135"/>
  <c r="V155" i="135"/>
  <c r="AK155" i="135"/>
  <c r="AI155" i="135"/>
  <c r="AL95" i="135"/>
  <c r="U95" i="135"/>
  <c r="V95" i="135"/>
  <c r="AI95" i="135"/>
  <c r="AK95" i="135"/>
  <c r="Y154" i="135"/>
  <c r="DQ154" i="135" s="1"/>
  <c r="DR153" i="135"/>
  <c r="FB34" i="135"/>
  <c r="AV153" i="135"/>
  <c r="FC252" i="135"/>
  <c r="FC234" i="135"/>
  <c r="FC230" i="135"/>
  <c r="FC233" i="135"/>
  <c r="FC232" i="135"/>
  <c r="FC229" i="135"/>
  <c r="FC221" i="135"/>
  <c r="FC217" i="135"/>
  <c r="FC215" i="135"/>
  <c r="FC214" i="135"/>
  <c r="FC220" i="135"/>
  <c r="FC218" i="135"/>
  <c r="FC216" i="135"/>
  <c r="FC227" i="135"/>
  <c r="FC240" i="135"/>
  <c r="FC237" i="135"/>
  <c r="FC241" i="135"/>
  <c r="FC247" i="135"/>
  <c r="FC219" i="135"/>
  <c r="FC225" i="135"/>
  <c r="FC235" i="135"/>
  <c r="FC245" i="135"/>
  <c r="FC251" i="135"/>
  <c r="FC256" i="135"/>
  <c r="FC228" i="135"/>
  <c r="FC223" i="135"/>
  <c r="FC231" i="135"/>
  <c r="FC236" i="135"/>
  <c r="FC242" i="135"/>
  <c r="FC244" i="135"/>
  <c r="FC257" i="135"/>
  <c r="FC239" i="135"/>
  <c r="FC243" i="135"/>
  <c r="FC246" i="135"/>
  <c r="FC248" i="135"/>
  <c r="FC226" i="135"/>
  <c r="FC222" i="135"/>
  <c r="FC238" i="135"/>
  <c r="FC250" i="135"/>
  <c r="FC249" i="135"/>
  <c r="FC255" i="135"/>
  <c r="FC259" i="135"/>
  <c r="FC224" i="135"/>
  <c r="FC254" i="135"/>
  <c r="FC258" i="135"/>
  <c r="FC263" i="135"/>
  <c r="FC260" i="135"/>
  <c r="FC264" i="135"/>
  <c r="FC262" i="135"/>
  <c r="FC266" i="135"/>
  <c r="FC265" i="135"/>
  <c r="FC261" i="135"/>
  <c r="FC253" i="135"/>
  <c r="CI254" i="135"/>
  <c r="CI249" i="135"/>
  <c r="CI256" i="135"/>
  <c r="CI248" i="135"/>
  <c r="CI238" i="135"/>
  <c r="CI252" i="135"/>
  <c r="CI234" i="135"/>
  <c r="CI230" i="135"/>
  <c r="CI240" i="135"/>
  <c r="CI233" i="135"/>
  <c r="CI227" i="135"/>
  <c r="CI223" i="135"/>
  <c r="CI229" i="135"/>
  <c r="CI228" i="135"/>
  <c r="CI224" i="135"/>
  <c r="CI219" i="135"/>
  <c r="CI221" i="135"/>
  <c r="CI231" i="135"/>
  <c r="CI236" i="135"/>
  <c r="CI242" i="135"/>
  <c r="CI244" i="135"/>
  <c r="CI257" i="135"/>
  <c r="CI239" i="135"/>
  <c r="CI243" i="135"/>
  <c r="CI247" i="135"/>
  <c r="CI225" i="135"/>
  <c r="CI216" i="135"/>
  <c r="CI218" i="135"/>
  <c r="CI220" i="135"/>
  <c r="CI245" i="135"/>
  <c r="CI251" i="135"/>
  <c r="CI215" i="135"/>
  <c r="CI217" i="135"/>
  <c r="CI214" i="135"/>
  <c r="CI222" i="135"/>
  <c r="CI237" i="135"/>
  <c r="CI241" i="135"/>
  <c r="CI246" i="135"/>
  <c r="CI260" i="135"/>
  <c r="CI226" i="135"/>
  <c r="CI250" i="135"/>
  <c r="CI255" i="135"/>
  <c r="CI264" i="135"/>
  <c r="CI235" i="135"/>
  <c r="CI232" i="135"/>
  <c r="CI259" i="135"/>
  <c r="CI261" i="135"/>
  <c r="CI266" i="135"/>
  <c r="CI262" i="135"/>
  <c r="CI258" i="135"/>
  <c r="CI253" i="135"/>
  <c r="CI263" i="135"/>
  <c r="CI265" i="135"/>
  <c r="DS266" i="135"/>
  <c r="DS263" i="135"/>
  <c r="DS262" i="135"/>
  <c r="DS260" i="135"/>
  <c r="DS258" i="135"/>
  <c r="DS255" i="135"/>
  <c r="DS264" i="135"/>
  <c r="DS261" i="135"/>
  <c r="DS252" i="135"/>
  <c r="DS253" i="135"/>
  <c r="DS221" i="135"/>
  <c r="DS219" i="135"/>
  <c r="DS222" i="135"/>
  <c r="DS220" i="135"/>
  <c r="DS227" i="135"/>
  <c r="DS215" i="135"/>
  <c r="DS224" i="135"/>
  <c r="DS231" i="135"/>
  <c r="DS240" i="135"/>
  <c r="DS234" i="135"/>
  <c r="DS237" i="135"/>
  <c r="DS241" i="135"/>
  <c r="DS246" i="135"/>
  <c r="DS216" i="135"/>
  <c r="DS226" i="135"/>
  <c r="DS257" i="135"/>
  <c r="DS230" i="135"/>
  <c r="DS250" i="135"/>
  <c r="DS256" i="135"/>
  <c r="DS249" i="135"/>
  <c r="DS217" i="135"/>
  <c r="DS236" i="135"/>
  <c r="DS242" i="135"/>
  <c r="DS244" i="135"/>
  <c r="DS229" i="135"/>
  <c r="DS233" i="135"/>
  <c r="DS239" i="135"/>
  <c r="DS243" i="135"/>
  <c r="DS245" i="135"/>
  <c r="DS247" i="135"/>
  <c r="DS254" i="135"/>
  <c r="DS214" i="135"/>
  <c r="DS218" i="135"/>
  <c r="DS225" i="135"/>
  <c r="DS251" i="135"/>
  <c r="DS223" i="135"/>
  <c r="DS235" i="135"/>
  <c r="DS228" i="135"/>
  <c r="DS238" i="135"/>
  <c r="DS232" i="135"/>
  <c r="DS248" i="135"/>
  <c r="DS259" i="135"/>
  <c r="DS265" i="135"/>
  <c r="BX153" i="135"/>
  <c r="DP153" i="135"/>
  <c r="EX153" i="135"/>
  <c r="FA153" i="135"/>
  <c r="DO153" i="135"/>
  <c r="DQ153" i="135"/>
  <c r="CG153" i="135"/>
  <c r="CD153" i="135"/>
  <c r="BC153" i="135"/>
  <c r="DM153" i="135"/>
  <c r="AX153" i="135"/>
  <c r="BQ153" i="135"/>
  <c r="BI153" i="135"/>
  <c r="DL153" i="135"/>
  <c r="CE153" i="135"/>
  <c r="CC153" i="135"/>
  <c r="CB153" i="135"/>
  <c r="C156" i="135"/>
  <c r="T156" i="135" s="1"/>
  <c r="DK154" i="135"/>
  <c r="CA154" i="135"/>
  <c r="EU154" i="135"/>
  <c r="EY153" i="135"/>
  <c r="EW153" i="135"/>
  <c r="EV153" i="135"/>
  <c r="BP153" i="135"/>
  <c r="AN153" i="135"/>
  <c r="Q153" i="135" s="1"/>
  <c r="BD153" i="135"/>
  <c r="AW153" i="135"/>
  <c r="BY153" i="135"/>
  <c r="CH35" i="135"/>
  <c r="DS126" i="135"/>
  <c r="DS127" i="135"/>
  <c r="FC126" i="135"/>
  <c r="FC127" i="135"/>
  <c r="DR34" i="135"/>
  <c r="CH34" i="135"/>
  <c r="CI126" i="135"/>
  <c r="CI127" i="135"/>
  <c r="FC69" i="135"/>
  <c r="FC71" i="135"/>
  <c r="FC70" i="135"/>
  <c r="FC72" i="135"/>
  <c r="CI69" i="135"/>
  <c r="CI70" i="135"/>
  <c r="CI71" i="135"/>
  <c r="CI72" i="135"/>
  <c r="FB25" i="135"/>
  <c r="DS72" i="135"/>
  <c r="DS70" i="135"/>
  <c r="DS69" i="135"/>
  <c r="DS71" i="135"/>
  <c r="CH25" i="135"/>
  <c r="DR30" i="135"/>
  <c r="FB30" i="135"/>
  <c r="FB31" i="135"/>
  <c r="FB32" i="135"/>
  <c r="CH28" i="135"/>
  <c r="CI122" i="135"/>
  <c r="CI128" i="135"/>
  <c r="CI108" i="135"/>
  <c r="CI141" i="135"/>
  <c r="CI148" i="135"/>
  <c r="CI116" i="135"/>
  <c r="CI147" i="135"/>
  <c r="CI144" i="135"/>
  <c r="CI135" i="135"/>
  <c r="CI132" i="135"/>
  <c r="CI125" i="135"/>
  <c r="CI150" i="135"/>
  <c r="CI110" i="135"/>
  <c r="CI134" i="135"/>
  <c r="CI151" i="135"/>
  <c r="CI130" i="135"/>
  <c r="CI112" i="135"/>
  <c r="CI152" i="135"/>
  <c r="CI131" i="135"/>
  <c r="CI136" i="135"/>
  <c r="CI153" i="135"/>
  <c r="CI114" i="135"/>
  <c r="CI113" i="135"/>
  <c r="CI117" i="135"/>
  <c r="CI137" i="135"/>
  <c r="CI119" i="135"/>
  <c r="CI143" i="135"/>
  <c r="CI138" i="135"/>
  <c r="CI129" i="135"/>
  <c r="CI133" i="135"/>
  <c r="CI145" i="135"/>
  <c r="CI149" i="135"/>
  <c r="CI123" i="135"/>
  <c r="CI109" i="135"/>
  <c r="CI106" i="135"/>
  <c r="CI142" i="135"/>
  <c r="CI124" i="135"/>
  <c r="CI146" i="135"/>
  <c r="CI121" i="135"/>
  <c r="CI111" i="135"/>
  <c r="CI107" i="135"/>
  <c r="CI118" i="135"/>
  <c r="CI115" i="135"/>
  <c r="CI139" i="135"/>
  <c r="CI140" i="135"/>
  <c r="CI120" i="135"/>
  <c r="CH32" i="135"/>
  <c r="CH31" i="135"/>
  <c r="DR31" i="135"/>
  <c r="CH33" i="135"/>
  <c r="FB33" i="135"/>
  <c r="DS92" i="135"/>
  <c r="DS128" i="135"/>
  <c r="DS121" i="135"/>
  <c r="DS122" i="135"/>
  <c r="DS123" i="135"/>
  <c r="DS124" i="135"/>
  <c r="DS151" i="135"/>
  <c r="DS135" i="135"/>
  <c r="DS150" i="135"/>
  <c r="DS144" i="135"/>
  <c r="DS110" i="135"/>
  <c r="DS115" i="135"/>
  <c r="DS132" i="135"/>
  <c r="DS118" i="135"/>
  <c r="DS129" i="135"/>
  <c r="DS130" i="135"/>
  <c r="DS112" i="135"/>
  <c r="DS138" i="135"/>
  <c r="DS152" i="135"/>
  <c r="DS153" i="135"/>
  <c r="DS107" i="135"/>
  <c r="DS134" i="135"/>
  <c r="DS131" i="135"/>
  <c r="DS136" i="135"/>
  <c r="DS114" i="135"/>
  <c r="DS133" i="135"/>
  <c r="DS119" i="135"/>
  <c r="DS125" i="135"/>
  <c r="DS149" i="135"/>
  <c r="DS117" i="135"/>
  <c r="DS137" i="135"/>
  <c r="DS113" i="135"/>
  <c r="DS142" i="135"/>
  <c r="DS146" i="135"/>
  <c r="DS106" i="135"/>
  <c r="DS109" i="135"/>
  <c r="DS141" i="135"/>
  <c r="DS143" i="135"/>
  <c r="DS120" i="135"/>
  <c r="DS111" i="135"/>
  <c r="DS148" i="135"/>
  <c r="DS145" i="135"/>
  <c r="DS108" i="135"/>
  <c r="DS116" i="135"/>
  <c r="DS147" i="135"/>
  <c r="DS139" i="135"/>
  <c r="DS140" i="135"/>
  <c r="FC124" i="135"/>
  <c r="FC128" i="135"/>
  <c r="FC122" i="135"/>
  <c r="FC151" i="135"/>
  <c r="FC121" i="135"/>
  <c r="FC129" i="135"/>
  <c r="FC125" i="135"/>
  <c r="FC123" i="135"/>
  <c r="FC108" i="135"/>
  <c r="FC148" i="135"/>
  <c r="FC111" i="135"/>
  <c r="FC147" i="135"/>
  <c r="FC135" i="135"/>
  <c r="FC116" i="135"/>
  <c r="FC132" i="135"/>
  <c r="FC110" i="135"/>
  <c r="FC144" i="135"/>
  <c r="FC115" i="135"/>
  <c r="FC136" i="135"/>
  <c r="FC114" i="135"/>
  <c r="FC138" i="135"/>
  <c r="FC112" i="135"/>
  <c r="FC152" i="135"/>
  <c r="FC131" i="135"/>
  <c r="FC113" i="135"/>
  <c r="FC107" i="135"/>
  <c r="FC134" i="135"/>
  <c r="FC130" i="135"/>
  <c r="FC153" i="135"/>
  <c r="FC133" i="135"/>
  <c r="FC149" i="135"/>
  <c r="FC137" i="135"/>
  <c r="FC119" i="135"/>
  <c r="FC143" i="135"/>
  <c r="FC145" i="135"/>
  <c r="FC117" i="135"/>
  <c r="FC109" i="135"/>
  <c r="FC142" i="135"/>
  <c r="FC146" i="135"/>
  <c r="FC106" i="135"/>
  <c r="FC118" i="135"/>
  <c r="FC139" i="135"/>
  <c r="FC120" i="135"/>
  <c r="FC140" i="135"/>
  <c r="FC150" i="135"/>
  <c r="FC141" i="135"/>
  <c r="CH30" i="135"/>
  <c r="DR32" i="135"/>
  <c r="DR28" i="135"/>
  <c r="DR26" i="135"/>
  <c r="DR35" i="135"/>
  <c r="DR33" i="135"/>
  <c r="FB28" i="135"/>
  <c r="FB26" i="135"/>
  <c r="FB35" i="135"/>
  <c r="BH93" i="135"/>
  <c r="EU93" i="135"/>
  <c r="DM93" i="135"/>
  <c r="DK93" i="135"/>
  <c r="CA93" i="135"/>
  <c r="DR27" i="135"/>
  <c r="FB22" i="135"/>
  <c r="CH23" i="135"/>
  <c r="CH22" i="135"/>
  <c r="DR23" i="135"/>
  <c r="CH26" i="135"/>
  <c r="FB24" i="135"/>
  <c r="FB27" i="135"/>
  <c r="DR22" i="135"/>
  <c r="EZ93" i="135"/>
  <c r="DR24" i="135"/>
  <c r="FB23" i="135"/>
  <c r="CH27" i="135"/>
  <c r="CH24" i="135"/>
  <c r="AN93" i="135"/>
  <c r="Q93" i="135" s="1"/>
  <c r="AU93" i="135"/>
  <c r="BC93" i="135"/>
  <c r="CB93" i="135"/>
  <c r="CH93" i="135"/>
  <c r="DQ93" i="135"/>
  <c r="CF93" i="135"/>
  <c r="EY93" i="135"/>
  <c r="FB93" i="135"/>
  <c r="EW93" i="135"/>
  <c r="CG93" i="135"/>
  <c r="FA93" i="135"/>
  <c r="DN93" i="135"/>
  <c r="EV93" i="135"/>
  <c r="DO93" i="135"/>
  <c r="CC93" i="135"/>
  <c r="DL93" i="135"/>
  <c r="DR93" i="135"/>
  <c r="CI63" i="135"/>
  <c r="CI61" i="135"/>
  <c r="CI62" i="135"/>
  <c r="CI60" i="135"/>
  <c r="CI64" i="135"/>
  <c r="CI65" i="135"/>
  <c r="CI66" i="135"/>
  <c r="CI67" i="135"/>
  <c r="CI68" i="135"/>
  <c r="CI73" i="135"/>
  <c r="CI74" i="135"/>
  <c r="CI75" i="135"/>
  <c r="CI76" i="135"/>
  <c r="CI77" i="135"/>
  <c r="CI79" i="135"/>
  <c r="CI78" i="135"/>
  <c r="CI80" i="135"/>
  <c r="CI81" i="135"/>
  <c r="CI82" i="135"/>
  <c r="CI83" i="135"/>
  <c r="CI84" i="135"/>
  <c r="CI85" i="135"/>
  <c r="CI86" i="135"/>
  <c r="CI87" i="135"/>
  <c r="CI88" i="135"/>
  <c r="CI89" i="135"/>
  <c r="CI90" i="135"/>
  <c r="CI91" i="135"/>
  <c r="CI92" i="135"/>
  <c r="CI93" i="135"/>
  <c r="DS60" i="135"/>
  <c r="DS61" i="135"/>
  <c r="DS62" i="135"/>
  <c r="DS63" i="135"/>
  <c r="DS64" i="135"/>
  <c r="DS65" i="135"/>
  <c r="DS66" i="135"/>
  <c r="DS67" i="135"/>
  <c r="DS68" i="135"/>
  <c r="DS73" i="135"/>
  <c r="DS74" i="135"/>
  <c r="DS75" i="135"/>
  <c r="DS76" i="135"/>
  <c r="DS77" i="135"/>
  <c r="DS78" i="135"/>
  <c r="DS79" i="135"/>
  <c r="DS80" i="135"/>
  <c r="DS81" i="135"/>
  <c r="DS82" i="135"/>
  <c r="DS83" i="135"/>
  <c r="DS84" i="135"/>
  <c r="DS85" i="135"/>
  <c r="DS86" i="135"/>
  <c r="DS87" i="135"/>
  <c r="DS88" i="135"/>
  <c r="DS89" i="135"/>
  <c r="DS90" i="135"/>
  <c r="DS91" i="135"/>
  <c r="DS93" i="135"/>
  <c r="FC61" i="135"/>
  <c r="FC62" i="135"/>
  <c r="FC60" i="135"/>
  <c r="FC63" i="135"/>
  <c r="FC64" i="135"/>
  <c r="FC65" i="135"/>
  <c r="FC66" i="135"/>
  <c r="FC67" i="135"/>
  <c r="FC68" i="135"/>
  <c r="FC73" i="135"/>
  <c r="FC74" i="135"/>
  <c r="FC75" i="135"/>
  <c r="FC76" i="135"/>
  <c r="FC77" i="135"/>
  <c r="FC78" i="135"/>
  <c r="FC79" i="135"/>
  <c r="FC81" i="135"/>
  <c r="FC80" i="135"/>
  <c r="FC82" i="135"/>
  <c r="FC83" i="135"/>
  <c r="FC84" i="135"/>
  <c r="FC85" i="135"/>
  <c r="FC86" i="135"/>
  <c r="FC87" i="135"/>
  <c r="FC88" i="135"/>
  <c r="FC89" i="135"/>
  <c r="FC91" i="135"/>
  <c r="FC90" i="135"/>
  <c r="FC93" i="135"/>
  <c r="FC92" i="135"/>
  <c r="CE93" i="135"/>
  <c r="BQ93" i="135"/>
  <c r="AX93" i="135"/>
  <c r="AV93" i="135"/>
  <c r="BI93" i="135"/>
  <c r="DS94" i="135"/>
  <c r="AV94" i="135"/>
  <c r="BX94" i="135"/>
  <c r="BC94" i="135"/>
  <c r="BH94" i="135"/>
  <c r="AQ92" i="135"/>
  <c r="FC50" i="135"/>
  <c r="FC57" i="135"/>
  <c r="FC54" i="135"/>
  <c r="FC55" i="135"/>
  <c r="FC59" i="135"/>
  <c r="FC58" i="135"/>
  <c r="FC56" i="135"/>
  <c r="FC51" i="135"/>
  <c r="FC52" i="135"/>
  <c r="FC53" i="135"/>
  <c r="CI50" i="135"/>
  <c r="CI58" i="135"/>
  <c r="CI55" i="135"/>
  <c r="CI56" i="135"/>
  <c r="CI52" i="135"/>
  <c r="CI54" i="135"/>
  <c r="CI59" i="135"/>
  <c r="CI57" i="135"/>
  <c r="CI53" i="135"/>
  <c r="CI51" i="135"/>
  <c r="DS50" i="135"/>
  <c r="DS54" i="135"/>
  <c r="DS55" i="135"/>
  <c r="DS53" i="135"/>
  <c r="DS57" i="135"/>
  <c r="DS56" i="135"/>
  <c r="DS58" i="135"/>
  <c r="DS59" i="135"/>
  <c r="DS51" i="135"/>
  <c r="DS52" i="135"/>
  <c r="X35" i="230"/>
  <c r="AB35" i="230"/>
  <c r="T36" i="230"/>
  <c r="Y35" i="230"/>
  <c r="AD35" i="230"/>
  <c r="V35" i="230"/>
  <c r="AC35" i="230"/>
  <c r="AE35" i="230"/>
  <c r="W35" i="230"/>
  <c r="AH35" i="230"/>
  <c r="AG35" i="230" s="1"/>
  <c r="Z35" i="230"/>
  <c r="AA35" i="230"/>
  <c r="DS49" i="135"/>
  <c r="FC49" i="135"/>
  <c r="CI49" i="135"/>
  <c r="FB21" i="135"/>
  <c r="CH21" i="135"/>
  <c r="DR21" i="135"/>
  <c r="FD8" i="135"/>
  <c r="DT8" i="135"/>
  <c r="CJ8" i="135"/>
  <c r="AQ266" i="135" l="1"/>
  <c r="DS267" i="135"/>
  <c r="BI267" i="135"/>
  <c r="BH267" i="135"/>
  <c r="BC267" i="135"/>
  <c r="AV267" i="135"/>
  <c r="FA267" i="135"/>
  <c r="AX267" i="135"/>
  <c r="EX267" i="135"/>
  <c r="BQ267" i="135"/>
  <c r="CI267" i="135"/>
  <c r="CF267" i="135"/>
  <c r="DQ267" i="135"/>
  <c r="DO267" i="135"/>
  <c r="FC267" i="135"/>
  <c r="EW267" i="135"/>
  <c r="AJ268" i="135"/>
  <c r="AU268" i="135" s="1"/>
  <c r="EZ267" i="135"/>
  <c r="EY267" i="135"/>
  <c r="DM267" i="135"/>
  <c r="BP267" i="135"/>
  <c r="DP267" i="135"/>
  <c r="DN267" i="135"/>
  <c r="AW267" i="135"/>
  <c r="AF268" i="135"/>
  <c r="AM268" i="135" s="1"/>
  <c r="BY268" i="135" s="1"/>
  <c r="AG268" i="135"/>
  <c r="BD267" i="135"/>
  <c r="CG267" i="135"/>
  <c r="CC267" i="135"/>
  <c r="AB268" i="135"/>
  <c r="AN267" i="135"/>
  <c r="CE267" i="135"/>
  <c r="CD267" i="135"/>
  <c r="AC268" i="135"/>
  <c r="Q267" i="135"/>
  <c r="X268" i="135"/>
  <c r="CI268" i="135" s="1"/>
  <c r="Z268" i="135"/>
  <c r="FC268" i="135" s="1"/>
  <c r="AH268" i="135"/>
  <c r="AD268" i="135"/>
  <c r="BC268" i="135"/>
  <c r="AV268" i="135"/>
  <c r="BX268" i="135"/>
  <c r="BH268" i="135"/>
  <c r="T269" i="135"/>
  <c r="AF269" i="135" s="1"/>
  <c r="AM269" i="135" s="1"/>
  <c r="AK269" i="135"/>
  <c r="V269" i="135"/>
  <c r="AL269" i="135"/>
  <c r="U269" i="135"/>
  <c r="Y268" i="135"/>
  <c r="DS268" i="135" s="1"/>
  <c r="C270" i="135"/>
  <c r="DK268" i="135"/>
  <c r="CA268" i="135"/>
  <c r="EU268" i="135"/>
  <c r="CB268" i="135"/>
  <c r="EV268" i="135"/>
  <c r="DL268" i="135"/>
  <c r="DM268" i="135"/>
  <c r="DS25" i="135"/>
  <c r="AM154" i="135"/>
  <c r="AW154" i="135" s="1"/>
  <c r="AQ93" i="135"/>
  <c r="Y95" i="135"/>
  <c r="DT95" i="135" s="1"/>
  <c r="AJ155" i="135"/>
  <c r="X155" i="135"/>
  <c r="CC155" i="135" s="1"/>
  <c r="Z155" i="135"/>
  <c r="EX155" i="135" s="1"/>
  <c r="AF155" i="135"/>
  <c r="AH95" i="135"/>
  <c r="AC95" i="135"/>
  <c r="AB95" i="135"/>
  <c r="AG155" i="135"/>
  <c r="AD155" i="135"/>
  <c r="AB155" i="135"/>
  <c r="AJ95" i="135"/>
  <c r="BN95" i="135" s="1"/>
  <c r="AG95" i="135"/>
  <c r="AF95" i="135"/>
  <c r="AM95" i="135" s="1"/>
  <c r="BD95" i="135" s="1"/>
  <c r="AH155" i="135"/>
  <c r="AC155" i="135"/>
  <c r="X95" i="135"/>
  <c r="CC95" i="135" s="1"/>
  <c r="AI156" i="135"/>
  <c r="O22" i="131" s="1"/>
  <c r="L22" i="131" s="1"/>
  <c r="V156" i="135"/>
  <c r="AK156" i="135"/>
  <c r="U156" i="135"/>
  <c r="AL156" i="135"/>
  <c r="Z95" i="135"/>
  <c r="FB95" i="135" s="1"/>
  <c r="AD95" i="135"/>
  <c r="Y155" i="135"/>
  <c r="DL155" i="135" s="1"/>
  <c r="DS154" i="135"/>
  <c r="CI154" i="135"/>
  <c r="FC154" i="135"/>
  <c r="AQ153" i="135"/>
  <c r="DS34" i="135"/>
  <c r="FD267" i="135"/>
  <c r="FD263" i="135"/>
  <c r="FD261" i="135"/>
  <c r="FD264" i="135"/>
  <c r="FD262" i="135"/>
  <c r="FD258" i="135"/>
  <c r="FD259" i="135"/>
  <c r="FD249" i="135"/>
  <c r="FD253" i="135"/>
  <c r="FD255" i="135"/>
  <c r="FD251" i="135"/>
  <c r="FD248" i="135"/>
  <c r="FD254" i="135"/>
  <c r="FD247" i="135"/>
  <c r="FD220" i="135"/>
  <c r="FD226" i="135"/>
  <c r="FD223" i="135"/>
  <c r="FD222" i="135"/>
  <c r="FD221" i="135"/>
  <c r="FD214" i="135"/>
  <c r="FD218" i="135"/>
  <c r="FD227" i="135"/>
  <c r="FD230" i="135"/>
  <c r="FD245" i="135"/>
  <c r="FD246" i="135"/>
  <c r="FD215" i="135"/>
  <c r="FD219" i="135"/>
  <c r="FD228" i="135"/>
  <c r="FD236" i="135"/>
  <c r="FD242" i="135"/>
  <c r="FD244" i="135"/>
  <c r="FD257" i="135"/>
  <c r="FD229" i="135"/>
  <c r="FD233" i="135"/>
  <c r="FD239" i="135"/>
  <c r="FD243" i="135"/>
  <c r="FD250" i="135"/>
  <c r="FD252" i="135"/>
  <c r="FD216" i="135"/>
  <c r="FD224" i="135"/>
  <c r="FD238" i="135"/>
  <c r="FD232" i="135"/>
  <c r="FD235" i="135"/>
  <c r="FD217" i="135"/>
  <c r="FD225" i="135"/>
  <c r="FD231" i="135"/>
  <c r="FD240" i="135"/>
  <c r="FD234" i="135"/>
  <c r="FD237" i="135"/>
  <c r="FD256" i="135"/>
  <c r="FD265" i="135"/>
  <c r="FD260" i="135"/>
  <c r="FD266" i="135"/>
  <c r="FD241" i="135"/>
  <c r="CJ267" i="135"/>
  <c r="CJ266" i="135"/>
  <c r="CJ259" i="135"/>
  <c r="CJ258" i="135"/>
  <c r="CJ249" i="135"/>
  <c r="CJ251" i="135"/>
  <c r="CJ248" i="135"/>
  <c r="CJ247" i="135"/>
  <c r="CJ234" i="135"/>
  <c r="CJ230" i="135"/>
  <c r="CJ245" i="135"/>
  <c r="CJ241" i="135"/>
  <c r="CJ239" i="135"/>
  <c r="CJ237" i="135"/>
  <c r="CJ233" i="135"/>
  <c r="CJ232" i="135"/>
  <c r="CJ229" i="135"/>
  <c r="CJ243" i="135"/>
  <c r="CJ222" i="135"/>
  <c r="CJ223" i="135"/>
  <c r="CJ226" i="135"/>
  <c r="CJ225" i="135"/>
  <c r="CJ215" i="135"/>
  <c r="CJ219" i="135"/>
  <c r="CJ216" i="135"/>
  <c r="CJ224" i="135"/>
  <c r="CJ227" i="135"/>
  <c r="CJ220" i="135"/>
  <c r="CJ236" i="135"/>
  <c r="CJ242" i="135"/>
  <c r="CJ246" i="135"/>
  <c r="CJ217" i="135"/>
  <c r="CJ238" i="135"/>
  <c r="CJ221" i="135"/>
  <c r="CJ235" i="135"/>
  <c r="CJ244" i="135"/>
  <c r="CJ250" i="135"/>
  <c r="CJ252" i="135"/>
  <c r="CJ256" i="135"/>
  <c r="CJ218" i="135"/>
  <c r="CJ257" i="135"/>
  <c r="CJ253" i="135"/>
  <c r="CJ265" i="135"/>
  <c r="CJ261" i="135"/>
  <c r="CJ263" i="135"/>
  <c r="CJ231" i="135"/>
  <c r="CJ214" i="135"/>
  <c r="CJ228" i="135"/>
  <c r="CJ240" i="135"/>
  <c r="CJ260" i="135"/>
  <c r="CJ262" i="135"/>
  <c r="CJ254" i="135"/>
  <c r="CJ264" i="135"/>
  <c r="CJ255" i="135"/>
  <c r="DT259" i="135"/>
  <c r="DT255" i="135"/>
  <c r="DT249" i="135"/>
  <c r="DT252" i="135"/>
  <c r="DT245" i="135"/>
  <c r="DT243" i="135"/>
  <c r="DT246" i="135"/>
  <c r="DT239" i="135"/>
  <c r="DT235" i="135"/>
  <c r="DT231" i="135"/>
  <c r="DT237" i="135"/>
  <c r="DT234" i="135"/>
  <c r="DT230" i="135"/>
  <c r="DT250" i="135"/>
  <c r="DT241" i="135"/>
  <c r="DT225" i="135"/>
  <c r="DT224" i="135"/>
  <c r="DT222" i="135"/>
  <c r="DT238" i="135"/>
  <c r="DT247" i="135"/>
  <c r="DT216" i="135"/>
  <c r="DT228" i="135"/>
  <c r="DT221" i="135"/>
  <c r="DT223" i="135"/>
  <c r="DT240" i="135"/>
  <c r="DT257" i="135"/>
  <c r="DT233" i="135"/>
  <c r="DT251" i="135"/>
  <c r="DT253" i="135"/>
  <c r="DT218" i="135"/>
  <c r="DT220" i="135"/>
  <c r="DT227" i="135"/>
  <c r="DT236" i="135"/>
  <c r="DT229" i="135"/>
  <c r="DT248" i="135"/>
  <c r="DT254" i="135"/>
  <c r="DT256" i="135"/>
  <c r="DT258" i="135"/>
  <c r="DT226" i="135"/>
  <c r="DT219" i="135"/>
  <c r="DT215" i="135"/>
  <c r="DT242" i="135"/>
  <c r="DT261" i="135"/>
  <c r="DT265" i="135"/>
  <c r="DT217" i="135"/>
  <c r="DT214" i="135"/>
  <c r="DT232" i="135"/>
  <c r="DT244" i="135"/>
  <c r="DT260" i="135"/>
  <c r="DT264" i="135"/>
  <c r="DT267" i="135"/>
  <c r="DT263" i="135"/>
  <c r="DT266" i="135"/>
  <c r="DT262" i="135"/>
  <c r="CC154" i="135"/>
  <c r="CH154" i="135"/>
  <c r="CD154" i="135"/>
  <c r="CG154" i="135"/>
  <c r="CB154" i="135"/>
  <c r="CE154" i="135"/>
  <c r="BQ154" i="135"/>
  <c r="FA154" i="135"/>
  <c r="BI154" i="135"/>
  <c r="AX154" i="135"/>
  <c r="EZ154" i="135"/>
  <c r="FB154" i="135"/>
  <c r="EW154" i="135"/>
  <c r="EY154" i="135"/>
  <c r="EV154" i="135"/>
  <c r="C157" i="135"/>
  <c r="T157" i="135" s="1"/>
  <c r="AV154" i="135"/>
  <c r="BH154" i="135"/>
  <c r="BX154" i="135"/>
  <c r="BC154" i="135"/>
  <c r="BN154" i="135"/>
  <c r="AU154" i="135"/>
  <c r="DK155" i="135"/>
  <c r="CA155" i="135"/>
  <c r="EU155" i="135"/>
  <c r="DP154" i="135"/>
  <c r="DL154" i="135"/>
  <c r="DM154" i="135"/>
  <c r="DR154" i="135"/>
  <c r="DO154" i="135"/>
  <c r="DN154" i="135"/>
  <c r="CI35" i="135"/>
  <c r="FD127" i="135"/>
  <c r="FD126" i="135"/>
  <c r="DT127" i="135"/>
  <c r="DT126" i="135"/>
  <c r="CI34" i="135"/>
  <c r="CJ126" i="135"/>
  <c r="CJ127" i="135"/>
  <c r="FC34" i="135"/>
  <c r="FD70" i="135"/>
  <c r="FD71" i="135"/>
  <c r="FD69" i="135"/>
  <c r="FD72" i="135"/>
  <c r="CI25" i="135"/>
  <c r="FC25" i="135"/>
  <c r="DT72" i="135"/>
  <c r="DT70" i="135"/>
  <c r="DT69" i="135"/>
  <c r="DT71" i="135"/>
  <c r="CJ72" i="135"/>
  <c r="CJ69" i="135"/>
  <c r="CJ71" i="135"/>
  <c r="CJ70" i="135"/>
  <c r="DS30" i="135"/>
  <c r="CI31" i="135"/>
  <c r="CI30" i="135"/>
  <c r="DS32" i="135"/>
  <c r="DT128" i="135"/>
  <c r="DT122" i="135"/>
  <c r="DT151" i="135"/>
  <c r="DT148" i="135"/>
  <c r="DT135" i="135"/>
  <c r="DT147" i="135"/>
  <c r="DT132" i="135"/>
  <c r="DT141" i="135"/>
  <c r="DT144" i="135"/>
  <c r="DT110" i="135"/>
  <c r="DT115" i="135"/>
  <c r="DT150" i="135"/>
  <c r="DT118" i="135"/>
  <c r="DT129" i="135"/>
  <c r="DT114" i="135"/>
  <c r="DT107" i="135"/>
  <c r="DT134" i="135"/>
  <c r="DT112" i="135"/>
  <c r="DT136" i="135"/>
  <c r="DT154" i="135"/>
  <c r="DT130" i="135"/>
  <c r="DT131" i="135"/>
  <c r="DT138" i="135"/>
  <c r="DT152" i="135"/>
  <c r="DT153" i="135"/>
  <c r="DT113" i="135"/>
  <c r="DT119" i="135"/>
  <c r="DT125" i="135"/>
  <c r="DT137" i="135"/>
  <c r="DT145" i="135"/>
  <c r="DT149" i="135"/>
  <c r="DT133" i="135"/>
  <c r="DT123" i="135"/>
  <c r="DT124" i="135"/>
  <c r="DT117" i="135"/>
  <c r="DT143" i="135"/>
  <c r="DT109" i="135"/>
  <c r="DT142" i="135"/>
  <c r="DT146" i="135"/>
  <c r="DT106" i="135"/>
  <c r="DT121" i="135"/>
  <c r="DT120" i="135"/>
  <c r="DT111" i="135"/>
  <c r="DT139" i="135"/>
  <c r="DT108" i="135"/>
  <c r="DT140" i="135"/>
  <c r="DT116" i="135"/>
  <c r="FC32" i="135"/>
  <c r="FC28" i="135"/>
  <c r="FC33" i="135"/>
  <c r="DS28" i="135"/>
  <c r="DS26" i="135"/>
  <c r="DS35" i="135"/>
  <c r="FD128" i="135"/>
  <c r="FD124" i="135"/>
  <c r="FD151" i="135"/>
  <c r="FD121" i="135"/>
  <c r="FD122" i="135"/>
  <c r="FD123" i="135"/>
  <c r="FD108" i="135"/>
  <c r="FD148" i="135"/>
  <c r="FD141" i="135"/>
  <c r="FD111" i="135"/>
  <c r="FD135" i="135"/>
  <c r="FD147" i="135"/>
  <c r="FD144" i="135"/>
  <c r="FD129" i="135"/>
  <c r="FD118" i="135"/>
  <c r="FD110" i="135"/>
  <c r="FD116" i="135"/>
  <c r="FD115" i="135"/>
  <c r="FD132" i="135"/>
  <c r="FD136" i="135"/>
  <c r="FD138" i="135"/>
  <c r="FD107" i="135"/>
  <c r="FD125" i="135"/>
  <c r="FD152" i="135"/>
  <c r="FD134" i="135"/>
  <c r="FD154" i="135"/>
  <c r="FD130" i="135"/>
  <c r="FD131" i="135"/>
  <c r="FD153" i="135"/>
  <c r="FD114" i="135"/>
  <c r="FD112" i="135"/>
  <c r="FD137" i="135"/>
  <c r="FD149" i="135"/>
  <c r="FD117" i="135"/>
  <c r="FD119" i="135"/>
  <c r="FD143" i="135"/>
  <c r="FD113" i="135"/>
  <c r="FD145" i="135"/>
  <c r="FD133" i="135"/>
  <c r="FD142" i="135"/>
  <c r="FD146" i="135"/>
  <c r="FD106" i="135"/>
  <c r="FD109" i="135"/>
  <c r="FD120" i="135"/>
  <c r="FD150" i="135"/>
  <c r="FD140" i="135"/>
  <c r="FD139" i="135"/>
  <c r="FC30" i="135"/>
  <c r="DS31" i="135"/>
  <c r="CI32" i="135"/>
  <c r="CJ128" i="135"/>
  <c r="CJ122" i="135"/>
  <c r="CJ151" i="135"/>
  <c r="CJ141" i="135"/>
  <c r="CJ147" i="135"/>
  <c r="CJ144" i="135"/>
  <c r="CJ116" i="135"/>
  <c r="CJ108" i="135"/>
  <c r="CJ135" i="135"/>
  <c r="CJ148" i="135"/>
  <c r="CJ110" i="135"/>
  <c r="CJ111" i="135"/>
  <c r="CJ118" i="135"/>
  <c r="CJ132" i="135"/>
  <c r="CJ125" i="135"/>
  <c r="CJ150" i="135"/>
  <c r="CJ107" i="135"/>
  <c r="CJ112" i="135"/>
  <c r="CJ138" i="135"/>
  <c r="CJ153" i="135"/>
  <c r="CJ154" i="135"/>
  <c r="CJ152" i="135"/>
  <c r="CJ136" i="135"/>
  <c r="CJ134" i="135"/>
  <c r="CJ130" i="135"/>
  <c r="CJ131" i="135"/>
  <c r="CJ114" i="135"/>
  <c r="CJ119" i="135"/>
  <c r="CJ143" i="135"/>
  <c r="CJ113" i="135"/>
  <c r="CJ145" i="135"/>
  <c r="CJ117" i="135"/>
  <c r="CJ137" i="135"/>
  <c r="CJ133" i="135"/>
  <c r="CJ129" i="135"/>
  <c r="CJ149" i="135"/>
  <c r="CJ146" i="135"/>
  <c r="CJ121" i="135"/>
  <c r="CJ123" i="135"/>
  <c r="CJ106" i="135"/>
  <c r="CJ124" i="135"/>
  <c r="CJ109" i="135"/>
  <c r="CJ142" i="135"/>
  <c r="CJ115" i="135"/>
  <c r="CJ140" i="135"/>
  <c r="CJ139" i="135"/>
  <c r="CJ120" i="135"/>
  <c r="FC31" i="135"/>
  <c r="FC26" i="135"/>
  <c r="FC35" i="135"/>
  <c r="DS33" i="135"/>
  <c r="CI33" i="135"/>
  <c r="EU94" i="135"/>
  <c r="CA94" i="135"/>
  <c r="DK94" i="135"/>
  <c r="DQ94" i="135"/>
  <c r="BX95" i="135"/>
  <c r="DS23" i="135"/>
  <c r="CI22" i="135"/>
  <c r="CI23" i="135"/>
  <c r="CB94" i="135"/>
  <c r="FC24" i="135"/>
  <c r="DS27" i="135"/>
  <c r="DS24" i="135"/>
  <c r="CI27" i="135"/>
  <c r="CI28" i="135"/>
  <c r="CI26" i="135"/>
  <c r="FC22" i="135"/>
  <c r="DT94" i="135"/>
  <c r="DS22" i="135"/>
  <c r="FC23" i="135"/>
  <c r="FC27" i="135"/>
  <c r="CI24" i="135"/>
  <c r="BY94" i="135"/>
  <c r="BD94" i="135"/>
  <c r="AW94" i="135"/>
  <c r="BP94" i="135"/>
  <c r="DL94" i="135"/>
  <c r="DN94" i="135"/>
  <c r="DM94" i="135"/>
  <c r="DR94" i="135"/>
  <c r="DO94" i="135"/>
  <c r="BQ94" i="135"/>
  <c r="Q94" i="135"/>
  <c r="CE94" i="135"/>
  <c r="CD94" i="135"/>
  <c r="FA94" i="135"/>
  <c r="CG94" i="135"/>
  <c r="EW94" i="135"/>
  <c r="FB94" i="135"/>
  <c r="AX94" i="135"/>
  <c r="CI94" i="135"/>
  <c r="CF94" i="135"/>
  <c r="EV94" i="135"/>
  <c r="EZ94" i="135"/>
  <c r="CC94" i="135"/>
  <c r="FC94" i="135"/>
  <c r="EX94" i="135"/>
  <c r="BI94" i="135"/>
  <c r="DP94" i="135"/>
  <c r="AU94" i="135"/>
  <c r="CJ63" i="135"/>
  <c r="CJ60" i="135"/>
  <c r="CJ62" i="135"/>
  <c r="CJ61" i="135"/>
  <c r="CJ64" i="135"/>
  <c r="CJ65" i="135"/>
  <c r="CJ66" i="135"/>
  <c r="CJ67" i="135"/>
  <c r="CJ68" i="135"/>
  <c r="CJ73" i="135"/>
  <c r="CJ74" i="135"/>
  <c r="CJ75" i="135"/>
  <c r="CJ76" i="135"/>
  <c r="CJ77" i="135"/>
  <c r="CJ79" i="135"/>
  <c r="CJ78" i="135"/>
  <c r="CJ80" i="135"/>
  <c r="CJ81" i="135"/>
  <c r="CJ82" i="135"/>
  <c r="CJ83" i="135"/>
  <c r="CJ84" i="135"/>
  <c r="CJ85" i="135"/>
  <c r="CJ86" i="135"/>
  <c r="CJ87" i="135"/>
  <c r="CJ88" i="135"/>
  <c r="CJ89" i="135"/>
  <c r="CJ90" i="135"/>
  <c r="CJ91" i="135"/>
  <c r="CJ92" i="135"/>
  <c r="CJ93" i="135"/>
  <c r="DT61" i="135"/>
  <c r="DT62" i="135"/>
  <c r="DT60" i="135"/>
  <c r="DT63" i="135"/>
  <c r="DT64" i="135"/>
  <c r="DT65" i="135"/>
  <c r="DT66" i="135"/>
  <c r="DT67" i="135"/>
  <c r="DT68" i="135"/>
  <c r="DT73" i="135"/>
  <c r="DT74" i="135"/>
  <c r="DT75" i="135"/>
  <c r="DT76" i="135"/>
  <c r="DT77" i="135"/>
  <c r="DT78" i="135"/>
  <c r="DT79" i="135"/>
  <c r="DT80" i="135"/>
  <c r="DT81" i="135"/>
  <c r="DT82" i="135"/>
  <c r="DT83" i="135"/>
  <c r="DT84" i="135"/>
  <c r="DT85" i="135"/>
  <c r="DT86" i="135"/>
  <c r="DT87" i="135"/>
  <c r="DT88" i="135"/>
  <c r="DT89" i="135"/>
  <c r="DT90" i="135"/>
  <c r="DT91" i="135"/>
  <c r="DT92" i="135"/>
  <c r="DT93" i="135"/>
  <c r="FD61" i="135"/>
  <c r="FD62" i="135"/>
  <c r="FD60" i="135"/>
  <c r="FD63" i="135"/>
  <c r="FD64" i="135"/>
  <c r="FD65" i="135"/>
  <c r="FD66" i="135"/>
  <c r="FD67" i="135"/>
  <c r="FD68" i="135"/>
  <c r="FD73" i="135"/>
  <c r="FD74" i="135"/>
  <c r="FD75" i="135"/>
  <c r="FD76" i="135"/>
  <c r="FD77" i="135"/>
  <c r="FD78" i="135"/>
  <c r="FD79" i="135"/>
  <c r="FD80" i="135"/>
  <c r="FD81" i="135"/>
  <c r="FD82" i="135"/>
  <c r="FD83" i="135"/>
  <c r="FD84" i="135"/>
  <c r="FD85" i="135"/>
  <c r="FD86" i="135"/>
  <c r="FD87" i="135"/>
  <c r="FD88" i="135"/>
  <c r="FD89" i="135"/>
  <c r="FD90" i="135"/>
  <c r="FD92" i="135"/>
  <c r="FD91" i="135"/>
  <c r="FD93" i="135"/>
  <c r="CJ94" i="135"/>
  <c r="FD94" i="135"/>
  <c r="DT51" i="135"/>
  <c r="DT50" i="135"/>
  <c r="DT55" i="135"/>
  <c r="DT59" i="135"/>
  <c r="DT57" i="135"/>
  <c r="DT58" i="135"/>
  <c r="DT54" i="135"/>
  <c r="DT53" i="135"/>
  <c r="DT56" i="135"/>
  <c r="DT52" i="135"/>
  <c r="CJ51" i="135"/>
  <c r="CJ50" i="135"/>
  <c r="CJ55" i="135"/>
  <c r="CJ56" i="135"/>
  <c r="CJ54" i="135"/>
  <c r="CJ57" i="135"/>
  <c r="CJ58" i="135"/>
  <c r="CJ53" i="135"/>
  <c r="CJ52" i="135"/>
  <c r="CJ59" i="135"/>
  <c r="FD51" i="135"/>
  <c r="FD55" i="135"/>
  <c r="FD50" i="135"/>
  <c r="FD56" i="135"/>
  <c r="FD59" i="135"/>
  <c r="FD57" i="135"/>
  <c r="FD58" i="135"/>
  <c r="FD53" i="135"/>
  <c r="FD54" i="135"/>
  <c r="FD52" i="135"/>
  <c r="X36" i="230"/>
  <c r="AB36" i="230"/>
  <c r="T37" i="230"/>
  <c r="Y36" i="230"/>
  <c r="AD36" i="230"/>
  <c r="AA36" i="230"/>
  <c r="W36" i="230"/>
  <c r="AE36" i="230"/>
  <c r="V36" i="230"/>
  <c r="Z36" i="230"/>
  <c r="AC36" i="230"/>
  <c r="FD49" i="135"/>
  <c r="CJ49" i="135"/>
  <c r="DT49" i="135"/>
  <c r="FC21" i="135"/>
  <c r="DS21" i="135"/>
  <c r="FE8" i="135"/>
  <c r="DU8" i="135"/>
  <c r="CK8" i="135"/>
  <c r="AQ267" i="135" l="1"/>
  <c r="EZ268" i="135"/>
  <c r="AB269" i="135"/>
  <c r="AW268" i="135"/>
  <c r="EY268" i="135"/>
  <c r="FB268" i="135"/>
  <c r="EX268" i="135"/>
  <c r="CJ268" i="135"/>
  <c r="CG268" i="135"/>
  <c r="DT268" i="135"/>
  <c r="BN268" i="135"/>
  <c r="DO268" i="135"/>
  <c r="DR268" i="135"/>
  <c r="DN268" i="135"/>
  <c r="CH268" i="135"/>
  <c r="DP268" i="135"/>
  <c r="CE268" i="135"/>
  <c r="CD268" i="135"/>
  <c r="BP268" i="135"/>
  <c r="DQ268" i="135"/>
  <c r="BQ268" i="135"/>
  <c r="EW268" i="135"/>
  <c r="FA268" i="135"/>
  <c r="CF268" i="135"/>
  <c r="BI268" i="135"/>
  <c r="FD268" i="135"/>
  <c r="AX268" i="135"/>
  <c r="BD268" i="135"/>
  <c r="AN268" i="135"/>
  <c r="Q268" i="135" s="1"/>
  <c r="CC268" i="135"/>
  <c r="AG269" i="135"/>
  <c r="AH269" i="135"/>
  <c r="Z269" i="135"/>
  <c r="FD269" i="135" s="1"/>
  <c r="AI269" i="135"/>
  <c r="AN269" i="135" s="1"/>
  <c r="AJ269" i="135"/>
  <c r="AU269" i="135" s="1"/>
  <c r="AL270" i="135"/>
  <c r="U270" i="135"/>
  <c r="AK270" i="135"/>
  <c r="V270" i="135"/>
  <c r="T270" i="135"/>
  <c r="AI270" i="135" s="1"/>
  <c r="X269" i="135"/>
  <c r="CJ269" i="135" s="1"/>
  <c r="AC269" i="135"/>
  <c r="AD269" i="135"/>
  <c r="CA269" i="135"/>
  <c r="DK269" i="135"/>
  <c r="EU269" i="135"/>
  <c r="DL269" i="135"/>
  <c r="CB269" i="135"/>
  <c r="EV269" i="135"/>
  <c r="C271" i="135"/>
  <c r="BN269" i="135"/>
  <c r="BY269" i="135"/>
  <c r="AW269" i="135"/>
  <c r="BD269" i="135"/>
  <c r="BP269" i="135"/>
  <c r="Y269" i="135"/>
  <c r="DT269" i="135" s="1"/>
  <c r="AN154" i="135"/>
  <c r="Q154" i="135" s="1"/>
  <c r="DT25" i="135"/>
  <c r="AQ154" i="135"/>
  <c r="BY154" i="135"/>
  <c r="BD154" i="135"/>
  <c r="BP154" i="135"/>
  <c r="AF156" i="135"/>
  <c r="AM156" i="135" s="1"/>
  <c r="AG156" i="135"/>
  <c r="AU95" i="135"/>
  <c r="AH156" i="135"/>
  <c r="Z156" i="135"/>
  <c r="EX156" i="135" s="1"/>
  <c r="EX36" i="135" s="1"/>
  <c r="U157" i="135"/>
  <c r="AL157" i="135"/>
  <c r="AI157" i="135"/>
  <c r="V157" i="135"/>
  <c r="AK157" i="135"/>
  <c r="Y156" i="135"/>
  <c r="DS156" i="135" s="1"/>
  <c r="AB156" i="135"/>
  <c r="AJ156" i="135"/>
  <c r="AJ36" i="135" s="1"/>
  <c r="X156" i="135"/>
  <c r="CI156" i="135" s="1"/>
  <c r="AC156" i="135"/>
  <c r="AD156" i="135"/>
  <c r="CJ155" i="135"/>
  <c r="DT155" i="135"/>
  <c r="FD155" i="135"/>
  <c r="DT34" i="135"/>
  <c r="FD34" i="135"/>
  <c r="AM155" i="135"/>
  <c r="BD155" i="135" s="1"/>
  <c r="N22" i="131"/>
  <c r="CH155" i="135"/>
  <c r="DU268" i="135"/>
  <c r="DU267" i="135"/>
  <c r="DU266" i="135"/>
  <c r="DU258" i="135"/>
  <c r="DU248" i="135"/>
  <c r="DU245" i="135"/>
  <c r="DU243" i="135"/>
  <c r="DU241" i="135"/>
  <c r="DU239" i="135"/>
  <c r="DU237" i="135"/>
  <c r="DU236" i="135"/>
  <c r="DU234" i="135"/>
  <c r="DU230" i="135"/>
  <c r="DU249" i="135"/>
  <c r="DU244" i="135"/>
  <c r="DU233" i="135"/>
  <c r="DU229" i="135"/>
  <c r="DU240" i="135"/>
  <c r="DU238" i="135"/>
  <c r="DU224" i="135"/>
  <c r="DU223" i="135"/>
  <c r="DU226" i="135"/>
  <c r="DU219" i="135"/>
  <c r="DU214" i="135"/>
  <c r="DU218" i="135"/>
  <c r="DU227" i="135"/>
  <c r="DU232" i="135"/>
  <c r="DU235" i="135"/>
  <c r="DU250" i="135"/>
  <c r="DU215" i="135"/>
  <c r="DU222" i="135"/>
  <c r="DU231" i="135"/>
  <c r="DU242" i="135"/>
  <c r="DU247" i="135"/>
  <c r="DU252" i="135"/>
  <c r="DU256" i="135"/>
  <c r="DU225" i="135"/>
  <c r="DU216" i="135"/>
  <c r="DU228" i="135"/>
  <c r="DU220" i="135"/>
  <c r="DU257" i="135"/>
  <c r="DU251" i="135"/>
  <c r="DU253" i="135"/>
  <c r="DU221" i="135"/>
  <c r="DU254" i="135"/>
  <c r="DU259" i="135"/>
  <c r="DU217" i="135"/>
  <c r="DU261" i="135"/>
  <c r="DU264" i="135"/>
  <c r="DU260" i="135"/>
  <c r="DU263" i="135"/>
  <c r="DU262" i="135"/>
  <c r="DU255" i="135"/>
  <c r="DU265" i="135"/>
  <c r="DU246" i="135"/>
  <c r="FE256" i="135"/>
  <c r="FE254" i="135"/>
  <c r="FE251" i="135"/>
  <c r="FE250" i="135"/>
  <c r="FE247" i="135"/>
  <c r="FE246" i="135"/>
  <c r="FE252" i="135"/>
  <c r="FE222" i="135"/>
  <c r="FE236" i="135"/>
  <c r="FE235" i="135"/>
  <c r="FE228" i="135"/>
  <c r="FE231" i="135"/>
  <c r="FE227" i="135"/>
  <c r="FE232" i="135"/>
  <c r="FE217" i="135"/>
  <c r="FE240" i="135"/>
  <c r="FE234" i="135"/>
  <c r="FE216" i="135"/>
  <c r="FE244" i="135"/>
  <c r="FE257" i="135"/>
  <c r="FE230" i="135"/>
  <c r="FE239" i="135"/>
  <c r="FE243" i="135"/>
  <c r="FE219" i="135"/>
  <c r="FE221" i="135"/>
  <c r="FE223" i="135"/>
  <c r="FE229" i="135"/>
  <c r="FE233" i="135"/>
  <c r="FE245" i="135"/>
  <c r="FE248" i="135"/>
  <c r="FE253" i="135"/>
  <c r="FE218" i="135"/>
  <c r="FE215" i="135"/>
  <c r="FE224" i="135"/>
  <c r="FE226" i="135"/>
  <c r="FE220" i="135"/>
  <c r="FE237" i="135"/>
  <c r="FE249" i="135"/>
  <c r="FE258" i="135"/>
  <c r="FE259" i="135"/>
  <c r="FE260" i="135"/>
  <c r="FE262" i="135"/>
  <c r="FE214" i="135"/>
  <c r="FE225" i="135"/>
  <c r="FE238" i="135"/>
  <c r="FE242" i="135"/>
  <c r="FE263" i="135"/>
  <c r="FE266" i="135"/>
  <c r="FE268" i="135"/>
  <c r="FE255" i="135"/>
  <c r="FE261" i="135"/>
  <c r="FE265" i="135"/>
  <c r="FE264" i="135"/>
  <c r="FE241" i="135"/>
  <c r="FE267" i="135"/>
  <c r="DR155" i="135"/>
  <c r="CK267" i="135"/>
  <c r="CK218" i="135"/>
  <c r="CK220" i="135"/>
  <c r="CK217" i="135"/>
  <c r="CK216" i="135"/>
  <c r="CK215" i="135"/>
  <c r="CK214" i="135"/>
  <c r="CK221" i="135"/>
  <c r="CK219" i="135"/>
  <c r="CK226" i="135"/>
  <c r="CK222" i="135"/>
  <c r="CK238" i="135"/>
  <c r="CK224" i="135"/>
  <c r="CK230" i="135"/>
  <c r="CK245" i="135"/>
  <c r="CK250" i="135"/>
  <c r="CK227" i="135"/>
  <c r="CK240" i="135"/>
  <c r="CK229" i="135"/>
  <c r="CK233" i="135"/>
  <c r="CK237" i="135"/>
  <c r="CK241" i="135"/>
  <c r="CK247" i="135"/>
  <c r="CK249" i="135"/>
  <c r="CK225" i="135"/>
  <c r="CK232" i="135"/>
  <c r="CK235" i="135"/>
  <c r="CK251" i="135"/>
  <c r="CK252" i="135"/>
  <c r="CK256" i="135"/>
  <c r="CK228" i="135"/>
  <c r="CK236" i="135"/>
  <c r="CK243" i="135"/>
  <c r="CK253" i="135"/>
  <c r="CK223" i="135"/>
  <c r="CK231" i="135"/>
  <c r="CK258" i="135"/>
  <c r="CK260" i="135"/>
  <c r="CK265" i="135"/>
  <c r="CK242" i="135"/>
  <c r="CK234" i="135"/>
  <c r="CK239" i="135"/>
  <c r="CK262" i="135"/>
  <c r="CK268" i="135"/>
  <c r="CK255" i="135"/>
  <c r="CK244" i="135"/>
  <c r="CK261" i="135"/>
  <c r="CK254" i="135"/>
  <c r="CK246" i="135"/>
  <c r="CK248" i="135"/>
  <c r="CK259" i="135"/>
  <c r="CK264" i="135"/>
  <c r="CK263" i="135"/>
  <c r="CK266" i="135"/>
  <c r="CK257" i="135"/>
  <c r="CB155" i="135"/>
  <c r="DP155" i="135"/>
  <c r="CD155" i="135"/>
  <c r="FB155" i="135"/>
  <c r="EY155" i="135"/>
  <c r="FA155" i="135"/>
  <c r="EZ155" i="135"/>
  <c r="FC155" i="135"/>
  <c r="EW155" i="135"/>
  <c r="C158" i="135"/>
  <c r="T158" i="135" s="1"/>
  <c r="BN155" i="135"/>
  <c r="AU155" i="135"/>
  <c r="BC155" i="135"/>
  <c r="BX155" i="135"/>
  <c r="AV155" i="135"/>
  <c r="BH155" i="135"/>
  <c r="DK156" i="135"/>
  <c r="CA156" i="135"/>
  <c r="CA36" i="135" s="1"/>
  <c r="EU156" i="135"/>
  <c r="BQ155" i="135"/>
  <c r="AX155" i="135"/>
  <c r="BI155" i="135"/>
  <c r="CG155" i="135"/>
  <c r="CF155" i="135"/>
  <c r="CI155" i="135"/>
  <c r="CE155" i="135"/>
  <c r="DQ155" i="135"/>
  <c r="DM155" i="135"/>
  <c r="DS155" i="135"/>
  <c r="DN155" i="135"/>
  <c r="DO155" i="135"/>
  <c r="EV155" i="135"/>
  <c r="FE126" i="135"/>
  <c r="FE127" i="135"/>
  <c r="CJ34" i="135"/>
  <c r="CK127" i="135"/>
  <c r="CK126" i="135"/>
  <c r="DU126" i="135"/>
  <c r="DU127" i="135"/>
  <c r="FE69" i="135"/>
  <c r="FE72" i="135"/>
  <c r="FE70" i="135"/>
  <c r="FE71" i="135"/>
  <c r="FD25" i="135"/>
  <c r="CK70" i="135"/>
  <c r="CK72" i="135"/>
  <c r="CK69" i="135"/>
  <c r="CK71" i="135"/>
  <c r="CJ25" i="135"/>
  <c r="DU69" i="135"/>
  <c r="DU70" i="135"/>
  <c r="DU71" i="135"/>
  <c r="DU72" i="135"/>
  <c r="BC95" i="135"/>
  <c r="BH95" i="135"/>
  <c r="AV95" i="135"/>
  <c r="CJ30" i="135"/>
  <c r="FD30" i="135"/>
  <c r="CJ26" i="135"/>
  <c r="CJ35" i="135"/>
  <c r="CJ33" i="135"/>
  <c r="CK125" i="135"/>
  <c r="CK124" i="135"/>
  <c r="CK121" i="135"/>
  <c r="CK128" i="135"/>
  <c r="CK151" i="135"/>
  <c r="CK123" i="135"/>
  <c r="CK122" i="135"/>
  <c r="CK129" i="135"/>
  <c r="CK111" i="135"/>
  <c r="CK147" i="135"/>
  <c r="CK144" i="135"/>
  <c r="CK116" i="135"/>
  <c r="CK132" i="135"/>
  <c r="CK141" i="135"/>
  <c r="CK148" i="135"/>
  <c r="CK118" i="135"/>
  <c r="CK135" i="135"/>
  <c r="CK150" i="135"/>
  <c r="CK107" i="135"/>
  <c r="CK154" i="135"/>
  <c r="CK130" i="135"/>
  <c r="CK155" i="135"/>
  <c r="CK153" i="135"/>
  <c r="CK136" i="135"/>
  <c r="CK112" i="135"/>
  <c r="CK152" i="135"/>
  <c r="CK134" i="135"/>
  <c r="CK131" i="135"/>
  <c r="CK113" i="135"/>
  <c r="CK145" i="135"/>
  <c r="CK137" i="135"/>
  <c r="CK133" i="135"/>
  <c r="CK119" i="135"/>
  <c r="CK143" i="135"/>
  <c r="CK114" i="135"/>
  <c r="CK138" i="135"/>
  <c r="CK149" i="135"/>
  <c r="CK117" i="135"/>
  <c r="CK146" i="135"/>
  <c r="CK106" i="135"/>
  <c r="CK109" i="135"/>
  <c r="CK142" i="135"/>
  <c r="CK110" i="135"/>
  <c r="CK140" i="135"/>
  <c r="CK139" i="135"/>
  <c r="CK108" i="135"/>
  <c r="CK115" i="135"/>
  <c r="CK120" i="135"/>
  <c r="DU128" i="135"/>
  <c r="DU151" i="135"/>
  <c r="DU122" i="135"/>
  <c r="DU124" i="135"/>
  <c r="DU129" i="135"/>
  <c r="DU125" i="135"/>
  <c r="DU121" i="135"/>
  <c r="DU123" i="135"/>
  <c r="DU141" i="135"/>
  <c r="DU148" i="135"/>
  <c r="DU118" i="135"/>
  <c r="DU110" i="135"/>
  <c r="DU132" i="135"/>
  <c r="DU150" i="135"/>
  <c r="DU115" i="135"/>
  <c r="DU135" i="135"/>
  <c r="DU154" i="135"/>
  <c r="DU131" i="135"/>
  <c r="DU138" i="135"/>
  <c r="DU130" i="135"/>
  <c r="DU153" i="135"/>
  <c r="DU152" i="135"/>
  <c r="DU155" i="135"/>
  <c r="DU114" i="135"/>
  <c r="DU136" i="135"/>
  <c r="DU107" i="135"/>
  <c r="DU134" i="135"/>
  <c r="DU112" i="135"/>
  <c r="DU113" i="135"/>
  <c r="DU143" i="135"/>
  <c r="DU117" i="135"/>
  <c r="DU137" i="135"/>
  <c r="DU133" i="135"/>
  <c r="DU119" i="135"/>
  <c r="DU149" i="135"/>
  <c r="DU106" i="135"/>
  <c r="DU109" i="135"/>
  <c r="DU142" i="135"/>
  <c r="DU146" i="135"/>
  <c r="DU144" i="135"/>
  <c r="DU116" i="135"/>
  <c r="DU147" i="135"/>
  <c r="DU108" i="135"/>
  <c r="DU120" i="135"/>
  <c r="DU145" i="135"/>
  <c r="DU139" i="135"/>
  <c r="DU111" i="135"/>
  <c r="DU140" i="135"/>
  <c r="DT30" i="135"/>
  <c r="FD32" i="135"/>
  <c r="CJ32" i="135"/>
  <c r="DT32" i="135"/>
  <c r="FD33" i="135"/>
  <c r="DT28" i="135"/>
  <c r="DT26" i="135"/>
  <c r="DT35" i="135"/>
  <c r="FE124" i="135"/>
  <c r="FE128" i="135"/>
  <c r="FE151" i="135"/>
  <c r="FE122" i="135"/>
  <c r="FE148" i="135"/>
  <c r="FE108" i="135"/>
  <c r="FE111" i="135"/>
  <c r="FE144" i="135"/>
  <c r="FE141" i="135"/>
  <c r="FE147" i="135"/>
  <c r="FE132" i="135"/>
  <c r="FE118" i="135"/>
  <c r="FE116" i="135"/>
  <c r="FE135" i="135"/>
  <c r="FE123" i="135"/>
  <c r="FE129" i="135"/>
  <c r="FE115" i="135"/>
  <c r="FE154" i="135"/>
  <c r="FE152" i="135"/>
  <c r="FE110" i="135"/>
  <c r="FE130" i="135"/>
  <c r="FE153" i="135"/>
  <c r="FE107" i="135"/>
  <c r="FE112" i="135"/>
  <c r="FE114" i="135"/>
  <c r="FE136" i="135"/>
  <c r="FE134" i="135"/>
  <c r="FE125" i="135"/>
  <c r="FE131" i="135"/>
  <c r="FE155" i="135"/>
  <c r="FE138" i="135"/>
  <c r="FE143" i="135"/>
  <c r="FE117" i="135"/>
  <c r="FE137" i="135"/>
  <c r="FE133" i="135"/>
  <c r="FE113" i="135"/>
  <c r="FE119" i="135"/>
  <c r="FE145" i="135"/>
  <c r="FE121" i="135"/>
  <c r="FE149" i="135"/>
  <c r="FE146" i="135"/>
  <c r="FE106" i="135"/>
  <c r="FE109" i="135"/>
  <c r="FE142" i="135"/>
  <c r="FE120" i="135"/>
  <c r="FE150" i="135"/>
  <c r="FE140" i="135"/>
  <c r="FE139" i="135"/>
  <c r="FD31" i="135"/>
  <c r="CJ31" i="135"/>
  <c r="DT31" i="135"/>
  <c r="DT33" i="135"/>
  <c r="FD28" i="135"/>
  <c r="FD26" i="135"/>
  <c r="FD35" i="135"/>
  <c r="DK95" i="135"/>
  <c r="EU95" i="135"/>
  <c r="CA95" i="135"/>
  <c r="DR95" i="135"/>
  <c r="DN95" i="135"/>
  <c r="CB95" i="135"/>
  <c r="AQ94" i="135"/>
  <c r="FD27" i="135"/>
  <c r="CJ27" i="135"/>
  <c r="CJ22" i="135"/>
  <c r="FE95" i="135"/>
  <c r="FD22" i="135"/>
  <c r="AN95" i="135"/>
  <c r="Q95" i="135" s="1"/>
  <c r="DT24" i="135"/>
  <c r="FD23" i="135"/>
  <c r="CF95" i="135"/>
  <c r="CJ28" i="135"/>
  <c r="CJ24" i="135"/>
  <c r="DT27" i="135"/>
  <c r="DT23" i="135"/>
  <c r="CJ23" i="135"/>
  <c r="DT22" i="135"/>
  <c r="FD24" i="135"/>
  <c r="EZ95" i="135"/>
  <c r="DP95" i="135"/>
  <c r="DO95" i="135"/>
  <c r="DU95" i="135"/>
  <c r="DM95" i="135"/>
  <c r="EW95" i="135"/>
  <c r="CH95" i="135"/>
  <c r="CI95" i="135"/>
  <c r="CJ95" i="135"/>
  <c r="CE95" i="135"/>
  <c r="DS95" i="135"/>
  <c r="DL95" i="135"/>
  <c r="FA95" i="135"/>
  <c r="EV95" i="135"/>
  <c r="FD95" i="135"/>
  <c r="EY95" i="135"/>
  <c r="FC95" i="135"/>
  <c r="CD95" i="135"/>
  <c r="EX95" i="135"/>
  <c r="CG95" i="135"/>
  <c r="AW95" i="135"/>
  <c r="DQ95" i="135"/>
  <c r="BY95" i="135"/>
  <c r="CK63" i="135"/>
  <c r="CK61" i="135"/>
  <c r="CK60" i="135"/>
  <c r="CK62" i="135"/>
  <c r="CK64" i="135"/>
  <c r="CK65" i="135"/>
  <c r="CK66" i="135"/>
  <c r="CK67" i="135"/>
  <c r="CK68" i="135"/>
  <c r="CK73" i="135"/>
  <c r="CK74" i="135"/>
  <c r="CK75" i="135"/>
  <c r="CK76" i="135"/>
  <c r="CK77" i="135"/>
  <c r="CK78" i="135"/>
  <c r="CK79" i="135"/>
  <c r="CK80" i="135"/>
  <c r="CK81" i="135"/>
  <c r="CK82" i="135"/>
  <c r="CK83" i="135"/>
  <c r="CK84" i="135"/>
  <c r="CK85" i="135"/>
  <c r="CK86" i="135"/>
  <c r="CK87" i="135"/>
  <c r="CK88" i="135"/>
  <c r="CK89" i="135"/>
  <c r="CK90" i="135"/>
  <c r="CK91" i="135"/>
  <c r="CK92" i="135"/>
  <c r="CK93" i="135"/>
  <c r="CK94" i="135"/>
  <c r="DU60" i="135"/>
  <c r="DU62" i="135"/>
  <c r="DU61" i="135"/>
  <c r="DU63" i="135"/>
  <c r="DU64" i="135"/>
  <c r="DU65" i="135"/>
  <c r="DU66" i="135"/>
  <c r="DU67" i="135"/>
  <c r="DU68" i="135"/>
  <c r="DU73" i="135"/>
  <c r="DU74" i="135"/>
  <c r="DU75" i="135"/>
  <c r="DU76" i="135"/>
  <c r="DU77" i="135"/>
  <c r="DU78" i="135"/>
  <c r="DU79" i="135"/>
  <c r="DU80" i="135"/>
  <c r="DU81" i="135"/>
  <c r="DU82" i="135"/>
  <c r="DU83" i="135"/>
  <c r="DU85" i="135"/>
  <c r="DU84" i="135"/>
  <c r="DU86" i="135"/>
  <c r="DU87" i="135"/>
  <c r="DU88" i="135"/>
  <c r="DU89" i="135"/>
  <c r="DU90" i="135"/>
  <c r="DU91" i="135"/>
  <c r="DU92" i="135"/>
  <c r="DU93" i="135"/>
  <c r="DU94" i="135"/>
  <c r="FE61" i="135"/>
  <c r="FE60" i="135"/>
  <c r="FE62" i="135"/>
  <c r="FE63" i="135"/>
  <c r="FE64" i="135"/>
  <c r="FE65" i="135"/>
  <c r="FE66" i="135"/>
  <c r="FE67" i="135"/>
  <c r="FE68" i="135"/>
  <c r="FE73" i="135"/>
  <c r="FE74" i="135"/>
  <c r="FE75" i="135"/>
  <c r="FE76" i="135"/>
  <c r="FE77" i="135"/>
  <c r="FE78" i="135"/>
  <c r="FE79" i="135"/>
  <c r="FE80" i="135"/>
  <c r="FE81" i="135"/>
  <c r="FE82" i="135"/>
  <c r="FE83" i="135"/>
  <c r="FE85" i="135"/>
  <c r="FE84" i="135"/>
  <c r="FE86" i="135"/>
  <c r="FE87" i="135"/>
  <c r="FE88" i="135"/>
  <c r="FE90" i="135"/>
  <c r="FE89" i="135"/>
  <c r="FE91" i="135"/>
  <c r="FE92" i="135"/>
  <c r="FE93" i="135"/>
  <c r="FE94" i="135"/>
  <c r="CK95" i="135"/>
  <c r="BP95" i="135"/>
  <c r="AX95" i="135"/>
  <c r="BQ95" i="135"/>
  <c r="BI95" i="135"/>
  <c r="CK51" i="135"/>
  <c r="CK55" i="135"/>
  <c r="CK50" i="135"/>
  <c r="CK57" i="135"/>
  <c r="CK52" i="135"/>
  <c r="CK59" i="135"/>
  <c r="CK53" i="135"/>
  <c r="CK54" i="135"/>
  <c r="CK56" i="135"/>
  <c r="CK58" i="135"/>
  <c r="DU51" i="135"/>
  <c r="DU50" i="135"/>
  <c r="DU55" i="135"/>
  <c r="DU56" i="135"/>
  <c r="DU54" i="135"/>
  <c r="DU59" i="135"/>
  <c r="DU57" i="135"/>
  <c r="DU58" i="135"/>
  <c r="DU52" i="135"/>
  <c r="DU53" i="135"/>
  <c r="FE51" i="135"/>
  <c r="FE55" i="135"/>
  <c r="FE50" i="135"/>
  <c r="FE54" i="135"/>
  <c r="FE52" i="135"/>
  <c r="FE57" i="135"/>
  <c r="FE56" i="135"/>
  <c r="FE59" i="135"/>
  <c r="FE58" i="135"/>
  <c r="FE53" i="135"/>
  <c r="X37" i="230"/>
  <c r="AB37" i="230"/>
  <c r="Y37" i="230"/>
  <c r="AD37" i="230"/>
  <c r="Z37" i="230"/>
  <c r="AA37" i="230"/>
  <c r="AC37" i="230"/>
  <c r="AE37" i="230"/>
  <c r="W37" i="230"/>
  <c r="AH37" i="230"/>
  <c r="AG37" i="230" s="1"/>
  <c r="V37" i="230"/>
  <c r="FE49" i="135"/>
  <c r="CK49" i="135"/>
  <c r="DU49" i="135"/>
  <c r="FD21" i="135"/>
  <c r="DT21" i="135"/>
  <c r="FF8" i="135"/>
  <c r="DV8" i="135"/>
  <c r="CL8" i="135"/>
  <c r="AQ268" i="135" l="1"/>
  <c r="BQ269" i="135"/>
  <c r="BC269" i="135"/>
  <c r="EY269" i="135"/>
  <c r="BX269" i="135"/>
  <c r="DU269" i="135"/>
  <c r="AV269" i="135"/>
  <c r="BH269" i="135"/>
  <c r="FA269" i="135"/>
  <c r="BI269" i="135"/>
  <c r="DS36" i="135"/>
  <c r="AX269" i="135"/>
  <c r="AQ269" i="135" s="1"/>
  <c r="CI269" i="135"/>
  <c r="AF270" i="135"/>
  <c r="AM270" i="135" s="1"/>
  <c r="BD270" i="135" s="1"/>
  <c r="X270" i="135"/>
  <c r="CK270" i="135" s="1"/>
  <c r="Y270" i="135"/>
  <c r="DU270" i="135" s="1"/>
  <c r="CH269" i="135"/>
  <c r="CF269" i="135"/>
  <c r="EX269" i="135"/>
  <c r="CK269" i="135"/>
  <c r="FE269" i="135"/>
  <c r="FB269" i="135"/>
  <c r="EZ269" i="135"/>
  <c r="CD269" i="135"/>
  <c r="Z270" i="135"/>
  <c r="FE270" i="135" s="1"/>
  <c r="Q269" i="135"/>
  <c r="FC269" i="135"/>
  <c r="CG269" i="135"/>
  <c r="CE269" i="135"/>
  <c r="EW269" i="135"/>
  <c r="CC269" i="135"/>
  <c r="AC270" i="135"/>
  <c r="AD270" i="135"/>
  <c r="AJ270" i="135"/>
  <c r="BN270" i="135" s="1"/>
  <c r="AB270" i="135"/>
  <c r="AH270" i="135"/>
  <c r="AG270" i="135"/>
  <c r="U271" i="135"/>
  <c r="T271" i="135"/>
  <c r="AJ271" i="135" s="1"/>
  <c r="AK271" i="135"/>
  <c r="V271" i="135"/>
  <c r="AL271" i="135"/>
  <c r="DM269" i="135"/>
  <c r="C272" i="135"/>
  <c r="DR269" i="135"/>
  <c r="DQ269" i="135"/>
  <c r="DP269" i="135"/>
  <c r="DN269" i="135"/>
  <c r="CA270" i="135"/>
  <c r="DK270" i="135"/>
  <c r="EU270" i="135"/>
  <c r="EV270" i="135"/>
  <c r="CB270" i="135"/>
  <c r="DL270" i="135"/>
  <c r="DO269" i="135"/>
  <c r="AV270" i="135"/>
  <c r="BH270" i="135"/>
  <c r="BX270" i="135"/>
  <c r="BC270" i="135"/>
  <c r="DS269" i="135"/>
  <c r="CI36" i="135"/>
  <c r="FE25" i="135"/>
  <c r="DU25" i="135"/>
  <c r="AF157" i="135"/>
  <c r="AM157" i="135" s="1"/>
  <c r="AB157" i="135"/>
  <c r="AB37" i="135" s="1"/>
  <c r="V158" i="135"/>
  <c r="AL158" i="135"/>
  <c r="U158" i="135"/>
  <c r="AI158" i="135"/>
  <c r="AK158" i="135"/>
  <c r="X157" i="135"/>
  <c r="CL157" i="135" s="1"/>
  <c r="AH157" i="135"/>
  <c r="AH37" i="135" s="1"/>
  <c r="AD157" i="135"/>
  <c r="AD37" i="135" s="1"/>
  <c r="AC157" i="135"/>
  <c r="AC37" i="135" s="1"/>
  <c r="AJ157" i="135"/>
  <c r="AJ37" i="135" s="1"/>
  <c r="Y157" i="135"/>
  <c r="DR157" i="135" s="1"/>
  <c r="DR37" i="135" s="1"/>
  <c r="AG157" i="135"/>
  <c r="AG37" i="135" s="1"/>
  <c r="Z157" i="135"/>
  <c r="FF157" i="135" s="1"/>
  <c r="CK156" i="135"/>
  <c r="CK15" i="135" s="1"/>
  <c r="DU156" i="135"/>
  <c r="DU15" i="135" s="1"/>
  <c r="FE156" i="135"/>
  <c r="FE36" i="135" s="1"/>
  <c r="DM156" i="135"/>
  <c r="AN155" i="135"/>
  <c r="Q155" i="135" s="1"/>
  <c r="BY155" i="135"/>
  <c r="AW155" i="135"/>
  <c r="AQ155" i="135" s="1"/>
  <c r="BP155" i="135"/>
  <c r="CF156" i="135"/>
  <c r="CF15" i="135" s="1"/>
  <c r="CE156" i="135"/>
  <c r="CE36" i="135" s="1"/>
  <c r="CG156" i="135"/>
  <c r="CG15" i="135" s="1"/>
  <c r="DU34" i="135"/>
  <c r="DS15" i="135"/>
  <c r="CI15" i="135"/>
  <c r="DO156" i="135"/>
  <c r="DO36" i="135" s="1"/>
  <c r="DV269" i="135"/>
  <c r="DV234" i="135"/>
  <c r="DV230" i="135"/>
  <c r="DV233" i="135"/>
  <c r="DV232" i="135"/>
  <c r="DV229" i="135"/>
  <c r="DV221" i="135"/>
  <c r="DV217" i="135"/>
  <c r="DV220" i="135"/>
  <c r="DV216" i="135"/>
  <c r="DV215" i="135"/>
  <c r="DV214" i="135"/>
  <c r="DV218" i="135"/>
  <c r="DV227" i="135"/>
  <c r="DV231" i="135"/>
  <c r="DV240" i="135"/>
  <c r="DV237" i="135"/>
  <c r="DV241" i="135"/>
  <c r="DV247" i="135"/>
  <c r="DV219" i="135"/>
  <c r="DV225" i="135"/>
  <c r="DV251" i="135"/>
  <c r="DV256" i="135"/>
  <c r="DV258" i="135"/>
  <c r="DV228" i="135"/>
  <c r="DV223" i="135"/>
  <c r="DV236" i="135"/>
  <c r="DV242" i="135"/>
  <c r="DV244" i="135"/>
  <c r="DV257" i="135"/>
  <c r="DV239" i="135"/>
  <c r="DV243" i="135"/>
  <c r="DV246" i="135"/>
  <c r="DV248" i="135"/>
  <c r="DV226" i="135"/>
  <c r="DV224" i="135"/>
  <c r="DV252" i="135"/>
  <c r="DV245" i="135"/>
  <c r="DV249" i="135"/>
  <c r="DV255" i="135"/>
  <c r="DV222" i="135"/>
  <c r="DV238" i="135"/>
  <c r="DV235" i="135"/>
  <c r="DV263" i="135"/>
  <c r="DV266" i="135"/>
  <c r="DV268" i="135"/>
  <c r="DV254" i="135"/>
  <c r="DV253" i="135"/>
  <c r="DV260" i="135"/>
  <c r="DV265" i="135"/>
  <c r="DV262" i="135"/>
  <c r="DV264" i="135"/>
  <c r="DV267" i="135"/>
  <c r="DV259" i="135"/>
  <c r="DV261" i="135"/>
  <c r="DV250" i="135"/>
  <c r="FF267" i="135"/>
  <c r="FF268" i="135"/>
  <c r="FF266" i="135"/>
  <c r="FF258" i="135"/>
  <c r="FF250" i="135"/>
  <c r="FF246" i="135"/>
  <c r="FF249" i="135"/>
  <c r="FF245" i="135"/>
  <c r="FF237" i="135"/>
  <c r="FF243" i="135"/>
  <c r="FF241" i="135"/>
  <c r="FF235" i="135"/>
  <c r="FF231" i="135"/>
  <c r="FF239" i="135"/>
  <c r="FF230" i="135"/>
  <c r="FF224" i="135"/>
  <c r="FF225" i="135"/>
  <c r="FF234" i="135"/>
  <c r="FF226" i="135"/>
  <c r="FF217" i="135"/>
  <c r="FF221" i="135"/>
  <c r="FF223" i="135"/>
  <c r="FF232" i="135"/>
  <c r="FF236" i="135"/>
  <c r="FF242" i="135"/>
  <c r="FF233" i="135"/>
  <c r="FF252" i="135"/>
  <c r="FF214" i="135"/>
  <c r="FF218" i="135"/>
  <c r="FF228" i="135"/>
  <c r="FF238" i="135"/>
  <c r="FF257" i="135"/>
  <c r="FF229" i="135"/>
  <c r="FF247" i="135"/>
  <c r="FF253" i="135"/>
  <c r="FF248" i="135"/>
  <c r="FF215" i="135"/>
  <c r="FF240" i="135"/>
  <c r="FF251" i="135"/>
  <c r="FF254" i="135"/>
  <c r="FF255" i="135"/>
  <c r="FF220" i="135"/>
  <c r="FF227" i="135"/>
  <c r="FF244" i="135"/>
  <c r="FF262" i="135"/>
  <c r="FF264" i="135"/>
  <c r="FF216" i="135"/>
  <c r="FF222" i="135"/>
  <c r="FF219" i="135"/>
  <c r="FF256" i="135"/>
  <c r="FF263" i="135"/>
  <c r="FF269" i="135"/>
  <c r="FF259" i="135"/>
  <c r="FF261" i="135"/>
  <c r="FF260" i="135"/>
  <c r="FF265" i="135"/>
  <c r="CL268" i="135"/>
  <c r="CL266" i="135"/>
  <c r="CL263" i="135"/>
  <c r="CL260" i="135"/>
  <c r="CL259" i="135"/>
  <c r="CL267" i="135"/>
  <c r="CL262" i="135"/>
  <c r="CL261" i="135"/>
  <c r="CL264" i="135"/>
  <c r="CL255" i="135"/>
  <c r="CL258" i="135"/>
  <c r="CL253" i="135"/>
  <c r="CL221" i="135"/>
  <c r="CL222" i="135"/>
  <c r="CL220" i="135"/>
  <c r="CL227" i="135"/>
  <c r="CL215" i="135"/>
  <c r="CL225" i="135"/>
  <c r="CL231" i="135"/>
  <c r="CL240" i="135"/>
  <c r="CL234" i="135"/>
  <c r="CL237" i="135"/>
  <c r="CL241" i="135"/>
  <c r="CL251" i="135"/>
  <c r="CL216" i="135"/>
  <c r="CL223" i="135"/>
  <c r="CL257" i="135"/>
  <c r="CL230" i="135"/>
  <c r="CL246" i="135"/>
  <c r="CL248" i="135"/>
  <c r="CL217" i="135"/>
  <c r="CL226" i="135"/>
  <c r="CL224" i="135"/>
  <c r="CL236" i="135"/>
  <c r="CL242" i="135"/>
  <c r="CL244" i="135"/>
  <c r="CL229" i="135"/>
  <c r="CL233" i="135"/>
  <c r="CL239" i="135"/>
  <c r="CL243" i="135"/>
  <c r="CL245" i="135"/>
  <c r="CL250" i="135"/>
  <c r="CL256" i="135"/>
  <c r="CL254" i="135"/>
  <c r="CL214" i="135"/>
  <c r="CL218" i="135"/>
  <c r="CL219" i="135"/>
  <c r="CL247" i="135"/>
  <c r="CL238" i="135"/>
  <c r="CL232" i="135"/>
  <c r="CL252" i="135"/>
  <c r="CL228" i="135"/>
  <c r="CL235" i="135"/>
  <c r="CL265" i="135"/>
  <c r="CL269" i="135"/>
  <c r="CL249" i="135"/>
  <c r="EV156" i="135"/>
  <c r="AU156" i="135"/>
  <c r="BN156" i="135"/>
  <c r="FB156" i="135"/>
  <c r="FB15" i="135" s="1"/>
  <c r="EW156" i="135"/>
  <c r="EW36" i="135" s="1"/>
  <c r="FD156" i="135"/>
  <c r="FD36" i="135" s="1"/>
  <c r="EZ156" i="135"/>
  <c r="EZ36" i="135" s="1"/>
  <c r="FA156" i="135"/>
  <c r="FA36" i="135" s="1"/>
  <c r="DR156" i="135"/>
  <c r="DR15" i="135" s="1"/>
  <c r="DP156" i="135"/>
  <c r="DQ156" i="135"/>
  <c r="DQ36" i="135" s="1"/>
  <c r="DN156" i="135"/>
  <c r="DN15" i="135" s="1"/>
  <c r="DT156" i="135"/>
  <c r="DT36" i="135" s="1"/>
  <c r="FC156" i="135"/>
  <c r="FC15" i="135" s="1"/>
  <c r="C159" i="135"/>
  <c r="T159" i="135" s="1"/>
  <c r="CH156" i="135"/>
  <c r="CH36" i="135" s="1"/>
  <c r="CJ156" i="135"/>
  <c r="CJ36" i="135" s="1"/>
  <c r="CB156" i="135"/>
  <c r="CB36" i="135" s="1"/>
  <c r="CC156" i="135"/>
  <c r="CC36" i="135" s="1"/>
  <c r="CD156" i="135"/>
  <c r="CD36" i="135" s="1"/>
  <c r="DK157" i="135"/>
  <c r="DK37" i="135" s="1"/>
  <c r="CA157" i="135"/>
  <c r="EU157" i="135"/>
  <c r="EU37" i="135" s="1"/>
  <c r="AW156" i="135"/>
  <c r="BY156" i="135"/>
  <c r="BP156" i="135"/>
  <c r="BD156" i="135"/>
  <c r="AN156" i="135"/>
  <c r="Q156" i="135" s="1"/>
  <c r="BC156" i="135"/>
  <c r="BX156" i="135"/>
  <c r="AV156" i="135"/>
  <c r="BH156" i="135"/>
  <c r="EY156" i="135"/>
  <c r="EY15" i="135" s="1"/>
  <c r="AX156" i="135"/>
  <c r="BI156" i="135"/>
  <c r="BQ156" i="135"/>
  <c r="DL156" i="135"/>
  <c r="DL36" i="135" s="1"/>
  <c r="CL126" i="135"/>
  <c r="CL127" i="135"/>
  <c r="DV126" i="135"/>
  <c r="DV127" i="135"/>
  <c r="FF126" i="135"/>
  <c r="FF127" i="135"/>
  <c r="CK34" i="135"/>
  <c r="FE34" i="135"/>
  <c r="DV69" i="135"/>
  <c r="DV71" i="135"/>
  <c r="DV72" i="135"/>
  <c r="DV70" i="135"/>
  <c r="FF69" i="135"/>
  <c r="FF70" i="135"/>
  <c r="FF71" i="135"/>
  <c r="FF72" i="135"/>
  <c r="CK25" i="135"/>
  <c r="CL70" i="135"/>
  <c r="CL71" i="135"/>
  <c r="CL69" i="135"/>
  <c r="CL72" i="135"/>
  <c r="CK30" i="135"/>
  <c r="FE31" i="135"/>
  <c r="CK35" i="135"/>
  <c r="DU31" i="135"/>
  <c r="FE30" i="135"/>
  <c r="DU30" i="135"/>
  <c r="FF128" i="135"/>
  <c r="FF122" i="135"/>
  <c r="FF123" i="135"/>
  <c r="FF124" i="135"/>
  <c r="FF125" i="135"/>
  <c r="FF151" i="135"/>
  <c r="FF141" i="135"/>
  <c r="FF147" i="135"/>
  <c r="FF108" i="135"/>
  <c r="FF148" i="135"/>
  <c r="FF144" i="135"/>
  <c r="FF115" i="135"/>
  <c r="FF132" i="135"/>
  <c r="FF118" i="135"/>
  <c r="FF116" i="135"/>
  <c r="FF135" i="135"/>
  <c r="FF129" i="135"/>
  <c r="FF111" i="135"/>
  <c r="FF110" i="135"/>
  <c r="FF136" i="135"/>
  <c r="FF154" i="135"/>
  <c r="FF130" i="135"/>
  <c r="FF131" i="135"/>
  <c r="FF152" i="135"/>
  <c r="FF153" i="135"/>
  <c r="FF107" i="135"/>
  <c r="FF134" i="135"/>
  <c r="FF112" i="135"/>
  <c r="FF155" i="135"/>
  <c r="FF138" i="135"/>
  <c r="FF113" i="135"/>
  <c r="FF133" i="135"/>
  <c r="FF114" i="135"/>
  <c r="FF119" i="135"/>
  <c r="FF149" i="135"/>
  <c r="FF137" i="135"/>
  <c r="FF145" i="135"/>
  <c r="FF121" i="135"/>
  <c r="FF143" i="135"/>
  <c r="FF117" i="135"/>
  <c r="FF106" i="135"/>
  <c r="FF109" i="135"/>
  <c r="FF142" i="135"/>
  <c r="FF146" i="135"/>
  <c r="FF156" i="135"/>
  <c r="FF150" i="135"/>
  <c r="FF120" i="135"/>
  <c r="FF140" i="135"/>
  <c r="FF139" i="135"/>
  <c r="DV125" i="135"/>
  <c r="DV121" i="135"/>
  <c r="DV151" i="135"/>
  <c r="DV124" i="135"/>
  <c r="DV123" i="135"/>
  <c r="DV128" i="135"/>
  <c r="DV129" i="135"/>
  <c r="DV122" i="135"/>
  <c r="DV141" i="135"/>
  <c r="DV135" i="135"/>
  <c r="DV148" i="135"/>
  <c r="DV132" i="135"/>
  <c r="DV118" i="135"/>
  <c r="DV110" i="135"/>
  <c r="DV144" i="135"/>
  <c r="DV150" i="135"/>
  <c r="DV115" i="135"/>
  <c r="DV114" i="135"/>
  <c r="DV138" i="135"/>
  <c r="DV154" i="135"/>
  <c r="DV112" i="135"/>
  <c r="DV152" i="135"/>
  <c r="DV136" i="135"/>
  <c r="DV131" i="135"/>
  <c r="DV113" i="135"/>
  <c r="DV107" i="135"/>
  <c r="DV134" i="135"/>
  <c r="DV130" i="135"/>
  <c r="DV155" i="135"/>
  <c r="DV153" i="135"/>
  <c r="DV133" i="135"/>
  <c r="DV137" i="135"/>
  <c r="DV143" i="135"/>
  <c r="DV149" i="135"/>
  <c r="DV117" i="135"/>
  <c r="DV109" i="135"/>
  <c r="DV142" i="135"/>
  <c r="DV146" i="135"/>
  <c r="DV106" i="135"/>
  <c r="DV156" i="135"/>
  <c r="DV139" i="135"/>
  <c r="DV147" i="135"/>
  <c r="DV145" i="135"/>
  <c r="DV119" i="135"/>
  <c r="DV140" i="135"/>
  <c r="DV111" i="135"/>
  <c r="DV116" i="135"/>
  <c r="DV108" i="135"/>
  <c r="DV120" i="135"/>
  <c r="CK31" i="135"/>
  <c r="FE32" i="135"/>
  <c r="DU32" i="135"/>
  <c r="CK32" i="135"/>
  <c r="FE33" i="135"/>
  <c r="DU28" i="135"/>
  <c r="DU26" i="135"/>
  <c r="DU35" i="135"/>
  <c r="CL128" i="135"/>
  <c r="CL122" i="135"/>
  <c r="CL125" i="135"/>
  <c r="CL123" i="135"/>
  <c r="CL124" i="135"/>
  <c r="CL121" i="135"/>
  <c r="CL151" i="135"/>
  <c r="CL108" i="135"/>
  <c r="CL147" i="135"/>
  <c r="CL132" i="135"/>
  <c r="CL141" i="135"/>
  <c r="CL148" i="135"/>
  <c r="CL150" i="135"/>
  <c r="CL110" i="135"/>
  <c r="CL144" i="135"/>
  <c r="CL135" i="135"/>
  <c r="CL118" i="135"/>
  <c r="CL136" i="135"/>
  <c r="CL134" i="135"/>
  <c r="CL112" i="135"/>
  <c r="CL131" i="135"/>
  <c r="CL155" i="135"/>
  <c r="CL107" i="135"/>
  <c r="CL130" i="135"/>
  <c r="CL138" i="135"/>
  <c r="CL154" i="135"/>
  <c r="CL152" i="135"/>
  <c r="CL153" i="135"/>
  <c r="CL114" i="135"/>
  <c r="CL143" i="135"/>
  <c r="CL145" i="135"/>
  <c r="CL137" i="135"/>
  <c r="CL119" i="135"/>
  <c r="CL129" i="135"/>
  <c r="CL149" i="135"/>
  <c r="CL117" i="135"/>
  <c r="CL133" i="135"/>
  <c r="CL113" i="135"/>
  <c r="CL156" i="135"/>
  <c r="CL142" i="135"/>
  <c r="CL146" i="135"/>
  <c r="CL106" i="135"/>
  <c r="CL109" i="135"/>
  <c r="CL111" i="135"/>
  <c r="CL116" i="135"/>
  <c r="CL115" i="135"/>
  <c r="CL140" i="135"/>
  <c r="CL139" i="135"/>
  <c r="CL120" i="135"/>
  <c r="FE28" i="135"/>
  <c r="FE26" i="135"/>
  <c r="FE35" i="135"/>
  <c r="DU33" i="135"/>
  <c r="CK33" i="135"/>
  <c r="AQ95" i="135"/>
  <c r="DU27" i="135"/>
  <c r="FE22" i="135"/>
  <c r="CK22" i="135"/>
  <c r="CK28" i="135"/>
  <c r="CK26" i="135"/>
  <c r="CK23" i="135"/>
  <c r="FE27" i="135"/>
  <c r="FE24" i="135"/>
  <c r="DU22" i="135"/>
  <c r="DU24" i="135"/>
  <c r="CK24" i="135"/>
  <c r="FE23" i="135"/>
  <c r="DU23" i="135"/>
  <c r="CK27" i="135"/>
  <c r="DV61" i="135"/>
  <c r="DV62" i="135"/>
  <c r="DV60" i="135"/>
  <c r="DV63" i="135"/>
  <c r="DV64" i="135"/>
  <c r="DV65" i="135"/>
  <c r="DV66" i="135"/>
  <c r="DV67" i="135"/>
  <c r="DV68" i="135"/>
  <c r="DV73" i="135"/>
  <c r="DV74" i="135"/>
  <c r="DV75" i="135"/>
  <c r="DV76" i="135"/>
  <c r="DV77" i="135"/>
  <c r="DV78" i="135"/>
  <c r="DV79" i="135"/>
  <c r="DV80" i="135"/>
  <c r="DV81" i="135"/>
  <c r="DV82" i="135"/>
  <c r="DV83" i="135"/>
  <c r="DV84" i="135"/>
  <c r="DV85" i="135"/>
  <c r="DV86" i="135"/>
  <c r="DV87" i="135"/>
  <c r="DV88" i="135"/>
  <c r="DV89" i="135"/>
  <c r="DV90" i="135"/>
  <c r="DV91" i="135"/>
  <c r="DV93" i="135"/>
  <c r="DV92" i="135"/>
  <c r="DV94" i="135"/>
  <c r="DV95" i="135"/>
  <c r="FF60" i="135"/>
  <c r="FF62" i="135"/>
  <c r="FF61" i="135"/>
  <c r="FF63" i="135"/>
  <c r="FF64" i="135"/>
  <c r="FF65" i="135"/>
  <c r="FF66" i="135"/>
  <c r="FF67" i="135"/>
  <c r="FF68" i="135"/>
  <c r="FF73" i="135"/>
  <c r="FF74" i="135"/>
  <c r="FF75" i="135"/>
  <c r="FF76" i="135"/>
  <c r="FF77" i="135"/>
  <c r="FF78" i="135"/>
  <c r="FF79" i="135"/>
  <c r="FF80" i="135"/>
  <c r="FF81" i="135"/>
  <c r="FF82" i="135"/>
  <c r="FF83" i="135"/>
  <c r="FF84" i="135"/>
  <c r="FF85" i="135"/>
  <c r="FF86" i="135"/>
  <c r="FF87" i="135"/>
  <c r="FF88" i="135"/>
  <c r="FF89" i="135"/>
  <c r="FF90" i="135"/>
  <c r="FF91" i="135"/>
  <c r="FF92" i="135"/>
  <c r="FF93" i="135"/>
  <c r="FF94" i="135"/>
  <c r="FF95" i="135"/>
  <c r="CL63" i="135"/>
  <c r="CL61" i="135"/>
  <c r="CL60" i="135"/>
  <c r="CL62" i="135"/>
  <c r="CL64" i="135"/>
  <c r="CL65" i="135"/>
  <c r="CL66" i="135"/>
  <c r="CL67" i="135"/>
  <c r="CL68" i="135"/>
  <c r="CL73" i="135"/>
  <c r="CL74" i="135"/>
  <c r="CL75" i="135"/>
  <c r="CL76" i="135"/>
  <c r="CL77" i="135"/>
  <c r="CL78" i="135"/>
  <c r="CL79" i="135"/>
  <c r="CL80" i="135"/>
  <c r="CL81" i="135"/>
  <c r="CL82" i="135"/>
  <c r="CL83" i="135"/>
  <c r="CL84" i="135"/>
  <c r="CL85" i="135"/>
  <c r="CL86" i="135"/>
  <c r="CL87" i="135"/>
  <c r="CL88" i="135"/>
  <c r="CL89" i="135"/>
  <c r="CL90" i="135"/>
  <c r="CL91" i="135"/>
  <c r="CL92" i="135"/>
  <c r="CL93" i="135"/>
  <c r="CL94" i="135"/>
  <c r="CL95" i="135"/>
  <c r="FF51" i="135"/>
  <c r="FF50" i="135"/>
  <c r="FF55" i="135"/>
  <c r="FF57" i="135"/>
  <c r="FF54" i="135"/>
  <c r="FF53" i="135"/>
  <c r="FF59" i="135"/>
  <c r="FF58" i="135"/>
  <c r="FF56" i="135"/>
  <c r="FF52" i="135"/>
  <c r="CL51" i="135"/>
  <c r="CL55" i="135"/>
  <c r="CL50" i="135"/>
  <c r="CL54" i="135"/>
  <c r="CL58" i="135"/>
  <c r="CL57" i="135"/>
  <c r="CL52" i="135"/>
  <c r="CL53" i="135"/>
  <c r="CL56" i="135"/>
  <c r="CL59" i="135"/>
  <c r="DV51" i="135"/>
  <c r="DV50" i="135"/>
  <c r="DV55" i="135"/>
  <c r="DV58" i="135"/>
  <c r="DV53" i="135"/>
  <c r="DV57" i="135"/>
  <c r="DV56" i="135"/>
  <c r="DV54" i="135"/>
  <c r="DV52" i="135"/>
  <c r="DV59" i="135"/>
  <c r="CL49" i="135"/>
  <c r="DV49" i="135"/>
  <c r="FF49" i="135"/>
  <c r="FE21" i="135"/>
  <c r="DU21" i="135"/>
  <c r="CK21" i="135"/>
  <c r="FG8" i="135"/>
  <c r="DW8" i="135"/>
  <c r="CM8" i="135"/>
  <c r="B16" i="178"/>
  <c r="B15" i="178"/>
  <c r="B13" i="178"/>
  <c r="AU157" i="135" l="1"/>
  <c r="AU37" i="135" s="1"/>
  <c r="CL270" i="135"/>
  <c r="CK36" i="135"/>
  <c r="FF270" i="135"/>
  <c r="DQ270" i="135"/>
  <c r="BP270" i="135"/>
  <c r="AW270" i="135"/>
  <c r="BY270" i="135"/>
  <c r="DV270" i="135"/>
  <c r="DO270" i="135"/>
  <c r="DR270" i="135"/>
  <c r="AN270" i="135"/>
  <c r="Q270" i="135" s="1"/>
  <c r="EX270" i="135"/>
  <c r="DT270" i="135"/>
  <c r="EZ270" i="135"/>
  <c r="DM270" i="135"/>
  <c r="FC270" i="135"/>
  <c r="EY270" i="135"/>
  <c r="DP270" i="135"/>
  <c r="DN270" i="135"/>
  <c r="DS270" i="135"/>
  <c r="AX270" i="135"/>
  <c r="CI270" i="135"/>
  <c r="FA270" i="135"/>
  <c r="FD270" i="135"/>
  <c r="FB270" i="135"/>
  <c r="CF270" i="135"/>
  <c r="EW270" i="135"/>
  <c r="CG270" i="135"/>
  <c r="CJ270" i="135"/>
  <c r="CH270" i="135"/>
  <c r="AU270" i="135"/>
  <c r="CE270" i="135"/>
  <c r="CD270" i="135"/>
  <c r="CC270" i="135"/>
  <c r="BQ270" i="135"/>
  <c r="BI270" i="135"/>
  <c r="AI271" i="135"/>
  <c r="AV271" i="135" s="1"/>
  <c r="AB271" i="135"/>
  <c r="AD271" i="135"/>
  <c r="Z271" i="135"/>
  <c r="FF271" i="135" s="1"/>
  <c r="AF271" i="135"/>
  <c r="AM271" i="135" s="1"/>
  <c r="BD271" i="135" s="1"/>
  <c r="AC271" i="135"/>
  <c r="AH271" i="135"/>
  <c r="X271" i="135"/>
  <c r="CL271" i="135" s="1"/>
  <c r="Y271" i="135"/>
  <c r="DV271" i="135" s="1"/>
  <c r="AG271" i="135"/>
  <c r="DK271" i="135"/>
  <c r="CA271" i="135"/>
  <c r="EU271" i="135"/>
  <c r="EV271" i="135"/>
  <c r="DL271" i="135"/>
  <c r="CB271" i="135"/>
  <c r="U272" i="135"/>
  <c r="AL272" i="135"/>
  <c r="V272" i="135"/>
  <c r="T272" i="135"/>
  <c r="AF272" i="135" s="1"/>
  <c r="AM272" i="135" s="1"/>
  <c r="AK272" i="135"/>
  <c r="AU271" i="135"/>
  <c r="BN271" i="135"/>
  <c r="C273" i="135"/>
  <c r="DU36" i="135"/>
  <c r="FC36" i="135"/>
  <c r="FB36" i="135"/>
  <c r="CF36" i="135"/>
  <c r="DN36" i="135"/>
  <c r="CG36" i="135"/>
  <c r="DV25" i="135"/>
  <c r="AG158" i="135"/>
  <c r="Y158" i="135"/>
  <c r="DR158" i="135" s="1"/>
  <c r="AJ158" i="135"/>
  <c r="BN157" i="135"/>
  <c r="BN37" i="135" s="1"/>
  <c r="AH158" i="135"/>
  <c r="AB158" i="135"/>
  <c r="AF158" i="135"/>
  <c r="X158" i="135"/>
  <c r="CM158" i="135" s="1"/>
  <c r="AD158" i="135"/>
  <c r="AC158" i="135"/>
  <c r="Z158" i="135"/>
  <c r="EZ158" i="135" s="1"/>
  <c r="AL159" i="135"/>
  <c r="AK159" i="135"/>
  <c r="V159" i="135"/>
  <c r="U159" i="135"/>
  <c r="FE15" i="135"/>
  <c r="FD157" i="135"/>
  <c r="FD37" i="135" s="1"/>
  <c r="DT157" i="135"/>
  <c r="DT37" i="135" s="1"/>
  <c r="DL157" i="135"/>
  <c r="DL37" i="135" s="1"/>
  <c r="CE15" i="135"/>
  <c r="DV157" i="135"/>
  <c r="DV37" i="135" s="1"/>
  <c r="AW157" i="135"/>
  <c r="AN157" i="135"/>
  <c r="Q157" i="135" s="1"/>
  <c r="BY157" i="135"/>
  <c r="AF37" i="135"/>
  <c r="BP157" i="135"/>
  <c r="BD157" i="135"/>
  <c r="EX157" i="135"/>
  <c r="EX37" i="135" s="1"/>
  <c r="EZ15" i="135"/>
  <c r="DP15" i="135"/>
  <c r="DV34" i="135"/>
  <c r="CD15" i="135"/>
  <c r="CA37" i="135"/>
  <c r="CJ15" i="135"/>
  <c r="DT15" i="135"/>
  <c r="FD15" i="135"/>
  <c r="FE157" i="135"/>
  <c r="FE37" i="135" s="1"/>
  <c r="Z37" i="135"/>
  <c r="CH15" i="135"/>
  <c r="FB157" i="135"/>
  <c r="FB37" i="135" s="1"/>
  <c r="CC15" i="135"/>
  <c r="CJ157" i="135"/>
  <c r="X37" i="135"/>
  <c r="D37" i="235" s="1"/>
  <c r="X25" i="235" s="1"/>
  <c r="DQ15" i="135"/>
  <c r="FA15" i="135"/>
  <c r="EY157" i="135"/>
  <c r="EY37" i="135" s="1"/>
  <c r="O23" i="131"/>
  <c r="AI37" i="135"/>
  <c r="DS157" i="135"/>
  <c r="DS37" i="135" s="1"/>
  <c r="Y37" i="135"/>
  <c r="E37" i="235" s="1"/>
  <c r="AA25" i="235" s="1"/>
  <c r="DO157" i="135"/>
  <c r="DO37" i="135" s="1"/>
  <c r="DP157" i="135"/>
  <c r="DP37" i="135" s="1"/>
  <c r="CM255" i="135"/>
  <c r="CM249" i="135"/>
  <c r="CM245" i="135"/>
  <c r="CM243" i="135"/>
  <c r="CM239" i="135"/>
  <c r="CM235" i="135"/>
  <c r="CM231" i="135"/>
  <c r="CM250" i="135"/>
  <c r="CM237" i="135"/>
  <c r="CM234" i="135"/>
  <c r="CM230" i="135"/>
  <c r="CM246" i="135"/>
  <c r="CM225" i="135"/>
  <c r="CM241" i="135"/>
  <c r="CM224" i="135"/>
  <c r="CM214" i="135"/>
  <c r="CM238" i="135"/>
  <c r="CM229" i="135"/>
  <c r="CM257" i="135"/>
  <c r="CM226" i="135"/>
  <c r="CM228" i="135"/>
  <c r="CM221" i="135"/>
  <c r="CM232" i="135"/>
  <c r="CM240" i="135"/>
  <c r="CM253" i="135"/>
  <c r="CM218" i="135"/>
  <c r="CM220" i="135"/>
  <c r="CM222" i="135"/>
  <c r="CM227" i="135"/>
  <c r="CM236" i="135"/>
  <c r="CM247" i="135"/>
  <c r="CM252" i="135"/>
  <c r="CM258" i="135"/>
  <c r="CM217" i="135"/>
  <c r="CM223" i="135"/>
  <c r="CM251" i="135"/>
  <c r="CM248" i="135"/>
  <c r="CM254" i="135"/>
  <c r="CM261" i="135"/>
  <c r="CM265" i="135"/>
  <c r="CM219" i="135"/>
  <c r="CM215" i="135"/>
  <c r="CM216" i="135"/>
  <c r="CM242" i="135"/>
  <c r="CM260" i="135"/>
  <c r="CM262" i="135"/>
  <c r="CM266" i="135"/>
  <c r="CM267" i="135"/>
  <c r="CM269" i="135"/>
  <c r="CM259" i="135"/>
  <c r="CM268" i="135"/>
  <c r="CM263" i="135"/>
  <c r="CM270" i="135"/>
  <c r="CM256" i="135"/>
  <c r="CM264" i="135"/>
  <c r="CM233" i="135"/>
  <c r="CM244" i="135"/>
  <c r="DW267" i="135"/>
  <c r="DW266" i="135"/>
  <c r="DW268" i="135"/>
  <c r="DW263" i="135"/>
  <c r="DW261" i="135"/>
  <c r="DW264" i="135"/>
  <c r="DW262" i="135"/>
  <c r="DW258" i="135"/>
  <c r="DW249" i="135"/>
  <c r="DW255" i="135"/>
  <c r="DW254" i="135"/>
  <c r="DW253" i="135"/>
  <c r="DW259" i="135"/>
  <c r="DW247" i="135"/>
  <c r="DW248" i="135"/>
  <c r="DW220" i="135"/>
  <c r="DW226" i="135"/>
  <c r="DW223" i="135"/>
  <c r="DW222" i="135"/>
  <c r="DW251" i="135"/>
  <c r="DW221" i="135"/>
  <c r="DW214" i="135"/>
  <c r="DW218" i="135"/>
  <c r="DW224" i="135"/>
  <c r="DW227" i="135"/>
  <c r="DW257" i="135"/>
  <c r="DW230" i="135"/>
  <c r="DW215" i="135"/>
  <c r="DW225" i="135"/>
  <c r="DW219" i="135"/>
  <c r="DW228" i="135"/>
  <c r="DW236" i="135"/>
  <c r="DW242" i="135"/>
  <c r="DW244" i="135"/>
  <c r="DW229" i="135"/>
  <c r="DW233" i="135"/>
  <c r="DW239" i="135"/>
  <c r="DW243" i="135"/>
  <c r="DW245" i="135"/>
  <c r="DW216" i="135"/>
  <c r="DW238" i="135"/>
  <c r="DW232" i="135"/>
  <c r="DW235" i="135"/>
  <c r="DW246" i="135"/>
  <c r="DW217" i="135"/>
  <c r="DW241" i="135"/>
  <c r="DW250" i="135"/>
  <c r="DW231" i="135"/>
  <c r="DW240" i="135"/>
  <c r="DW237" i="135"/>
  <c r="DW256" i="135"/>
  <c r="DW260" i="135"/>
  <c r="DW269" i="135"/>
  <c r="DW270" i="135"/>
  <c r="DW234" i="135"/>
  <c r="DW252" i="135"/>
  <c r="DW265" i="135"/>
  <c r="FG270" i="135"/>
  <c r="FG259" i="135"/>
  <c r="FG234" i="135"/>
  <c r="FG230" i="135"/>
  <c r="FG220" i="135"/>
  <c r="FG218" i="135"/>
  <c r="FG216" i="135"/>
  <c r="FG233" i="135"/>
  <c r="FG215" i="135"/>
  <c r="FG214" i="135"/>
  <c r="FG229" i="135"/>
  <c r="FG221" i="135"/>
  <c r="FG217" i="135"/>
  <c r="FG225" i="135"/>
  <c r="FG245" i="135"/>
  <c r="FG251" i="135"/>
  <c r="FG228" i="135"/>
  <c r="FG223" i="135"/>
  <c r="FG232" i="135"/>
  <c r="FG235" i="135"/>
  <c r="FG236" i="135"/>
  <c r="FG242" i="135"/>
  <c r="FG244" i="135"/>
  <c r="FG257" i="135"/>
  <c r="FG239" i="135"/>
  <c r="FG243" i="135"/>
  <c r="FG246" i="135"/>
  <c r="FG248" i="135"/>
  <c r="FG252" i="135"/>
  <c r="FG226" i="135"/>
  <c r="FG222" i="135"/>
  <c r="FG238" i="135"/>
  <c r="FG224" i="135"/>
  <c r="FG231" i="135"/>
  <c r="FG250" i="135"/>
  <c r="FG253" i="135"/>
  <c r="FG254" i="135"/>
  <c r="FG255" i="135"/>
  <c r="FG258" i="135"/>
  <c r="FG237" i="135"/>
  <c r="FG241" i="135"/>
  <c r="FG256" i="135"/>
  <c r="FG219" i="135"/>
  <c r="FG227" i="135"/>
  <c r="FG240" i="135"/>
  <c r="FG249" i="135"/>
  <c r="FG264" i="135"/>
  <c r="FG266" i="135"/>
  <c r="FG267" i="135"/>
  <c r="FG269" i="135"/>
  <c r="FG268" i="135"/>
  <c r="FG261" i="135"/>
  <c r="FG263" i="135"/>
  <c r="FG247" i="135"/>
  <c r="FG260" i="135"/>
  <c r="FG265" i="135"/>
  <c r="FG262" i="135"/>
  <c r="DN157" i="135"/>
  <c r="DN37" i="135" s="1"/>
  <c r="EV157" i="135"/>
  <c r="EV37" i="135" s="1"/>
  <c r="EW157" i="135"/>
  <c r="EW37" i="135" s="1"/>
  <c r="DQ157" i="135"/>
  <c r="DQ37" i="135" s="1"/>
  <c r="DM157" i="135"/>
  <c r="DM37" i="135" s="1"/>
  <c r="FC157" i="135"/>
  <c r="FC37" i="135" s="1"/>
  <c r="EZ157" i="135"/>
  <c r="EZ37" i="135" s="1"/>
  <c r="FA157" i="135"/>
  <c r="FA37" i="135" s="1"/>
  <c r="DU157" i="135"/>
  <c r="DU37" i="135" s="1"/>
  <c r="CA158" i="135"/>
  <c r="DK158" i="135"/>
  <c r="EU158" i="135"/>
  <c r="AX157" i="135"/>
  <c r="BQ157" i="135"/>
  <c r="BQ37" i="135" s="1"/>
  <c r="BI157" i="135"/>
  <c r="BI37" i="135" s="1"/>
  <c r="CI157" i="135"/>
  <c r="CD157" i="135"/>
  <c r="CG157" i="135"/>
  <c r="CC157" i="135"/>
  <c r="CH157" i="135"/>
  <c r="CF157" i="135"/>
  <c r="CK157" i="135"/>
  <c r="CB157" i="135"/>
  <c r="CE157" i="135"/>
  <c r="AQ156" i="135"/>
  <c r="C160" i="135"/>
  <c r="T160" i="135" s="1"/>
  <c r="BC157" i="135"/>
  <c r="BC37" i="135" s="1"/>
  <c r="BH157" i="135"/>
  <c r="BH37" i="135" s="1"/>
  <c r="AV157" i="135"/>
  <c r="AV37" i="135" s="1"/>
  <c r="BX157" i="135"/>
  <c r="BX37" i="135" s="1"/>
  <c r="AV158" i="135"/>
  <c r="BC158" i="135"/>
  <c r="BX158" i="135"/>
  <c r="BH158" i="135"/>
  <c r="CL15" i="135"/>
  <c r="FF15" i="135"/>
  <c r="DV15" i="135"/>
  <c r="CM127" i="135"/>
  <c r="CM126" i="135"/>
  <c r="DW127" i="135"/>
  <c r="DW126" i="135"/>
  <c r="FG127" i="135"/>
  <c r="FG126" i="135"/>
  <c r="FF34" i="135"/>
  <c r="CL34" i="135"/>
  <c r="CM70" i="135"/>
  <c r="CM72" i="135"/>
  <c r="CM69" i="135"/>
  <c r="CM71" i="135"/>
  <c r="FG70" i="135"/>
  <c r="FG71" i="135"/>
  <c r="FG69" i="135"/>
  <c r="FG72" i="135"/>
  <c r="CL25" i="135"/>
  <c r="DW70" i="135"/>
  <c r="DW71" i="135"/>
  <c r="DW69" i="135"/>
  <c r="DW72" i="135"/>
  <c r="FF25" i="135"/>
  <c r="CL37" i="135"/>
  <c r="DV31" i="135"/>
  <c r="FF31" i="135"/>
  <c r="FF30" i="135"/>
  <c r="CL30" i="135"/>
  <c r="FF32" i="135"/>
  <c r="DV33" i="135"/>
  <c r="CM124" i="135"/>
  <c r="CM122" i="135"/>
  <c r="CM123" i="135"/>
  <c r="CM128" i="135"/>
  <c r="CM125" i="135"/>
  <c r="CM151" i="135"/>
  <c r="CM141" i="135"/>
  <c r="CM108" i="135"/>
  <c r="CM148" i="135"/>
  <c r="CM144" i="135"/>
  <c r="CM111" i="135"/>
  <c r="CM150" i="135"/>
  <c r="CM118" i="135"/>
  <c r="CM147" i="135"/>
  <c r="CM135" i="135"/>
  <c r="CM132" i="135"/>
  <c r="CM154" i="135"/>
  <c r="CM130" i="135"/>
  <c r="CM131" i="135"/>
  <c r="CM138" i="135"/>
  <c r="CM136" i="135"/>
  <c r="CM152" i="135"/>
  <c r="CM153" i="135"/>
  <c r="CM155" i="135"/>
  <c r="CM114" i="135"/>
  <c r="CM107" i="135"/>
  <c r="CM134" i="135"/>
  <c r="CM112" i="135"/>
  <c r="CM137" i="135"/>
  <c r="CM133" i="135"/>
  <c r="CM117" i="135"/>
  <c r="CM113" i="135"/>
  <c r="CM143" i="135"/>
  <c r="CM157" i="135"/>
  <c r="CM129" i="135"/>
  <c r="CM119" i="135"/>
  <c r="CM145" i="135"/>
  <c r="CM149" i="135"/>
  <c r="CM109" i="135"/>
  <c r="CM142" i="135"/>
  <c r="CM146" i="135"/>
  <c r="CM106" i="135"/>
  <c r="CM121" i="135"/>
  <c r="CM156" i="135"/>
  <c r="CM120" i="135"/>
  <c r="CM110" i="135"/>
  <c r="CM115" i="135"/>
  <c r="CM116" i="135"/>
  <c r="CM140" i="135"/>
  <c r="CM139" i="135"/>
  <c r="CL31" i="135"/>
  <c r="DW125" i="135"/>
  <c r="DW128" i="135"/>
  <c r="DW151" i="135"/>
  <c r="DW124" i="135"/>
  <c r="DW121" i="135"/>
  <c r="DW122" i="135"/>
  <c r="DW123" i="135"/>
  <c r="DW147" i="135"/>
  <c r="DW144" i="135"/>
  <c r="DW141" i="135"/>
  <c r="DW135" i="135"/>
  <c r="DW110" i="135"/>
  <c r="DW132" i="135"/>
  <c r="DW115" i="135"/>
  <c r="DW118" i="135"/>
  <c r="DW150" i="135"/>
  <c r="DW134" i="135"/>
  <c r="DW154" i="135"/>
  <c r="DW130" i="135"/>
  <c r="DW131" i="135"/>
  <c r="DW153" i="135"/>
  <c r="DW107" i="135"/>
  <c r="DW155" i="135"/>
  <c r="DW114" i="135"/>
  <c r="DW138" i="135"/>
  <c r="DW136" i="135"/>
  <c r="DW129" i="135"/>
  <c r="DW112" i="135"/>
  <c r="DW152" i="135"/>
  <c r="DW137" i="135"/>
  <c r="DW149" i="135"/>
  <c r="DW117" i="135"/>
  <c r="DW133" i="135"/>
  <c r="DW119" i="135"/>
  <c r="DW143" i="135"/>
  <c r="DW113" i="135"/>
  <c r="DW157" i="135"/>
  <c r="DW142" i="135"/>
  <c r="DW146" i="135"/>
  <c r="DW106" i="135"/>
  <c r="DW109" i="135"/>
  <c r="DW156" i="135"/>
  <c r="DW120" i="135"/>
  <c r="DW108" i="135"/>
  <c r="DW111" i="135"/>
  <c r="DW140" i="135"/>
  <c r="DW145" i="135"/>
  <c r="DW139" i="135"/>
  <c r="DW116" i="135"/>
  <c r="DW148" i="135"/>
  <c r="FG151" i="135"/>
  <c r="FG121" i="135"/>
  <c r="FG124" i="135"/>
  <c r="FG128" i="135"/>
  <c r="FG122" i="135"/>
  <c r="FG123" i="135"/>
  <c r="FG125" i="135"/>
  <c r="FG129" i="135"/>
  <c r="FG147" i="135"/>
  <c r="FG135" i="135"/>
  <c r="FG141" i="135"/>
  <c r="FG108" i="135"/>
  <c r="FG148" i="135"/>
  <c r="FG144" i="135"/>
  <c r="FG111" i="135"/>
  <c r="FG118" i="135"/>
  <c r="FG115" i="135"/>
  <c r="FG116" i="135"/>
  <c r="FG132" i="135"/>
  <c r="FG110" i="135"/>
  <c r="FG112" i="135"/>
  <c r="FG152" i="135"/>
  <c r="FG131" i="135"/>
  <c r="FG107" i="135"/>
  <c r="FG134" i="135"/>
  <c r="FG154" i="135"/>
  <c r="FG130" i="135"/>
  <c r="FG155" i="135"/>
  <c r="FG153" i="135"/>
  <c r="FG136" i="135"/>
  <c r="FG114" i="135"/>
  <c r="FG138" i="135"/>
  <c r="FG137" i="135"/>
  <c r="FG143" i="135"/>
  <c r="FG145" i="135"/>
  <c r="FG133" i="135"/>
  <c r="FG119" i="135"/>
  <c r="FG157" i="135"/>
  <c r="FG149" i="135"/>
  <c r="FG117" i="135"/>
  <c r="FG113" i="135"/>
  <c r="FG142" i="135"/>
  <c r="FG146" i="135"/>
  <c r="FG106" i="135"/>
  <c r="FG156" i="135"/>
  <c r="FG109" i="135"/>
  <c r="FG139" i="135"/>
  <c r="FG120" i="135"/>
  <c r="FG150" i="135"/>
  <c r="FG140" i="135"/>
  <c r="DV30" i="135"/>
  <c r="DV32" i="135"/>
  <c r="CL32" i="135"/>
  <c r="CL36" i="135"/>
  <c r="CL33" i="135"/>
  <c r="FF33" i="135"/>
  <c r="CL26" i="135"/>
  <c r="CL35" i="135"/>
  <c r="FF36" i="135"/>
  <c r="DV36" i="135"/>
  <c r="FF28" i="135"/>
  <c r="FF37" i="135"/>
  <c r="FF26" i="135"/>
  <c r="FF35" i="135"/>
  <c r="DV28" i="135"/>
  <c r="DV26" i="135"/>
  <c r="DV35" i="135"/>
  <c r="FF23" i="135"/>
  <c r="FF22" i="135"/>
  <c r="CL23" i="135"/>
  <c r="CL27" i="135"/>
  <c r="CL24" i="135"/>
  <c r="DV24" i="135"/>
  <c r="CL28" i="135"/>
  <c r="FF24" i="135"/>
  <c r="CL22" i="135"/>
  <c r="DV23" i="135"/>
  <c r="FF27" i="135"/>
  <c r="DV27" i="135"/>
  <c r="DV22" i="135"/>
  <c r="CM63" i="135"/>
  <c r="CM61" i="135"/>
  <c r="CM62" i="135"/>
  <c r="CM60" i="135"/>
  <c r="CM64" i="135"/>
  <c r="CM65" i="135"/>
  <c r="CM66" i="135"/>
  <c r="CM67" i="135"/>
  <c r="CM68" i="135"/>
  <c r="CM73" i="135"/>
  <c r="CM74" i="135"/>
  <c r="CM75" i="135"/>
  <c r="CM76" i="135"/>
  <c r="CM77" i="135"/>
  <c r="CM78" i="135"/>
  <c r="CM79" i="135"/>
  <c r="CM80" i="135"/>
  <c r="CM81" i="135"/>
  <c r="CM83" i="135"/>
  <c r="CM82" i="135"/>
  <c r="CM84" i="135"/>
  <c r="CM85" i="135"/>
  <c r="CM86" i="135"/>
  <c r="CM87" i="135"/>
  <c r="CM88" i="135"/>
  <c r="CM89" i="135"/>
  <c r="CM90" i="135"/>
  <c r="CM91" i="135"/>
  <c r="CM92" i="135"/>
  <c r="CM93" i="135"/>
  <c r="CM94" i="135"/>
  <c r="CM95" i="135"/>
  <c r="DW60" i="135"/>
  <c r="DW62" i="135"/>
  <c r="DW63" i="135"/>
  <c r="DW61" i="135"/>
  <c r="DW64" i="135"/>
  <c r="DW65" i="135"/>
  <c r="DW66" i="135"/>
  <c r="DW67" i="135"/>
  <c r="DW68" i="135"/>
  <c r="DW73" i="135"/>
  <c r="DW74" i="135"/>
  <c r="DW75" i="135"/>
  <c r="DW76" i="135"/>
  <c r="DW77" i="135"/>
  <c r="DW78" i="135"/>
  <c r="DW79" i="135"/>
  <c r="DW80" i="135"/>
  <c r="DW81" i="135"/>
  <c r="DW82" i="135"/>
  <c r="DW83" i="135"/>
  <c r="DW85" i="135"/>
  <c r="DW84" i="135"/>
  <c r="DW86" i="135"/>
  <c r="DW87" i="135"/>
  <c r="DW88" i="135"/>
  <c r="DW89" i="135"/>
  <c r="DW90" i="135"/>
  <c r="DW91" i="135"/>
  <c r="DW92" i="135"/>
  <c r="DW93" i="135"/>
  <c r="DW94" i="135"/>
  <c r="DW95" i="135"/>
  <c r="FG60" i="135"/>
  <c r="FG61" i="135"/>
  <c r="FG62" i="135"/>
  <c r="FG63" i="135"/>
  <c r="FG64" i="135"/>
  <c r="FG65" i="135"/>
  <c r="FG66" i="135"/>
  <c r="FG67" i="135"/>
  <c r="FG68" i="135"/>
  <c r="FG73" i="135"/>
  <c r="FG74" i="135"/>
  <c r="FG75" i="135"/>
  <c r="FG76" i="135"/>
  <c r="FG77" i="135"/>
  <c r="FG78" i="135"/>
  <c r="FG79" i="135"/>
  <c r="FG80" i="135"/>
  <c r="FG81" i="135"/>
  <c r="FG82" i="135"/>
  <c r="FG83" i="135"/>
  <c r="FG85" i="135"/>
  <c r="FG84" i="135"/>
  <c r="FG86" i="135"/>
  <c r="FG87" i="135"/>
  <c r="FG88" i="135"/>
  <c r="FG89" i="135"/>
  <c r="FG90" i="135"/>
  <c r="FG91" i="135"/>
  <c r="FG92" i="135"/>
  <c r="FG93" i="135"/>
  <c r="FG94" i="135"/>
  <c r="FG95" i="135"/>
  <c r="CM51" i="135"/>
  <c r="CM50" i="135"/>
  <c r="CM55" i="135"/>
  <c r="CM57" i="135"/>
  <c r="CM53" i="135"/>
  <c r="CM56" i="135"/>
  <c r="CM58" i="135"/>
  <c r="CM54" i="135"/>
  <c r="CM52" i="135"/>
  <c r="CM59" i="135"/>
  <c r="FG51" i="135"/>
  <c r="FG50" i="135"/>
  <c r="FG57" i="135"/>
  <c r="FG55" i="135"/>
  <c r="FG58" i="135"/>
  <c r="FG56" i="135"/>
  <c r="FG53" i="135"/>
  <c r="FG52" i="135"/>
  <c r="FG54" i="135"/>
  <c r="FG59" i="135"/>
  <c r="DW51" i="135"/>
  <c r="DW57" i="135"/>
  <c r="DW50" i="135"/>
  <c r="DW55" i="135"/>
  <c r="DW53" i="135"/>
  <c r="DW56" i="135"/>
  <c r="DW52" i="135"/>
  <c r="DW54" i="135"/>
  <c r="DW58" i="135"/>
  <c r="DW59" i="135"/>
  <c r="CM49" i="135"/>
  <c r="DW49" i="135"/>
  <c r="FG49" i="135"/>
  <c r="FF21" i="135"/>
  <c r="CL21" i="135"/>
  <c r="DV21" i="135"/>
  <c r="FH8" i="135"/>
  <c r="DX8" i="135"/>
  <c r="CN8" i="135"/>
  <c r="J23" i="131" l="1"/>
  <c r="DW271" i="135"/>
  <c r="DM271" i="135"/>
  <c r="CM271" i="135"/>
  <c r="FG271" i="135"/>
  <c r="BC271" i="135"/>
  <c r="AQ270" i="135"/>
  <c r="FE271" i="135"/>
  <c r="CK271" i="135"/>
  <c r="FA271" i="135"/>
  <c r="CG271" i="135"/>
  <c r="BP271" i="135"/>
  <c r="BH271" i="135"/>
  <c r="FC271" i="135"/>
  <c r="CE271" i="135"/>
  <c r="CI271" i="135"/>
  <c r="EY271" i="135"/>
  <c r="AN271" i="135"/>
  <c r="Q271" i="135" s="1"/>
  <c r="BY271" i="135"/>
  <c r="BX271" i="135"/>
  <c r="FD271" i="135"/>
  <c r="FB271" i="135"/>
  <c r="CF271" i="135"/>
  <c r="EX271" i="135"/>
  <c r="AW271" i="135"/>
  <c r="CJ271" i="135"/>
  <c r="CH271" i="135"/>
  <c r="EZ271" i="135"/>
  <c r="EW271" i="135"/>
  <c r="BI271" i="135"/>
  <c r="AX271" i="135"/>
  <c r="BQ271" i="135"/>
  <c r="AJ272" i="135"/>
  <c r="BN272" i="135" s="1"/>
  <c r="X272" i="135"/>
  <c r="CM272" i="135" s="1"/>
  <c r="Y272" i="135"/>
  <c r="DW272" i="135" s="1"/>
  <c r="AB272" i="135"/>
  <c r="DN271" i="135"/>
  <c r="AI272" i="135"/>
  <c r="AV272" i="135" s="1"/>
  <c r="AH272" i="135"/>
  <c r="DS271" i="135"/>
  <c r="AG272" i="135"/>
  <c r="Z272" i="135"/>
  <c r="FG272" i="135" s="1"/>
  <c r="DU271" i="135"/>
  <c r="DQ271" i="135"/>
  <c r="DO271" i="135"/>
  <c r="CC271" i="135"/>
  <c r="AC272" i="135"/>
  <c r="DT271" i="135"/>
  <c r="DR271" i="135"/>
  <c r="DP271" i="135"/>
  <c r="CD271" i="135"/>
  <c r="AD272" i="135"/>
  <c r="C274" i="135"/>
  <c r="AW272" i="135"/>
  <c r="BP272" i="135"/>
  <c r="BY272" i="135"/>
  <c r="BD272" i="135"/>
  <c r="DK272" i="135"/>
  <c r="CA272" i="135"/>
  <c r="EU272" i="135"/>
  <c r="CB272" i="135"/>
  <c r="DL272" i="135"/>
  <c r="EV272" i="135"/>
  <c r="T273" i="135"/>
  <c r="AI273" i="135" s="1"/>
  <c r="AK273" i="135"/>
  <c r="V273" i="135"/>
  <c r="AL273" i="135"/>
  <c r="U273" i="135"/>
  <c r="DW25" i="135"/>
  <c r="FG25" i="135"/>
  <c r="AM158" i="135"/>
  <c r="BY158" i="135" s="1"/>
  <c r="Y159" i="135"/>
  <c r="DX159" i="135" s="1"/>
  <c r="Z159" i="135"/>
  <c r="FD159" i="135" s="1"/>
  <c r="AJ159" i="135"/>
  <c r="AD159" i="135"/>
  <c r="AC159" i="135"/>
  <c r="AB159" i="135"/>
  <c r="AG159" i="135"/>
  <c r="AF159" i="135"/>
  <c r="X159" i="135"/>
  <c r="CL159" i="135" s="1"/>
  <c r="AI159" i="135"/>
  <c r="AH159" i="135"/>
  <c r="U160" i="135"/>
  <c r="V160" i="135"/>
  <c r="AJ160" i="135"/>
  <c r="AL160" i="135"/>
  <c r="AK160" i="135"/>
  <c r="DW158" i="135"/>
  <c r="CK37" i="135"/>
  <c r="CG37" i="135"/>
  <c r="M23" i="131"/>
  <c r="K23" i="131"/>
  <c r="CF37" i="135"/>
  <c r="CD37" i="135"/>
  <c r="CE37" i="135"/>
  <c r="CH37" i="135"/>
  <c r="CI37" i="135"/>
  <c r="AQ157" i="135"/>
  <c r="AX37" i="135"/>
  <c r="DW34" i="135"/>
  <c r="CB37" i="135"/>
  <c r="CC37" i="135"/>
  <c r="CJ37" i="135"/>
  <c r="FH268" i="135"/>
  <c r="FH267" i="135"/>
  <c r="FH262" i="135"/>
  <c r="FH261" i="135"/>
  <c r="FH264" i="135"/>
  <c r="FH263" i="135"/>
  <c r="FH260" i="135"/>
  <c r="FH258" i="135"/>
  <c r="FH256" i="135"/>
  <c r="FH255" i="135"/>
  <c r="FH249" i="135"/>
  <c r="FH245" i="135"/>
  <c r="FH248" i="135"/>
  <c r="FH223" i="135"/>
  <c r="FH219" i="135"/>
  <c r="FH227" i="135"/>
  <c r="FH221" i="135"/>
  <c r="FH220" i="135"/>
  <c r="FH224" i="135"/>
  <c r="FH217" i="135"/>
  <c r="FH222" i="135"/>
  <c r="FH236" i="135"/>
  <c r="FH242" i="135"/>
  <c r="FH244" i="135"/>
  <c r="FH257" i="135"/>
  <c r="FH229" i="135"/>
  <c r="FH233" i="135"/>
  <c r="FH239" i="135"/>
  <c r="FH243" i="135"/>
  <c r="FH246" i="135"/>
  <c r="FH214" i="135"/>
  <c r="FH218" i="135"/>
  <c r="FH226" i="135"/>
  <c r="FH238" i="135"/>
  <c r="FH232" i="135"/>
  <c r="FH235" i="135"/>
  <c r="FH250" i="135"/>
  <c r="FH254" i="135"/>
  <c r="FH215" i="135"/>
  <c r="FH228" i="135"/>
  <c r="FH231" i="135"/>
  <c r="FH240" i="135"/>
  <c r="FH234" i="135"/>
  <c r="FH237" i="135"/>
  <c r="FH241" i="135"/>
  <c r="FH247" i="135"/>
  <c r="FH253" i="135"/>
  <c r="FH259" i="135"/>
  <c r="FH216" i="135"/>
  <c r="FH225" i="135"/>
  <c r="FH251" i="135"/>
  <c r="FH230" i="135"/>
  <c r="FH252" i="135"/>
  <c r="FH271" i="135"/>
  <c r="FH269" i="135"/>
  <c r="FH270" i="135"/>
  <c r="FH266" i="135"/>
  <c r="FH265" i="135"/>
  <c r="CN268" i="135"/>
  <c r="CN267" i="135"/>
  <c r="CN266" i="135"/>
  <c r="CN258" i="135"/>
  <c r="CN259" i="135"/>
  <c r="CN248" i="135"/>
  <c r="CN245" i="135"/>
  <c r="CN243" i="135"/>
  <c r="CN241" i="135"/>
  <c r="CN239" i="135"/>
  <c r="CN237" i="135"/>
  <c r="CN249" i="135"/>
  <c r="CN236" i="135"/>
  <c r="CN234" i="135"/>
  <c r="CN230" i="135"/>
  <c r="CN244" i="135"/>
  <c r="CN233" i="135"/>
  <c r="CN229" i="135"/>
  <c r="CN240" i="135"/>
  <c r="CN238" i="135"/>
  <c r="CN224" i="135"/>
  <c r="CN223" i="135"/>
  <c r="CN225" i="135"/>
  <c r="CN219" i="135"/>
  <c r="CN214" i="135"/>
  <c r="CN218" i="135"/>
  <c r="CN227" i="135"/>
  <c r="CN242" i="135"/>
  <c r="CN251" i="135"/>
  <c r="CN215" i="135"/>
  <c r="CN246" i="135"/>
  <c r="CN252" i="135"/>
  <c r="CN256" i="135"/>
  <c r="CN226" i="135"/>
  <c r="CN216" i="135"/>
  <c r="CN228" i="135"/>
  <c r="CN220" i="135"/>
  <c r="CN232" i="135"/>
  <c r="CN235" i="135"/>
  <c r="CN257" i="135"/>
  <c r="CN250" i="135"/>
  <c r="CN253" i="135"/>
  <c r="CN247" i="135"/>
  <c r="CN217" i="135"/>
  <c r="CN254" i="135"/>
  <c r="CN265" i="135"/>
  <c r="CN222" i="135"/>
  <c r="CN221" i="135"/>
  <c r="CN231" i="135"/>
  <c r="CN271" i="135"/>
  <c r="CN260" i="135"/>
  <c r="CN270" i="135"/>
  <c r="CN255" i="135"/>
  <c r="CN262" i="135"/>
  <c r="CN261" i="135"/>
  <c r="CN264" i="135"/>
  <c r="CN263" i="135"/>
  <c r="CN269" i="135"/>
  <c r="DX254" i="135"/>
  <c r="DX251" i="135"/>
  <c r="DX250" i="135"/>
  <c r="DX247" i="135"/>
  <c r="DX246" i="135"/>
  <c r="DX256" i="135"/>
  <c r="DX235" i="135"/>
  <c r="DX222" i="135"/>
  <c r="DX236" i="135"/>
  <c r="DX231" i="135"/>
  <c r="DX228" i="135"/>
  <c r="DX232" i="135"/>
  <c r="DX227" i="135"/>
  <c r="DX217" i="135"/>
  <c r="DX214" i="135"/>
  <c r="DX216" i="135"/>
  <c r="DX225" i="135"/>
  <c r="DX226" i="135"/>
  <c r="DX223" i="135"/>
  <c r="DX257" i="135"/>
  <c r="DX229" i="135"/>
  <c r="DX233" i="135"/>
  <c r="DX248" i="135"/>
  <c r="DX238" i="135"/>
  <c r="DX224" i="135"/>
  <c r="DX244" i="135"/>
  <c r="DX239" i="135"/>
  <c r="DX243" i="135"/>
  <c r="DX219" i="135"/>
  <c r="DX221" i="135"/>
  <c r="DX240" i="135"/>
  <c r="DX234" i="135"/>
  <c r="DX245" i="135"/>
  <c r="DX249" i="135"/>
  <c r="DX242" i="135"/>
  <c r="DX237" i="135"/>
  <c r="DX241" i="135"/>
  <c r="DX253" i="135"/>
  <c r="DX252" i="135"/>
  <c r="DX260" i="135"/>
  <c r="DX262" i="135"/>
  <c r="DX218" i="135"/>
  <c r="DX215" i="135"/>
  <c r="DX220" i="135"/>
  <c r="DX255" i="135"/>
  <c r="DX270" i="135"/>
  <c r="DX269" i="135"/>
  <c r="DX266" i="135"/>
  <c r="DX268" i="135"/>
  <c r="DX265" i="135"/>
  <c r="DX267" i="135"/>
  <c r="DX264" i="135"/>
  <c r="DX261" i="135"/>
  <c r="DX271" i="135"/>
  <c r="DX230" i="135"/>
  <c r="DX258" i="135"/>
  <c r="DX259" i="135"/>
  <c r="DX263" i="135"/>
  <c r="FG158" i="135"/>
  <c r="FF158" i="135"/>
  <c r="EX158" i="135"/>
  <c r="FA158" i="135"/>
  <c r="FC158" i="135"/>
  <c r="FE158" i="135"/>
  <c r="EW158" i="135"/>
  <c r="FB158" i="135"/>
  <c r="FD158" i="135"/>
  <c r="EY158" i="135"/>
  <c r="EV158" i="135"/>
  <c r="DK159" i="135"/>
  <c r="EU159" i="135"/>
  <c r="CA159" i="135"/>
  <c r="C161" i="135"/>
  <c r="T161" i="135" s="1"/>
  <c r="AX158" i="135"/>
  <c r="BI158" i="135"/>
  <c r="BQ158" i="135"/>
  <c r="AU158" i="135"/>
  <c r="BN158" i="135"/>
  <c r="DU158" i="135"/>
  <c r="CC158" i="135"/>
  <c r="CD158" i="135"/>
  <c r="CL158" i="135"/>
  <c r="CH158" i="135"/>
  <c r="CE158" i="135"/>
  <c r="CF158" i="135"/>
  <c r="CB158" i="135"/>
  <c r="CI158" i="135"/>
  <c r="CJ158" i="135"/>
  <c r="CG158" i="135"/>
  <c r="DT158" i="135"/>
  <c r="DS158" i="135"/>
  <c r="DQ158" i="135"/>
  <c r="DV158" i="135"/>
  <c r="DO158" i="135"/>
  <c r="DP158" i="135"/>
  <c r="DN158" i="135"/>
  <c r="DM158" i="135"/>
  <c r="DL158" i="135"/>
  <c r="CK158" i="135"/>
  <c r="FG15" i="135"/>
  <c r="DW15" i="135"/>
  <c r="CM15" i="135"/>
  <c r="CN126" i="135"/>
  <c r="CN127" i="135"/>
  <c r="DX127" i="135"/>
  <c r="DX126" i="135"/>
  <c r="FH126" i="135"/>
  <c r="FH127" i="135"/>
  <c r="FG34" i="135"/>
  <c r="CM34" i="135"/>
  <c r="CN69" i="135"/>
  <c r="CN72" i="135"/>
  <c r="CN70" i="135"/>
  <c r="CN71" i="135"/>
  <c r="CM25" i="135"/>
  <c r="DX69" i="135"/>
  <c r="DX71" i="135"/>
  <c r="DX70" i="135"/>
  <c r="DX72" i="135"/>
  <c r="FH71" i="135"/>
  <c r="FH70" i="135"/>
  <c r="FH69" i="135"/>
  <c r="FH72" i="135"/>
  <c r="CM37" i="135"/>
  <c r="CM35" i="135"/>
  <c r="CM30" i="135"/>
  <c r="FG32" i="135"/>
  <c r="DW31" i="135"/>
  <c r="FG31" i="135"/>
  <c r="FG30" i="135"/>
  <c r="DW28" i="135"/>
  <c r="DW37" i="135"/>
  <c r="DW26" i="135"/>
  <c r="DW35" i="135"/>
  <c r="DW33" i="135"/>
  <c r="CM36" i="135"/>
  <c r="CM33" i="135"/>
  <c r="CM31" i="135"/>
  <c r="FG28" i="135"/>
  <c r="FG37" i="135"/>
  <c r="FG26" i="135"/>
  <c r="FG35" i="135"/>
  <c r="DX122" i="135"/>
  <c r="DX123" i="135"/>
  <c r="DX125" i="135"/>
  <c r="DX128" i="135"/>
  <c r="DX151" i="135"/>
  <c r="DX124" i="135"/>
  <c r="DX141" i="135"/>
  <c r="DX135" i="135"/>
  <c r="DX147" i="135"/>
  <c r="DX132" i="135"/>
  <c r="DX115" i="135"/>
  <c r="DX150" i="135"/>
  <c r="DX118" i="135"/>
  <c r="DX144" i="135"/>
  <c r="DX110" i="135"/>
  <c r="DX107" i="135"/>
  <c r="DX112" i="135"/>
  <c r="DX114" i="135"/>
  <c r="DX136" i="135"/>
  <c r="DX134" i="135"/>
  <c r="DX129" i="135"/>
  <c r="DX131" i="135"/>
  <c r="DX155" i="135"/>
  <c r="DX154" i="135"/>
  <c r="DX152" i="135"/>
  <c r="DX130" i="135"/>
  <c r="DX153" i="135"/>
  <c r="DX113" i="135"/>
  <c r="DX137" i="135"/>
  <c r="DX138" i="135"/>
  <c r="DX133" i="135"/>
  <c r="DX119" i="135"/>
  <c r="DX145" i="135"/>
  <c r="DX149" i="135"/>
  <c r="DX143" i="135"/>
  <c r="DX157" i="135"/>
  <c r="DX117" i="135"/>
  <c r="DX156" i="135"/>
  <c r="DX121" i="135"/>
  <c r="DX109" i="135"/>
  <c r="DX142" i="135"/>
  <c r="DX158" i="135"/>
  <c r="DX146" i="135"/>
  <c r="DX106" i="135"/>
  <c r="DX120" i="135"/>
  <c r="DX116" i="135"/>
  <c r="DX148" i="135"/>
  <c r="DX139" i="135"/>
  <c r="DX108" i="135"/>
  <c r="DX111" i="135"/>
  <c r="DX140" i="135"/>
  <c r="FH128" i="135"/>
  <c r="FH125" i="135"/>
  <c r="FH151" i="135"/>
  <c r="FH121" i="135"/>
  <c r="FH124" i="135"/>
  <c r="FH122" i="135"/>
  <c r="FH123" i="135"/>
  <c r="FH141" i="135"/>
  <c r="FH147" i="135"/>
  <c r="FH144" i="135"/>
  <c r="FH116" i="135"/>
  <c r="FH135" i="135"/>
  <c r="FH132" i="135"/>
  <c r="FH108" i="135"/>
  <c r="FH148" i="135"/>
  <c r="FH111" i="135"/>
  <c r="FH115" i="135"/>
  <c r="FH129" i="135"/>
  <c r="FH118" i="135"/>
  <c r="FH110" i="135"/>
  <c r="FH107" i="135"/>
  <c r="FH154" i="135"/>
  <c r="FH155" i="135"/>
  <c r="FH134" i="135"/>
  <c r="FH130" i="135"/>
  <c r="FH112" i="135"/>
  <c r="FH136" i="135"/>
  <c r="FH131" i="135"/>
  <c r="FH152" i="135"/>
  <c r="FH153" i="135"/>
  <c r="FH113" i="135"/>
  <c r="FH114" i="135"/>
  <c r="FH138" i="135"/>
  <c r="FH119" i="135"/>
  <c r="FH143" i="135"/>
  <c r="FH133" i="135"/>
  <c r="FH145" i="135"/>
  <c r="FH157" i="135"/>
  <c r="FH137" i="135"/>
  <c r="FH149" i="135"/>
  <c r="FH117" i="135"/>
  <c r="FH146" i="135"/>
  <c r="FH106" i="135"/>
  <c r="FH109" i="135"/>
  <c r="FH142" i="135"/>
  <c r="FH156" i="135"/>
  <c r="FH158" i="135"/>
  <c r="FH120" i="135"/>
  <c r="FH150" i="135"/>
  <c r="FH139" i="135"/>
  <c r="FH140" i="135"/>
  <c r="DW30" i="135"/>
  <c r="DW32" i="135"/>
  <c r="CM32" i="135"/>
  <c r="FG36" i="135"/>
  <c r="FG33" i="135"/>
  <c r="CN124" i="135"/>
  <c r="CN128" i="135"/>
  <c r="CN122" i="135"/>
  <c r="CN151" i="135"/>
  <c r="CN121" i="135"/>
  <c r="CN125" i="135"/>
  <c r="CN123" i="135"/>
  <c r="CN129" i="135"/>
  <c r="CN148" i="135"/>
  <c r="CN135" i="135"/>
  <c r="CN141" i="135"/>
  <c r="CN147" i="135"/>
  <c r="CN144" i="135"/>
  <c r="CN118" i="135"/>
  <c r="CN150" i="135"/>
  <c r="CN132" i="135"/>
  <c r="CN152" i="135"/>
  <c r="CN155" i="135"/>
  <c r="CN136" i="135"/>
  <c r="CN134" i="135"/>
  <c r="CN154" i="135"/>
  <c r="CN131" i="135"/>
  <c r="CN114" i="135"/>
  <c r="CN138" i="135"/>
  <c r="CN107" i="135"/>
  <c r="CN130" i="135"/>
  <c r="CN112" i="135"/>
  <c r="CN153" i="135"/>
  <c r="CN113" i="135"/>
  <c r="CN137" i="135"/>
  <c r="CN119" i="135"/>
  <c r="CN145" i="135"/>
  <c r="CN117" i="135"/>
  <c r="CN133" i="135"/>
  <c r="CN149" i="135"/>
  <c r="CN143" i="135"/>
  <c r="CN157" i="135"/>
  <c r="CN158" i="135"/>
  <c r="CN106" i="135"/>
  <c r="CN156" i="135"/>
  <c r="CN109" i="135"/>
  <c r="CN142" i="135"/>
  <c r="CN146" i="135"/>
  <c r="CN139" i="135"/>
  <c r="CN120" i="135"/>
  <c r="CN108" i="135"/>
  <c r="CN111" i="135"/>
  <c r="CN110" i="135"/>
  <c r="CN116" i="135"/>
  <c r="CN140" i="135"/>
  <c r="CN115" i="135"/>
  <c r="DW36" i="135"/>
  <c r="DW22" i="135"/>
  <c r="FG23" i="135"/>
  <c r="FG22" i="135"/>
  <c r="DW23" i="135"/>
  <c r="CM23" i="135"/>
  <c r="FG27" i="135"/>
  <c r="FG24" i="135"/>
  <c r="CM22" i="135"/>
  <c r="DW27" i="135"/>
  <c r="DW24" i="135"/>
  <c r="CM27" i="135"/>
  <c r="CM28" i="135"/>
  <c r="CM26" i="135"/>
  <c r="CM24" i="135"/>
  <c r="FH61" i="135"/>
  <c r="FH62" i="135"/>
  <c r="FH60" i="135"/>
  <c r="FH63" i="135"/>
  <c r="FH64" i="135"/>
  <c r="FH65" i="135"/>
  <c r="FH66" i="135"/>
  <c r="FH67" i="135"/>
  <c r="FH68" i="135"/>
  <c r="FH73" i="135"/>
  <c r="FH74" i="135"/>
  <c r="FH75" i="135"/>
  <c r="FH76" i="135"/>
  <c r="FH77" i="135"/>
  <c r="FH78" i="135"/>
  <c r="FH79" i="135"/>
  <c r="FH80" i="135"/>
  <c r="FH81" i="135"/>
  <c r="FH82" i="135"/>
  <c r="FH83" i="135"/>
  <c r="FH84" i="135"/>
  <c r="FH85" i="135"/>
  <c r="FH86" i="135"/>
  <c r="FH87" i="135"/>
  <c r="FH88" i="135"/>
  <c r="FH90" i="135"/>
  <c r="FH89" i="135"/>
  <c r="FH91" i="135"/>
  <c r="FH92" i="135"/>
  <c r="FH93" i="135"/>
  <c r="FH94" i="135"/>
  <c r="FH95" i="135"/>
  <c r="CN63" i="135"/>
  <c r="CN61" i="135"/>
  <c r="CN60" i="135"/>
  <c r="CN62" i="135"/>
  <c r="CN64" i="135"/>
  <c r="CN65" i="135"/>
  <c r="CN66" i="135"/>
  <c r="CN67" i="135"/>
  <c r="CN68" i="135"/>
  <c r="CN73" i="135"/>
  <c r="CN74" i="135"/>
  <c r="CN75" i="135"/>
  <c r="CN76" i="135"/>
  <c r="CN77" i="135"/>
  <c r="CN78" i="135"/>
  <c r="CN79" i="135"/>
  <c r="CN80" i="135"/>
  <c r="CN81" i="135"/>
  <c r="CN83" i="135"/>
  <c r="CN82" i="135"/>
  <c r="CN84" i="135"/>
  <c r="CN85" i="135"/>
  <c r="CN86" i="135"/>
  <c r="CN87" i="135"/>
  <c r="CN88" i="135"/>
  <c r="CN89" i="135"/>
  <c r="CN90" i="135"/>
  <c r="CN91" i="135"/>
  <c r="CN92" i="135"/>
  <c r="CN94" i="135"/>
  <c r="CN93" i="135"/>
  <c r="CN95" i="135"/>
  <c r="DX61" i="135"/>
  <c r="DX62" i="135"/>
  <c r="DX60" i="135"/>
  <c r="DX63" i="135"/>
  <c r="DX64" i="135"/>
  <c r="DX65" i="135"/>
  <c r="DX66" i="135"/>
  <c r="DX67" i="135"/>
  <c r="DX68" i="135"/>
  <c r="DX73" i="135"/>
  <c r="DX75" i="135"/>
  <c r="DX74" i="135"/>
  <c r="DX76" i="135"/>
  <c r="DX77" i="135"/>
  <c r="DX78" i="135"/>
  <c r="DX79" i="135"/>
  <c r="DX80" i="135"/>
  <c r="DX81" i="135"/>
  <c r="DX83" i="135"/>
  <c r="DX82" i="135"/>
  <c r="DX85" i="135"/>
  <c r="DX84" i="135"/>
  <c r="DX86" i="135"/>
  <c r="DX87" i="135"/>
  <c r="DX88" i="135"/>
  <c r="DX89" i="135"/>
  <c r="DX90" i="135"/>
  <c r="DX91" i="135"/>
  <c r="DX92" i="135"/>
  <c r="DX93" i="135"/>
  <c r="DX94" i="135"/>
  <c r="DX95" i="135"/>
  <c r="C96" i="135"/>
  <c r="T96" i="135" s="1"/>
  <c r="CN51" i="135"/>
  <c r="CN57" i="135"/>
  <c r="CN50" i="135"/>
  <c r="CN55" i="135"/>
  <c r="CN53" i="135"/>
  <c r="CN59" i="135"/>
  <c r="CN54" i="135"/>
  <c r="CN58" i="135"/>
  <c r="CN56" i="135"/>
  <c r="CN52" i="135"/>
  <c r="DX51" i="135"/>
  <c r="DX55" i="135"/>
  <c r="DX57" i="135"/>
  <c r="DX50" i="135"/>
  <c r="DX53" i="135"/>
  <c r="DX59" i="135"/>
  <c r="DX56" i="135"/>
  <c r="DX52" i="135"/>
  <c r="DX54" i="135"/>
  <c r="DX58" i="135"/>
  <c r="FH51" i="135"/>
  <c r="FH55" i="135"/>
  <c r="FH57" i="135"/>
  <c r="FH50" i="135"/>
  <c r="FH52" i="135"/>
  <c r="FH56" i="135"/>
  <c r="FH54" i="135"/>
  <c r="FH59" i="135"/>
  <c r="FH58" i="135"/>
  <c r="FH53" i="135"/>
  <c r="FH49" i="135"/>
  <c r="DX49" i="135"/>
  <c r="CN49" i="135"/>
  <c r="DW21" i="135"/>
  <c r="FG21" i="135"/>
  <c r="CM21" i="135"/>
  <c r="FI8" i="135"/>
  <c r="DY8" i="135"/>
  <c r="CO8" i="135"/>
  <c r="BX272" i="135" l="1"/>
  <c r="DX272" i="135"/>
  <c r="CN272" i="135"/>
  <c r="DV272" i="135"/>
  <c r="BD158" i="135"/>
  <c r="FE272" i="135"/>
  <c r="AU272" i="135"/>
  <c r="DN272" i="135"/>
  <c r="DP272" i="135"/>
  <c r="AX272" i="135"/>
  <c r="AQ272" i="135" s="1"/>
  <c r="CJ272" i="135"/>
  <c r="CF272" i="135"/>
  <c r="DS272" i="135"/>
  <c r="DM272" i="135"/>
  <c r="DU272" i="135"/>
  <c r="DR272" i="135"/>
  <c r="DO272" i="135"/>
  <c r="BI272" i="135"/>
  <c r="AQ271" i="135"/>
  <c r="CL272" i="135"/>
  <c r="DT272" i="135"/>
  <c r="DQ272" i="135"/>
  <c r="CD272" i="135"/>
  <c r="BQ272" i="135"/>
  <c r="FH272" i="135"/>
  <c r="FF272" i="135"/>
  <c r="CH272" i="135"/>
  <c r="CG272" i="135"/>
  <c r="EY272" i="135"/>
  <c r="EX272" i="135"/>
  <c r="CC272" i="135"/>
  <c r="BH272" i="135"/>
  <c r="CI272" i="135"/>
  <c r="FB272" i="135"/>
  <c r="CE272" i="135"/>
  <c r="BC272" i="135"/>
  <c r="CK272" i="135"/>
  <c r="FD272" i="135"/>
  <c r="FC272" i="135"/>
  <c r="FA272" i="135"/>
  <c r="EZ272" i="135"/>
  <c r="EW272" i="135"/>
  <c r="AN272" i="135"/>
  <c r="Q272" i="135" s="1"/>
  <c r="AG273" i="135"/>
  <c r="AF273" i="135"/>
  <c r="AM273" i="135" s="1"/>
  <c r="BY273" i="135" s="1"/>
  <c r="AJ273" i="135"/>
  <c r="AU273" i="135" s="1"/>
  <c r="Y273" i="135"/>
  <c r="DX273" i="135" s="1"/>
  <c r="Z273" i="135"/>
  <c r="FH273" i="135" s="1"/>
  <c r="X273" i="135"/>
  <c r="CN273" i="135" s="1"/>
  <c r="AB273" i="135"/>
  <c r="AC273" i="135"/>
  <c r="BH273" i="135"/>
  <c r="AV273" i="135"/>
  <c r="BC273" i="135"/>
  <c r="BX273" i="135"/>
  <c r="T274" i="135"/>
  <c r="AJ274" i="135" s="1"/>
  <c r="AL274" i="135"/>
  <c r="V274" i="135"/>
  <c r="AK274" i="135"/>
  <c r="U274" i="135"/>
  <c r="AD273" i="135"/>
  <c r="AH273" i="135"/>
  <c r="DK273" i="135"/>
  <c r="CA273" i="135"/>
  <c r="EU273" i="135"/>
  <c r="CB273" i="135"/>
  <c r="DL273" i="135"/>
  <c r="EV273" i="135"/>
  <c r="C275" i="135"/>
  <c r="DX25" i="135"/>
  <c r="BP158" i="135"/>
  <c r="AW158" i="135"/>
  <c r="AQ158" i="135" s="1"/>
  <c r="AN158" i="135"/>
  <c r="Q158" i="135" s="1"/>
  <c r="AF160" i="135"/>
  <c r="AM160" i="135" s="1"/>
  <c r="AH160" i="135"/>
  <c r="AB160" i="135"/>
  <c r="Z160" i="135"/>
  <c r="FD160" i="135" s="1"/>
  <c r="AD160" i="135"/>
  <c r="X160" i="135"/>
  <c r="CJ160" i="135" s="1"/>
  <c r="Y160" i="135"/>
  <c r="DW160" i="135" s="1"/>
  <c r="AG160" i="135"/>
  <c r="AK161" i="135"/>
  <c r="V161" i="135"/>
  <c r="AL161" i="135"/>
  <c r="U161" i="135"/>
  <c r="AF161" i="135"/>
  <c r="AL96" i="135"/>
  <c r="AJ96" i="135"/>
  <c r="AK96" i="135"/>
  <c r="U96" i="135"/>
  <c r="V96" i="135"/>
  <c r="AC160" i="135"/>
  <c r="AI160" i="135"/>
  <c r="CN159" i="135"/>
  <c r="FH159" i="135"/>
  <c r="L23" i="131"/>
  <c r="N23" i="131" s="1"/>
  <c r="DX34" i="135"/>
  <c r="FH34" i="135"/>
  <c r="FI259" i="135"/>
  <c r="FI255" i="135"/>
  <c r="FI254" i="135"/>
  <c r="FI249" i="135"/>
  <c r="FI251" i="135"/>
  <c r="FI248" i="135"/>
  <c r="FI247" i="135"/>
  <c r="FI234" i="135"/>
  <c r="FI230" i="135"/>
  <c r="FI243" i="135"/>
  <c r="FI241" i="135"/>
  <c r="FI239" i="135"/>
  <c r="FI233" i="135"/>
  <c r="FI232" i="135"/>
  <c r="FI229" i="135"/>
  <c r="FI257" i="135"/>
  <c r="FI237" i="135"/>
  <c r="FI226" i="135"/>
  <c r="FI223" i="135"/>
  <c r="FI222" i="135"/>
  <c r="FI215" i="135"/>
  <c r="FI218" i="135"/>
  <c r="FI228" i="135"/>
  <c r="FI220" i="135"/>
  <c r="FI235" i="135"/>
  <c r="FI240" i="135"/>
  <c r="FI244" i="135"/>
  <c r="FI250" i="135"/>
  <c r="FI217" i="135"/>
  <c r="FI219" i="135"/>
  <c r="FI214" i="135"/>
  <c r="FI216" i="135"/>
  <c r="FI231" i="135"/>
  <c r="FI236" i="135"/>
  <c r="FI256" i="135"/>
  <c r="FI225" i="135"/>
  <c r="FI242" i="135"/>
  <c r="FI224" i="135"/>
  <c r="FI246" i="135"/>
  <c r="FI252" i="135"/>
  <c r="FI221" i="135"/>
  <c r="FI263" i="135"/>
  <c r="FI227" i="135"/>
  <c r="FI238" i="135"/>
  <c r="FI245" i="135"/>
  <c r="FI253" i="135"/>
  <c r="FI264" i="135"/>
  <c r="FI265" i="135"/>
  <c r="FI267" i="135"/>
  <c r="FI269" i="135"/>
  <c r="FI271" i="135"/>
  <c r="FI270" i="135"/>
  <c r="FI258" i="135"/>
  <c r="FI260" i="135"/>
  <c r="FI262" i="135"/>
  <c r="FI266" i="135"/>
  <c r="FI272" i="135"/>
  <c r="FI261" i="135"/>
  <c r="FI268" i="135"/>
  <c r="CO267" i="135"/>
  <c r="CO271" i="135"/>
  <c r="CO269" i="135"/>
  <c r="CO270" i="135"/>
  <c r="CO234" i="135"/>
  <c r="CO230" i="135"/>
  <c r="CO252" i="135"/>
  <c r="CO233" i="135"/>
  <c r="CO232" i="135"/>
  <c r="CO229" i="135"/>
  <c r="CO221" i="135"/>
  <c r="CO217" i="135"/>
  <c r="CO216" i="135"/>
  <c r="CO215" i="135"/>
  <c r="CO214" i="135"/>
  <c r="CO220" i="135"/>
  <c r="CO218" i="135"/>
  <c r="CO227" i="135"/>
  <c r="CO240" i="135"/>
  <c r="CO237" i="135"/>
  <c r="CO241" i="135"/>
  <c r="CO247" i="135"/>
  <c r="CO225" i="135"/>
  <c r="CO219" i="135"/>
  <c r="CO235" i="135"/>
  <c r="CO251" i="135"/>
  <c r="CO256" i="135"/>
  <c r="CO258" i="135"/>
  <c r="CO228" i="135"/>
  <c r="CO223" i="135"/>
  <c r="CO231" i="135"/>
  <c r="CO236" i="135"/>
  <c r="CO242" i="135"/>
  <c r="CO244" i="135"/>
  <c r="CO257" i="135"/>
  <c r="CO239" i="135"/>
  <c r="CO243" i="135"/>
  <c r="CO246" i="135"/>
  <c r="CO248" i="135"/>
  <c r="CO226" i="135"/>
  <c r="CO222" i="135"/>
  <c r="CO238" i="135"/>
  <c r="CO250" i="135"/>
  <c r="CO249" i="135"/>
  <c r="CO255" i="135"/>
  <c r="CO224" i="135"/>
  <c r="CO245" i="135"/>
  <c r="CO263" i="135"/>
  <c r="CO266" i="135"/>
  <c r="CO268" i="135"/>
  <c r="CO259" i="135"/>
  <c r="CO262" i="135"/>
  <c r="CO272" i="135"/>
  <c r="CO260" i="135"/>
  <c r="CO265" i="135"/>
  <c r="CO264" i="135"/>
  <c r="CO254" i="135"/>
  <c r="CO261" i="135"/>
  <c r="CO253" i="135"/>
  <c r="DY267" i="135"/>
  <c r="DY268" i="135"/>
  <c r="DY266" i="135"/>
  <c r="DY258" i="135"/>
  <c r="DY250" i="135"/>
  <c r="DY246" i="135"/>
  <c r="DY249" i="135"/>
  <c r="DY237" i="135"/>
  <c r="DY243" i="135"/>
  <c r="DY241" i="135"/>
  <c r="DY235" i="135"/>
  <c r="DY231" i="135"/>
  <c r="DY224" i="135"/>
  <c r="DY230" i="135"/>
  <c r="DY245" i="135"/>
  <c r="DY239" i="135"/>
  <c r="DY234" i="135"/>
  <c r="DY225" i="135"/>
  <c r="DY217" i="135"/>
  <c r="DY221" i="135"/>
  <c r="DY236" i="135"/>
  <c r="DY242" i="135"/>
  <c r="DY251" i="135"/>
  <c r="DY252" i="135"/>
  <c r="DY214" i="135"/>
  <c r="DY218" i="135"/>
  <c r="DY228" i="135"/>
  <c r="DY222" i="135"/>
  <c r="DY238" i="135"/>
  <c r="DY257" i="135"/>
  <c r="DY253" i="135"/>
  <c r="DY226" i="135"/>
  <c r="DY215" i="135"/>
  <c r="DY223" i="135"/>
  <c r="DY232" i="135"/>
  <c r="DY240" i="135"/>
  <c r="DY233" i="135"/>
  <c r="DY254" i="135"/>
  <c r="DY255" i="135"/>
  <c r="DY216" i="135"/>
  <c r="DY244" i="135"/>
  <c r="DY247" i="135"/>
  <c r="DY219" i="135"/>
  <c r="DY229" i="135"/>
  <c r="DY262" i="135"/>
  <c r="DY264" i="135"/>
  <c r="DY220" i="135"/>
  <c r="DY227" i="135"/>
  <c r="DY260" i="135"/>
  <c r="DY265" i="135"/>
  <c r="DY270" i="135"/>
  <c r="DY271" i="135"/>
  <c r="DY269" i="135"/>
  <c r="DY272" i="135"/>
  <c r="DY259" i="135"/>
  <c r="DY261" i="135"/>
  <c r="DY256" i="135"/>
  <c r="DY248" i="135"/>
  <c r="DY263" i="135"/>
  <c r="CK159" i="135"/>
  <c r="DU159" i="135"/>
  <c r="DW159" i="135"/>
  <c r="DV159" i="135"/>
  <c r="DN159" i="135"/>
  <c r="DT159" i="135"/>
  <c r="EV159" i="135"/>
  <c r="DM159" i="135"/>
  <c r="FC159" i="135"/>
  <c r="CF159" i="135"/>
  <c r="EU160" i="135"/>
  <c r="CA160" i="135"/>
  <c r="DK160" i="135"/>
  <c r="BI159" i="135"/>
  <c r="AX159" i="135"/>
  <c r="BQ159" i="135"/>
  <c r="AU159" i="135"/>
  <c r="BN159" i="135"/>
  <c r="DL159" i="135"/>
  <c r="DR159" i="135"/>
  <c r="DS159" i="135"/>
  <c r="DQ159" i="135"/>
  <c r="FE159" i="135"/>
  <c r="FG159" i="135"/>
  <c r="AM159" i="135"/>
  <c r="BX159" i="135"/>
  <c r="BC159" i="135"/>
  <c r="BH159" i="135"/>
  <c r="AV159" i="135"/>
  <c r="C162" i="135"/>
  <c r="T162" i="135" s="1"/>
  <c r="FB159" i="135"/>
  <c r="DP159" i="135"/>
  <c r="FA159" i="135"/>
  <c r="DO159" i="135"/>
  <c r="CC159" i="135"/>
  <c r="CD159" i="135"/>
  <c r="CB159" i="135"/>
  <c r="CE159" i="135"/>
  <c r="CH159" i="135"/>
  <c r="CM159" i="135"/>
  <c r="CI159" i="135"/>
  <c r="CG159" i="135"/>
  <c r="EZ159" i="135"/>
  <c r="FF159" i="135"/>
  <c r="EX159" i="135"/>
  <c r="EY159" i="135"/>
  <c r="CJ159" i="135"/>
  <c r="EW159" i="135"/>
  <c r="CN37" i="135"/>
  <c r="CN15" i="135"/>
  <c r="DX15" i="135"/>
  <c r="FH15" i="135"/>
  <c r="FI127" i="135"/>
  <c r="FI126" i="135"/>
  <c r="CO126" i="135"/>
  <c r="CO127" i="135"/>
  <c r="DY126" i="135"/>
  <c r="DY127" i="135"/>
  <c r="CN34" i="135"/>
  <c r="FH25" i="135"/>
  <c r="CN25" i="135"/>
  <c r="FI71" i="135"/>
  <c r="FI70" i="135"/>
  <c r="FI69" i="135"/>
  <c r="FI72" i="135"/>
  <c r="CO69" i="135"/>
  <c r="CO71" i="135"/>
  <c r="CO70" i="135"/>
  <c r="CO72" i="135"/>
  <c r="DY69" i="135"/>
  <c r="DY70" i="135"/>
  <c r="DY71" i="135"/>
  <c r="DY72" i="135"/>
  <c r="CN30" i="135"/>
  <c r="DX30" i="135"/>
  <c r="CN36" i="135"/>
  <c r="FH30" i="135"/>
  <c r="CN31" i="135"/>
  <c r="CN32" i="135"/>
  <c r="DX36" i="135"/>
  <c r="CN33" i="135"/>
  <c r="FH36" i="135"/>
  <c r="CN26" i="135"/>
  <c r="CN35" i="135"/>
  <c r="CO124" i="135"/>
  <c r="CO128" i="135"/>
  <c r="CO122" i="135"/>
  <c r="CO151" i="135"/>
  <c r="CO121" i="135"/>
  <c r="CO129" i="135"/>
  <c r="CO125" i="135"/>
  <c r="CO123" i="135"/>
  <c r="CO108" i="135"/>
  <c r="CO141" i="135"/>
  <c r="CO148" i="135"/>
  <c r="CO135" i="135"/>
  <c r="CO111" i="135"/>
  <c r="CO147" i="135"/>
  <c r="CO132" i="135"/>
  <c r="CO110" i="135"/>
  <c r="CO150" i="135"/>
  <c r="CO144" i="135"/>
  <c r="CO116" i="135"/>
  <c r="CO118" i="135"/>
  <c r="CO136" i="135"/>
  <c r="CO114" i="135"/>
  <c r="CO138" i="135"/>
  <c r="CO112" i="135"/>
  <c r="CO152" i="135"/>
  <c r="CO134" i="135"/>
  <c r="CO131" i="135"/>
  <c r="CO113" i="135"/>
  <c r="CO107" i="135"/>
  <c r="CO154" i="135"/>
  <c r="CO130" i="135"/>
  <c r="CO155" i="135"/>
  <c r="CO153" i="135"/>
  <c r="CO133" i="135"/>
  <c r="CO119" i="135"/>
  <c r="CO137" i="135"/>
  <c r="CO143" i="135"/>
  <c r="CO157" i="135"/>
  <c r="CO149" i="135"/>
  <c r="CO117" i="135"/>
  <c r="CO145" i="135"/>
  <c r="CO109" i="135"/>
  <c r="CO158" i="135"/>
  <c r="CO142" i="135"/>
  <c r="CO146" i="135"/>
  <c r="CO106" i="135"/>
  <c r="CO156" i="135"/>
  <c r="CO139" i="135"/>
  <c r="CO115" i="135"/>
  <c r="CO159" i="135"/>
  <c r="CO140" i="135"/>
  <c r="CO120" i="135"/>
  <c r="FH31" i="135"/>
  <c r="DX31" i="135"/>
  <c r="FI122" i="135"/>
  <c r="FI124" i="135"/>
  <c r="FI128" i="135"/>
  <c r="FI123" i="135"/>
  <c r="FI125" i="135"/>
  <c r="FI151" i="135"/>
  <c r="FI144" i="135"/>
  <c r="FI108" i="135"/>
  <c r="FI111" i="135"/>
  <c r="FI147" i="135"/>
  <c r="FI141" i="135"/>
  <c r="FI148" i="135"/>
  <c r="FI129" i="135"/>
  <c r="FI118" i="135"/>
  <c r="FI116" i="135"/>
  <c r="FI135" i="135"/>
  <c r="FI132" i="135"/>
  <c r="FI115" i="135"/>
  <c r="FI159" i="135"/>
  <c r="FI154" i="135"/>
  <c r="FI155" i="135"/>
  <c r="FI138" i="135"/>
  <c r="FI110" i="135"/>
  <c r="FI130" i="135"/>
  <c r="FI112" i="135"/>
  <c r="FI131" i="135"/>
  <c r="FI136" i="135"/>
  <c r="FI134" i="135"/>
  <c r="FI152" i="135"/>
  <c r="FI153" i="135"/>
  <c r="FI137" i="135"/>
  <c r="FI107" i="135"/>
  <c r="FI119" i="135"/>
  <c r="FI149" i="135"/>
  <c r="FI113" i="135"/>
  <c r="FI145" i="135"/>
  <c r="FI157" i="135"/>
  <c r="FI117" i="135"/>
  <c r="FI114" i="135"/>
  <c r="FI133" i="135"/>
  <c r="FI143" i="135"/>
  <c r="FI121" i="135"/>
  <c r="FI109" i="135"/>
  <c r="FI146" i="135"/>
  <c r="FI158" i="135"/>
  <c r="FI106" i="135"/>
  <c r="FI142" i="135"/>
  <c r="FI156" i="135"/>
  <c r="FI120" i="135"/>
  <c r="FI139" i="135"/>
  <c r="FI140" i="135"/>
  <c r="FI150" i="135"/>
  <c r="DX32" i="135"/>
  <c r="DX33" i="135"/>
  <c r="FH28" i="135"/>
  <c r="FH37" i="135"/>
  <c r="FH26" i="135"/>
  <c r="FH35" i="135"/>
  <c r="DY128" i="135"/>
  <c r="DY151" i="135"/>
  <c r="DY122" i="135"/>
  <c r="DY123" i="135"/>
  <c r="DY125" i="135"/>
  <c r="DY124" i="135"/>
  <c r="DY135" i="135"/>
  <c r="DY141" i="135"/>
  <c r="DY144" i="135"/>
  <c r="DY132" i="135"/>
  <c r="DY159" i="135"/>
  <c r="DY150" i="135"/>
  <c r="DY115" i="135"/>
  <c r="DY118" i="135"/>
  <c r="DY110" i="135"/>
  <c r="DY136" i="135"/>
  <c r="DY134" i="135"/>
  <c r="DY155" i="135"/>
  <c r="DY138" i="135"/>
  <c r="DY129" i="135"/>
  <c r="DY107" i="135"/>
  <c r="DY154" i="135"/>
  <c r="DY130" i="135"/>
  <c r="DY112" i="135"/>
  <c r="DY131" i="135"/>
  <c r="DY152" i="135"/>
  <c r="DY153" i="135"/>
  <c r="DY113" i="135"/>
  <c r="DY137" i="135"/>
  <c r="DY157" i="135"/>
  <c r="DY149" i="135"/>
  <c r="DY114" i="135"/>
  <c r="DY133" i="135"/>
  <c r="DY119" i="135"/>
  <c r="DY143" i="135"/>
  <c r="DY117" i="135"/>
  <c r="DY106" i="135"/>
  <c r="DY156" i="135"/>
  <c r="DY109" i="135"/>
  <c r="DY142" i="135"/>
  <c r="DY146" i="135"/>
  <c r="DY158" i="135"/>
  <c r="DY121" i="135"/>
  <c r="DY120" i="135"/>
  <c r="DY139" i="135"/>
  <c r="DY147" i="135"/>
  <c r="DY148" i="135"/>
  <c r="DY145" i="135"/>
  <c r="DY108" i="135"/>
  <c r="DY140" i="135"/>
  <c r="DY116" i="135"/>
  <c r="DY111" i="135"/>
  <c r="FH32" i="135"/>
  <c r="DX28" i="135"/>
  <c r="DX37" i="135"/>
  <c r="DX26" i="135"/>
  <c r="DX35" i="135"/>
  <c r="FH33" i="135"/>
  <c r="CN22" i="135"/>
  <c r="FH27" i="135"/>
  <c r="FH22" i="135"/>
  <c r="DX23" i="135"/>
  <c r="CN27" i="135"/>
  <c r="FH23" i="135"/>
  <c r="DX24" i="135"/>
  <c r="CN28" i="135"/>
  <c r="CN24" i="135"/>
  <c r="FH24" i="135"/>
  <c r="DX22" i="135"/>
  <c r="DX27" i="135"/>
  <c r="CN23" i="135"/>
  <c r="FI61" i="135"/>
  <c r="FI60" i="135"/>
  <c r="FI62" i="135"/>
  <c r="FI63" i="135"/>
  <c r="FI64" i="135"/>
  <c r="FI65" i="135"/>
  <c r="FI66" i="135"/>
  <c r="FI67" i="135"/>
  <c r="FI68" i="135"/>
  <c r="FI73" i="135"/>
  <c r="FI75" i="135"/>
  <c r="FI74" i="135"/>
  <c r="FI76" i="135"/>
  <c r="FI77" i="135"/>
  <c r="FI78" i="135"/>
  <c r="FI79" i="135"/>
  <c r="FI80" i="135"/>
  <c r="FI81" i="135"/>
  <c r="FI82" i="135"/>
  <c r="FI83" i="135"/>
  <c r="FI84" i="135"/>
  <c r="FI85" i="135"/>
  <c r="FI86" i="135"/>
  <c r="FI87" i="135"/>
  <c r="FI88" i="135"/>
  <c r="FI89" i="135"/>
  <c r="FI90" i="135"/>
  <c r="FI91" i="135"/>
  <c r="FI92" i="135"/>
  <c r="FI93" i="135"/>
  <c r="FI94" i="135"/>
  <c r="FI95" i="135"/>
  <c r="CO63" i="135"/>
  <c r="CO60" i="135"/>
  <c r="CO62" i="135"/>
  <c r="CO61" i="135"/>
  <c r="CO64" i="135"/>
  <c r="CO65" i="135"/>
  <c r="CO66" i="135"/>
  <c r="CO67" i="135"/>
  <c r="CO68" i="135"/>
  <c r="CO73" i="135"/>
  <c r="CO74" i="135"/>
  <c r="CO75" i="135"/>
  <c r="CO76" i="135"/>
  <c r="CO77" i="135"/>
  <c r="CO78" i="135"/>
  <c r="CO79" i="135"/>
  <c r="CO80" i="135"/>
  <c r="CO81" i="135"/>
  <c r="CO82" i="135"/>
  <c r="CO84" i="135"/>
  <c r="CO83" i="135"/>
  <c r="CO85" i="135"/>
  <c r="CO86" i="135"/>
  <c r="CO87" i="135"/>
  <c r="CO88" i="135"/>
  <c r="CO89" i="135"/>
  <c r="CO90" i="135"/>
  <c r="CO91" i="135"/>
  <c r="CO92" i="135"/>
  <c r="CO93" i="135"/>
  <c r="CO94" i="135"/>
  <c r="CO95" i="135"/>
  <c r="DY61" i="135"/>
  <c r="DY60" i="135"/>
  <c r="DY62" i="135"/>
  <c r="DY63" i="135"/>
  <c r="DY64" i="135"/>
  <c r="DY65" i="135"/>
  <c r="DY66" i="135"/>
  <c r="DY67" i="135"/>
  <c r="DY68" i="135"/>
  <c r="DY73" i="135"/>
  <c r="DY74" i="135"/>
  <c r="DY75" i="135"/>
  <c r="DY76" i="135"/>
  <c r="DY77" i="135"/>
  <c r="DY78" i="135"/>
  <c r="DY79" i="135"/>
  <c r="DY80" i="135"/>
  <c r="DY81" i="135"/>
  <c r="DY82" i="135"/>
  <c r="DY83" i="135"/>
  <c r="DY84" i="135"/>
  <c r="DY85" i="135"/>
  <c r="DY86" i="135"/>
  <c r="DY87" i="135"/>
  <c r="DY88" i="135"/>
  <c r="DY89" i="135"/>
  <c r="DY91" i="135"/>
  <c r="DY90" i="135"/>
  <c r="DY92" i="135"/>
  <c r="DY93" i="135"/>
  <c r="DY94" i="135"/>
  <c r="DY95" i="135"/>
  <c r="C97" i="135"/>
  <c r="T97" i="135" s="1"/>
  <c r="FI51" i="135"/>
  <c r="FI56" i="135"/>
  <c r="FI50" i="135"/>
  <c r="FI55" i="135"/>
  <c r="FI57" i="135"/>
  <c r="FI58" i="135"/>
  <c r="FI54" i="135"/>
  <c r="FI59" i="135"/>
  <c r="FI53" i="135"/>
  <c r="FI52" i="135"/>
  <c r="CO51" i="135"/>
  <c r="CO56" i="135"/>
  <c r="CO50" i="135"/>
  <c r="CO55" i="135"/>
  <c r="CO57" i="135"/>
  <c r="CO54" i="135"/>
  <c r="CO59" i="135"/>
  <c r="CO58" i="135"/>
  <c r="CO53" i="135"/>
  <c r="CO52" i="135"/>
  <c r="DY56" i="135"/>
  <c r="DY51" i="135"/>
  <c r="DY57" i="135"/>
  <c r="DY50" i="135"/>
  <c r="DY55" i="135"/>
  <c r="DY52" i="135"/>
  <c r="DY58" i="135"/>
  <c r="DY59" i="135"/>
  <c r="DY53" i="135"/>
  <c r="DY54" i="135"/>
  <c r="CO49" i="135"/>
  <c r="DY49" i="135"/>
  <c r="FI49" i="135"/>
  <c r="DW14" i="135"/>
  <c r="CL14" i="135"/>
  <c r="DT14" i="135"/>
  <c r="DV14" i="135"/>
  <c r="DU14" i="135"/>
  <c r="FE14" i="135"/>
  <c r="FH21" i="135"/>
  <c r="FH14" i="135"/>
  <c r="FG14" i="135"/>
  <c r="CA14" i="135"/>
  <c r="CB14" i="135"/>
  <c r="FC14" i="135"/>
  <c r="FB14" i="135"/>
  <c r="CN14" i="135"/>
  <c r="CN21" i="135"/>
  <c r="FA14" i="135"/>
  <c r="EZ14" i="135"/>
  <c r="CM14" i="135"/>
  <c r="CK14" i="135"/>
  <c r="CH14" i="135"/>
  <c r="DR14" i="135"/>
  <c r="FF14" i="135"/>
  <c r="FD14" i="135"/>
  <c r="DX21" i="135"/>
  <c r="DX14" i="135"/>
  <c r="DK14" i="135"/>
  <c r="EV14" i="135"/>
  <c r="DO14" i="135"/>
  <c r="FJ8" i="135"/>
  <c r="DZ8" i="135"/>
  <c r="CP8" i="135"/>
  <c r="FG273" i="135" l="1"/>
  <c r="FB273" i="135"/>
  <c r="FF273" i="135"/>
  <c r="FA273" i="135"/>
  <c r="FI273" i="135"/>
  <c r="FE273" i="135"/>
  <c r="EX273" i="135"/>
  <c r="BI273" i="135"/>
  <c r="FC273" i="135"/>
  <c r="EW273" i="135"/>
  <c r="FD273" i="135"/>
  <c r="EZ273" i="135"/>
  <c r="EY273" i="135"/>
  <c r="CL273" i="135"/>
  <c r="BP273" i="135"/>
  <c r="CO273" i="135"/>
  <c r="BN273" i="135"/>
  <c r="CI273" i="135"/>
  <c r="CJ273" i="135"/>
  <c r="CH273" i="135"/>
  <c r="CM273" i="135"/>
  <c r="CK273" i="135"/>
  <c r="DR273" i="135"/>
  <c r="DQ273" i="135"/>
  <c r="DP273" i="135"/>
  <c r="DM273" i="135"/>
  <c r="CG273" i="135"/>
  <c r="CF273" i="135"/>
  <c r="AW273" i="135"/>
  <c r="CD273" i="135"/>
  <c r="CC273" i="135"/>
  <c r="BD273" i="135"/>
  <c r="CE273" i="135"/>
  <c r="DY273" i="135"/>
  <c r="DW273" i="135"/>
  <c r="DU273" i="135"/>
  <c r="AN273" i="135"/>
  <c r="Q273" i="135" s="1"/>
  <c r="DV273" i="135"/>
  <c r="DT273" i="135"/>
  <c r="DS273" i="135"/>
  <c r="DN273" i="135"/>
  <c r="AF274" i="135"/>
  <c r="AM274" i="135" s="1"/>
  <c r="BP274" i="135" s="1"/>
  <c r="DO273" i="135"/>
  <c r="AI274" i="135"/>
  <c r="AV274" i="135" s="1"/>
  <c r="AC274" i="135"/>
  <c r="X274" i="135"/>
  <c r="CO274" i="135" s="1"/>
  <c r="AD274" i="135"/>
  <c r="AK275" i="135"/>
  <c r="T275" i="135"/>
  <c r="AI275" i="135" s="1"/>
  <c r="U275" i="135"/>
  <c r="V275" i="135"/>
  <c r="AL275" i="135"/>
  <c r="AF275" i="135"/>
  <c r="AM275" i="135" s="1"/>
  <c r="AG274" i="135"/>
  <c r="AB274" i="135"/>
  <c r="AX273" i="135"/>
  <c r="AH274" i="135"/>
  <c r="Z274" i="135"/>
  <c r="FI274" i="135" s="1"/>
  <c r="AU274" i="135"/>
  <c r="BN274" i="135"/>
  <c r="BQ273" i="135"/>
  <c r="Y274" i="135"/>
  <c r="DY274" i="135" s="1"/>
  <c r="CA274" i="135"/>
  <c r="DK274" i="135"/>
  <c r="EU274" i="135"/>
  <c r="EV274" i="135"/>
  <c r="CB274" i="135"/>
  <c r="DL274" i="135"/>
  <c r="FI25" i="135"/>
  <c r="DY25" i="135"/>
  <c r="AM37" i="135"/>
  <c r="AH96" i="135"/>
  <c r="AG96" i="135"/>
  <c r="AH161" i="135"/>
  <c r="AB96" i="135"/>
  <c r="X161" i="135"/>
  <c r="CB161" i="135" s="1"/>
  <c r="Z161" i="135"/>
  <c r="EZ161" i="135" s="1"/>
  <c r="AB161" i="135"/>
  <c r="AI162" i="135"/>
  <c r="V162" i="135"/>
  <c r="U162" i="135"/>
  <c r="AL162" i="135"/>
  <c r="AK162" i="135"/>
  <c r="Z96" i="135"/>
  <c r="FI96" i="135" s="1"/>
  <c r="X96" i="135"/>
  <c r="CK96" i="135" s="1"/>
  <c r="AI96" i="135"/>
  <c r="AV96" i="135" s="1"/>
  <c r="AC161" i="135"/>
  <c r="Y161" i="135"/>
  <c r="DZ161" i="135" s="1"/>
  <c r="AD161" i="135"/>
  <c r="U97" i="135"/>
  <c r="V97" i="135"/>
  <c r="AL97" i="135"/>
  <c r="AJ97" i="135"/>
  <c r="AK97" i="135"/>
  <c r="Y96" i="135"/>
  <c r="DM96" i="135" s="1"/>
  <c r="AF96" i="135"/>
  <c r="AM96" i="135" s="1"/>
  <c r="BD96" i="135" s="1"/>
  <c r="AD96" i="135"/>
  <c r="AC96" i="135"/>
  <c r="AG161" i="135"/>
  <c r="AJ161" i="135"/>
  <c r="AI161" i="135"/>
  <c r="DY160" i="135"/>
  <c r="FI160" i="135"/>
  <c r="FA160" i="135"/>
  <c r="FE160" i="135"/>
  <c r="CO160" i="135"/>
  <c r="CK160" i="135"/>
  <c r="DY34" i="135"/>
  <c r="FJ268" i="135"/>
  <c r="FJ267" i="135"/>
  <c r="FJ265" i="135"/>
  <c r="FJ258" i="135"/>
  <c r="FJ243" i="135"/>
  <c r="FJ241" i="135"/>
  <c r="FJ239" i="135"/>
  <c r="FJ237" i="135"/>
  <c r="FJ244" i="135"/>
  <c r="FJ240" i="135"/>
  <c r="FJ236" i="135"/>
  <c r="FJ242" i="135"/>
  <c r="FJ222" i="135"/>
  <c r="FJ216" i="135"/>
  <c r="FJ228" i="135"/>
  <c r="FJ220" i="135"/>
  <c r="FJ224" i="135"/>
  <c r="FJ257" i="135"/>
  <c r="FJ246" i="135"/>
  <c r="FJ226" i="135"/>
  <c r="FJ217" i="135"/>
  <c r="FJ221" i="135"/>
  <c r="FJ232" i="135"/>
  <c r="FJ235" i="135"/>
  <c r="FJ234" i="135"/>
  <c r="FJ245" i="135"/>
  <c r="FJ250" i="135"/>
  <c r="FJ249" i="135"/>
  <c r="FJ254" i="135"/>
  <c r="FJ255" i="135"/>
  <c r="FJ219" i="135"/>
  <c r="FJ214" i="135"/>
  <c r="FJ218" i="135"/>
  <c r="FJ227" i="135"/>
  <c r="FJ231" i="135"/>
  <c r="FJ230" i="135"/>
  <c r="FJ247" i="135"/>
  <c r="FJ225" i="135"/>
  <c r="FJ229" i="135"/>
  <c r="FJ248" i="135"/>
  <c r="FJ253" i="135"/>
  <c r="FJ233" i="135"/>
  <c r="FJ251" i="135"/>
  <c r="FJ260" i="135"/>
  <c r="FJ238" i="135"/>
  <c r="FJ215" i="135"/>
  <c r="FJ223" i="135"/>
  <c r="FJ261" i="135"/>
  <c r="FJ274" i="135"/>
  <c r="FJ266" i="135"/>
  <c r="FJ271" i="135"/>
  <c r="FJ273" i="135"/>
  <c r="FJ264" i="135"/>
  <c r="FJ272" i="135"/>
  <c r="FJ263" i="135"/>
  <c r="FJ269" i="135"/>
  <c r="FJ270" i="135"/>
  <c r="FJ252" i="135"/>
  <c r="FJ259" i="135"/>
  <c r="FJ262" i="135"/>
  <c r="FJ256" i="135"/>
  <c r="CP272" i="135"/>
  <c r="CP267" i="135"/>
  <c r="CP266" i="135"/>
  <c r="CP268" i="135"/>
  <c r="CP263" i="135"/>
  <c r="CP261" i="135"/>
  <c r="CP264" i="135"/>
  <c r="CP262" i="135"/>
  <c r="CP258" i="135"/>
  <c r="CP259" i="135"/>
  <c r="CP260" i="135"/>
  <c r="CP249" i="135"/>
  <c r="CP253" i="135"/>
  <c r="CP255" i="135"/>
  <c r="CP254" i="135"/>
  <c r="CP247" i="135"/>
  <c r="CP251" i="135"/>
  <c r="CP248" i="135"/>
  <c r="CP220" i="135"/>
  <c r="CP221" i="135"/>
  <c r="CP226" i="135"/>
  <c r="CP223" i="135"/>
  <c r="CP222" i="135"/>
  <c r="CP219" i="135"/>
  <c r="CP214" i="135"/>
  <c r="CP218" i="135"/>
  <c r="CP227" i="135"/>
  <c r="CP230" i="135"/>
  <c r="CP246" i="135"/>
  <c r="CP215" i="135"/>
  <c r="CP228" i="135"/>
  <c r="CP236" i="135"/>
  <c r="CP242" i="135"/>
  <c r="CP244" i="135"/>
  <c r="CP229" i="135"/>
  <c r="CP233" i="135"/>
  <c r="CP239" i="135"/>
  <c r="CP243" i="135"/>
  <c r="CP245" i="135"/>
  <c r="CP250" i="135"/>
  <c r="CP252" i="135"/>
  <c r="CP216" i="135"/>
  <c r="CP224" i="135"/>
  <c r="CP238" i="135"/>
  <c r="CP232" i="135"/>
  <c r="CP235" i="135"/>
  <c r="CP217" i="135"/>
  <c r="CP225" i="135"/>
  <c r="CP231" i="135"/>
  <c r="CP240" i="135"/>
  <c r="CP234" i="135"/>
  <c r="CP237" i="135"/>
  <c r="CP256" i="135"/>
  <c r="CP257" i="135"/>
  <c r="CP265" i="135"/>
  <c r="CP269" i="135"/>
  <c r="CP274" i="135"/>
  <c r="CP273" i="135"/>
  <c r="CP270" i="135"/>
  <c r="CP271" i="135"/>
  <c r="CP241" i="135"/>
  <c r="FG160" i="135"/>
  <c r="EY160" i="135"/>
  <c r="DZ271" i="135"/>
  <c r="DZ270" i="135"/>
  <c r="DZ259" i="135"/>
  <c r="DZ252" i="135"/>
  <c r="DZ234" i="135"/>
  <c r="DZ230" i="135"/>
  <c r="DZ233" i="135"/>
  <c r="DZ220" i="135"/>
  <c r="DZ216" i="135"/>
  <c r="DZ214" i="135"/>
  <c r="DZ229" i="135"/>
  <c r="DZ218" i="135"/>
  <c r="DZ217" i="135"/>
  <c r="DZ221" i="135"/>
  <c r="DZ215" i="135"/>
  <c r="DZ225" i="135"/>
  <c r="DZ231" i="135"/>
  <c r="DZ251" i="135"/>
  <c r="DZ228" i="135"/>
  <c r="DZ223" i="135"/>
  <c r="DZ236" i="135"/>
  <c r="DZ242" i="135"/>
  <c r="DZ244" i="135"/>
  <c r="DZ257" i="135"/>
  <c r="DZ239" i="135"/>
  <c r="DZ243" i="135"/>
  <c r="DZ246" i="135"/>
  <c r="DZ248" i="135"/>
  <c r="DZ226" i="135"/>
  <c r="DZ222" i="135"/>
  <c r="DZ238" i="135"/>
  <c r="DZ224" i="135"/>
  <c r="DZ245" i="135"/>
  <c r="DZ250" i="135"/>
  <c r="DZ253" i="135"/>
  <c r="DZ254" i="135"/>
  <c r="DZ255" i="135"/>
  <c r="DZ258" i="135"/>
  <c r="DZ227" i="135"/>
  <c r="DZ235" i="135"/>
  <c r="DZ247" i="135"/>
  <c r="DZ219" i="135"/>
  <c r="DZ232" i="135"/>
  <c r="DZ240" i="135"/>
  <c r="DZ256" i="135"/>
  <c r="DZ241" i="135"/>
  <c r="DZ260" i="135"/>
  <c r="DZ265" i="135"/>
  <c r="DZ264" i="135"/>
  <c r="DZ267" i="135"/>
  <c r="DZ273" i="135"/>
  <c r="DZ274" i="135"/>
  <c r="DZ268" i="135"/>
  <c r="DZ269" i="135"/>
  <c r="DZ263" i="135"/>
  <c r="DZ266" i="135"/>
  <c r="DZ262" i="135"/>
  <c r="DZ261" i="135"/>
  <c r="DZ272" i="135"/>
  <c r="DZ237" i="135"/>
  <c r="DZ249" i="135"/>
  <c r="CG160" i="135"/>
  <c r="CD160" i="135"/>
  <c r="CM160" i="135"/>
  <c r="FB160" i="135"/>
  <c r="CF160" i="135"/>
  <c r="FC160" i="135"/>
  <c r="C163" i="135"/>
  <c r="T163" i="135" s="1"/>
  <c r="AN159" i="135"/>
  <c r="Q159" i="135" s="1"/>
  <c r="BD159" i="135"/>
  <c r="AW159" i="135"/>
  <c r="AQ159" i="135" s="1"/>
  <c r="BY159" i="135"/>
  <c r="BP159" i="135"/>
  <c r="BQ160" i="135"/>
  <c r="AW160" i="135"/>
  <c r="AN160" i="135"/>
  <c r="Q160" i="135" s="1"/>
  <c r="BP160" i="135"/>
  <c r="BD160" i="135"/>
  <c r="BY160" i="135"/>
  <c r="EZ160" i="135"/>
  <c r="AM161" i="135"/>
  <c r="AX160" i="135"/>
  <c r="BI160" i="135"/>
  <c r="DV160" i="135"/>
  <c r="DT160" i="135"/>
  <c r="DR160" i="135"/>
  <c r="DL160" i="135"/>
  <c r="DX160" i="135"/>
  <c r="DO160" i="135"/>
  <c r="DN160" i="135"/>
  <c r="AU160" i="135"/>
  <c r="BN160" i="135"/>
  <c r="CL160" i="135"/>
  <c r="CI160" i="135"/>
  <c r="CH160" i="135"/>
  <c r="CE160" i="135"/>
  <c r="CC160" i="135"/>
  <c r="CN160" i="135"/>
  <c r="CB160" i="135"/>
  <c r="DP160" i="135"/>
  <c r="DS160" i="135"/>
  <c r="DK161" i="135"/>
  <c r="CA161" i="135"/>
  <c r="EU161" i="135"/>
  <c r="DU160" i="135"/>
  <c r="BH160" i="135"/>
  <c r="BC160" i="135"/>
  <c r="AV160" i="135"/>
  <c r="BX160" i="135"/>
  <c r="FF160" i="135"/>
  <c r="EW160" i="135"/>
  <c r="EX160" i="135"/>
  <c r="FH160" i="135"/>
  <c r="EV160" i="135"/>
  <c r="DM160" i="135"/>
  <c r="DQ160" i="135"/>
  <c r="CO35" i="135"/>
  <c r="CO15" i="135"/>
  <c r="FI15" i="135"/>
  <c r="DY15" i="135"/>
  <c r="BN96" i="135"/>
  <c r="FJ126" i="135"/>
  <c r="FJ127" i="135"/>
  <c r="FI34" i="135"/>
  <c r="DZ127" i="135"/>
  <c r="DZ126" i="135"/>
  <c r="CP127" i="135"/>
  <c r="CP126" i="135"/>
  <c r="CO34" i="135"/>
  <c r="FJ71" i="135"/>
  <c r="FJ70" i="135"/>
  <c r="FJ69" i="135"/>
  <c r="FJ72" i="135"/>
  <c r="CP70" i="135"/>
  <c r="CP71" i="135"/>
  <c r="CP69" i="135"/>
  <c r="CP72" i="135"/>
  <c r="DZ70" i="135"/>
  <c r="DZ71" i="135"/>
  <c r="DZ72" i="135"/>
  <c r="DZ69" i="135"/>
  <c r="CO25" i="135"/>
  <c r="CO37" i="135"/>
  <c r="CO31" i="135"/>
  <c r="FI31" i="135"/>
  <c r="FI36" i="135"/>
  <c r="CO30" i="135"/>
  <c r="DY36" i="135"/>
  <c r="DY30" i="135"/>
  <c r="DY31" i="135"/>
  <c r="CO32" i="135"/>
  <c r="DZ121" i="135"/>
  <c r="DZ151" i="135"/>
  <c r="DZ124" i="135"/>
  <c r="DZ128" i="135"/>
  <c r="DZ122" i="135"/>
  <c r="DZ129" i="135"/>
  <c r="DZ123" i="135"/>
  <c r="DZ125" i="135"/>
  <c r="DZ141" i="135"/>
  <c r="DZ135" i="135"/>
  <c r="DZ150" i="135"/>
  <c r="DZ118" i="135"/>
  <c r="DZ144" i="135"/>
  <c r="DZ159" i="135"/>
  <c r="DZ115" i="135"/>
  <c r="DZ132" i="135"/>
  <c r="DZ110" i="135"/>
  <c r="DZ154" i="135"/>
  <c r="DZ112" i="135"/>
  <c r="DZ152" i="135"/>
  <c r="DZ136" i="135"/>
  <c r="DZ131" i="135"/>
  <c r="DZ107" i="135"/>
  <c r="DZ134" i="135"/>
  <c r="DZ130" i="135"/>
  <c r="DZ155" i="135"/>
  <c r="DZ153" i="135"/>
  <c r="DZ114" i="135"/>
  <c r="DZ138" i="135"/>
  <c r="DZ137" i="135"/>
  <c r="DZ143" i="135"/>
  <c r="DZ117" i="135"/>
  <c r="DZ119" i="135"/>
  <c r="DZ157" i="135"/>
  <c r="DZ113" i="135"/>
  <c r="DZ133" i="135"/>
  <c r="DZ149" i="135"/>
  <c r="DZ142" i="135"/>
  <c r="DZ146" i="135"/>
  <c r="DZ106" i="135"/>
  <c r="DZ156" i="135"/>
  <c r="DZ109" i="135"/>
  <c r="DZ158" i="135"/>
  <c r="DZ116" i="135"/>
  <c r="DZ148" i="135"/>
  <c r="DZ145" i="135"/>
  <c r="DZ147" i="135"/>
  <c r="DZ160" i="135"/>
  <c r="DZ120" i="135"/>
  <c r="DZ111" i="135"/>
  <c r="DZ139" i="135"/>
  <c r="DZ108" i="135"/>
  <c r="DZ140" i="135"/>
  <c r="DY28" i="135"/>
  <c r="DY37" i="135"/>
  <c r="DY26" i="135"/>
  <c r="DY35" i="135"/>
  <c r="CO33" i="135"/>
  <c r="CP128" i="135"/>
  <c r="CP124" i="135"/>
  <c r="CP121" i="135"/>
  <c r="CP151" i="135"/>
  <c r="CP122" i="135"/>
  <c r="CP125" i="135"/>
  <c r="CP123" i="135"/>
  <c r="CP135" i="135"/>
  <c r="CP141" i="135"/>
  <c r="CP148" i="135"/>
  <c r="CP144" i="135"/>
  <c r="CP147" i="135"/>
  <c r="CP132" i="135"/>
  <c r="CP118" i="135"/>
  <c r="CP150" i="135"/>
  <c r="CP155" i="135"/>
  <c r="CP138" i="135"/>
  <c r="CP136" i="135"/>
  <c r="CP107" i="135"/>
  <c r="CP152" i="135"/>
  <c r="CP134" i="135"/>
  <c r="CP154" i="135"/>
  <c r="CP130" i="135"/>
  <c r="CP131" i="135"/>
  <c r="CP153" i="135"/>
  <c r="CP114" i="135"/>
  <c r="CP112" i="135"/>
  <c r="CP137" i="135"/>
  <c r="CP133" i="135"/>
  <c r="CP119" i="135"/>
  <c r="CP129" i="135"/>
  <c r="CP149" i="135"/>
  <c r="CP117" i="135"/>
  <c r="CP157" i="135"/>
  <c r="CP113" i="135"/>
  <c r="CP143" i="135"/>
  <c r="CP145" i="135"/>
  <c r="CP142" i="135"/>
  <c r="CP156" i="135"/>
  <c r="CP146" i="135"/>
  <c r="CP106" i="135"/>
  <c r="CP109" i="135"/>
  <c r="CP158" i="135"/>
  <c r="CP120" i="135"/>
  <c r="CP116" i="135"/>
  <c r="CP159" i="135"/>
  <c r="CP111" i="135"/>
  <c r="CP160" i="135"/>
  <c r="CP110" i="135"/>
  <c r="CP108" i="135"/>
  <c r="CP139" i="135"/>
  <c r="CP140" i="135"/>
  <c r="CP115" i="135"/>
  <c r="FJ151" i="135"/>
  <c r="FJ128" i="135"/>
  <c r="FJ122" i="135"/>
  <c r="FJ124" i="135"/>
  <c r="FJ125" i="135"/>
  <c r="FJ121" i="135"/>
  <c r="FJ123" i="135"/>
  <c r="FJ129" i="135"/>
  <c r="FJ141" i="135"/>
  <c r="FJ108" i="135"/>
  <c r="FJ148" i="135"/>
  <c r="FJ111" i="135"/>
  <c r="FJ147" i="135"/>
  <c r="FJ135" i="135"/>
  <c r="FJ132" i="135"/>
  <c r="FJ118" i="135"/>
  <c r="FJ116" i="135"/>
  <c r="FJ159" i="135"/>
  <c r="FJ144" i="135"/>
  <c r="FJ115" i="135"/>
  <c r="FJ160" i="135"/>
  <c r="FJ136" i="135"/>
  <c r="FJ134" i="135"/>
  <c r="FJ130" i="135"/>
  <c r="FJ131" i="135"/>
  <c r="FJ152" i="135"/>
  <c r="FJ114" i="135"/>
  <c r="FJ138" i="135"/>
  <c r="FJ107" i="135"/>
  <c r="FJ154" i="135"/>
  <c r="FJ112" i="135"/>
  <c r="FJ153" i="135"/>
  <c r="FJ110" i="135"/>
  <c r="FJ113" i="135"/>
  <c r="FJ155" i="135"/>
  <c r="FJ137" i="135"/>
  <c r="FJ157" i="135"/>
  <c r="FJ149" i="135"/>
  <c r="FJ133" i="135"/>
  <c r="FJ145" i="135"/>
  <c r="FJ143" i="135"/>
  <c r="FJ117" i="135"/>
  <c r="FJ119" i="135"/>
  <c r="FJ109" i="135"/>
  <c r="FJ142" i="135"/>
  <c r="FJ146" i="135"/>
  <c r="FJ156" i="135"/>
  <c r="FJ106" i="135"/>
  <c r="FJ158" i="135"/>
  <c r="FJ120" i="135"/>
  <c r="FJ150" i="135"/>
  <c r="FJ139" i="135"/>
  <c r="FJ140" i="135"/>
  <c r="DY33" i="135"/>
  <c r="FI30" i="135"/>
  <c r="DY32" i="135"/>
  <c r="FI32" i="135"/>
  <c r="CO36" i="135"/>
  <c r="FI28" i="135"/>
  <c r="FI37" i="135"/>
  <c r="FI26" i="135"/>
  <c r="FI35" i="135"/>
  <c r="FI33" i="135"/>
  <c r="FI22" i="135"/>
  <c r="DY24" i="135"/>
  <c r="DY22" i="135"/>
  <c r="DY27" i="135"/>
  <c r="CO28" i="135"/>
  <c r="CO26" i="135"/>
  <c r="CO23" i="135"/>
  <c r="FI23" i="135"/>
  <c r="CO24" i="135"/>
  <c r="FI27" i="135"/>
  <c r="DY23" i="135"/>
  <c r="CO22" i="135"/>
  <c r="CO27" i="135"/>
  <c r="FI24" i="135"/>
  <c r="CP63" i="135"/>
  <c r="CP61" i="135"/>
  <c r="CP62" i="135"/>
  <c r="CP60" i="135"/>
  <c r="CP64" i="135"/>
  <c r="CP65" i="135"/>
  <c r="CP66" i="135"/>
  <c r="CP67" i="135"/>
  <c r="CP68" i="135"/>
  <c r="CP73" i="135"/>
  <c r="CP74" i="135"/>
  <c r="CP75" i="135"/>
  <c r="CP76" i="135"/>
  <c r="CP77" i="135"/>
  <c r="CP79" i="135"/>
  <c r="CP78" i="135"/>
  <c r="CP80" i="135"/>
  <c r="CP81" i="135"/>
  <c r="CP83" i="135"/>
  <c r="CP82" i="135"/>
  <c r="CP84" i="135"/>
  <c r="CP85" i="135"/>
  <c r="CP86" i="135"/>
  <c r="CP87" i="135"/>
  <c r="CP88" i="135"/>
  <c r="CP89" i="135"/>
  <c r="CP90" i="135"/>
  <c r="CP91" i="135"/>
  <c r="CP92" i="135"/>
  <c r="CP93" i="135"/>
  <c r="CP94" i="135"/>
  <c r="CP95" i="135"/>
  <c r="FJ61" i="135"/>
  <c r="FJ60" i="135"/>
  <c r="FJ62" i="135"/>
  <c r="FJ63" i="135"/>
  <c r="FJ64" i="135"/>
  <c r="FJ65" i="135"/>
  <c r="FJ66" i="135"/>
  <c r="FJ67" i="135"/>
  <c r="FJ68" i="135"/>
  <c r="FJ73" i="135"/>
  <c r="FJ75" i="135"/>
  <c r="FJ74" i="135"/>
  <c r="FJ76" i="135"/>
  <c r="FJ77" i="135"/>
  <c r="FJ78" i="135"/>
  <c r="FJ79" i="135"/>
  <c r="FJ80" i="135"/>
  <c r="FJ81" i="135"/>
  <c r="FJ82" i="135"/>
  <c r="FJ83" i="135"/>
  <c r="FJ85" i="135"/>
  <c r="FJ84" i="135"/>
  <c r="FJ86" i="135"/>
  <c r="FJ87" i="135"/>
  <c r="FJ88" i="135"/>
  <c r="FJ90" i="135"/>
  <c r="FJ89" i="135"/>
  <c r="FJ91" i="135"/>
  <c r="FJ92" i="135"/>
  <c r="FJ93" i="135"/>
  <c r="FJ94" i="135"/>
  <c r="FJ95" i="135"/>
  <c r="DZ62" i="135"/>
  <c r="DZ61" i="135"/>
  <c r="DZ60" i="135"/>
  <c r="DZ63" i="135"/>
  <c r="DZ64" i="135"/>
  <c r="DZ65" i="135"/>
  <c r="DZ66" i="135"/>
  <c r="DZ67" i="135"/>
  <c r="DZ68" i="135"/>
  <c r="DZ73" i="135"/>
  <c r="DZ74" i="135"/>
  <c r="DZ75" i="135"/>
  <c r="DZ76" i="135"/>
  <c r="DZ77" i="135"/>
  <c r="DZ78" i="135"/>
  <c r="DZ79" i="135"/>
  <c r="DZ80" i="135"/>
  <c r="DZ81" i="135"/>
  <c r="DZ82" i="135"/>
  <c r="DZ83" i="135"/>
  <c r="DZ84" i="135"/>
  <c r="DZ85" i="135"/>
  <c r="DZ86" i="135"/>
  <c r="DZ87" i="135"/>
  <c r="DZ88" i="135"/>
  <c r="DZ89" i="135"/>
  <c r="DZ90" i="135"/>
  <c r="DZ91" i="135"/>
  <c r="DZ92" i="135"/>
  <c r="DZ93" i="135"/>
  <c r="DZ94" i="135"/>
  <c r="DZ95" i="135"/>
  <c r="CP51" i="135"/>
  <c r="CP56" i="135"/>
  <c r="CP59" i="135"/>
  <c r="CP57" i="135"/>
  <c r="CP50" i="135"/>
  <c r="CP58" i="135"/>
  <c r="CP55" i="135"/>
  <c r="CP54" i="135"/>
  <c r="CP53" i="135"/>
  <c r="CP52" i="135"/>
  <c r="DZ51" i="135"/>
  <c r="DZ59" i="135"/>
  <c r="DZ56" i="135"/>
  <c r="DZ50" i="135"/>
  <c r="DZ55" i="135"/>
  <c r="DZ58" i="135"/>
  <c r="DZ57" i="135"/>
  <c r="DZ54" i="135"/>
  <c r="DZ53" i="135"/>
  <c r="DZ52" i="135"/>
  <c r="FJ51" i="135"/>
  <c r="FJ56" i="135"/>
  <c r="FJ59" i="135"/>
  <c r="FJ55" i="135"/>
  <c r="FJ58" i="135"/>
  <c r="FJ57" i="135"/>
  <c r="FJ50" i="135"/>
  <c r="FJ53" i="135"/>
  <c r="FJ54" i="135"/>
  <c r="FJ52" i="135"/>
  <c r="DZ49" i="135"/>
  <c r="FJ49" i="135"/>
  <c r="CP49" i="135"/>
  <c r="FI21" i="135"/>
  <c r="FI14" i="135"/>
  <c r="EY14" i="135"/>
  <c r="DQ14" i="135"/>
  <c r="DL14" i="135"/>
  <c r="DS14" i="135"/>
  <c r="DP14" i="135"/>
  <c r="DN14" i="135"/>
  <c r="EU14" i="135"/>
  <c r="EW14" i="135"/>
  <c r="CO21" i="135"/>
  <c r="CO14" i="135"/>
  <c r="DY21" i="135"/>
  <c r="DY14" i="135"/>
  <c r="DM14" i="135"/>
  <c r="EX14" i="135"/>
  <c r="FK8" i="135"/>
  <c r="EA8" i="135"/>
  <c r="CQ8" i="135"/>
  <c r="AQ273" i="135" l="1"/>
  <c r="FD274" i="135"/>
  <c r="DM274" i="135"/>
  <c r="FH274" i="135"/>
  <c r="FF274" i="135"/>
  <c r="BC274" i="135"/>
  <c r="CM274" i="135"/>
  <c r="CH274" i="135"/>
  <c r="CE274" i="135"/>
  <c r="CN274" i="135"/>
  <c r="CK274" i="135"/>
  <c r="BH274" i="135"/>
  <c r="CJ274" i="135"/>
  <c r="CF274" i="135"/>
  <c r="BX274" i="135"/>
  <c r="CL274" i="135"/>
  <c r="CI274" i="135"/>
  <c r="CD274" i="135"/>
  <c r="CG274" i="135"/>
  <c r="X275" i="135"/>
  <c r="CP275" i="135" s="1"/>
  <c r="AJ275" i="135"/>
  <c r="BN275" i="135" s="1"/>
  <c r="FG274" i="135"/>
  <c r="FE274" i="135"/>
  <c r="EZ274" i="135"/>
  <c r="CC274" i="135"/>
  <c r="AW274" i="135"/>
  <c r="DX274" i="135"/>
  <c r="AN274" i="135"/>
  <c r="Q274" i="135" s="1"/>
  <c r="BY274" i="135"/>
  <c r="DV274" i="135"/>
  <c r="FA274" i="135"/>
  <c r="DN274" i="135"/>
  <c r="BD274" i="135"/>
  <c r="AH275" i="135"/>
  <c r="DT274" i="135"/>
  <c r="DS274" i="135"/>
  <c r="FB274" i="135"/>
  <c r="DP274" i="135"/>
  <c r="EX274" i="135"/>
  <c r="AD275" i="135"/>
  <c r="Y275" i="135"/>
  <c r="DZ275" i="135" s="1"/>
  <c r="BH275" i="135"/>
  <c r="AV275" i="135"/>
  <c r="BX275" i="135"/>
  <c r="BC275" i="135"/>
  <c r="DW274" i="135"/>
  <c r="FC274" i="135"/>
  <c r="DO274" i="135"/>
  <c r="EW274" i="135"/>
  <c r="AG275" i="135"/>
  <c r="AC275" i="135"/>
  <c r="DK275" i="135"/>
  <c r="CA275" i="135"/>
  <c r="EU275" i="135"/>
  <c r="CB275" i="135"/>
  <c r="EV275" i="135"/>
  <c r="DL275" i="135"/>
  <c r="AX274" i="135"/>
  <c r="BI274" i="135"/>
  <c r="BQ274" i="135"/>
  <c r="AW275" i="135"/>
  <c r="BY275" i="135"/>
  <c r="BD275" i="135"/>
  <c r="BP275" i="135"/>
  <c r="AN275" i="135"/>
  <c r="DU274" i="135"/>
  <c r="DR274" i="135"/>
  <c r="DQ274" i="135"/>
  <c r="EY274" i="135"/>
  <c r="Z275" i="135"/>
  <c r="FJ275" i="135" s="1"/>
  <c r="AB275" i="135"/>
  <c r="FJ25" i="135"/>
  <c r="DZ25" i="135"/>
  <c r="AN37" i="135"/>
  <c r="Q37" i="135" s="1"/>
  <c r="BP37" i="135"/>
  <c r="AW37" i="135"/>
  <c r="AQ37" i="135" s="1"/>
  <c r="BY37" i="135"/>
  <c r="P23" i="131"/>
  <c r="F37" i="235" s="1"/>
  <c r="AD25" i="235" s="1"/>
  <c r="BD37" i="135"/>
  <c r="AW96" i="135"/>
  <c r="BP96" i="135"/>
  <c r="BY96" i="135"/>
  <c r="AF162" i="135"/>
  <c r="AM162" i="135" s="1"/>
  <c r="AW162" i="135" s="1"/>
  <c r="AH97" i="135"/>
  <c r="AH162" i="135"/>
  <c r="AJ162" i="135"/>
  <c r="AB97" i="135"/>
  <c r="Z162" i="135"/>
  <c r="FA162" i="135" s="1"/>
  <c r="AC162" i="135"/>
  <c r="Y97" i="135"/>
  <c r="AG162" i="135"/>
  <c r="X97" i="135"/>
  <c r="CB97" i="135" s="1"/>
  <c r="AI97" i="135"/>
  <c r="BH97" i="135" s="1"/>
  <c r="AD97" i="135"/>
  <c r="X162" i="135"/>
  <c r="CE162" i="135" s="1"/>
  <c r="Y162" i="135"/>
  <c r="DO162" i="135" s="1"/>
  <c r="V163" i="135"/>
  <c r="U163" i="135"/>
  <c r="AK163" i="135"/>
  <c r="AL163" i="135"/>
  <c r="Z97" i="135"/>
  <c r="AC97" i="135"/>
  <c r="AB162" i="135"/>
  <c r="AD162" i="135"/>
  <c r="AG97" i="135"/>
  <c r="AF97" i="135"/>
  <c r="AM97" i="135" s="1"/>
  <c r="FJ161" i="135"/>
  <c r="AU96" i="135"/>
  <c r="CP161" i="135"/>
  <c r="FJ34" i="135"/>
  <c r="DZ34" i="135"/>
  <c r="CQ256" i="135"/>
  <c r="CQ252" i="135"/>
  <c r="CQ254" i="135"/>
  <c r="CQ251" i="135"/>
  <c r="CQ250" i="135"/>
  <c r="CQ247" i="135"/>
  <c r="CQ246" i="135"/>
  <c r="CQ231" i="135"/>
  <c r="CQ222" i="135"/>
  <c r="CQ236" i="135"/>
  <c r="CQ232" i="135"/>
  <c r="CQ228" i="135"/>
  <c r="CQ227" i="135"/>
  <c r="CQ235" i="135"/>
  <c r="CQ219" i="135"/>
  <c r="CQ217" i="135"/>
  <c r="CQ240" i="135"/>
  <c r="CQ234" i="135"/>
  <c r="CQ225" i="135"/>
  <c r="CQ226" i="135"/>
  <c r="CQ244" i="135"/>
  <c r="CQ230" i="135"/>
  <c r="CQ239" i="135"/>
  <c r="CQ243" i="135"/>
  <c r="CQ216" i="135"/>
  <c r="CQ221" i="135"/>
  <c r="CQ223" i="135"/>
  <c r="CQ229" i="135"/>
  <c r="CQ233" i="135"/>
  <c r="CQ245" i="135"/>
  <c r="CQ248" i="135"/>
  <c r="CQ215" i="135"/>
  <c r="CQ218" i="135"/>
  <c r="CQ257" i="135"/>
  <c r="CQ241" i="135"/>
  <c r="CQ253" i="135"/>
  <c r="CQ220" i="135"/>
  <c r="CQ238" i="135"/>
  <c r="CQ224" i="135"/>
  <c r="CQ242" i="135"/>
  <c r="CQ258" i="135"/>
  <c r="CQ259" i="135"/>
  <c r="CQ262" i="135"/>
  <c r="CQ214" i="135"/>
  <c r="CQ237" i="135"/>
  <c r="CQ263" i="135"/>
  <c r="CQ270" i="135"/>
  <c r="CQ272" i="135"/>
  <c r="CQ274" i="135"/>
  <c r="CQ269" i="135"/>
  <c r="CQ266" i="135"/>
  <c r="CQ268" i="135"/>
  <c r="CQ260" i="135"/>
  <c r="CQ264" i="135"/>
  <c r="CQ267" i="135"/>
  <c r="CQ273" i="135"/>
  <c r="CQ261" i="135"/>
  <c r="CQ265" i="135"/>
  <c r="CQ271" i="135"/>
  <c r="CQ255" i="135"/>
  <c r="CQ249" i="135"/>
  <c r="EA272" i="135"/>
  <c r="EA268" i="135"/>
  <c r="EA266" i="135"/>
  <c r="EA267" i="135"/>
  <c r="EA262" i="135"/>
  <c r="EA261" i="135"/>
  <c r="EA264" i="135"/>
  <c r="EA258" i="135"/>
  <c r="EA263" i="135"/>
  <c r="EA249" i="135"/>
  <c r="EA256" i="135"/>
  <c r="EA248" i="135"/>
  <c r="EA260" i="135"/>
  <c r="EA255" i="135"/>
  <c r="EA223" i="135"/>
  <c r="EA224" i="135"/>
  <c r="EA219" i="135"/>
  <c r="EA227" i="135"/>
  <c r="EA221" i="135"/>
  <c r="EA252" i="135"/>
  <c r="EA220" i="135"/>
  <c r="EA217" i="135"/>
  <c r="EA236" i="135"/>
  <c r="EA242" i="135"/>
  <c r="EA244" i="135"/>
  <c r="EA257" i="135"/>
  <c r="EA229" i="135"/>
  <c r="EA233" i="135"/>
  <c r="EA239" i="135"/>
  <c r="EA243" i="135"/>
  <c r="EA245" i="135"/>
  <c r="EA247" i="135"/>
  <c r="EA214" i="135"/>
  <c r="EA218" i="135"/>
  <c r="EA225" i="135"/>
  <c r="EA238" i="135"/>
  <c r="EA232" i="135"/>
  <c r="EA235" i="135"/>
  <c r="EA251" i="135"/>
  <c r="EA254" i="135"/>
  <c r="EA215" i="135"/>
  <c r="EA228" i="135"/>
  <c r="EA222" i="135"/>
  <c r="EA231" i="135"/>
  <c r="EA240" i="135"/>
  <c r="EA234" i="135"/>
  <c r="EA237" i="135"/>
  <c r="EA241" i="135"/>
  <c r="EA246" i="135"/>
  <c r="EA216" i="135"/>
  <c r="EA226" i="135"/>
  <c r="EA253" i="135"/>
  <c r="EA259" i="135"/>
  <c r="EA230" i="135"/>
  <c r="EA250" i="135"/>
  <c r="EA271" i="135"/>
  <c r="EA273" i="135"/>
  <c r="EA269" i="135"/>
  <c r="EA270" i="135"/>
  <c r="EA265" i="135"/>
  <c r="EA274" i="135"/>
  <c r="FK270" i="135"/>
  <c r="FK271" i="135"/>
  <c r="FK269" i="135"/>
  <c r="FK266" i="135"/>
  <c r="FK252" i="135"/>
  <c r="FK235" i="135"/>
  <c r="FK231" i="135"/>
  <c r="FK234" i="135"/>
  <c r="FK230" i="135"/>
  <c r="FK221" i="135"/>
  <c r="FK217" i="135"/>
  <c r="FK220" i="135"/>
  <c r="FK218" i="135"/>
  <c r="FK216" i="135"/>
  <c r="FK215" i="135"/>
  <c r="FK214" i="135"/>
  <c r="FK228" i="135"/>
  <c r="FK223" i="135"/>
  <c r="FK236" i="135"/>
  <c r="FK242" i="135"/>
  <c r="FK244" i="135"/>
  <c r="FK257" i="135"/>
  <c r="FK239" i="135"/>
  <c r="FK243" i="135"/>
  <c r="FK246" i="135"/>
  <c r="FK248" i="135"/>
  <c r="FK226" i="135"/>
  <c r="FK222" i="135"/>
  <c r="FK238" i="135"/>
  <c r="FK224" i="135"/>
  <c r="FK233" i="135"/>
  <c r="FK250" i="135"/>
  <c r="FK253" i="135"/>
  <c r="FK254" i="135"/>
  <c r="FK255" i="135"/>
  <c r="FK219" i="135"/>
  <c r="FK227" i="135"/>
  <c r="FK240" i="135"/>
  <c r="FK229" i="135"/>
  <c r="FK237" i="135"/>
  <c r="FK241" i="135"/>
  <c r="FK247" i="135"/>
  <c r="FK249" i="135"/>
  <c r="FK225" i="135"/>
  <c r="FK256" i="135"/>
  <c r="FK232" i="135"/>
  <c r="FK251" i="135"/>
  <c r="FK245" i="135"/>
  <c r="FK261" i="135"/>
  <c r="FK272" i="135"/>
  <c r="FK267" i="135"/>
  <c r="FK259" i="135"/>
  <c r="FK268" i="135"/>
  <c r="FK273" i="135"/>
  <c r="FK258" i="135"/>
  <c r="FK260" i="135"/>
  <c r="FK265" i="135"/>
  <c r="FK264" i="135"/>
  <c r="FK262" i="135"/>
  <c r="FK263" i="135"/>
  <c r="FK274" i="135"/>
  <c r="FH161" i="135"/>
  <c r="CG161" i="135"/>
  <c r="CC161" i="135"/>
  <c r="CF161" i="135"/>
  <c r="CN161" i="135"/>
  <c r="DW161" i="135"/>
  <c r="DM161" i="135"/>
  <c r="DN161" i="135"/>
  <c r="DY161" i="135"/>
  <c r="BQ161" i="135"/>
  <c r="AX161" i="135"/>
  <c r="BI161" i="135"/>
  <c r="DT161" i="135"/>
  <c r="DX161" i="135"/>
  <c r="BP161" i="135"/>
  <c r="BD161" i="135"/>
  <c r="BY161" i="135"/>
  <c r="AW161" i="135"/>
  <c r="AN161" i="135"/>
  <c r="Q161" i="135" s="1"/>
  <c r="AQ160" i="135"/>
  <c r="C164" i="135"/>
  <c r="T164" i="135" s="1"/>
  <c r="DL161" i="135"/>
  <c r="DV161" i="135"/>
  <c r="DU161" i="135"/>
  <c r="FG161" i="135"/>
  <c r="EY161" i="135"/>
  <c r="EW161" i="135"/>
  <c r="EX161" i="135"/>
  <c r="EV161" i="135"/>
  <c r="FI161" i="135"/>
  <c r="FD161" i="135"/>
  <c r="FA161" i="135"/>
  <c r="FF161" i="135"/>
  <c r="FC161" i="135"/>
  <c r="DQ161" i="135"/>
  <c r="DS161" i="135"/>
  <c r="DP161" i="135"/>
  <c r="DO161" i="135"/>
  <c r="CM161" i="135"/>
  <c r="CJ161" i="135"/>
  <c r="CK161" i="135"/>
  <c r="CH161" i="135"/>
  <c r="CE161" i="135"/>
  <c r="CD161" i="135"/>
  <c r="CO161" i="135"/>
  <c r="AU161" i="135"/>
  <c r="BN161" i="135"/>
  <c r="CI161" i="135"/>
  <c r="EU162" i="135"/>
  <c r="CA162" i="135"/>
  <c r="DK162" i="135"/>
  <c r="BX161" i="135"/>
  <c r="AV161" i="135"/>
  <c r="BH161" i="135"/>
  <c r="BC161" i="135"/>
  <c r="CL161" i="135"/>
  <c r="FB161" i="135"/>
  <c r="FE161" i="135"/>
  <c r="DR161" i="135"/>
  <c r="CP35" i="135"/>
  <c r="DZ15" i="135"/>
  <c r="CP15" i="135"/>
  <c r="FJ15" i="135"/>
  <c r="FK127" i="135"/>
  <c r="FK126" i="135"/>
  <c r="EA126" i="135"/>
  <c r="EA127" i="135"/>
  <c r="CQ127" i="135"/>
  <c r="CQ126" i="135"/>
  <c r="CP34" i="135"/>
  <c r="EA71" i="135"/>
  <c r="EA70" i="135"/>
  <c r="EA69" i="135"/>
  <c r="EA72" i="135"/>
  <c r="FK69" i="135"/>
  <c r="FK70" i="135"/>
  <c r="FK71" i="135"/>
  <c r="FK72" i="135"/>
  <c r="CQ69" i="135"/>
  <c r="CQ70" i="135"/>
  <c r="CQ72" i="135"/>
  <c r="CQ71" i="135"/>
  <c r="CP25" i="135"/>
  <c r="CP37" i="135"/>
  <c r="FJ36" i="135"/>
  <c r="FK96" i="135"/>
  <c r="FK124" i="135"/>
  <c r="FK128" i="135"/>
  <c r="FK122" i="135"/>
  <c r="FK129" i="135"/>
  <c r="FK125" i="135"/>
  <c r="FK123" i="135"/>
  <c r="FK121" i="135"/>
  <c r="FK151" i="135"/>
  <c r="FK139" i="135"/>
  <c r="FK141" i="135"/>
  <c r="FK108" i="135"/>
  <c r="FK148" i="135"/>
  <c r="FK144" i="135"/>
  <c r="FK116" i="135"/>
  <c r="FK132" i="135"/>
  <c r="FK147" i="135"/>
  <c r="FK159" i="135"/>
  <c r="FK111" i="135"/>
  <c r="FK135" i="135"/>
  <c r="FK115" i="135"/>
  <c r="FK118" i="135"/>
  <c r="FK136" i="135"/>
  <c r="FK162" i="135"/>
  <c r="FK131" i="135"/>
  <c r="FK110" i="135"/>
  <c r="FK107" i="135"/>
  <c r="FK134" i="135"/>
  <c r="FK154" i="135"/>
  <c r="FK130" i="135"/>
  <c r="FK155" i="135"/>
  <c r="FK153" i="135"/>
  <c r="FK114" i="135"/>
  <c r="FK138" i="135"/>
  <c r="FK137" i="135"/>
  <c r="FK160" i="135"/>
  <c r="FK112" i="135"/>
  <c r="FK152" i="135"/>
  <c r="FK133" i="135"/>
  <c r="FK119" i="135"/>
  <c r="FK157" i="135"/>
  <c r="FK149" i="135"/>
  <c r="FK113" i="135"/>
  <c r="FK161" i="135"/>
  <c r="FK117" i="135"/>
  <c r="FK143" i="135"/>
  <c r="FK145" i="135"/>
  <c r="FK142" i="135"/>
  <c r="FK146" i="135"/>
  <c r="FK106" i="135"/>
  <c r="FK156" i="135"/>
  <c r="FK109" i="135"/>
  <c r="FK158" i="135"/>
  <c r="FK120" i="135"/>
  <c r="FK150" i="135"/>
  <c r="FK140" i="135"/>
  <c r="DZ28" i="135"/>
  <c r="DZ37" i="135"/>
  <c r="DZ26" i="135"/>
  <c r="DZ35" i="135"/>
  <c r="EA125" i="135"/>
  <c r="EA128" i="135"/>
  <c r="EA129" i="135"/>
  <c r="EA151" i="135"/>
  <c r="EA124" i="135"/>
  <c r="EA121" i="135"/>
  <c r="EA123" i="135"/>
  <c r="EA122" i="135"/>
  <c r="EA147" i="135"/>
  <c r="EA144" i="135"/>
  <c r="EA139" i="135"/>
  <c r="EA141" i="135"/>
  <c r="EA116" i="135"/>
  <c r="EA148" i="135"/>
  <c r="EA115" i="135"/>
  <c r="EA132" i="135"/>
  <c r="EA118" i="135"/>
  <c r="EA159" i="135"/>
  <c r="EA150" i="135"/>
  <c r="EA135" i="135"/>
  <c r="EA110" i="135"/>
  <c r="EA107" i="135"/>
  <c r="EA130" i="135"/>
  <c r="EA131" i="135"/>
  <c r="EA152" i="135"/>
  <c r="EA153" i="135"/>
  <c r="EA136" i="135"/>
  <c r="EA154" i="135"/>
  <c r="EA112" i="135"/>
  <c r="EA155" i="135"/>
  <c r="EA137" i="135"/>
  <c r="EA160" i="135"/>
  <c r="EA162" i="135"/>
  <c r="EA134" i="135"/>
  <c r="EA138" i="135"/>
  <c r="EA113" i="135"/>
  <c r="EA133" i="135"/>
  <c r="EA119" i="135"/>
  <c r="EA143" i="135"/>
  <c r="EA157" i="135"/>
  <c r="EA145" i="135"/>
  <c r="EA114" i="135"/>
  <c r="EA161" i="135"/>
  <c r="EA149" i="135"/>
  <c r="EA117" i="135"/>
  <c r="EA146" i="135"/>
  <c r="EA106" i="135"/>
  <c r="EA109" i="135"/>
  <c r="EA156" i="135"/>
  <c r="EA158" i="135"/>
  <c r="EA142" i="135"/>
  <c r="EA120" i="135"/>
  <c r="EA108" i="135"/>
  <c r="EA111" i="135"/>
  <c r="EA140" i="135"/>
  <c r="CP30" i="135"/>
  <c r="DZ32" i="135"/>
  <c r="CP32" i="135"/>
  <c r="CP36" i="135"/>
  <c r="CQ96" i="135"/>
  <c r="CQ125" i="135"/>
  <c r="CQ121" i="135"/>
  <c r="CQ124" i="135"/>
  <c r="CQ122" i="135"/>
  <c r="CQ151" i="135"/>
  <c r="CQ123" i="135"/>
  <c r="CQ128" i="135"/>
  <c r="CQ129" i="135"/>
  <c r="CQ148" i="135"/>
  <c r="CQ144" i="135"/>
  <c r="CQ116" i="135"/>
  <c r="CQ139" i="135"/>
  <c r="CQ111" i="135"/>
  <c r="CQ141" i="135"/>
  <c r="CQ135" i="135"/>
  <c r="CQ150" i="135"/>
  <c r="CQ118" i="135"/>
  <c r="CQ132" i="135"/>
  <c r="CQ147" i="135"/>
  <c r="CQ159" i="135"/>
  <c r="CQ115" i="135"/>
  <c r="CQ136" i="135"/>
  <c r="CQ160" i="135"/>
  <c r="CQ154" i="135"/>
  <c r="CQ152" i="135"/>
  <c r="CQ162" i="135"/>
  <c r="CQ130" i="135"/>
  <c r="CQ153" i="135"/>
  <c r="CQ107" i="135"/>
  <c r="CQ112" i="135"/>
  <c r="CQ114" i="135"/>
  <c r="CQ110" i="135"/>
  <c r="CQ134" i="135"/>
  <c r="CQ131" i="135"/>
  <c r="CQ155" i="135"/>
  <c r="CQ138" i="135"/>
  <c r="CQ143" i="135"/>
  <c r="CQ157" i="135"/>
  <c r="CQ117" i="135"/>
  <c r="CQ113" i="135"/>
  <c r="CQ137" i="135"/>
  <c r="CQ133" i="135"/>
  <c r="CQ161" i="135"/>
  <c r="CQ119" i="135"/>
  <c r="CQ145" i="135"/>
  <c r="CQ149" i="135"/>
  <c r="CQ146" i="135"/>
  <c r="CQ106" i="135"/>
  <c r="CQ156" i="135"/>
  <c r="CQ109" i="135"/>
  <c r="CQ142" i="135"/>
  <c r="CQ158" i="135"/>
  <c r="CQ120" i="135"/>
  <c r="CQ108" i="135"/>
  <c r="CQ140" i="135"/>
  <c r="FJ30" i="135"/>
  <c r="FJ32" i="135"/>
  <c r="DZ33" i="135"/>
  <c r="FJ28" i="135"/>
  <c r="FJ37" i="135"/>
  <c r="FJ26" i="135"/>
  <c r="FJ35" i="135"/>
  <c r="DZ30" i="135"/>
  <c r="FJ31" i="135"/>
  <c r="DZ31" i="135"/>
  <c r="CP31" i="135"/>
  <c r="DZ36" i="135"/>
  <c r="FJ33" i="135"/>
  <c r="CP33" i="135"/>
  <c r="EU96" i="135"/>
  <c r="CA96" i="135"/>
  <c r="DK96" i="135"/>
  <c r="EZ96" i="135"/>
  <c r="DV96" i="135"/>
  <c r="DS96" i="135"/>
  <c r="FA96" i="135"/>
  <c r="EX96" i="135"/>
  <c r="BI96" i="135"/>
  <c r="DL96" i="135"/>
  <c r="DX96" i="135"/>
  <c r="FJ23" i="135"/>
  <c r="DR96" i="135"/>
  <c r="DO96" i="135"/>
  <c r="DN96" i="135"/>
  <c r="FF96" i="135"/>
  <c r="DZ23" i="135"/>
  <c r="CP23" i="135"/>
  <c r="DZ27" i="135"/>
  <c r="FJ24" i="135"/>
  <c r="CP24" i="135"/>
  <c r="FJ27" i="135"/>
  <c r="FJ22" i="135"/>
  <c r="CP22" i="135"/>
  <c r="CP27" i="135"/>
  <c r="DZ22" i="135"/>
  <c r="DW96" i="135"/>
  <c r="DQ96" i="135"/>
  <c r="FC96" i="135"/>
  <c r="DZ96" i="135"/>
  <c r="FG96" i="135"/>
  <c r="DZ24" i="135"/>
  <c r="CP28" i="135"/>
  <c r="CP26" i="135"/>
  <c r="BQ96" i="135"/>
  <c r="EV96" i="135"/>
  <c r="FH96" i="135"/>
  <c r="CE96" i="135"/>
  <c r="EW96" i="135"/>
  <c r="AX96" i="135"/>
  <c r="FJ96" i="135"/>
  <c r="EY96" i="135"/>
  <c r="FB96" i="135"/>
  <c r="FD96" i="135"/>
  <c r="FE96" i="135"/>
  <c r="EA63" i="135"/>
  <c r="EA61" i="135"/>
  <c r="EA62" i="135"/>
  <c r="EA60" i="135"/>
  <c r="EA64" i="135"/>
  <c r="EA65" i="135"/>
  <c r="EA66" i="135"/>
  <c r="EA67" i="135"/>
  <c r="EA68" i="135"/>
  <c r="EA73" i="135"/>
  <c r="EA74" i="135"/>
  <c r="EA75" i="135"/>
  <c r="EA76" i="135"/>
  <c r="EA77" i="135"/>
  <c r="EA78" i="135"/>
  <c r="EA79" i="135"/>
  <c r="EA80" i="135"/>
  <c r="EA81" i="135"/>
  <c r="EA82" i="135"/>
  <c r="EA83" i="135"/>
  <c r="EA84" i="135"/>
  <c r="EA85" i="135"/>
  <c r="EA86" i="135"/>
  <c r="EA87" i="135"/>
  <c r="EA88" i="135"/>
  <c r="EA89" i="135"/>
  <c r="EA90" i="135"/>
  <c r="EA91" i="135"/>
  <c r="EA92" i="135"/>
  <c r="EA93" i="135"/>
  <c r="EA94" i="135"/>
  <c r="EA95" i="135"/>
  <c r="CP96" i="135"/>
  <c r="CD96" i="135"/>
  <c r="EA96" i="135"/>
  <c r="CG96" i="135"/>
  <c r="CQ63" i="135"/>
  <c r="CQ61" i="135"/>
  <c r="CQ62" i="135"/>
  <c r="CQ60" i="135"/>
  <c r="CQ64" i="135"/>
  <c r="CQ65" i="135"/>
  <c r="CQ66" i="135"/>
  <c r="CQ67" i="135"/>
  <c r="CQ68" i="135"/>
  <c r="CQ73" i="135"/>
  <c r="CQ74" i="135"/>
  <c r="CQ75" i="135"/>
  <c r="CQ76" i="135"/>
  <c r="CQ77" i="135"/>
  <c r="CQ78" i="135"/>
  <c r="CQ79" i="135"/>
  <c r="CQ80" i="135"/>
  <c r="CQ81" i="135"/>
  <c r="CQ82" i="135"/>
  <c r="CQ83" i="135"/>
  <c r="CQ84" i="135"/>
  <c r="CQ85" i="135"/>
  <c r="CQ86" i="135"/>
  <c r="CQ87" i="135"/>
  <c r="CQ88" i="135"/>
  <c r="CQ89" i="135"/>
  <c r="CQ90" i="135"/>
  <c r="CQ91" i="135"/>
  <c r="CQ92" i="135"/>
  <c r="CQ93" i="135"/>
  <c r="CQ94" i="135"/>
  <c r="CQ95" i="135"/>
  <c r="FK63" i="135"/>
  <c r="FK60" i="135"/>
  <c r="FK61" i="135"/>
  <c r="FK62" i="135"/>
  <c r="FK64" i="135"/>
  <c r="FK65" i="135"/>
  <c r="FK66" i="135"/>
  <c r="FK67" i="135"/>
  <c r="FK68" i="135"/>
  <c r="FK73" i="135"/>
  <c r="FK74" i="135"/>
  <c r="FK75" i="135"/>
  <c r="FK76" i="135"/>
  <c r="FK77" i="135"/>
  <c r="FK78" i="135"/>
  <c r="FK79" i="135"/>
  <c r="FK80" i="135"/>
  <c r="FK81" i="135"/>
  <c r="FK82" i="135"/>
  <c r="FK83" i="135"/>
  <c r="FK84" i="135"/>
  <c r="FK85" i="135"/>
  <c r="FK86" i="135"/>
  <c r="FK87" i="135"/>
  <c r="FK88" i="135"/>
  <c r="FK89" i="135"/>
  <c r="FK90" i="135"/>
  <c r="FK91" i="135"/>
  <c r="FK92" i="135"/>
  <c r="FK93" i="135"/>
  <c r="FK94" i="135"/>
  <c r="FK95" i="135"/>
  <c r="DT96" i="135"/>
  <c r="CB96" i="135"/>
  <c r="CJ96" i="135"/>
  <c r="CN96" i="135"/>
  <c r="DP96" i="135"/>
  <c r="CI96" i="135"/>
  <c r="CF96" i="135"/>
  <c r="CO96" i="135"/>
  <c r="CC96" i="135"/>
  <c r="CH96" i="135"/>
  <c r="CL96" i="135"/>
  <c r="CM96" i="135"/>
  <c r="BH96" i="135"/>
  <c r="AN96" i="135"/>
  <c r="Q96" i="135" s="1"/>
  <c r="BX96" i="135"/>
  <c r="BC96" i="135"/>
  <c r="DU96" i="135"/>
  <c r="DY96" i="135"/>
  <c r="AU97" i="135"/>
  <c r="FF97" i="135"/>
  <c r="DS97" i="135"/>
  <c r="EA97" i="135"/>
  <c r="FK51" i="135"/>
  <c r="FK56" i="135"/>
  <c r="FK59" i="135"/>
  <c r="FK55" i="135"/>
  <c r="FK57" i="135"/>
  <c r="FK58" i="135"/>
  <c r="FK50" i="135"/>
  <c r="FK54" i="135"/>
  <c r="FK53" i="135"/>
  <c r="FK52" i="135"/>
  <c r="EA59" i="135"/>
  <c r="EA51" i="135"/>
  <c r="EA56" i="135"/>
  <c r="EA58" i="135"/>
  <c r="EA50" i="135"/>
  <c r="EA57" i="135"/>
  <c r="EA55" i="135"/>
  <c r="EA53" i="135"/>
  <c r="EA52" i="135"/>
  <c r="EA54" i="135"/>
  <c r="CQ59" i="135"/>
  <c r="CQ56" i="135"/>
  <c r="CQ51" i="135"/>
  <c r="CQ57" i="135"/>
  <c r="CQ50" i="135"/>
  <c r="CQ55" i="135"/>
  <c r="CQ58" i="135"/>
  <c r="CQ54" i="135"/>
  <c r="CQ53" i="135"/>
  <c r="CQ52" i="135"/>
  <c r="FK49" i="135"/>
  <c r="CQ49" i="135"/>
  <c r="EA49" i="135"/>
  <c r="FJ21" i="135"/>
  <c r="FJ14" i="135"/>
  <c r="DZ21" i="135"/>
  <c r="DZ14" i="135"/>
  <c r="FL8" i="135"/>
  <c r="EB8" i="135"/>
  <c r="CR8" i="135"/>
  <c r="DT275" i="135" l="1"/>
  <c r="EA275" i="135"/>
  <c r="DR275" i="135"/>
  <c r="AU275" i="135"/>
  <c r="DX275" i="135"/>
  <c r="DP275" i="135"/>
  <c r="FK275" i="135"/>
  <c r="DV275" i="135"/>
  <c r="DN275" i="135"/>
  <c r="CQ275" i="135"/>
  <c r="CD275" i="135"/>
  <c r="CN275" i="135"/>
  <c r="CH275" i="135"/>
  <c r="AQ274" i="135"/>
  <c r="DY275" i="135"/>
  <c r="CM275" i="135"/>
  <c r="CK275" i="135"/>
  <c r="CI275" i="135"/>
  <c r="CG275" i="135"/>
  <c r="DO275" i="135"/>
  <c r="CC275" i="135"/>
  <c r="Q275" i="135"/>
  <c r="CL275" i="135"/>
  <c r="CJ275" i="135"/>
  <c r="CF275" i="135"/>
  <c r="CO275" i="135"/>
  <c r="DW275" i="135"/>
  <c r="DU275" i="135"/>
  <c r="DS275" i="135"/>
  <c r="DQ275" i="135"/>
  <c r="CE275" i="135"/>
  <c r="DM275" i="135"/>
  <c r="FI275" i="135"/>
  <c r="FG275" i="135"/>
  <c r="FA275" i="135"/>
  <c r="EX275" i="135"/>
  <c r="BI275" i="135"/>
  <c r="AX275" i="135"/>
  <c r="AQ275" i="135" s="1"/>
  <c r="BQ275" i="135"/>
  <c r="FF275" i="135"/>
  <c r="FB275" i="135"/>
  <c r="FH275" i="135"/>
  <c r="FC275" i="135"/>
  <c r="EZ275" i="135"/>
  <c r="EY275" i="135"/>
  <c r="FE275" i="135"/>
  <c r="FD275" i="135"/>
  <c r="EW275" i="135"/>
  <c r="EA25" i="135"/>
  <c r="AQ96" i="135"/>
  <c r="AG163" i="135"/>
  <c r="BC97" i="135"/>
  <c r="BX97" i="135"/>
  <c r="AV97" i="135"/>
  <c r="AN97" i="135"/>
  <c r="Q97" i="135" s="1"/>
  <c r="X163" i="135"/>
  <c r="CP163" i="135" s="1"/>
  <c r="AB163" i="135"/>
  <c r="AH163" i="135"/>
  <c r="Z163" i="135"/>
  <c r="FJ163" i="135" s="1"/>
  <c r="AF163" i="135"/>
  <c r="AM163" i="135" s="1"/>
  <c r="AD163" i="135"/>
  <c r="AI163" i="135"/>
  <c r="AJ164" i="135"/>
  <c r="AL164" i="135"/>
  <c r="V164" i="135"/>
  <c r="AK164" i="135"/>
  <c r="FL164" i="135" s="1"/>
  <c r="U164" i="135"/>
  <c r="Y163" i="135"/>
  <c r="DP163" i="135" s="1"/>
  <c r="AJ163" i="135"/>
  <c r="AC163" i="135"/>
  <c r="BP162" i="135"/>
  <c r="CI162" i="135"/>
  <c r="BY162" i="135"/>
  <c r="CC162" i="135"/>
  <c r="AN162" i="135"/>
  <c r="Q162" i="135" s="1"/>
  <c r="DY162" i="135"/>
  <c r="BD162" i="135"/>
  <c r="FI162" i="135"/>
  <c r="CO162" i="135"/>
  <c r="CF162" i="135"/>
  <c r="CJ162" i="135"/>
  <c r="CD162" i="135"/>
  <c r="DP162" i="135"/>
  <c r="CG162" i="135"/>
  <c r="DN162" i="135"/>
  <c r="CM162" i="135"/>
  <c r="CL162" i="135"/>
  <c r="EV162" i="135"/>
  <c r="CK162" i="135"/>
  <c r="DL162" i="135"/>
  <c r="DM162" i="135"/>
  <c r="CH162" i="135"/>
  <c r="DQ162" i="135"/>
  <c r="CB162" i="135"/>
  <c r="EA34" i="135"/>
  <c r="EB259" i="135"/>
  <c r="EB255" i="135"/>
  <c r="EB254" i="135"/>
  <c r="EB249" i="135"/>
  <c r="EB251" i="135"/>
  <c r="EB248" i="135"/>
  <c r="EB247" i="135"/>
  <c r="EB234" i="135"/>
  <c r="EB230" i="135"/>
  <c r="EB245" i="135"/>
  <c r="EB243" i="135"/>
  <c r="EB241" i="135"/>
  <c r="EB239" i="135"/>
  <c r="EB233" i="135"/>
  <c r="EB232" i="135"/>
  <c r="EB229" i="135"/>
  <c r="EB223" i="135"/>
  <c r="EB222" i="135"/>
  <c r="EB237" i="135"/>
  <c r="EB226" i="135"/>
  <c r="EB225" i="135"/>
  <c r="EB214" i="135"/>
  <c r="EB215" i="135"/>
  <c r="EB218" i="135"/>
  <c r="EB228" i="135"/>
  <c r="EB220" i="135"/>
  <c r="EB240" i="135"/>
  <c r="EB244" i="135"/>
  <c r="EB217" i="135"/>
  <c r="EB219" i="135"/>
  <c r="EB224" i="135"/>
  <c r="EB236" i="135"/>
  <c r="EB246" i="135"/>
  <c r="EB216" i="135"/>
  <c r="EB235" i="135"/>
  <c r="EB242" i="135"/>
  <c r="EB257" i="135"/>
  <c r="EB250" i="135"/>
  <c r="EB252" i="135"/>
  <c r="EB256" i="135"/>
  <c r="EB231" i="135"/>
  <c r="EB253" i="135"/>
  <c r="EB227" i="135"/>
  <c r="EB263" i="135"/>
  <c r="EB221" i="135"/>
  <c r="EB238" i="135"/>
  <c r="EB261" i="135"/>
  <c r="EB267" i="135"/>
  <c r="EB269" i="135"/>
  <c r="EB271" i="135"/>
  <c r="EB273" i="135"/>
  <c r="EB270" i="135"/>
  <c r="EB275" i="135"/>
  <c r="EB262" i="135"/>
  <c r="EB272" i="135"/>
  <c r="EB258" i="135"/>
  <c r="EB260" i="135"/>
  <c r="EB274" i="135"/>
  <c r="EB264" i="135"/>
  <c r="EB265" i="135"/>
  <c r="EB266" i="135"/>
  <c r="EB268" i="135"/>
  <c r="FL272" i="135"/>
  <c r="FL267" i="135"/>
  <c r="FL268" i="135"/>
  <c r="FL264" i="135"/>
  <c r="FL262" i="135"/>
  <c r="FL263" i="135"/>
  <c r="FL261" i="135"/>
  <c r="FL258" i="135"/>
  <c r="FL255" i="135"/>
  <c r="FL259" i="135"/>
  <c r="FL249" i="135"/>
  <c r="FL252" i="135"/>
  <c r="FL246" i="135"/>
  <c r="FL253" i="135"/>
  <c r="FL250" i="135"/>
  <c r="FL220" i="135"/>
  <c r="FL225" i="135"/>
  <c r="FL221" i="135"/>
  <c r="FL224" i="135"/>
  <c r="FL216" i="135"/>
  <c r="FL228" i="135"/>
  <c r="FL222" i="135"/>
  <c r="FL238" i="135"/>
  <c r="FL232" i="135"/>
  <c r="FL235" i="135"/>
  <c r="FL247" i="135"/>
  <c r="FL217" i="135"/>
  <c r="FL223" i="135"/>
  <c r="FL227" i="135"/>
  <c r="FL231" i="135"/>
  <c r="FL240" i="135"/>
  <c r="FL234" i="135"/>
  <c r="FL237" i="135"/>
  <c r="FL241" i="135"/>
  <c r="FL251" i="135"/>
  <c r="FL214" i="135"/>
  <c r="FL218" i="135"/>
  <c r="FL219" i="135"/>
  <c r="FL230" i="135"/>
  <c r="FL245" i="135"/>
  <c r="FL248" i="135"/>
  <c r="FL254" i="135"/>
  <c r="FL215" i="135"/>
  <c r="FL226" i="135"/>
  <c r="FL243" i="135"/>
  <c r="FL256" i="135"/>
  <c r="FL257" i="135"/>
  <c r="FL229" i="135"/>
  <c r="FL260" i="135"/>
  <c r="FL265" i="135"/>
  <c r="FL242" i="135"/>
  <c r="FL236" i="135"/>
  <c r="FL239" i="135"/>
  <c r="FL270" i="135"/>
  <c r="FL269" i="135"/>
  <c r="FL266" i="135"/>
  <c r="FL271" i="135"/>
  <c r="FL275" i="135"/>
  <c r="FL274" i="135"/>
  <c r="FL244" i="135"/>
  <c r="FL233" i="135"/>
  <c r="FL273" i="135"/>
  <c r="CR267" i="135"/>
  <c r="CR268" i="135"/>
  <c r="CR266" i="135"/>
  <c r="CR258" i="135"/>
  <c r="CR250" i="135"/>
  <c r="CR246" i="135"/>
  <c r="CR249" i="135"/>
  <c r="CR237" i="135"/>
  <c r="CR243" i="135"/>
  <c r="CR241" i="135"/>
  <c r="CR235" i="135"/>
  <c r="CR231" i="135"/>
  <c r="CR239" i="135"/>
  <c r="CR224" i="135"/>
  <c r="CR225" i="135"/>
  <c r="CR234" i="135"/>
  <c r="CR245" i="135"/>
  <c r="CR230" i="135"/>
  <c r="CR226" i="135"/>
  <c r="CR217" i="135"/>
  <c r="CR221" i="135"/>
  <c r="CR223" i="135"/>
  <c r="CR232" i="135"/>
  <c r="CR236" i="135"/>
  <c r="CR242" i="135"/>
  <c r="CR233" i="135"/>
  <c r="CR252" i="135"/>
  <c r="CR214" i="135"/>
  <c r="CR218" i="135"/>
  <c r="CR228" i="135"/>
  <c r="CR238" i="135"/>
  <c r="CR257" i="135"/>
  <c r="CR229" i="135"/>
  <c r="CR247" i="135"/>
  <c r="CR253" i="135"/>
  <c r="CR248" i="135"/>
  <c r="CR215" i="135"/>
  <c r="CR240" i="135"/>
  <c r="CR251" i="135"/>
  <c r="CR254" i="135"/>
  <c r="CR255" i="135"/>
  <c r="CR220" i="135"/>
  <c r="CR227" i="135"/>
  <c r="CR262" i="135"/>
  <c r="CR264" i="135"/>
  <c r="CR216" i="135"/>
  <c r="CR219" i="135"/>
  <c r="CR222" i="135"/>
  <c r="CR244" i="135"/>
  <c r="CR256" i="135"/>
  <c r="CR263" i="135"/>
  <c r="CR270" i="135"/>
  <c r="CR271" i="135"/>
  <c r="CR269" i="135"/>
  <c r="CR272" i="135"/>
  <c r="CR275" i="135"/>
  <c r="CR274" i="135"/>
  <c r="CR259" i="135"/>
  <c r="CR261" i="135"/>
  <c r="CR260" i="135"/>
  <c r="CR265" i="135"/>
  <c r="CR273" i="135"/>
  <c r="CN162" i="135"/>
  <c r="CP162" i="135"/>
  <c r="FH162" i="135"/>
  <c r="FE162" i="135"/>
  <c r="FF162" i="135"/>
  <c r="EY162" i="135"/>
  <c r="EW162" i="135"/>
  <c r="FC162" i="135"/>
  <c r="FD162" i="135"/>
  <c r="FB162" i="135"/>
  <c r="FJ162" i="135"/>
  <c r="FG162" i="135"/>
  <c r="EX162" i="135"/>
  <c r="EZ162" i="135"/>
  <c r="C165" i="135"/>
  <c r="T165" i="135" s="1"/>
  <c r="AQ161" i="135"/>
  <c r="BN162" i="135"/>
  <c r="AU162" i="135"/>
  <c r="DX162" i="135"/>
  <c r="DR162" i="135"/>
  <c r="DS162" i="135"/>
  <c r="DW162" i="135"/>
  <c r="DV162" i="135"/>
  <c r="DZ162" i="135"/>
  <c r="DU162" i="135"/>
  <c r="DT162" i="135"/>
  <c r="BC162" i="135"/>
  <c r="BX162" i="135"/>
  <c r="AV162" i="135"/>
  <c r="BH162" i="135"/>
  <c r="BQ162" i="135"/>
  <c r="AX162" i="135"/>
  <c r="AQ162" i="135" s="1"/>
  <c r="BI162" i="135"/>
  <c r="EU163" i="135"/>
  <c r="DK163" i="135"/>
  <c r="CA163" i="135"/>
  <c r="CQ37" i="135"/>
  <c r="CQ15" i="135"/>
  <c r="FK15" i="135"/>
  <c r="EA15" i="135"/>
  <c r="CQ30" i="135"/>
  <c r="EA31" i="135"/>
  <c r="FK34" i="135"/>
  <c r="CQ34" i="135"/>
  <c r="CR126" i="135"/>
  <c r="CR127" i="135"/>
  <c r="EB127" i="135"/>
  <c r="EB126" i="135"/>
  <c r="FL126" i="135"/>
  <c r="FL127" i="135"/>
  <c r="CR69" i="135"/>
  <c r="CR70" i="135"/>
  <c r="CR71" i="135"/>
  <c r="CR72" i="135"/>
  <c r="EB71" i="135"/>
  <c r="EB70" i="135"/>
  <c r="EB72" i="135"/>
  <c r="EB69" i="135"/>
  <c r="FL69" i="135"/>
  <c r="FL72" i="135"/>
  <c r="FL71" i="135"/>
  <c r="FL70" i="135"/>
  <c r="CQ25" i="135"/>
  <c r="FK25" i="135"/>
  <c r="FK97" i="135"/>
  <c r="EA32" i="135"/>
  <c r="FK33" i="135"/>
  <c r="FK30" i="135"/>
  <c r="EA30" i="135"/>
  <c r="CQ32" i="135"/>
  <c r="CQ31" i="135"/>
  <c r="FK32" i="135"/>
  <c r="CQ26" i="135"/>
  <c r="CQ35" i="135"/>
  <c r="EA36" i="135"/>
  <c r="CR97" i="135"/>
  <c r="CR124" i="135"/>
  <c r="CR128" i="135"/>
  <c r="CR129" i="135"/>
  <c r="CR121" i="135"/>
  <c r="CR122" i="135"/>
  <c r="CR123" i="135"/>
  <c r="CR125" i="135"/>
  <c r="CR151" i="135"/>
  <c r="CR139" i="135"/>
  <c r="CR148" i="135"/>
  <c r="CR141" i="135"/>
  <c r="CR111" i="135"/>
  <c r="CR163" i="135"/>
  <c r="CR116" i="135"/>
  <c r="CR135" i="135"/>
  <c r="CR150" i="135"/>
  <c r="CR115" i="135"/>
  <c r="CR132" i="135"/>
  <c r="CR159" i="135"/>
  <c r="CR147" i="135"/>
  <c r="CR144" i="135"/>
  <c r="CR118" i="135"/>
  <c r="CR110" i="135"/>
  <c r="CR160" i="135"/>
  <c r="CR154" i="135"/>
  <c r="CR130" i="135"/>
  <c r="CR131" i="135"/>
  <c r="CR152" i="135"/>
  <c r="CR153" i="135"/>
  <c r="CR136" i="135"/>
  <c r="CR162" i="135"/>
  <c r="CR107" i="135"/>
  <c r="CR134" i="135"/>
  <c r="CR112" i="135"/>
  <c r="CR155" i="135"/>
  <c r="CR138" i="135"/>
  <c r="CR113" i="135"/>
  <c r="CR137" i="135"/>
  <c r="CR114" i="135"/>
  <c r="CR133" i="135"/>
  <c r="CR119" i="135"/>
  <c r="CR149" i="135"/>
  <c r="CR161" i="135"/>
  <c r="CR143" i="135"/>
  <c r="CR145" i="135"/>
  <c r="CR157" i="135"/>
  <c r="CR117" i="135"/>
  <c r="CR106" i="135"/>
  <c r="CR109" i="135"/>
  <c r="CR142" i="135"/>
  <c r="CR158" i="135"/>
  <c r="CR146" i="135"/>
  <c r="CR156" i="135"/>
  <c r="CR120" i="135"/>
  <c r="CR108" i="135"/>
  <c r="CR140" i="135"/>
  <c r="CQ33" i="135"/>
  <c r="EA28" i="135"/>
  <c r="EA37" i="135"/>
  <c r="EA26" i="135"/>
  <c r="EA35" i="135"/>
  <c r="EB129" i="135"/>
  <c r="EB122" i="135"/>
  <c r="EB123" i="135"/>
  <c r="EB121" i="135"/>
  <c r="EB125" i="135"/>
  <c r="EB128" i="135"/>
  <c r="EB124" i="135"/>
  <c r="EB151" i="135"/>
  <c r="EB141" i="135"/>
  <c r="EB148" i="135"/>
  <c r="EB116" i="135"/>
  <c r="EB139" i="135"/>
  <c r="EB163" i="135"/>
  <c r="EB135" i="135"/>
  <c r="EB159" i="135"/>
  <c r="EB144" i="135"/>
  <c r="EB150" i="135"/>
  <c r="EB147" i="135"/>
  <c r="EB118" i="135"/>
  <c r="EB132" i="135"/>
  <c r="EB115" i="135"/>
  <c r="EB110" i="135"/>
  <c r="EB136" i="135"/>
  <c r="EB160" i="135"/>
  <c r="EB134" i="135"/>
  <c r="EB152" i="135"/>
  <c r="EB153" i="135"/>
  <c r="EB162" i="135"/>
  <c r="EB107" i="135"/>
  <c r="EB154" i="135"/>
  <c r="EB155" i="135"/>
  <c r="EB138" i="135"/>
  <c r="EB130" i="135"/>
  <c r="EB112" i="135"/>
  <c r="EB131" i="135"/>
  <c r="EB114" i="135"/>
  <c r="EB113" i="135"/>
  <c r="EB133" i="135"/>
  <c r="EB161" i="135"/>
  <c r="EB143" i="135"/>
  <c r="EB119" i="135"/>
  <c r="EB149" i="135"/>
  <c r="EB137" i="135"/>
  <c r="EB145" i="135"/>
  <c r="EB157" i="135"/>
  <c r="EB117" i="135"/>
  <c r="EB158" i="135"/>
  <c r="EB106" i="135"/>
  <c r="EB142" i="135"/>
  <c r="EB156" i="135"/>
  <c r="EB109" i="135"/>
  <c r="EB146" i="135"/>
  <c r="EB120" i="135"/>
  <c r="EB140" i="135"/>
  <c r="EB111" i="135"/>
  <c r="EB108" i="135"/>
  <c r="FK31" i="135"/>
  <c r="FK36" i="135"/>
  <c r="EA33" i="135"/>
  <c r="FL97" i="135"/>
  <c r="FL129" i="135"/>
  <c r="FL128" i="135"/>
  <c r="FL125" i="135"/>
  <c r="FL121" i="135"/>
  <c r="FL124" i="135"/>
  <c r="FL122" i="135"/>
  <c r="FL151" i="135"/>
  <c r="FL123" i="135"/>
  <c r="FL116" i="135"/>
  <c r="FL135" i="135"/>
  <c r="FL108" i="135"/>
  <c r="FL148" i="135"/>
  <c r="FL139" i="135"/>
  <c r="FL141" i="135"/>
  <c r="FL147" i="135"/>
  <c r="FL144" i="135"/>
  <c r="FL159" i="135"/>
  <c r="FL150" i="135"/>
  <c r="FL163" i="135"/>
  <c r="FL118" i="135"/>
  <c r="FL111" i="135"/>
  <c r="FL132" i="135"/>
  <c r="FL115" i="135"/>
  <c r="FL136" i="135"/>
  <c r="FL160" i="135"/>
  <c r="FL134" i="135"/>
  <c r="FL155" i="135"/>
  <c r="FL153" i="135"/>
  <c r="FL114" i="135"/>
  <c r="FL162" i="135"/>
  <c r="FL112" i="135"/>
  <c r="FL154" i="135"/>
  <c r="FL130" i="135"/>
  <c r="FL131" i="135"/>
  <c r="FL152" i="135"/>
  <c r="FL113" i="135"/>
  <c r="FL110" i="135"/>
  <c r="FL107" i="135"/>
  <c r="FL138" i="135"/>
  <c r="FL133" i="135"/>
  <c r="FL161" i="135"/>
  <c r="FL119" i="135"/>
  <c r="FL145" i="135"/>
  <c r="FL137" i="135"/>
  <c r="FL149" i="135"/>
  <c r="FL117" i="135"/>
  <c r="FL143" i="135"/>
  <c r="FL157" i="135"/>
  <c r="FL109" i="135"/>
  <c r="FL156" i="135"/>
  <c r="FL142" i="135"/>
  <c r="FL158" i="135"/>
  <c r="FL146" i="135"/>
  <c r="FL106" i="135"/>
  <c r="FL120" i="135"/>
  <c r="FL140" i="135"/>
  <c r="FK28" i="135"/>
  <c r="FK37" i="135"/>
  <c r="FK26" i="135"/>
  <c r="FK35" i="135"/>
  <c r="CQ36" i="135"/>
  <c r="AX97" i="135"/>
  <c r="EU97" i="135"/>
  <c r="DK97" i="135"/>
  <c r="CA97" i="135"/>
  <c r="CQ97" i="135"/>
  <c r="CG97" i="135"/>
  <c r="CL97" i="135"/>
  <c r="CF97" i="135"/>
  <c r="BN97" i="135"/>
  <c r="FC97" i="135"/>
  <c r="DP97" i="135"/>
  <c r="CP97" i="135"/>
  <c r="CC97" i="135"/>
  <c r="DX97" i="135"/>
  <c r="DV97" i="135"/>
  <c r="CD97" i="135"/>
  <c r="CN97" i="135"/>
  <c r="DT97" i="135"/>
  <c r="DU97" i="135"/>
  <c r="BQ97" i="135"/>
  <c r="CQ22" i="135"/>
  <c r="DO97" i="135"/>
  <c r="CM97" i="135"/>
  <c r="DQ97" i="135"/>
  <c r="DY97" i="135"/>
  <c r="CH97" i="135"/>
  <c r="BI97" i="135"/>
  <c r="FK24" i="135"/>
  <c r="FK22" i="135"/>
  <c r="EA22" i="135"/>
  <c r="FK23" i="135"/>
  <c r="CQ28" i="135"/>
  <c r="CQ23" i="135"/>
  <c r="CQ24" i="135"/>
  <c r="EA27" i="135"/>
  <c r="FK27" i="135"/>
  <c r="EA23" i="135"/>
  <c r="CQ27" i="135"/>
  <c r="EA24" i="135"/>
  <c r="FI97" i="135"/>
  <c r="CE97" i="135"/>
  <c r="DL97" i="135"/>
  <c r="CI97" i="135"/>
  <c r="DW97" i="135"/>
  <c r="DN97" i="135"/>
  <c r="DM97" i="135"/>
  <c r="CJ97" i="135"/>
  <c r="DZ97" i="135"/>
  <c r="CK97" i="135"/>
  <c r="DR97" i="135"/>
  <c r="CO97" i="135"/>
  <c r="FA97" i="135"/>
  <c r="FH97" i="135"/>
  <c r="EV97" i="135"/>
  <c r="AW97" i="135"/>
  <c r="BD97" i="135"/>
  <c r="EB63" i="135"/>
  <c r="EB61" i="135"/>
  <c r="EB62" i="135"/>
  <c r="EB60" i="135"/>
  <c r="EB64" i="135"/>
  <c r="EB65" i="135"/>
  <c r="EB66" i="135"/>
  <c r="EB67" i="135"/>
  <c r="EB68" i="135"/>
  <c r="EB73" i="135"/>
  <c r="EB74" i="135"/>
  <c r="EB75" i="135"/>
  <c r="EB76" i="135"/>
  <c r="EB77" i="135"/>
  <c r="EB78" i="135"/>
  <c r="EB79" i="135"/>
  <c r="EB80" i="135"/>
  <c r="EB81" i="135"/>
  <c r="EB82" i="135"/>
  <c r="EB83" i="135"/>
  <c r="EB84" i="135"/>
  <c r="EB85" i="135"/>
  <c r="EB86" i="135"/>
  <c r="EB87" i="135"/>
  <c r="EB88" i="135"/>
  <c r="EB89" i="135"/>
  <c r="EB90" i="135"/>
  <c r="EB91" i="135"/>
  <c r="EB92" i="135"/>
  <c r="EB93" i="135"/>
  <c r="EB94" i="135"/>
  <c r="EB95" i="135"/>
  <c r="EB96" i="135"/>
  <c r="FL63" i="135"/>
  <c r="FL60" i="135"/>
  <c r="FL61" i="135"/>
  <c r="FL62" i="135"/>
  <c r="FL64" i="135"/>
  <c r="FL65" i="135"/>
  <c r="FL66" i="135"/>
  <c r="FL67" i="135"/>
  <c r="FL68" i="135"/>
  <c r="FL73" i="135"/>
  <c r="FL74" i="135"/>
  <c r="FL75" i="135"/>
  <c r="FL76" i="135"/>
  <c r="FL77" i="135"/>
  <c r="FL78" i="135"/>
  <c r="FL79" i="135"/>
  <c r="FL80" i="135"/>
  <c r="FL81" i="135"/>
  <c r="FL82" i="135"/>
  <c r="FL83" i="135"/>
  <c r="FL84" i="135"/>
  <c r="FL85" i="135"/>
  <c r="FL86" i="135"/>
  <c r="FL87" i="135"/>
  <c r="FL88" i="135"/>
  <c r="FL89" i="135"/>
  <c r="FL90" i="135"/>
  <c r="FL91" i="135"/>
  <c r="FL92" i="135"/>
  <c r="FL93" i="135"/>
  <c r="FL94" i="135"/>
  <c r="FL95" i="135"/>
  <c r="FL96" i="135"/>
  <c r="CR63" i="135"/>
  <c r="CR61" i="135"/>
  <c r="CR62" i="135"/>
  <c r="CR60" i="135"/>
  <c r="CR64" i="135"/>
  <c r="CR65" i="135"/>
  <c r="CR66" i="135"/>
  <c r="CR67" i="135"/>
  <c r="CR68" i="135"/>
  <c r="CR73" i="135"/>
  <c r="CR74" i="135"/>
  <c r="CR75" i="135"/>
  <c r="CR76" i="135"/>
  <c r="CR77" i="135"/>
  <c r="CR78" i="135"/>
  <c r="CR79" i="135"/>
  <c r="CR80" i="135"/>
  <c r="CR81" i="135"/>
  <c r="CR82" i="135"/>
  <c r="CR83" i="135"/>
  <c r="CR84" i="135"/>
  <c r="CR85" i="135"/>
  <c r="CR86" i="135"/>
  <c r="CR87" i="135"/>
  <c r="CR88" i="135"/>
  <c r="CR89" i="135"/>
  <c r="CR90" i="135"/>
  <c r="CR91" i="135"/>
  <c r="CR92" i="135"/>
  <c r="CR93" i="135"/>
  <c r="CR94" i="135"/>
  <c r="CR95" i="135"/>
  <c r="CR96" i="135"/>
  <c r="EB97" i="135"/>
  <c r="BP97" i="135"/>
  <c r="FD97" i="135"/>
  <c r="EX97" i="135"/>
  <c r="FJ97" i="135"/>
  <c r="EY97" i="135"/>
  <c r="FB97" i="135"/>
  <c r="BY97" i="135"/>
  <c r="EW97" i="135"/>
  <c r="FE97" i="135"/>
  <c r="EZ97" i="135"/>
  <c r="FG97" i="135"/>
  <c r="CR56" i="135"/>
  <c r="CR51" i="135"/>
  <c r="CR59" i="135"/>
  <c r="CR50" i="135"/>
  <c r="CR58" i="135"/>
  <c r="CR57" i="135"/>
  <c r="CR55" i="135"/>
  <c r="CR52" i="135"/>
  <c r="CR53" i="135"/>
  <c r="CR54" i="135"/>
  <c r="EB59" i="135"/>
  <c r="EB51" i="135"/>
  <c r="EB56" i="135"/>
  <c r="EB57" i="135"/>
  <c r="EB58" i="135"/>
  <c r="EB55" i="135"/>
  <c r="EB50" i="135"/>
  <c r="EB54" i="135"/>
  <c r="EB53" i="135"/>
  <c r="EB52" i="135"/>
  <c r="FL56" i="135"/>
  <c r="FL51" i="135"/>
  <c r="FL59" i="135"/>
  <c r="FL50" i="135"/>
  <c r="FL55" i="135"/>
  <c r="FL57" i="135"/>
  <c r="FL58" i="135"/>
  <c r="FL52" i="135"/>
  <c r="FL53" i="135"/>
  <c r="FL54" i="135"/>
  <c r="FL49" i="135"/>
  <c r="CR49" i="135"/>
  <c r="EB49" i="135"/>
  <c r="FK21" i="135"/>
  <c r="FK14" i="135"/>
  <c r="EA21" i="135"/>
  <c r="EA14" i="135"/>
  <c r="CQ21" i="135"/>
  <c r="CQ14" i="135"/>
  <c r="FM8" i="135"/>
  <c r="EC8" i="135"/>
  <c r="CS8" i="135"/>
  <c r="EB25" i="135" l="1"/>
  <c r="FL25" i="135"/>
  <c r="AQ97" i="135"/>
  <c r="AD164" i="135"/>
  <c r="AG164" i="135"/>
  <c r="AB164" i="135"/>
  <c r="AF164" i="135"/>
  <c r="AC164" i="135"/>
  <c r="Y164" i="135"/>
  <c r="DU164" i="135" s="1"/>
  <c r="AH164" i="135"/>
  <c r="Z164" i="135"/>
  <c r="FA164" i="135" s="1"/>
  <c r="AI164" i="135"/>
  <c r="AK165" i="135"/>
  <c r="FM165" i="135" s="1"/>
  <c r="V165" i="135"/>
  <c r="U165" i="135"/>
  <c r="AL165" i="135"/>
  <c r="X164" i="135"/>
  <c r="CB164" i="135" s="1"/>
  <c r="CR164" i="135"/>
  <c r="EB164" i="135"/>
  <c r="CB163" i="135"/>
  <c r="CC163" i="135"/>
  <c r="EV163" i="135"/>
  <c r="DL163" i="135"/>
  <c r="DV163" i="135"/>
  <c r="FL34" i="135"/>
  <c r="EB34" i="135"/>
  <c r="CS271" i="135"/>
  <c r="CS267" i="135"/>
  <c r="CS270" i="135"/>
  <c r="CS259" i="135"/>
  <c r="CS234" i="135"/>
  <c r="CS230" i="135"/>
  <c r="CS229" i="135"/>
  <c r="CS221" i="135"/>
  <c r="CS233" i="135"/>
  <c r="CS220" i="135"/>
  <c r="CS218" i="135"/>
  <c r="CS217" i="135"/>
  <c r="CS216" i="135"/>
  <c r="CS215" i="135"/>
  <c r="CS214" i="135"/>
  <c r="CS225" i="135"/>
  <c r="CS219" i="135"/>
  <c r="CS251" i="135"/>
  <c r="CS228" i="135"/>
  <c r="CS223" i="135"/>
  <c r="CS232" i="135"/>
  <c r="CS235" i="135"/>
  <c r="CS236" i="135"/>
  <c r="CS242" i="135"/>
  <c r="CS244" i="135"/>
  <c r="CS257" i="135"/>
  <c r="CS239" i="135"/>
  <c r="CS243" i="135"/>
  <c r="CS246" i="135"/>
  <c r="CS248" i="135"/>
  <c r="CS226" i="135"/>
  <c r="CS222" i="135"/>
  <c r="CS238" i="135"/>
  <c r="CS224" i="135"/>
  <c r="CS231" i="135"/>
  <c r="CS245" i="135"/>
  <c r="CS250" i="135"/>
  <c r="CS253" i="135"/>
  <c r="CS254" i="135"/>
  <c r="CS255" i="135"/>
  <c r="CS258" i="135"/>
  <c r="CS237" i="135"/>
  <c r="CS241" i="135"/>
  <c r="CS256" i="135"/>
  <c r="CS227" i="135"/>
  <c r="CS240" i="135"/>
  <c r="CS247" i="135"/>
  <c r="CS264" i="135"/>
  <c r="CS269" i="135"/>
  <c r="CS273" i="135"/>
  <c r="CS268" i="135"/>
  <c r="CS263" i="135"/>
  <c r="CS266" i="135"/>
  <c r="CS274" i="135"/>
  <c r="CS261" i="135"/>
  <c r="CS252" i="135"/>
  <c r="CS249" i="135"/>
  <c r="CS260" i="135"/>
  <c r="CS265" i="135"/>
  <c r="CS262" i="135"/>
  <c r="CS272" i="135"/>
  <c r="CS275" i="135"/>
  <c r="EC268" i="135"/>
  <c r="EC267" i="135"/>
  <c r="EC266" i="135"/>
  <c r="EC265" i="135"/>
  <c r="EC258" i="135"/>
  <c r="EC245" i="135"/>
  <c r="EC243" i="135"/>
  <c r="EC241" i="135"/>
  <c r="EC239" i="135"/>
  <c r="EC237" i="135"/>
  <c r="EC244" i="135"/>
  <c r="EC240" i="135"/>
  <c r="EC236" i="135"/>
  <c r="EC242" i="135"/>
  <c r="EC222" i="135"/>
  <c r="EC225" i="135"/>
  <c r="EC216" i="135"/>
  <c r="EC228" i="135"/>
  <c r="EC220" i="135"/>
  <c r="EC257" i="135"/>
  <c r="EC230" i="135"/>
  <c r="EC251" i="135"/>
  <c r="EC217" i="135"/>
  <c r="EC223" i="135"/>
  <c r="EC221" i="135"/>
  <c r="EC238" i="135"/>
  <c r="EC229" i="135"/>
  <c r="EC233" i="135"/>
  <c r="EC246" i="135"/>
  <c r="EC248" i="135"/>
  <c r="EC254" i="135"/>
  <c r="EC255" i="135"/>
  <c r="EC226" i="135"/>
  <c r="EC219" i="135"/>
  <c r="EC214" i="135"/>
  <c r="EC218" i="135"/>
  <c r="EC227" i="135"/>
  <c r="EC224" i="135"/>
  <c r="EC232" i="135"/>
  <c r="EC235" i="135"/>
  <c r="EC250" i="135"/>
  <c r="EC252" i="135"/>
  <c r="EC253" i="135"/>
  <c r="EC215" i="135"/>
  <c r="EC234" i="135"/>
  <c r="EC247" i="135"/>
  <c r="EC260" i="135"/>
  <c r="EC231" i="135"/>
  <c r="EC259" i="135"/>
  <c r="EC262" i="135"/>
  <c r="EC274" i="135"/>
  <c r="EC271" i="135"/>
  <c r="EC273" i="135"/>
  <c r="EC275" i="135"/>
  <c r="EC272" i="135"/>
  <c r="EC256" i="135"/>
  <c r="EC249" i="135"/>
  <c r="EC264" i="135"/>
  <c r="EC269" i="135"/>
  <c r="EC270" i="135"/>
  <c r="EC261" i="135"/>
  <c r="EC263" i="135"/>
  <c r="FM248" i="135"/>
  <c r="FM254" i="135"/>
  <c r="FM253" i="135"/>
  <c r="FM238" i="135"/>
  <c r="FM234" i="135"/>
  <c r="FM230" i="135"/>
  <c r="FM249" i="135"/>
  <c r="FM233" i="135"/>
  <c r="FM229" i="135"/>
  <c r="FM245" i="135"/>
  <c r="FM227" i="135"/>
  <c r="FM224" i="135"/>
  <c r="FM223" i="135"/>
  <c r="FM240" i="135"/>
  <c r="FM226" i="135"/>
  <c r="FM219" i="135"/>
  <c r="FM215" i="135"/>
  <c r="FM228" i="135"/>
  <c r="FM221" i="135"/>
  <c r="FM232" i="135"/>
  <c r="FM235" i="135"/>
  <c r="FM257" i="135"/>
  <c r="FM237" i="135"/>
  <c r="FM241" i="135"/>
  <c r="FM250" i="135"/>
  <c r="FM218" i="135"/>
  <c r="FM220" i="135"/>
  <c r="FM222" i="135"/>
  <c r="FM231" i="135"/>
  <c r="FM236" i="135"/>
  <c r="FM247" i="135"/>
  <c r="FM255" i="135"/>
  <c r="FM225" i="135"/>
  <c r="FM216" i="135"/>
  <c r="FM217" i="135"/>
  <c r="FM214" i="135"/>
  <c r="FM242" i="135"/>
  <c r="FM244" i="135"/>
  <c r="FM239" i="135"/>
  <c r="FM243" i="135"/>
  <c r="FM251" i="135"/>
  <c r="FM252" i="135"/>
  <c r="FM256" i="135"/>
  <c r="FM246" i="135"/>
  <c r="FM264" i="135"/>
  <c r="FM258" i="135"/>
  <c r="FM260" i="135"/>
  <c r="FM266" i="135"/>
  <c r="FM268" i="135"/>
  <c r="FM273" i="135"/>
  <c r="FM275" i="135"/>
  <c r="FM267" i="135"/>
  <c r="FM271" i="135"/>
  <c r="FM270" i="135"/>
  <c r="FM272" i="135"/>
  <c r="FM274" i="135"/>
  <c r="FM263" i="135"/>
  <c r="FM261" i="135"/>
  <c r="FM259" i="135"/>
  <c r="FM262" i="135"/>
  <c r="FM265" i="135"/>
  <c r="FM269" i="135"/>
  <c r="DS163" i="135"/>
  <c r="CI163" i="135"/>
  <c r="DZ163" i="135"/>
  <c r="CA164" i="135"/>
  <c r="EU164" i="135"/>
  <c r="DK164" i="135"/>
  <c r="FK164" i="135"/>
  <c r="CQ164" i="135"/>
  <c r="CO163" i="135"/>
  <c r="CK163" i="135"/>
  <c r="CL163" i="135"/>
  <c r="CJ163" i="135"/>
  <c r="CH163" i="135"/>
  <c r="CE163" i="135"/>
  <c r="CF163" i="135"/>
  <c r="CM163" i="135"/>
  <c r="CN163" i="135"/>
  <c r="CG163" i="135"/>
  <c r="CD163" i="135"/>
  <c r="CQ163" i="135"/>
  <c r="FI163" i="135"/>
  <c r="FC163" i="135"/>
  <c r="EY163" i="135"/>
  <c r="FD163" i="135"/>
  <c r="EZ163" i="135"/>
  <c r="FK163" i="135"/>
  <c r="EW163" i="135"/>
  <c r="EX163" i="135"/>
  <c r="FG163" i="135"/>
  <c r="FH163" i="135"/>
  <c r="FB163" i="135"/>
  <c r="FF163" i="135"/>
  <c r="FE163" i="135"/>
  <c r="FA163" i="135"/>
  <c r="BN163" i="135"/>
  <c r="AU163" i="135"/>
  <c r="DY163" i="135"/>
  <c r="DX163" i="135"/>
  <c r="DT163" i="135"/>
  <c r="EA163" i="135"/>
  <c r="DU163" i="135"/>
  <c r="DR163" i="135"/>
  <c r="DQ163" i="135"/>
  <c r="DO163" i="135"/>
  <c r="DN163" i="135"/>
  <c r="DM163" i="135"/>
  <c r="DW163" i="135"/>
  <c r="AN163" i="135"/>
  <c r="Q163" i="135" s="1"/>
  <c r="AW163" i="135"/>
  <c r="BP163" i="135"/>
  <c r="BY163" i="135"/>
  <c r="BD163" i="135"/>
  <c r="BH163" i="135"/>
  <c r="BX163" i="135"/>
  <c r="AV163" i="135"/>
  <c r="BC163" i="135"/>
  <c r="C166" i="135"/>
  <c r="T166" i="135" s="1"/>
  <c r="BI163" i="135"/>
  <c r="AX163" i="135"/>
  <c r="BQ163" i="135"/>
  <c r="CR37" i="135"/>
  <c r="CR15" i="135"/>
  <c r="FL15" i="135"/>
  <c r="EB15" i="135"/>
  <c r="FL33" i="135"/>
  <c r="CR34" i="135"/>
  <c r="EC126" i="135"/>
  <c r="EC127" i="135"/>
  <c r="FM126" i="135"/>
  <c r="FM127" i="135"/>
  <c r="CS127" i="135"/>
  <c r="CS126" i="135"/>
  <c r="CS70" i="135"/>
  <c r="CS71" i="135"/>
  <c r="CS69" i="135"/>
  <c r="CS72" i="135"/>
  <c r="CR25" i="135"/>
  <c r="EC71" i="135"/>
  <c r="EC69" i="135"/>
  <c r="EC72" i="135"/>
  <c r="EC70" i="135"/>
  <c r="FM72" i="135"/>
  <c r="FM71" i="135"/>
  <c r="FM69" i="135"/>
  <c r="FM70" i="135"/>
  <c r="CR32" i="135"/>
  <c r="CR35" i="135"/>
  <c r="EB30" i="135"/>
  <c r="FL32" i="135"/>
  <c r="EB32" i="135"/>
  <c r="FL36" i="135"/>
  <c r="FL30" i="135"/>
  <c r="CS151" i="135"/>
  <c r="CS121" i="135"/>
  <c r="CS124" i="135"/>
  <c r="CS128" i="135"/>
  <c r="CS122" i="135"/>
  <c r="CS125" i="135"/>
  <c r="CS129" i="135"/>
  <c r="CS123" i="135"/>
  <c r="CS139" i="135"/>
  <c r="CS141" i="135"/>
  <c r="CS148" i="135"/>
  <c r="CS135" i="135"/>
  <c r="CS108" i="135"/>
  <c r="CS159" i="135"/>
  <c r="CS144" i="135"/>
  <c r="CS116" i="135"/>
  <c r="CS150" i="135"/>
  <c r="CS118" i="135"/>
  <c r="CS115" i="135"/>
  <c r="CS164" i="135"/>
  <c r="CS147" i="135"/>
  <c r="CS163" i="135"/>
  <c r="CS132" i="135"/>
  <c r="CS110" i="135"/>
  <c r="CS112" i="135"/>
  <c r="CS152" i="135"/>
  <c r="CS134" i="135"/>
  <c r="CS131" i="135"/>
  <c r="CS160" i="135"/>
  <c r="CS162" i="135"/>
  <c r="CS107" i="135"/>
  <c r="CS154" i="135"/>
  <c r="CS130" i="135"/>
  <c r="CS155" i="135"/>
  <c r="CS153" i="135"/>
  <c r="CS136" i="135"/>
  <c r="CS114" i="135"/>
  <c r="CS138" i="135"/>
  <c r="CS137" i="135"/>
  <c r="CS143" i="135"/>
  <c r="CS133" i="135"/>
  <c r="CS119" i="135"/>
  <c r="CS157" i="135"/>
  <c r="CS149" i="135"/>
  <c r="CS117" i="135"/>
  <c r="CS145" i="135"/>
  <c r="CS113" i="135"/>
  <c r="CS161" i="135"/>
  <c r="CS142" i="135"/>
  <c r="CS146" i="135"/>
  <c r="CS106" i="135"/>
  <c r="CS156" i="135"/>
  <c r="CS109" i="135"/>
  <c r="CS158" i="135"/>
  <c r="CS111" i="135"/>
  <c r="CS120" i="135"/>
  <c r="CS140" i="135"/>
  <c r="CR33" i="135"/>
  <c r="EB28" i="135"/>
  <c r="EB37" i="135"/>
  <c r="EB26" i="135"/>
  <c r="EB35" i="135"/>
  <c r="EB33" i="135"/>
  <c r="EC121" i="135"/>
  <c r="EC124" i="135"/>
  <c r="EC128" i="135"/>
  <c r="EC151" i="135"/>
  <c r="EC122" i="135"/>
  <c r="EC129" i="135"/>
  <c r="EC123" i="135"/>
  <c r="EC125" i="135"/>
  <c r="EC135" i="135"/>
  <c r="EC139" i="135"/>
  <c r="EC141" i="135"/>
  <c r="EC148" i="135"/>
  <c r="EC147" i="135"/>
  <c r="EC163" i="135"/>
  <c r="EC116" i="135"/>
  <c r="EC164" i="135"/>
  <c r="EC132" i="135"/>
  <c r="EC118" i="135"/>
  <c r="EC144" i="135"/>
  <c r="EC159" i="135"/>
  <c r="EC150" i="135"/>
  <c r="EC115" i="135"/>
  <c r="EC114" i="135"/>
  <c r="EC160" i="135"/>
  <c r="EC107" i="135"/>
  <c r="EC112" i="135"/>
  <c r="EC155" i="135"/>
  <c r="EC110" i="135"/>
  <c r="EC136" i="135"/>
  <c r="EC134" i="135"/>
  <c r="EC130" i="135"/>
  <c r="EC131" i="135"/>
  <c r="EC152" i="135"/>
  <c r="EC138" i="135"/>
  <c r="EC113" i="135"/>
  <c r="EC162" i="135"/>
  <c r="EC154" i="135"/>
  <c r="EC153" i="135"/>
  <c r="EC137" i="135"/>
  <c r="EC161" i="135"/>
  <c r="EC149" i="135"/>
  <c r="EC119" i="135"/>
  <c r="EC145" i="135"/>
  <c r="EC143" i="135"/>
  <c r="EC157" i="135"/>
  <c r="EC117" i="135"/>
  <c r="EC133" i="135"/>
  <c r="EC109" i="135"/>
  <c r="EC142" i="135"/>
  <c r="EC146" i="135"/>
  <c r="EC158" i="135"/>
  <c r="EC106" i="135"/>
  <c r="EC156" i="135"/>
  <c r="EC120" i="135"/>
  <c r="EC140" i="135"/>
  <c r="EC108" i="135"/>
  <c r="EC111" i="135"/>
  <c r="FM125" i="135"/>
  <c r="FM122" i="135"/>
  <c r="FM129" i="135"/>
  <c r="FM151" i="135"/>
  <c r="FM124" i="135"/>
  <c r="FM128" i="135"/>
  <c r="FM121" i="135"/>
  <c r="FM123" i="135"/>
  <c r="FM141" i="135"/>
  <c r="FM108" i="135"/>
  <c r="FM148" i="135"/>
  <c r="FM144" i="135"/>
  <c r="FM163" i="135"/>
  <c r="FM116" i="135"/>
  <c r="FM135" i="135"/>
  <c r="FM139" i="135"/>
  <c r="FM159" i="135"/>
  <c r="FM147" i="135"/>
  <c r="FM132" i="135"/>
  <c r="FM118" i="135"/>
  <c r="FM111" i="135"/>
  <c r="FM150" i="135"/>
  <c r="FM115" i="135"/>
  <c r="FM164" i="135"/>
  <c r="FM136" i="135"/>
  <c r="FM134" i="135"/>
  <c r="FM114" i="135"/>
  <c r="FM110" i="135"/>
  <c r="FM154" i="135"/>
  <c r="FM130" i="135"/>
  <c r="FM112" i="135"/>
  <c r="FM152" i="135"/>
  <c r="FM160" i="135"/>
  <c r="FM107" i="135"/>
  <c r="FM131" i="135"/>
  <c r="FM138" i="135"/>
  <c r="FM162" i="135"/>
  <c r="FM155" i="135"/>
  <c r="FM153" i="135"/>
  <c r="FM137" i="135"/>
  <c r="FM133" i="135"/>
  <c r="FM113" i="135"/>
  <c r="FM161" i="135"/>
  <c r="FM149" i="135"/>
  <c r="FM143" i="135"/>
  <c r="FM117" i="135"/>
  <c r="FM119" i="135"/>
  <c r="FM157" i="135"/>
  <c r="FM145" i="135"/>
  <c r="FM146" i="135"/>
  <c r="FM158" i="135"/>
  <c r="FM109" i="135"/>
  <c r="FM106" i="135"/>
  <c r="FM142" i="135"/>
  <c r="FM156" i="135"/>
  <c r="FM120" i="135"/>
  <c r="FM140" i="135"/>
  <c r="CR30" i="135"/>
  <c r="FL31" i="135"/>
  <c r="EB31" i="135"/>
  <c r="CR31" i="135"/>
  <c r="FL28" i="135"/>
  <c r="FL37" i="135"/>
  <c r="FL26" i="135"/>
  <c r="FL35" i="135"/>
  <c r="CR36" i="135"/>
  <c r="EB36" i="135"/>
  <c r="FL27" i="135"/>
  <c r="FL24" i="135"/>
  <c r="CR23" i="135"/>
  <c r="CR28" i="135"/>
  <c r="CR26" i="135"/>
  <c r="CR24" i="135"/>
  <c r="EB27" i="135"/>
  <c r="EB24" i="135"/>
  <c r="FL23" i="135"/>
  <c r="CR22" i="135"/>
  <c r="EB23" i="135"/>
  <c r="FL22" i="135"/>
  <c r="EB22" i="135"/>
  <c r="CR27" i="135"/>
  <c r="FM63" i="135"/>
  <c r="FM61" i="135"/>
  <c r="FM60" i="135"/>
  <c r="FM62" i="135"/>
  <c r="FM64" i="135"/>
  <c r="FM65" i="135"/>
  <c r="FM66" i="135"/>
  <c r="FM67" i="135"/>
  <c r="FM68" i="135"/>
  <c r="FM73" i="135"/>
  <c r="FM74" i="135"/>
  <c r="FM75" i="135"/>
  <c r="FM76" i="135"/>
  <c r="FM77" i="135"/>
  <c r="FM78" i="135"/>
  <c r="FM79" i="135"/>
  <c r="FM80" i="135"/>
  <c r="FM81" i="135"/>
  <c r="FM82" i="135"/>
  <c r="FM83" i="135"/>
  <c r="FM84" i="135"/>
  <c r="FM85" i="135"/>
  <c r="FM86" i="135"/>
  <c r="FM87" i="135"/>
  <c r="FM88" i="135"/>
  <c r="FM89" i="135"/>
  <c r="FM90" i="135"/>
  <c r="FM91" i="135"/>
  <c r="FM92" i="135"/>
  <c r="FM93" i="135"/>
  <c r="FM94" i="135"/>
  <c r="FM95" i="135"/>
  <c r="FM96" i="135"/>
  <c r="FM97" i="135"/>
  <c r="CS63" i="135"/>
  <c r="CS61" i="135"/>
  <c r="CS60" i="135"/>
  <c r="CS62" i="135"/>
  <c r="CS64" i="135"/>
  <c r="CS65" i="135"/>
  <c r="CS66" i="135"/>
  <c r="CS67" i="135"/>
  <c r="CS68" i="135"/>
  <c r="CS73" i="135"/>
  <c r="CS74" i="135"/>
  <c r="CS75" i="135"/>
  <c r="CS76" i="135"/>
  <c r="CS77" i="135"/>
  <c r="CS78" i="135"/>
  <c r="CS79" i="135"/>
  <c r="CS80" i="135"/>
  <c r="CS81" i="135"/>
  <c r="CS82" i="135"/>
  <c r="CS83" i="135"/>
  <c r="CS84" i="135"/>
  <c r="CS85" i="135"/>
  <c r="CS86" i="135"/>
  <c r="CS87" i="135"/>
  <c r="CS88" i="135"/>
  <c r="CS89" i="135"/>
  <c r="CS90" i="135"/>
  <c r="CS91" i="135"/>
  <c r="CS92" i="135"/>
  <c r="CS93" i="135"/>
  <c r="CS94" i="135"/>
  <c r="CS95" i="135"/>
  <c r="CS96" i="135"/>
  <c r="CS97" i="135"/>
  <c r="EC61" i="135"/>
  <c r="EC63" i="135"/>
  <c r="EC60" i="135"/>
  <c r="EC62" i="135"/>
  <c r="EC64" i="135"/>
  <c r="EC65" i="135"/>
  <c r="EC66" i="135"/>
  <c r="EC67" i="135"/>
  <c r="EC68" i="135"/>
  <c r="EC73" i="135"/>
  <c r="EC74" i="135"/>
  <c r="EC75" i="135"/>
  <c r="EC76" i="135"/>
  <c r="EC77" i="135"/>
  <c r="EC78" i="135"/>
  <c r="EC79" i="135"/>
  <c r="EC80" i="135"/>
  <c r="EC81" i="135"/>
  <c r="EC82" i="135"/>
  <c r="EC83" i="135"/>
  <c r="EC84" i="135"/>
  <c r="EC85" i="135"/>
  <c r="EC86" i="135"/>
  <c r="EC87" i="135"/>
  <c r="EC88" i="135"/>
  <c r="EC89" i="135"/>
  <c r="EC90" i="135"/>
  <c r="EC91" i="135"/>
  <c r="EC92" i="135"/>
  <c r="EC93" i="135"/>
  <c r="EC94" i="135"/>
  <c r="EC95" i="135"/>
  <c r="EC96" i="135"/>
  <c r="EC97" i="135"/>
  <c r="FM51" i="135"/>
  <c r="FM59" i="135"/>
  <c r="FM56" i="135"/>
  <c r="FM55" i="135"/>
  <c r="FM58" i="135"/>
  <c r="FM57" i="135"/>
  <c r="FM53" i="135"/>
  <c r="FM50" i="135"/>
  <c r="FM52" i="135"/>
  <c r="FM54" i="135"/>
  <c r="CS51" i="135"/>
  <c r="CS59" i="135"/>
  <c r="CS56" i="135"/>
  <c r="CS58" i="135"/>
  <c r="CS50" i="135"/>
  <c r="CS53" i="135"/>
  <c r="CS55" i="135"/>
  <c r="CS57" i="135"/>
  <c r="CS52" i="135"/>
  <c r="CS54" i="135"/>
  <c r="EC59" i="135"/>
  <c r="EC51" i="135"/>
  <c r="EC56" i="135"/>
  <c r="EC57" i="135"/>
  <c r="EC53" i="135"/>
  <c r="EC58" i="135"/>
  <c r="EC55" i="135"/>
  <c r="EC50" i="135"/>
  <c r="EC52" i="135"/>
  <c r="EC54" i="135"/>
  <c r="CS49" i="135"/>
  <c r="EC49" i="135"/>
  <c r="FM49" i="135"/>
  <c r="FL21" i="135"/>
  <c r="FL14" i="135"/>
  <c r="EB21" i="135"/>
  <c r="EB14" i="135"/>
  <c r="CR14" i="135"/>
  <c r="CR21" i="135"/>
  <c r="FN8" i="135"/>
  <c r="ED8" i="135"/>
  <c r="CT8" i="135"/>
  <c r="EC25" i="135" l="1"/>
  <c r="Z165" i="135"/>
  <c r="Y165" i="135"/>
  <c r="X165" i="135"/>
  <c r="AF165" i="135"/>
  <c r="AM165" i="135" s="1"/>
  <c r="BD165" i="135" s="1"/>
  <c r="AG165" i="135"/>
  <c r="AI165" i="135"/>
  <c r="AC165" i="135"/>
  <c r="AD165" i="135"/>
  <c r="AJ165" i="135"/>
  <c r="AB165" i="135"/>
  <c r="AH165" i="135"/>
  <c r="AL166" i="135"/>
  <c r="AK166" i="135"/>
  <c r="CQ166" i="135" s="1"/>
  <c r="U166" i="135"/>
  <c r="V166" i="135"/>
  <c r="EX164" i="135"/>
  <c r="EC165" i="135"/>
  <c r="CS165" i="135"/>
  <c r="EW164" i="135"/>
  <c r="FC164" i="135"/>
  <c r="FE164" i="135"/>
  <c r="EV164" i="135"/>
  <c r="FH164" i="135"/>
  <c r="FF164" i="135"/>
  <c r="FD164" i="135"/>
  <c r="CI164" i="135"/>
  <c r="FB164" i="135"/>
  <c r="EZ164" i="135"/>
  <c r="CG164" i="135"/>
  <c r="CK164" i="135"/>
  <c r="CE164" i="135"/>
  <c r="CF164" i="135"/>
  <c r="CM164" i="135"/>
  <c r="CN164" i="135"/>
  <c r="CJ164" i="135"/>
  <c r="CO164" i="135"/>
  <c r="CD164" i="135"/>
  <c r="CL164" i="135"/>
  <c r="DS164" i="135"/>
  <c r="CP164" i="135"/>
  <c r="CH164" i="135"/>
  <c r="CC164" i="135"/>
  <c r="DL164" i="135"/>
  <c r="FM34" i="135"/>
  <c r="EC34" i="135"/>
  <c r="EY164" i="135"/>
  <c r="FI164" i="135"/>
  <c r="FG164" i="135"/>
  <c r="CT272" i="135"/>
  <c r="CT268" i="135"/>
  <c r="CT266" i="135"/>
  <c r="CT267" i="135"/>
  <c r="CT262" i="135"/>
  <c r="CT261" i="135"/>
  <c r="CT264" i="135"/>
  <c r="CT263" i="135"/>
  <c r="CT260" i="135"/>
  <c r="CT258" i="135"/>
  <c r="CT256" i="135"/>
  <c r="CT255" i="135"/>
  <c r="CT249" i="135"/>
  <c r="CT248" i="135"/>
  <c r="CT223" i="135"/>
  <c r="CT224" i="135"/>
  <c r="CT227" i="135"/>
  <c r="CT221" i="135"/>
  <c r="CT220" i="135"/>
  <c r="CT217" i="135"/>
  <c r="CT222" i="135"/>
  <c r="CT236" i="135"/>
  <c r="CT242" i="135"/>
  <c r="CT244" i="135"/>
  <c r="CT257" i="135"/>
  <c r="CT229" i="135"/>
  <c r="CT233" i="135"/>
  <c r="CT239" i="135"/>
  <c r="CT243" i="135"/>
  <c r="CT245" i="135"/>
  <c r="CT246" i="135"/>
  <c r="CT214" i="135"/>
  <c r="CT218" i="135"/>
  <c r="CT226" i="135"/>
  <c r="CT238" i="135"/>
  <c r="CT232" i="135"/>
  <c r="CT235" i="135"/>
  <c r="CT250" i="135"/>
  <c r="CT254" i="135"/>
  <c r="CT215" i="135"/>
  <c r="CT219" i="135"/>
  <c r="CT228" i="135"/>
  <c r="CT231" i="135"/>
  <c r="CT240" i="135"/>
  <c r="CT234" i="135"/>
  <c r="CT237" i="135"/>
  <c r="CT241" i="135"/>
  <c r="CT247" i="135"/>
  <c r="CT259" i="135"/>
  <c r="CT216" i="135"/>
  <c r="CT225" i="135"/>
  <c r="CT230" i="135"/>
  <c r="CT252" i="135"/>
  <c r="CT271" i="135"/>
  <c r="CT273" i="135"/>
  <c r="CT275" i="135"/>
  <c r="CT253" i="135"/>
  <c r="CT270" i="135"/>
  <c r="CT251" i="135"/>
  <c r="CT265" i="135"/>
  <c r="CT269" i="135"/>
  <c r="CT274" i="135"/>
  <c r="ED270" i="135"/>
  <c r="ED271" i="135"/>
  <c r="ED269" i="135"/>
  <c r="ED235" i="135"/>
  <c r="ED231" i="135"/>
  <c r="ED234" i="135"/>
  <c r="ED230" i="135"/>
  <c r="ED221" i="135"/>
  <c r="ED215" i="135"/>
  <c r="ED220" i="135"/>
  <c r="ED218" i="135"/>
  <c r="ED217" i="135"/>
  <c r="ED216" i="135"/>
  <c r="ED214" i="135"/>
  <c r="ED228" i="135"/>
  <c r="ED223" i="135"/>
  <c r="ED236" i="135"/>
  <c r="ED242" i="135"/>
  <c r="ED244" i="135"/>
  <c r="ED257" i="135"/>
  <c r="ED229" i="135"/>
  <c r="ED239" i="135"/>
  <c r="ED243" i="135"/>
  <c r="ED246" i="135"/>
  <c r="ED248" i="135"/>
  <c r="ED226" i="135"/>
  <c r="ED222" i="135"/>
  <c r="ED238" i="135"/>
  <c r="ED224" i="135"/>
  <c r="ED232" i="135"/>
  <c r="ED245" i="135"/>
  <c r="ED250" i="135"/>
  <c r="ED252" i="135"/>
  <c r="ED253" i="135"/>
  <c r="ED254" i="135"/>
  <c r="ED255" i="135"/>
  <c r="ED219" i="135"/>
  <c r="ED227" i="135"/>
  <c r="ED240" i="135"/>
  <c r="ED237" i="135"/>
  <c r="ED241" i="135"/>
  <c r="ED247" i="135"/>
  <c r="ED249" i="135"/>
  <c r="ED225" i="135"/>
  <c r="ED233" i="135"/>
  <c r="ED256" i="135"/>
  <c r="ED258" i="135"/>
  <c r="ED261" i="135"/>
  <c r="ED272" i="135"/>
  <c r="ED267" i="135"/>
  <c r="ED262" i="135"/>
  <c r="ED268" i="135"/>
  <c r="ED273" i="135"/>
  <c r="ED251" i="135"/>
  <c r="ED264" i="135"/>
  <c r="ED275" i="135"/>
  <c r="ED259" i="135"/>
  <c r="ED260" i="135"/>
  <c r="ED263" i="135"/>
  <c r="ED266" i="135"/>
  <c r="ED265" i="135"/>
  <c r="ED274" i="135"/>
  <c r="FN267" i="135"/>
  <c r="FN268" i="135"/>
  <c r="FN258" i="135"/>
  <c r="FN249" i="135"/>
  <c r="FN234" i="135"/>
  <c r="FN230" i="135"/>
  <c r="FN241" i="135"/>
  <c r="FN233" i="135"/>
  <c r="FN232" i="135"/>
  <c r="FN229" i="135"/>
  <c r="FN247" i="135"/>
  <c r="FN243" i="135"/>
  <c r="FN239" i="135"/>
  <c r="FN237" i="135"/>
  <c r="FN251" i="135"/>
  <c r="FN226" i="135"/>
  <c r="FN223" i="135"/>
  <c r="FN222" i="135"/>
  <c r="FN248" i="135"/>
  <c r="FN215" i="135"/>
  <c r="FN224" i="135"/>
  <c r="FN238" i="135"/>
  <c r="FN231" i="135"/>
  <c r="FN244" i="135"/>
  <c r="FN225" i="135"/>
  <c r="FN219" i="135"/>
  <c r="FN216" i="135"/>
  <c r="FN227" i="135"/>
  <c r="FN220" i="135"/>
  <c r="FN240" i="135"/>
  <c r="FN217" i="135"/>
  <c r="FN221" i="135"/>
  <c r="FN245" i="135"/>
  <c r="FN246" i="135"/>
  <c r="FN252" i="135"/>
  <c r="FN256" i="135"/>
  <c r="FN214" i="135"/>
  <c r="FN257" i="135"/>
  <c r="FN218" i="135"/>
  <c r="FN235" i="135"/>
  <c r="FN236" i="135"/>
  <c r="FN261" i="135"/>
  <c r="FN263" i="135"/>
  <c r="FN228" i="135"/>
  <c r="FN242" i="135"/>
  <c r="FN264" i="135"/>
  <c r="FN269" i="135"/>
  <c r="FN272" i="135"/>
  <c r="FN274" i="135"/>
  <c r="FN273" i="135"/>
  <c r="FN270" i="135"/>
  <c r="FN271" i="135"/>
  <c r="FN250" i="135"/>
  <c r="FN253" i="135"/>
  <c r="FN259" i="135"/>
  <c r="FN260" i="135"/>
  <c r="FN265" i="135"/>
  <c r="FN275" i="135"/>
  <c r="FN254" i="135"/>
  <c r="FN255" i="135"/>
  <c r="FN262" i="135"/>
  <c r="FN266" i="135"/>
  <c r="DX164" i="135"/>
  <c r="DQ164" i="135"/>
  <c r="DY164" i="135"/>
  <c r="DT164" i="135"/>
  <c r="DM164" i="135"/>
  <c r="EA164" i="135"/>
  <c r="DW164" i="135"/>
  <c r="C167" i="135"/>
  <c r="T167" i="135" s="1"/>
  <c r="BI164" i="135"/>
  <c r="AX164" i="135"/>
  <c r="BQ164" i="135"/>
  <c r="DK165" i="135"/>
  <c r="EB165" i="135"/>
  <c r="CA165" i="135"/>
  <c r="EU165" i="135"/>
  <c r="CR165" i="135"/>
  <c r="FL165" i="135"/>
  <c r="DV164" i="135"/>
  <c r="FJ164" i="135"/>
  <c r="AM164" i="135"/>
  <c r="AQ163" i="135"/>
  <c r="BN164" i="135"/>
  <c r="AU164" i="135"/>
  <c r="FK165" i="135"/>
  <c r="EA165" i="135"/>
  <c r="CQ165" i="135"/>
  <c r="BH164" i="135"/>
  <c r="BX164" i="135"/>
  <c r="AV164" i="135"/>
  <c r="BC164" i="135"/>
  <c r="DN164" i="135"/>
  <c r="DP164" i="135"/>
  <c r="DR164" i="135"/>
  <c r="DO164" i="135"/>
  <c r="DZ164" i="135"/>
  <c r="FM15" i="135"/>
  <c r="EC15" i="135"/>
  <c r="CS15" i="135"/>
  <c r="ED127" i="135"/>
  <c r="ED126" i="135"/>
  <c r="FN127" i="135"/>
  <c r="FN126" i="135"/>
  <c r="CT126" i="135"/>
  <c r="CT127" i="135"/>
  <c r="CS34" i="135"/>
  <c r="CT71" i="135"/>
  <c r="CT69" i="135"/>
  <c r="CT72" i="135"/>
  <c r="CT70" i="135"/>
  <c r="ED69" i="135"/>
  <c r="ED71" i="135"/>
  <c r="ED72" i="135"/>
  <c r="ED70" i="135"/>
  <c r="FN72" i="135"/>
  <c r="FN69" i="135"/>
  <c r="FN70" i="135"/>
  <c r="FN71" i="135"/>
  <c r="FM25" i="135"/>
  <c r="CS25" i="135"/>
  <c r="CS33" i="135"/>
  <c r="EC31" i="135"/>
  <c r="FM36" i="135"/>
  <c r="CS37" i="135"/>
  <c r="EC30" i="135"/>
  <c r="FM31" i="135"/>
  <c r="CT129" i="135"/>
  <c r="CT128" i="135"/>
  <c r="CT121" i="135"/>
  <c r="CT151" i="135"/>
  <c r="CT124" i="135"/>
  <c r="CT122" i="135"/>
  <c r="CT123" i="135"/>
  <c r="CT125" i="135"/>
  <c r="CT139" i="135"/>
  <c r="CT141" i="135"/>
  <c r="CT148" i="135"/>
  <c r="CT165" i="135"/>
  <c r="CT144" i="135"/>
  <c r="CT135" i="135"/>
  <c r="CT132" i="135"/>
  <c r="CT108" i="135"/>
  <c r="CT159" i="135"/>
  <c r="CT115" i="135"/>
  <c r="CT164" i="135"/>
  <c r="CT118" i="135"/>
  <c r="CT111" i="135"/>
  <c r="CT163" i="135"/>
  <c r="CT150" i="135"/>
  <c r="CT147" i="135"/>
  <c r="CT116" i="135"/>
  <c r="CT110" i="135"/>
  <c r="CT136" i="135"/>
  <c r="CT107" i="135"/>
  <c r="CT154" i="135"/>
  <c r="CT155" i="135"/>
  <c r="CT162" i="135"/>
  <c r="CT134" i="135"/>
  <c r="CT160" i="135"/>
  <c r="CT130" i="135"/>
  <c r="CT112" i="135"/>
  <c r="CT131" i="135"/>
  <c r="CT152" i="135"/>
  <c r="CT153" i="135"/>
  <c r="CT113" i="135"/>
  <c r="CT114" i="135"/>
  <c r="CT119" i="135"/>
  <c r="CT137" i="135"/>
  <c r="CT161" i="135"/>
  <c r="CT133" i="135"/>
  <c r="CT143" i="135"/>
  <c r="CT145" i="135"/>
  <c r="CT157" i="135"/>
  <c r="CT138" i="135"/>
  <c r="CT149" i="135"/>
  <c r="CT117" i="135"/>
  <c r="CT146" i="135"/>
  <c r="CT106" i="135"/>
  <c r="CT109" i="135"/>
  <c r="CT142" i="135"/>
  <c r="CT156" i="135"/>
  <c r="CT158" i="135"/>
  <c r="CT120" i="135"/>
  <c r="CT140" i="135"/>
  <c r="FM32" i="135"/>
  <c r="EC36" i="135"/>
  <c r="EC33" i="135"/>
  <c r="CS26" i="135"/>
  <c r="CS35" i="135"/>
  <c r="ED129" i="135"/>
  <c r="ED121" i="135"/>
  <c r="ED124" i="135"/>
  <c r="ED123" i="135"/>
  <c r="ED128" i="135"/>
  <c r="ED125" i="135"/>
  <c r="ED122" i="135"/>
  <c r="ED151" i="135"/>
  <c r="ED141" i="135"/>
  <c r="ED108" i="135"/>
  <c r="ED148" i="135"/>
  <c r="ED165" i="135"/>
  <c r="ED144" i="135"/>
  <c r="ED116" i="135"/>
  <c r="ED132" i="135"/>
  <c r="ED139" i="135"/>
  <c r="ED147" i="135"/>
  <c r="ED159" i="135"/>
  <c r="ED118" i="135"/>
  <c r="ED111" i="135"/>
  <c r="ED135" i="135"/>
  <c r="ED115" i="135"/>
  <c r="ED150" i="135"/>
  <c r="ED164" i="135"/>
  <c r="ED163" i="135"/>
  <c r="ED136" i="135"/>
  <c r="ED162" i="135"/>
  <c r="ED131" i="135"/>
  <c r="ED160" i="135"/>
  <c r="ED107" i="135"/>
  <c r="ED134" i="135"/>
  <c r="ED130" i="135"/>
  <c r="ED155" i="135"/>
  <c r="ED153" i="135"/>
  <c r="ED114" i="135"/>
  <c r="ED138" i="135"/>
  <c r="ED137" i="135"/>
  <c r="ED110" i="135"/>
  <c r="ED154" i="135"/>
  <c r="ED112" i="135"/>
  <c r="ED152" i="135"/>
  <c r="ED119" i="135"/>
  <c r="ED157" i="135"/>
  <c r="ED117" i="135"/>
  <c r="ED113" i="135"/>
  <c r="ED133" i="135"/>
  <c r="ED161" i="135"/>
  <c r="ED143" i="135"/>
  <c r="ED145" i="135"/>
  <c r="ED149" i="135"/>
  <c r="ED142" i="135"/>
  <c r="ED146" i="135"/>
  <c r="ED106" i="135"/>
  <c r="ED156" i="135"/>
  <c r="ED109" i="135"/>
  <c r="ED158" i="135"/>
  <c r="ED120" i="135"/>
  <c r="ED140" i="135"/>
  <c r="FM30" i="135"/>
  <c r="CS32" i="135"/>
  <c r="EC28" i="135"/>
  <c r="EC37" i="135"/>
  <c r="EC26" i="135"/>
  <c r="EC35" i="135"/>
  <c r="FM33" i="135"/>
  <c r="FN121" i="135"/>
  <c r="FN151" i="135"/>
  <c r="FN123" i="135"/>
  <c r="FN125" i="135"/>
  <c r="FN128" i="135"/>
  <c r="FN122" i="135"/>
  <c r="FN124" i="135"/>
  <c r="FN129" i="135"/>
  <c r="FN139" i="135"/>
  <c r="FN108" i="135"/>
  <c r="FN148" i="135"/>
  <c r="FN165" i="135"/>
  <c r="FN111" i="135"/>
  <c r="FN144" i="135"/>
  <c r="FN163" i="135"/>
  <c r="FN116" i="135"/>
  <c r="FN141" i="135"/>
  <c r="FN132" i="135"/>
  <c r="FN164" i="135"/>
  <c r="FN135" i="135"/>
  <c r="FN150" i="135"/>
  <c r="FN115" i="135"/>
  <c r="FN147" i="135"/>
  <c r="FN159" i="135"/>
  <c r="FN118" i="135"/>
  <c r="FN162" i="135"/>
  <c r="FN107" i="135"/>
  <c r="FN130" i="135"/>
  <c r="FN112" i="135"/>
  <c r="FN131" i="135"/>
  <c r="FN110" i="135"/>
  <c r="FN154" i="135"/>
  <c r="FN155" i="135"/>
  <c r="FN153" i="135"/>
  <c r="FN136" i="135"/>
  <c r="FN160" i="135"/>
  <c r="FN134" i="135"/>
  <c r="FN152" i="135"/>
  <c r="FN114" i="135"/>
  <c r="FN145" i="135"/>
  <c r="FN138" i="135"/>
  <c r="FN119" i="135"/>
  <c r="FN143" i="135"/>
  <c r="FN157" i="135"/>
  <c r="FN117" i="135"/>
  <c r="FN137" i="135"/>
  <c r="FN113" i="135"/>
  <c r="FN133" i="135"/>
  <c r="FN161" i="135"/>
  <c r="FN149" i="135"/>
  <c r="FN146" i="135"/>
  <c r="FN156" i="135"/>
  <c r="FN106" i="135"/>
  <c r="FN158" i="135"/>
  <c r="FN109" i="135"/>
  <c r="FN142" i="135"/>
  <c r="FN120" i="135"/>
  <c r="FN140" i="135"/>
  <c r="CS30" i="135"/>
  <c r="EC32" i="135"/>
  <c r="CS31" i="135"/>
  <c r="CS36" i="135"/>
  <c r="FM28" i="135"/>
  <c r="FM37" i="135"/>
  <c r="FM26" i="135"/>
  <c r="FM35" i="135"/>
  <c r="EC22" i="135"/>
  <c r="CS23" i="135"/>
  <c r="FM24" i="135"/>
  <c r="CS27" i="135"/>
  <c r="CS24" i="135"/>
  <c r="CS22" i="135"/>
  <c r="FM22" i="135"/>
  <c r="FM23" i="135"/>
  <c r="CS28" i="135"/>
  <c r="EC23" i="135"/>
  <c r="EC27" i="135"/>
  <c r="EC24" i="135"/>
  <c r="FM27" i="135"/>
  <c r="ED63" i="135"/>
  <c r="ED61" i="135"/>
  <c r="ED60" i="135"/>
  <c r="ED62" i="135"/>
  <c r="ED64" i="135"/>
  <c r="ED65" i="135"/>
  <c r="ED66" i="135"/>
  <c r="ED67" i="135"/>
  <c r="ED68" i="135"/>
  <c r="ED73" i="135"/>
  <c r="ED74" i="135"/>
  <c r="ED75" i="135"/>
  <c r="ED76" i="135"/>
  <c r="ED77" i="135"/>
  <c r="ED78" i="135"/>
  <c r="ED79" i="135"/>
  <c r="ED80" i="135"/>
  <c r="ED81" i="135"/>
  <c r="ED82" i="135"/>
  <c r="ED83" i="135"/>
  <c r="ED84" i="135"/>
  <c r="ED85" i="135"/>
  <c r="ED86" i="135"/>
  <c r="ED87" i="135"/>
  <c r="ED88" i="135"/>
  <c r="ED89" i="135"/>
  <c r="ED90" i="135"/>
  <c r="ED91" i="135"/>
  <c r="ED92" i="135"/>
  <c r="ED93" i="135"/>
  <c r="ED94" i="135"/>
  <c r="ED95" i="135"/>
  <c r="ED96" i="135"/>
  <c r="ED97" i="135"/>
  <c r="CT61" i="135"/>
  <c r="CT63" i="135"/>
  <c r="CT62" i="135"/>
  <c r="CT60" i="135"/>
  <c r="CT64" i="135"/>
  <c r="CT65" i="135"/>
  <c r="CT66" i="135"/>
  <c r="CT67" i="135"/>
  <c r="CT68" i="135"/>
  <c r="CT73" i="135"/>
  <c r="CT74" i="135"/>
  <c r="CT75" i="135"/>
  <c r="CT76" i="135"/>
  <c r="CT77" i="135"/>
  <c r="CT78" i="135"/>
  <c r="CT79" i="135"/>
  <c r="CT80" i="135"/>
  <c r="CT81" i="135"/>
  <c r="CT82" i="135"/>
  <c r="CT83" i="135"/>
  <c r="CT84" i="135"/>
  <c r="CT85" i="135"/>
  <c r="CT86" i="135"/>
  <c r="CT87" i="135"/>
  <c r="CT88" i="135"/>
  <c r="CT89" i="135"/>
  <c r="CT90" i="135"/>
  <c r="CT91" i="135"/>
  <c r="CT92" i="135"/>
  <c r="CT93" i="135"/>
  <c r="CT94" i="135"/>
  <c r="CT95" i="135"/>
  <c r="CT96" i="135"/>
  <c r="CT97" i="135"/>
  <c r="FN63" i="135"/>
  <c r="FN61" i="135"/>
  <c r="FN60" i="135"/>
  <c r="FN62" i="135"/>
  <c r="FN64" i="135"/>
  <c r="FN65" i="135"/>
  <c r="FN66" i="135"/>
  <c r="FN67" i="135"/>
  <c r="FN68" i="135"/>
  <c r="FN73" i="135"/>
  <c r="FN74" i="135"/>
  <c r="FN75" i="135"/>
  <c r="FN76" i="135"/>
  <c r="FN77" i="135"/>
  <c r="FN78" i="135"/>
  <c r="FN79" i="135"/>
  <c r="FN80" i="135"/>
  <c r="FN81" i="135"/>
  <c r="FN82" i="135"/>
  <c r="FN83" i="135"/>
  <c r="FN84" i="135"/>
  <c r="FN85" i="135"/>
  <c r="FN86" i="135"/>
  <c r="FN87" i="135"/>
  <c r="FN88" i="135"/>
  <c r="FN89" i="135"/>
  <c r="FN90" i="135"/>
  <c r="FN91" i="135"/>
  <c r="FN92" i="135"/>
  <c r="FN93" i="135"/>
  <c r="FN94" i="135"/>
  <c r="FN95" i="135"/>
  <c r="FN96" i="135"/>
  <c r="FN97" i="135"/>
  <c r="FN56" i="135"/>
  <c r="FN51" i="135"/>
  <c r="FN59" i="135"/>
  <c r="FN53" i="135"/>
  <c r="FN57" i="135"/>
  <c r="FN58" i="135"/>
  <c r="FN55" i="135"/>
  <c r="FN50" i="135"/>
  <c r="FN54" i="135"/>
  <c r="FN52" i="135"/>
  <c r="ED51" i="135"/>
  <c r="ED56" i="135"/>
  <c r="ED59" i="135"/>
  <c r="ED50" i="135"/>
  <c r="ED57" i="135"/>
  <c r="ED55" i="135"/>
  <c r="ED58" i="135"/>
  <c r="ED53" i="135"/>
  <c r="ED52" i="135"/>
  <c r="ED54" i="135"/>
  <c r="CT56" i="135"/>
  <c r="CT59" i="135"/>
  <c r="CT51" i="135"/>
  <c r="CT53" i="135"/>
  <c r="CT50" i="135"/>
  <c r="CT55" i="135"/>
  <c r="CT58" i="135"/>
  <c r="CT57" i="135"/>
  <c r="CT52" i="135"/>
  <c r="CT54" i="135"/>
  <c r="CT49" i="135"/>
  <c r="ED49" i="135"/>
  <c r="FN49" i="135"/>
  <c r="CS21" i="135"/>
  <c r="CS14" i="135"/>
  <c r="EC21" i="135"/>
  <c r="EC14" i="135"/>
  <c r="FM21" i="135"/>
  <c r="FM14" i="135"/>
  <c r="FO8" i="135"/>
  <c r="EE8" i="135"/>
  <c r="CU8" i="135"/>
  <c r="FN25" i="135" l="1"/>
  <c r="ED25" i="135"/>
  <c r="Z166" i="135"/>
  <c r="EX166" i="135" s="1"/>
  <c r="AI166" i="135"/>
  <c r="AG166" i="135"/>
  <c r="AJ166" i="135"/>
  <c r="X166" i="135"/>
  <c r="CB166" i="135" s="1"/>
  <c r="AH166" i="135"/>
  <c r="AC166" i="135"/>
  <c r="AF166" i="135"/>
  <c r="Y166" i="135"/>
  <c r="DM166" i="135" s="1"/>
  <c r="AD166" i="135"/>
  <c r="AF167" i="135"/>
  <c r="AL167" i="135"/>
  <c r="AK167" i="135"/>
  <c r="FO167" i="135" s="1"/>
  <c r="U167" i="135"/>
  <c r="V167" i="135"/>
  <c r="AB166" i="135"/>
  <c r="FN166" i="135"/>
  <c r="ED166" i="135"/>
  <c r="AW165" i="135"/>
  <c r="BY165" i="135"/>
  <c r="BP165" i="135"/>
  <c r="FK166" i="135"/>
  <c r="CB165" i="135"/>
  <c r="CT166" i="135"/>
  <c r="AN165" i="135"/>
  <c r="Q165" i="135" s="1"/>
  <c r="EA166" i="135"/>
  <c r="ED34" i="135"/>
  <c r="EV165" i="135"/>
  <c r="FN34" i="135"/>
  <c r="DL165" i="135"/>
  <c r="CU259" i="135"/>
  <c r="CU255" i="135"/>
  <c r="CU254" i="135"/>
  <c r="CU249" i="135"/>
  <c r="CU251" i="135"/>
  <c r="CU248" i="135"/>
  <c r="CU247" i="135"/>
  <c r="CU234" i="135"/>
  <c r="CU230" i="135"/>
  <c r="CU245" i="135"/>
  <c r="CU243" i="135"/>
  <c r="CU241" i="135"/>
  <c r="CU257" i="135"/>
  <c r="CU239" i="135"/>
  <c r="CU233" i="135"/>
  <c r="CU232" i="135"/>
  <c r="CU229" i="135"/>
  <c r="CU237" i="135"/>
  <c r="CU226" i="135"/>
  <c r="CU219" i="135"/>
  <c r="CU223" i="135"/>
  <c r="CU222" i="135"/>
  <c r="CU218" i="135"/>
  <c r="CU215" i="135"/>
  <c r="CU216" i="135"/>
  <c r="CU228" i="135"/>
  <c r="CU220" i="135"/>
  <c r="CU235" i="135"/>
  <c r="CU240" i="135"/>
  <c r="CU244" i="135"/>
  <c r="CU250" i="135"/>
  <c r="CU214" i="135"/>
  <c r="CU217" i="135"/>
  <c r="CU231" i="135"/>
  <c r="CU236" i="135"/>
  <c r="CU225" i="135"/>
  <c r="CU242" i="135"/>
  <c r="CU227" i="135"/>
  <c r="CU238" i="135"/>
  <c r="CU256" i="135"/>
  <c r="CU221" i="135"/>
  <c r="CU224" i="135"/>
  <c r="CU263" i="135"/>
  <c r="CU264" i="135"/>
  <c r="CU265" i="135"/>
  <c r="CU267" i="135"/>
  <c r="CU269" i="135"/>
  <c r="CU271" i="135"/>
  <c r="CU270" i="135"/>
  <c r="CU273" i="135"/>
  <c r="CU246" i="135"/>
  <c r="CU260" i="135"/>
  <c r="CU262" i="135"/>
  <c r="CU272" i="135"/>
  <c r="CU274" i="135"/>
  <c r="CU266" i="135"/>
  <c r="CU253" i="135"/>
  <c r="CU258" i="135"/>
  <c r="CU261" i="135"/>
  <c r="CU268" i="135"/>
  <c r="CU275" i="135"/>
  <c r="CU252" i="135"/>
  <c r="EE272" i="135"/>
  <c r="EE267" i="135"/>
  <c r="EE266" i="135"/>
  <c r="EE268" i="135"/>
  <c r="EE264" i="135"/>
  <c r="EE262" i="135"/>
  <c r="EE263" i="135"/>
  <c r="EE261" i="135"/>
  <c r="EE258" i="135"/>
  <c r="EE255" i="135"/>
  <c r="EE249" i="135"/>
  <c r="EE253" i="135"/>
  <c r="EE259" i="135"/>
  <c r="EE250" i="135"/>
  <c r="EE246" i="135"/>
  <c r="EE220" i="135"/>
  <c r="EE221" i="135"/>
  <c r="EE225" i="135"/>
  <c r="EE224" i="135"/>
  <c r="EE216" i="135"/>
  <c r="EE228" i="135"/>
  <c r="EE238" i="135"/>
  <c r="EE232" i="135"/>
  <c r="EE235" i="135"/>
  <c r="EE217" i="135"/>
  <c r="EE226" i="135"/>
  <c r="EE227" i="135"/>
  <c r="EE231" i="135"/>
  <c r="EE240" i="135"/>
  <c r="EE234" i="135"/>
  <c r="EE237" i="135"/>
  <c r="EE241" i="135"/>
  <c r="EE214" i="135"/>
  <c r="EE218" i="135"/>
  <c r="EE219" i="135"/>
  <c r="EE222" i="135"/>
  <c r="EE230" i="135"/>
  <c r="EE247" i="135"/>
  <c r="EE257" i="135"/>
  <c r="EE215" i="135"/>
  <c r="EE242" i="135"/>
  <c r="EE244" i="135"/>
  <c r="EE233" i="135"/>
  <c r="EE236" i="135"/>
  <c r="EE239" i="135"/>
  <c r="EE248" i="135"/>
  <c r="EE265" i="135"/>
  <c r="EE223" i="135"/>
  <c r="EE229" i="135"/>
  <c r="EE270" i="135"/>
  <c r="EE269" i="135"/>
  <c r="EE245" i="135"/>
  <c r="EE271" i="135"/>
  <c r="EE275" i="135"/>
  <c r="EE274" i="135"/>
  <c r="EE254" i="135"/>
  <c r="EE252" i="135"/>
  <c r="EE260" i="135"/>
  <c r="EE273" i="135"/>
  <c r="EE243" i="135"/>
  <c r="EE251" i="135"/>
  <c r="EE256" i="135"/>
  <c r="FO270" i="135"/>
  <c r="FO271" i="135"/>
  <c r="FO259" i="135"/>
  <c r="FO235" i="135"/>
  <c r="FO218" i="135"/>
  <c r="FO215" i="135"/>
  <c r="FO214" i="135"/>
  <c r="FO231" i="135"/>
  <c r="FO220" i="135"/>
  <c r="FO217" i="135"/>
  <c r="FO232" i="135"/>
  <c r="FO221" i="135"/>
  <c r="FO216" i="135"/>
  <c r="FO226" i="135"/>
  <c r="FO219" i="135"/>
  <c r="FO222" i="135"/>
  <c r="FO238" i="135"/>
  <c r="FO224" i="135"/>
  <c r="FO229" i="135"/>
  <c r="FO233" i="135"/>
  <c r="FO250" i="135"/>
  <c r="FO227" i="135"/>
  <c r="FO240" i="135"/>
  <c r="FO237" i="135"/>
  <c r="FO241" i="135"/>
  <c r="FO247" i="135"/>
  <c r="FO249" i="135"/>
  <c r="FO225" i="135"/>
  <c r="FO234" i="135"/>
  <c r="FO245" i="135"/>
  <c r="FO251" i="135"/>
  <c r="FO256" i="135"/>
  <c r="FO223" i="135"/>
  <c r="FO230" i="135"/>
  <c r="FO242" i="135"/>
  <c r="FO244" i="135"/>
  <c r="FO257" i="135"/>
  <c r="FO246" i="135"/>
  <c r="FO248" i="135"/>
  <c r="FO258" i="135"/>
  <c r="FO260" i="135"/>
  <c r="FO265" i="135"/>
  <c r="FO228" i="135"/>
  <c r="FO236" i="135"/>
  <c r="FO243" i="135"/>
  <c r="FO252" i="135"/>
  <c r="FO255" i="135"/>
  <c r="FO262" i="135"/>
  <c r="FO269" i="135"/>
  <c r="FO268" i="135"/>
  <c r="FO275" i="135"/>
  <c r="FO267" i="135"/>
  <c r="FO273" i="135"/>
  <c r="FO263" i="135"/>
  <c r="FO266" i="135"/>
  <c r="FO261" i="135"/>
  <c r="FO272" i="135"/>
  <c r="FO274" i="135"/>
  <c r="FO253" i="135"/>
  <c r="FO264" i="135"/>
  <c r="FO254" i="135"/>
  <c r="FO239" i="135"/>
  <c r="BN165" i="135"/>
  <c r="AU165" i="135"/>
  <c r="BC165" i="135"/>
  <c r="BH165" i="135"/>
  <c r="BX165" i="135"/>
  <c r="AV165" i="135"/>
  <c r="DZ165" i="135"/>
  <c r="DU165" i="135"/>
  <c r="DP165" i="135"/>
  <c r="FJ165" i="135"/>
  <c r="CK165" i="135"/>
  <c r="EY165" i="135"/>
  <c r="CP165" i="135"/>
  <c r="DT165" i="135"/>
  <c r="DO165" i="135"/>
  <c r="FE165" i="135"/>
  <c r="CF165" i="135"/>
  <c r="AX165" i="135"/>
  <c r="BQ165" i="135"/>
  <c r="BI165" i="135"/>
  <c r="BD164" i="135"/>
  <c r="AN164" i="135"/>
  <c r="Q164" i="135" s="1"/>
  <c r="BY164" i="135"/>
  <c r="BP164" i="135"/>
  <c r="AW164" i="135"/>
  <c r="AQ164" i="135" s="1"/>
  <c r="CO165" i="135"/>
  <c r="FD165" i="135"/>
  <c r="CD165" i="135"/>
  <c r="FI165" i="135"/>
  <c r="FC165" i="135"/>
  <c r="EX165" i="135"/>
  <c r="DX165" i="135"/>
  <c r="CI165" i="135"/>
  <c r="DN165" i="135"/>
  <c r="DY165" i="135"/>
  <c r="CJ165" i="135"/>
  <c r="CE165" i="135"/>
  <c r="FH165" i="135"/>
  <c r="FB165" i="135"/>
  <c r="EW165" i="135"/>
  <c r="FG165" i="135"/>
  <c r="CH165" i="135"/>
  <c r="DM165" i="135"/>
  <c r="CM165" i="135"/>
  <c r="DR165" i="135"/>
  <c r="CN165" i="135"/>
  <c r="DS165" i="135"/>
  <c r="CC165" i="135"/>
  <c r="C168" i="135"/>
  <c r="T168" i="135" s="1"/>
  <c r="CR166" i="135"/>
  <c r="FL166" i="135"/>
  <c r="EB166" i="135"/>
  <c r="EU166" i="135"/>
  <c r="CS166" i="135"/>
  <c r="FM166" i="135"/>
  <c r="DK166" i="135"/>
  <c r="CA166" i="135"/>
  <c r="EC166" i="135"/>
  <c r="CL165" i="135"/>
  <c r="DQ165" i="135"/>
  <c r="FF165" i="135"/>
  <c r="CG165" i="135"/>
  <c r="DV165" i="135"/>
  <c r="EZ165" i="135"/>
  <c r="DW165" i="135"/>
  <c r="FA165" i="135"/>
  <c r="CT37" i="135"/>
  <c r="CT15" i="135"/>
  <c r="FN15" i="135"/>
  <c r="ED15" i="135"/>
  <c r="CU127" i="135"/>
  <c r="CU126" i="135"/>
  <c r="EE127" i="135"/>
  <c r="EE126" i="135"/>
  <c r="FO127" i="135"/>
  <c r="FO126" i="135"/>
  <c r="CT34" i="135"/>
  <c r="CU71" i="135"/>
  <c r="CU70" i="135"/>
  <c r="CU72" i="135"/>
  <c r="CU69" i="135"/>
  <c r="EE69" i="135"/>
  <c r="EE72" i="135"/>
  <c r="EE71" i="135"/>
  <c r="EE70" i="135"/>
  <c r="FO69" i="135"/>
  <c r="FO70" i="135"/>
  <c r="FO72" i="135"/>
  <c r="FO71" i="135"/>
  <c r="CT25" i="135"/>
  <c r="CT35" i="135"/>
  <c r="EE129" i="135"/>
  <c r="EE125" i="135"/>
  <c r="EE128" i="135"/>
  <c r="EE121" i="135"/>
  <c r="EE124" i="135"/>
  <c r="EE122" i="135"/>
  <c r="EE151" i="135"/>
  <c r="EE123" i="135"/>
  <c r="EE141" i="135"/>
  <c r="EE116" i="135"/>
  <c r="EE139" i="135"/>
  <c r="EE108" i="135"/>
  <c r="EE148" i="135"/>
  <c r="EE165" i="135"/>
  <c r="EE163" i="135"/>
  <c r="EE147" i="135"/>
  <c r="EE144" i="135"/>
  <c r="EE135" i="135"/>
  <c r="EE118" i="135"/>
  <c r="EE164" i="135"/>
  <c r="EE132" i="135"/>
  <c r="EE150" i="135"/>
  <c r="EE159" i="135"/>
  <c r="EE111" i="135"/>
  <c r="EE115" i="135"/>
  <c r="EE136" i="135"/>
  <c r="EE160" i="135"/>
  <c r="EE130" i="135"/>
  <c r="EE131" i="135"/>
  <c r="EE152" i="135"/>
  <c r="EE114" i="135"/>
  <c r="EE110" i="135"/>
  <c r="EE154" i="135"/>
  <c r="EE112" i="135"/>
  <c r="EE134" i="135"/>
  <c r="EE155" i="135"/>
  <c r="EE153" i="135"/>
  <c r="EE113" i="135"/>
  <c r="EE162" i="135"/>
  <c r="EE107" i="135"/>
  <c r="EE166" i="135"/>
  <c r="EE133" i="135"/>
  <c r="EE119" i="135"/>
  <c r="EE145" i="135"/>
  <c r="EE138" i="135"/>
  <c r="EE137" i="135"/>
  <c r="EE157" i="135"/>
  <c r="EE161" i="135"/>
  <c r="EE149" i="135"/>
  <c r="EE117" i="135"/>
  <c r="EE143" i="135"/>
  <c r="EE109" i="135"/>
  <c r="EE158" i="135"/>
  <c r="EE142" i="135"/>
  <c r="EE156" i="135"/>
  <c r="EE146" i="135"/>
  <c r="EE106" i="135"/>
  <c r="EE120" i="135"/>
  <c r="EE140" i="135"/>
  <c r="FO124" i="135"/>
  <c r="FO128" i="135"/>
  <c r="FO122" i="135"/>
  <c r="FO121" i="135"/>
  <c r="FO151" i="135"/>
  <c r="FO129" i="135"/>
  <c r="FO125" i="135"/>
  <c r="FO123" i="135"/>
  <c r="FO139" i="135"/>
  <c r="FO141" i="135"/>
  <c r="FO108" i="135"/>
  <c r="FO148" i="135"/>
  <c r="FO144" i="135"/>
  <c r="FO116" i="135"/>
  <c r="FO132" i="135"/>
  <c r="FO111" i="135"/>
  <c r="FO163" i="135"/>
  <c r="FO165" i="135"/>
  <c r="FO135" i="135"/>
  <c r="FO118" i="135"/>
  <c r="FO115" i="135"/>
  <c r="FO110" i="135"/>
  <c r="FO150" i="135"/>
  <c r="FO147" i="135"/>
  <c r="FO159" i="135"/>
  <c r="FO164" i="135"/>
  <c r="FO162" i="135"/>
  <c r="FO107" i="135"/>
  <c r="FO134" i="135"/>
  <c r="FO154" i="135"/>
  <c r="FO130" i="135"/>
  <c r="FO155" i="135"/>
  <c r="FO153" i="135"/>
  <c r="FO136" i="135"/>
  <c r="FO160" i="135"/>
  <c r="FO112" i="135"/>
  <c r="FO152" i="135"/>
  <c r="FO131" i="135"/>
  <c r="FO166" i="135"/>
  <c r="FO113" i="135"/>
  <c r="FO137" i="135"/>
  <c r="FO119" i="135"/>
  <c r="FO161" i="135"/>
  <c r="FO114" i="135"/>
  <c r="FO138" i="135"/>
  <c r="FO143" i="135"/>
  <c r="FO145" i="135"/>
  <c r="FO149" i="135"/>
  <c r="FO117" i="135"/>
  <c r="FO133" i="135"/>
  <c r="FO157" i="135"/>
  <c r="FO146" i="135"/>
  <c r="FO106" i="135"/>
  <c r="FO156" i="135"/>
  <c r="FO109" i="135"/>
  <c r="FO158" i="135"/>
  <c r="FO142" i="135"/>
  <c r="FO120" i="135"/>
  <c r="FO140" i="135"/>
  <c r="ED30" i="135"/>
  <c r="ED32" i="135"/>
  <c r="FN31" i="135"/>
  <c r="FN33" i="135"/>
  <c r="CT30" i="135"/>
  <c r="ED31" i="135"/>
  <c r="FN36" i="135"/>
  <c r="CT36" i="135"/>
  <c r="ED33" i="135"/>
  <c r="CT32" i="135"/>
  <c r="FN32" i="135"/>
  <c r="FN28" i="135"/>
  <c r="FN37" i="135"/>
  <c r="FN26" i="135"/>
  <c r="FN35" i="135"/>
  <c r="ED36" i="135"/>
  <c r="CU123" i="135"/>
  <c r="CU128" i="135"/>
  <c r="CU129" i="135"/>
  <c r="CU125" i="135"/>
  <c r="CU121" i="135"/>
  <c r="CU124" i="135"/>
  <c r="CU122" i="135"/>
  <c r="CU151" i="135"/>
  <c r="CU108" i="135"/>
  <c r="CU148" i="135"/>
  <c r="CU139" i="135"/>
  <c r="CU165" i="135"/>
  <c r="CU144" i="135"/>
  <c r="CU141" i="135"/>
  <c r="CU111" i="135"/>
  <c r="CU163" i="135"/>
  <c r="CU116" i="135"/>
  <c r="CU118" i="135"/>
  <c r="CU147" i="135"/>
  <c r="CU132" i="135"/>
  <c r="CU115" i="135"/>
  <c r="CU159" i="135"/>
  <c r="CU164" i="135"/>
  <c r="CU135" i="135"/>
  <c r="CU150" i="135"/>
  <c r="CU155" i="135"/>
  <c r="CU138" i="135"/>
  <c r="CU154" i="135"/>
  <c r="CU130" i="135"/>
  <c r="CU112" i="135"/>
  <c r="CU131" i="135"/>
  <c r="CU160" i="135"/>
  <c r="CU152" i="135"/>
  <c r="CU153" i="135"/>
  <c r="CU137" i="135"/>
  <c r="CU110" i="135"/>
  <c r="CU136" i="135"/>
  <c r="CU162" i="135"/>
  <c r="CU107" i="135"/>
  <c r="CU134" i="135"/>
  <c r="CU166" i="135"/>
  <c r="CU133" i="135"/>
  <c r="CU119" i="135"/>
  <c r="CU143" i="135"/>
  <c r="CU149" i="135"/>
  <c r="CU157" i="135"/>
  <c r="CU117" i="135"/>
  <c r="CU114" i="135"/>
  <c r="CU145" i="135"/>
  <c r="CU113" i="135"/>
  <c r="CU161" i="135"/>
  <c r="CU109" i="135"/>
  <c r="CU146" i="135"/>
  <c r="CU158" i="135"/>
  <c r="CU106" i="135"/>
  <c r="CU142" i="135"/>
  <c r="CU156" i="135"/>
  <c r="CU120" i="135"/>
  <c r="CU140" i="135"/>
  <c r="FN30" i="135"/>
  <c r="CT31" i="135"/>
  <c r="CT33" i="135"/>
  <c r="ED28" i="135"/>
  <c r="ED37" i="135"/>
  <c r="ED26" i="135"/>
  <c r="ED35" i="135"/>
  <c r="FN23" i="135"/>
  <c r="CT23" i="135"/>
  <c r="ED22" i="135"/>
  <c r="FN27" i="135"/>
  <c r="CT27" i="135"/>
  <c r="CT22" i="135"/>
  <c r="CT28" i="135"/>
  <c r="CT26" i="135"/>
  <c r="ED24" i="135"/>
  <c r="FN22" i="135"/>
  <c r="CT24" i="135"/>
  <c r="ED27" i="135"/>
  <c r="ED23" i="135"/>
  <c r="FN24" i="135"/>
  <c r="EE63" i="135"/>
  <c r="EE62" i="135"/>
  <c r="EE61" i="135"/>
  <c r="EE60" i="135"/>
  <c r="EE64" i="135"/>
  <c r="EE65" i="135"/>
  <c r="EE66" i="135"/>
  <c r="EE67" i="135"/>
  <c r="EE68" i="135"/>
  <c r="EE73" i="135"/>
  <c r="EE74" i="135"/>
  <c r="EE75" i="135"/>
  <c r="EE76" i="135"/>
  <c r="EE77" i="135"/>
  <c r="EE78" i="135"/>
  <c r="EE79" i="135"/>
  <c r="EE80" i="135"/>
  <c r="EE81" i="135"/>
  <c r="EE82" i="135"/>
  <c r="EE83" i="135"/>
  <c r="EE84" i="135"/>
  <c r="EE85" i="135"/>
  <c r="EE86" i="135"/>
  <c r="EE87" i="135"/>
  <c r="EE88" i="135"/>
  <c r="EE89" i="135"/>
  <c r="EE90" i="135"/>
  <c r="EE91" i="135"/>
  <c r="EE92" i="135"/>
  <c r="EE93" i="135"/>
  <c r="EE94" i="135"/>
  <c r="EE95" i="135"/>
  <c r="EE96" i="135"/>
  <c r="EE97" i="135"/>
  <c r="CU63" i="135"/>
  <c r="CU61" i="135"/>
  <c r="CU62" i="135"/>
  <c r="CU60" i="135"/>
  <c r="CU64" i="135"/>
  <c r="CU65" i="135"/>
  <c r="CU66" i="135"/>
  <c r="CU67" i="135"/>
  <c r="CU68" i="135"/>
  <c r="CU73" i="135"/>
  <c r="CU74" i="135"/>
  <c r="CU75" i="135"/>
  <c r="CU76" i="135"/>
  <c r="CU77" i="135"/>
  <c r="CU78" i="135"/>
  <c r="CU79" i="135"/>
  <c r="CU80" i="135"/>
  <c r="CU81" i="135"/>
  <c r="CU82" i="135"/>
  <c r="CU83" i="135"/>
  <c r="CU84" i="135"/>
  <c r="CU85" i="135"/>
  <c r="CU86" i="135"/>
  <c r="CU87" i="135"/>
  <c r="CU88" i="135"/>
  <c r="CU89" i="135"/>
  <c r="CU90" i="135"/>
  <c r="CU91" i="135"/>
  <c r="CU92" i="135"/>
  <c r="CU93" i="135"/>
  <c r="CU94" i="135"/>
  <c r="CU95" i="135"/>
  <c r="CU96" i="135"/>
  <c r="CU97" i="135"/>
  <c r="FO63" i="135"/>
  <c r="FO62" i="135"/>
  <c r="FO61" i="135"/>
  <c r="FO60" i="135"/>
  <c r="FO64" i="135"/>
  <c r="FO65" i="135"/>
  <c r="FO66" i="135"/>
  <c r="FO67" i="135"/>
  <c r="FO68" i="135"/>
  <c r="FO73" i="135"/>
  <c r="FO74" i="135"/>
  <c r="FO75" i="135"/>
  <c r="FO76" i="135"/>
  <c r="FO77" i="135"/>
  <c r="FO78" i="135"/>
  <c r="FO79" i="135"/>
  <c r="FO80" i="135"/>
  <c r="FO81" i="135"/>
  <c r="FO82" i="135"/>
  <c r="FO83" i="135"/>
  <c r="FO84" i="135"/>
  <c r="FO85" i="135"/>
  <c r="FO86" i="135"/>
  <c r="FO87" i="135"/>
  <c r="FO88" i="135"/>
  <c r="FO89" i="135"/>
  <c r="FO90" i="135"/>
  <c r="FO91" i="135"/>
  <c r="FO92" i="135"/>
  <c r="FO93" i="135"/>
  <c r="FO94" i="135"/>
  <c r="FO95" i="135"/>
  <c r="FO96" i="135"/>
  <c r="FO97" i="135"/>
  <c r="EE51" i="135"/>
  <c r="EE59" i="135"/>
  <c r="EE56" i="135"/>
  <c r="EE58" i="135"/>
  <c r="EE57" i="135"/>
  <c r="EE50" i="135"/>
  <c r="EE53" i="135"/>
  <c r="EE55" i="135"/>
  <c r="EE54" i="135"/>
  <c r="EE52" i="135"/>
  <c r="CU51" i="135"/>
  <c r="CU59" i="135"/>
  <c r="CU56" i="135"/>
  <c r="CU58" i="135"/>
  <c r="CU53" i="135"/>
  <c r="CU57" i="135"/>
  <c r="CU55" i="135"/>
  <c r="CU50" i="135"/>
  <c r="CU54" i="135"/>
  <c r="CU52" i="135"/>
  <c r="FO59" i="135"/>
  <c r="FO51" i="135"/>
  <c r="FO56" i="135"/>
  <c r="FO58" i="135"/>
  <c r="FO50" i="135"/>
  <c r="FO57" i="135"/>
  <c r="FO53" i="135"/>
  <c r="FO55" i="135"/>
  <c r="FO52" i="135"/>
  <c r="FO54" i="135"/>
  <c r="EE49" i="135"/>
  <c r="FO49" i="135"/>
  <c r="CU49" i="135"/>
  <c r="CT21" i="135"/>
  <c r="CT14" i="135"/>
  <c r="ED21" i="135"/>
  <c r="ED14" i="135"/>
  <c r="FN21" i="135"/>
  <c r="FN14" i="135"/>
  <c r="FP8" i="135"/>
  <c r="EF8" i="135"/>
  <c r="CV8" i="135"/>
  <c r="EE25" i="135" l="1"/>
  <c r="AJ167" i="135"/>
  <c r="AI167" i="135"/>
  <c r="AB167" i="135"/>
  <c r="AG167" i="135"/>
  <c r="Y167" i="135"/>
  <c r="DL167" i="135" s="1"/>
  <c r="Z167" i="135"/>
  <c r="EV167" i="135" s="1"/>
  <c r="AC167" i="135"/>
  <c r="AD167" i="135"/>
  <c r="V168" i="135"/>
  <c r="AK168" i="135"/>
  <c r="EF168" i="135" s="1"/>
  <c r="U168" i="135"/>
  <c r="AJ168" i="135"/>
  <c r="AL168" i="135"/>
  <c r="AH167" i="135"/>
  <c r="X167" i="135"/>
  <c r="CI167" i="135" s="1"/>
  <c r="CP166" i="135"/>
  <c r="FI166" i="135"/>
  <c r="CO166" i="135"/>
  <c r="FJ166" i="135"/>
  <c r="DY166" i="135"/>
  <c r="DZ166" i="135"/>
  <c r="CU167" i="135"/>
  <c r="EE167" i="135"/>
  <c r="AQ165" i="135"/>
  <c r="EV166" i="135"/>
  <c r="EA167" i="135"/>
  <c r="EE34" i="135"/>
  <c r="DL166" i="135"/>
  <c r="EF253" i="135"/>
  <c r="EF248" i="135"/>
  <c r="EF252" i="135"/>
  <c r="EF249" i="135"/>
  <c r="EF238" i="135"/>
  <c r="EF234" i="135"/>
  <c r="EF230" i="135"/>
  <c r="EF233" i="135"/>
  <c r="EF229" i="135"/>
  <c r="EF254" i="135"/>
  <c r="EF227" i="135"/>
  <c r="EF240" i="135"/>
  <c r="EF224" i="135"/>
  <c r="EF223" i="135"/>
  <c r="EF225" i="135"/>
  <c r="EF219" i="135"/>
  <c r="EF215" i="135"/>
  <c r="EF221" i="135"/>
  <c r="EF237" i="135"/>
  <c r="EF241" i="135"/>
  <c r="EF251" i="135"/>
  <c r="EF218" i="135"/>
  <c r="EF214" i="135"/>
  <c r="EF216" i="135"/>
  <c r="EF220" i="135"/>
  <c r="EF246" i="135"/>
  <c r="EF255" i="135"/>
  <c r="EF226" i="135"/>
  <c r="EF217" i="135"/>
  <c r="EF232" i="135"/>
  <c r="EF235" i="135"/>
  <c r="EF242" i="135"/>
  <c r="EF244" i="135"/>
  <c r="EF239" i="135"/>
  <c r="EF243" i="135"/>
  <c r="EF250" i="135"/>
  <c r="EF228" i="135"/>
  <c r="EF222" i="135"/>
  <c r="EF231" i="135"/>
  <c r="EF256" i="135"/>
  <c r="EF258" i="135"/>
  <c r="EF264" i="135"/>
  <c r="EF236" i="135"/>
  <c r="EF262" i="135"/>
  <c r="EF266" i="135"/>
  <c r="EF268" i="135"/>
  <c r="EF267" i="135"/>
  <c r="EF271" i="135"/>
  <c r="EF274" i="135"/>
  <c r="EF270" i="135"/>
  <c r="EF272" i="135"/>
  <c r="EF273" i="135"/>
  <c r="EF275" i="135"/>
  <c r="EF261" i="135"/>
  <c r="EF265" i="135"/>
  <c r="EF259" i="135"/>
  <c r="EF263" i="135"/>
  <c r="EF269" i="135"/>
  <c r="EF247" i="135"/>
  <c r="EF260" i="135"/>
  <c r="EF257" i="135"/>
  <c r="EF245" i="135"/>
  <c r="FP272" i="135"/>
  <c r="FP268" i="135"/>
  <c r="FP266" i="135"/>
  <c r="FP267" i="135"/>
  <c r="FP261" i="135"/>
  <c r="FP264" i="135"/>
  <c r="FP260" i="135"/>
  <c r="FP263" i="135"/>
  <c r="FP255" i="135"/>
  <c r="FP258" i="135"/>
  <c r="FP262" i="135"/>
  <c r="FP251" i="135"/>
  <c r="FP250" i="135"/>
  <c r="FP247" i="135"/>
  <c r="FP246" i="135"/>
  <c r="FP222" i="135"/>
  <c r="FP227" i="135"/>
  <c r="FP219" i="135"/>
  <c r="FP221" i="135"/>
  <c r="FP256" i="135"/>
  <c r="FP220" i="135"/>
  <c r="FP215" i="135"/>
  <c r="FP225" i="135"/>
  <c r="FP226" i="135"/>
  <c r="FP223" i="135"/>
  <c r="FP231" i="135"/>
  <c r="FP240" i="135"/>
  <c r="FP234" i="135"/>
  <c r="FP237" i="135"/>
  <c r="FP241" i="135"/>
  <c r="FP245" i="135"/>
  <c r="FP248" i="135"/>
  <c r="FP216" i="135"/>
  <c r="FP228" i="135"/>
  <c r="FP224" i="135"/>
  <c r="FP230" i="135"/>
  <c r="FP252" i="135"/>
  <c r="FP217" i="135"/>
  <c r="FP236" i="135"/>
  <c r="FP242" i="135"/>
  <c r="FP244" i="135"/>
  <c r="FP229" i="135"/>
  <c r="FP233" i="135"/>
  <c r="FP239" i="135"/>
  <c r="FP243" i="135"/>
  <c r="FP249" i="135"/>
  <c r="FP214" i="135"/>
  <c r="FP218" i="135"/>
  <c r="FP238" i="135"/>
  <c r="FP232" i="135"/>
  <c r="FP235" i="135"/>
  <c r="FP257" i="135"/>
  <c r="FP254" i="135"/>
  <c r="FP259" i="135"/>
  <c r="FP275" i="135"/>
  <c r="FP270" i="135"/>
  <c r="FP274" i="135"/>
  <c r="FP271" i="135"/>
  <c r="FP273" i="135"/>
  <c r="FP253" i="135"/>
  <c r="FP269" i="135"/>
  <c r="FP265" i="135"/>
  <c r="CV268" i="135"/>
  <c r="CV267" i="135"/>
  <c r="CV266" i="135"/>
  <c r="CV265" i="135"/>
  <c r="CV258" i="135"/>
  <c r="CV245" i="135"/>
  <c r="CV243" i="135"/>
  <c r="CV241" i="135"/>
  <c r="CV239" i="135"/>
  <c r="CV237" i="135"/>
  <c r="CV244" i="135"/>
  <c r="CV240" i="135"/>
  <c r="CV236" i="135"/>
  <c r="CV242" i="135"/>
  <c r="CV222" i="135"/>
  <c r="CV216" i="135"/>
  <c r="CV228" i="135"/>
  <c r="CV220" i="135"/>
  <c r="CV224" i="135"/>
  <c r="CV231" i="135"/>
  <c r="CV257" i="135"/>
  <c r="CV247" i="135"/>
  <c r="CV225" i="135"/>
  <c r="CV217" i="135"/>
  <c r="CV221" i="135"/>
  <c r="CV234" i="135"/>
  <c r="CV251" i="135"/>
  <c r="CV249" i="135"/>
  <c r="CV254" i="135"/>
  <c r="CV255" i="135"/>
  <c r="CV219" i="135"/>
  <c r="CV214" i="135"/>
  <c r="CV218" i="135"/>
  <c r="CV227" i="135"/>
  <c r="CV230" i="135"/>
  <c r="CV246" i="135"/>
  <c r="CV223" i="135"/>
  <c r="CV235" i="135"/>
  <c r="CV253" i="135"/>
  <c r="CV238" i="135"/>
  <c r="CV229" i="135"/>
  <c r="CV248" i="135"/>
  <c r="CV260" i="135"/>
  <c r="CV226" i="135"/>
  <c r="CV215" i="135"/>
  <c r="CV232" i="135"/>
  <c r="CV233" i="135"/>
  <c r="CV252" i="135"/>
  <c r="CV261" i="135"/>
  <c r="CV274" i="135"/>
  <c r="CV271" i="135"/>
  <c r="CV273" i="135"/>
  <c r="CV275" i="135"/>
  <c r="CV272" i="135"/>
  <c r="CV263" i="135"/>
  <c r="CV269" i="135"/>
  <c r="CV270" i="135"/>
  <c r="CV264" i="135"/>
  <c r="CV250" i="135"/>
  <c r="CV259" i="135"/>
  <c r="CV262" i="135"/>
  <c r="CV256" i="135"/>
  <c r="FG166" i="135"/>
  <c r="FH166" i="135"/>
  <c r="FE166" i="135"/>
  <c r="FF166" i="135"/>
  <c r="DV166" i="135"/>
  <c r="DW166" i="135"/>
  <c r="DU166" i="135"/>
  <c r="DX166" i="135"/>
  <c r="CK166" i="135"/>
  <c r="CN166" i="135"/>
  <c r="CM166" i="135"/>
  <c r="CL166" i="135"/>
  <c r="FC166" i="135"/>
  <c r="BI166" i="135"/>
  <c r="AX166" i="135"/>
  <c r="BQ166" i="135"/>
  <c r="CD166" i="135"/>
  <c r="CG166" i="135"/>
  <c r="CJ166" i="135"/>
  <c r="CE166" i="135"/>
  <c r="CH166" i="135"/>
  <c r="CF166" i="135"/>
  <c r="CC166" i="135"/>
  <c r="AM167" i="135"/>
  <c r="EC167" i="135"/>
  <c r="FM167" i="135"/>
  <c r="CS167" i="135"/>
  <c r="FK167" i="135"/>
  <c r="CR167" i="135"/>
  <c r="DK167" i="135"/>
  <c r="CQ167" i="135"/>
  <c r="ED167" i="135"/>
  <c r="CA167" i="135"/>
  <c r="EB167" i="135"/>
  <c r="EU167" i="135"/>
  <c r="FL167" i="135"/>
  <c r="CT167" i="135"/>
  <c r="FN167" i="135"/>
  <c r="AU166" i="135"/>
  <c r="BN166" i="135"/>
  <c r="FB166" i="135"/>
  <c r="EY166" i="135"/>
  <c r="FA166" i="135"/>
  <c r="FD166" i="135"/>
  <c r="EW166" i="135"/>
  <c r="EZ166" i="135"/>
  <c r="CI166" i="135"/>
  <c r="C169" i="135"/>
  <c r="T169" i="135" s="1"/>
  <c r="DT166" i="135"/>
  <c r="DS166" i="135"/>
  <c r="DQ166" i="135"/>
  <c r="DR166" i="135"/>
  <c r="DO166" i="135"/>
  <c r="DN166" i="135"/>
  <c r="DP166" i="135"/>
  <c r="AM166" i="135"/>
  <c r="BH166" i="135"/>
  <c r="BX166" i="135"/>
  <c r="BC166" i="135"/>
  <c r="AV166" i="135"/>
  <c r="CU15" i="135"/>
  <c r="FO15" i="135"/>
  <c r="EE15" i="135"/>
  <c r="FO30" i="135"/>
  <c r="EE31" i="135"/>
  <c r="FP126" i="135"/>
  <c r="FP127" i="135"/>
  <c r="EF126" i="135"/>
  <c r="EF127" i="135"/>
  <c r="CV126" i="135"/>
  <c r="CV127" i="135"/>
  <c r="FO34" i="135"/>
  <c r="CU34" i="135"/>
  <c r="CV71" i="135"/>
  <c r="CV70" i="135"/>
  <c r="CV69" i="135"/>
  <c r="CV72" i="135"/>
  <c r="FO25" i="135"/>
  <c r="CU25" i="135"/>
  <c r="EF70" i="135"/>
  <c r="EF69" i="135"/>
  <c r="EF71" i="135"/>
  <c r="EF72" i="135"/>
  <c r="FP72" i="135"/>
  <c r="FP70" i="135"/>
  <c r="FP71" i="135"/>
  <c r="FP69" i="135"/>
  <c r="EE33" i="135"/>
  <c r="CU32" i="135"/>
  <c r="CU37" i="135"/>
  <c r="FP125" i="135"/>
  <c r="FP129" i="135"/>
  <c r="FP128" i="135"/>
  <c r="FP151" i="135"/>
  <c r="FP122" i="135"/>
  <c r="FP123" i="135"/>
  <c r="FP124" i="135"/>
  <c r="FP121" i="135"/>
  <c r="FP108" i="135"/>
  <c r="FP148" i="135"/>
  <c r="FP135" i="135"/>
  <c r="FP141" i="135"/>
  <c r="FP111" i="135"/>
  <c r="FP139" i="135"/>
  <c r="FP165" i="135"/>
  <c r="FP116" i="135"/>
  <c r="FP150" i="135"/>
  <c r="FP132" i="135"/>
  <c r="FP159" i="135"/>
  <c r="FP118" i="135"/>
  <c r="FP164" i="135"/>
  <c r="FP110" i="135"/>
  <c r="FP115" i="135"/>
  <c r="FP147" i="135"/>
  <c r="FP144" i="135"/>
  <c r="FP163" i="135"/>
  <c r="FP112" i="135"/>
  <c r="FP152" i="135"/>
  <c r="FP153" i="135"/>
  <c r="FP166" i="135"/>
  <c r="FP136" i="135"/>
  <c r="FP134" i="135"/>
  <c r="FP131" i="135"/>
  <c r="FP162" i="135"/>
  <c r="FP107" i="135"/>
  <c r="FP154" i="135"/>
  <c r="FP155" i="135"/>
  <c r="FP160" i="135"/>
  <c r="FP130" i="135"/>
  <c r="FP114" i="135"/>
  <c r="FP138" i="135"/>
  <c r="FP137" i="135"/>
  <c r="FP157" i="135"/>
  <c r="FP113" i="135"/>
  <c r="FP161" i="135"/>
  <c r="FP149" i="135"/>
  <c r="FP117" i="135"/>
  <c r="FP133" i="135"/>
  <c r="FP143" i="135"/>
  <c r="FP119" i="135"/>
  <c r="FP145" i="135"/>
  <c r="FP167" i="135"/>
  <c r="FP142" i="135"/>
  <c r="FP156" i="135"/>
  <c r="FP158" i="135"/>
  <c r="FP146" i="135"/>
  <c r="FP106" i="135"/>
  <c r="FP109" i="135"/>
  <c r="FP120" i="135"/>
  <c r="FP140" i="135"/>
  <c r="EF124" i="135"/>
  <c r="EF129" i="135"/>
  <c r="EF122" i="135"/>
  <c r="EF123" i="135"/>
  <c r="EF151" i="135"/>
  <c r="EF121" i="135"/>
  <c r="EF125" i="135"/>
  <c r="EF128" i="135"/>
  <c r="EF165" i="135"/>
  <c r="EF139" i="135"/>
  <c r="EF111" i="135"/>
  <c r="EF108" i="135"/>
  <c r="EF147" i="135"/>
  <c r="EF141" i="135"/>
  <c r="EF148" i="135"/>
  <c r="EF132" i="135"/>
  <c r="EF144" i="135"/>
  <c r="EF163" i="135"/>
  <c r="EF118" i="135"/>
  <c r="EF115" i="135"/>
  <c r="EF164" i="135"/>
  <c r="EF135" i="135"/>
  <c r="EF159" i="135"/>
  <c r="EF150" i="135"/>
  <c r="EF116" i="135"/>
  <c r="EF160" i="135"/>
  <c r="EF110" i="135"/>
  <c r="EF136" i="135"/>
  <c r="EF107" i="135"/>
  <c r="EF154" i="135"/>
  <c r="EF131" i="135"/>
  <c r="EF138" i="135"/>
  <c r="EF166" i="135"/>
  <c r="EF162" i="135"/>
  <c r="EF155" i="135"/>
  <c r="EF153" i="135"/>
  <c r="EF134" i="135"/>
  <c r="EF114" i="135"/>
  <c r="EF113" i="135"/>
  <c r="EF130" i="135"/>
  <c r="EF112" i="135"/>
  <c r="EF152" i="135"/>
  <c r="EF119" i="135"/>
  <c r="EF157" i="135"/>
  <c r="EF167" i="135"/>
  <c r="EF133" i="135"/>
  <c r="EF145" i="135"/>
  <c r="EF161" i="135"/>
  <c r="EF149" i="135"/>
  <c r="EF137" i="135"/>
  <c r="EF143" i="135"/>
  <c r="EF117" i="135"/>
  <c r="EF158" i="135"/>
  <c r="EF109" i="135"/>
  <c r="EF106" i="135"/>
  <c r="EF142" i="135"/>
  <c r="EF156" i="135"/>
  <c r="EF146" i="135"/>
  <c r="EF120" i="135"/>
  <c r="EF140" i="135"/>
  <c r="CU30" i="135"/>
  <c r="FO28" i="135"/>
  <c r="FO37" i="135"/>
  <c r="FO26" i="135"/>
  <c r="FO35" i="135"/>
  <c r="CU36" i="135"/>
  <c r="FO31" i="135"/>
  <c r="CU26" i="135"/>
  <c r="CU35" i="135"/>
  <c r="FO33" i="135"/>
  <c r="EE30" i="135"/>
  <c r="CU31" i="135"/>
  <c r="EE32" i="135"/>
  <c r="CU33" i="135"/>
  <c r="EE36" i="135"/>
  <c r="CV121" i="135"/>
  <c r="CV122" i="135"/>
  <c r="CV151" i="135"/>
  <c r="CV124" i="135"/>
  <c r="CV128" i="135"/>
  <c r="CV125" i="135"/>
  <c r="CV123" i="135"/>
  <c r="CV129" i="135"/>
  <c r="CV148" i="135"/>
  <c r="CV139" i="135"/>
  <c r="CV141" i="135"/>
  <c r="CV108" i="135"/>
  <c r="CV165" i="135"/>
  <c r="CV111" i="135"/>
  <c r="CV147" i="135"/>
  <c r="CV144" i="135"/>
  <c r="CV163" i="135"/>
  <c r="CV132" i="135"/>
  <c r="CV164" i="135"/>
  <c r="CV159" i="135"/>
  <c r="CV135" i="135"/>
  <c r="CV118" i="135"/>
  <c r="CV116" i="135"/>
  <c r="CV150" i="135"/>
  <c r="CV115" i="135"/>
  <c r="CV160" i="135"/>
  <c r="CV130" i="135"/>
  <c r="CV131" i="135"/>
  <c r="CV152" i="135"/>
  <c r="CV114" i="135"/>
  <c r="CV138" i="135"/>
  <c r="CV136" i="135"/>
  <c r="CV162" i="135"/>
  <c r="CV107" i="135"/>
  <c r="CV134" i="135"/>
  <c r="CV112" i="135"/>
  <c r="CV153" i="135"/>
  <c r="CV110" i="135"/>
  <c r="CV154" i="135"/>
  <c r="CV166" i="135"/>
  <c r="CV113" i="135"/>
  <c r="CV155" i="135"/>
  <c r="CV157" i="135"/>
  <c r="CV149" i="135"/>
  <c r="CV167" i="135"/>
  <c r="CV143" i="135"/>
  <c r="CV137" i="135"/>
  <c r="CV133" i="135"/>
  <c r="CV161" i="135"/>
  <c r="CV145" i="135"/>
  <c r="CV117" i="135"/>
  <c r="CV119" i="135"/>
  <c r="CV109" i="135"/>
  <c r="CV142" i="135"/>
  <c r="CV146" i="135"/>
  <c r="CV156" i="135"/>
  <c r="CV106" i="135"/>
  <c r="CV158" i="135"/>
  <c r="CV120" i="135"/>
  <c r="CV140" i="135"/>
  <c r="FO32" i="135"/>
  <c r="FO36" i="135"/>
  <c r="EE28" i="135"/>
  <c r="EE37" i="135"/>
  <c r="EE26" i="135"/>
  <c r="EE35" i="135"/>
  <c r="EE22" i="135"/>
  <c r="EE27" i="135"/>
  <c r="FO22" i="135"/>
  <c r="CU23" i="135"/>
  <c r="CU27" i="135"/>
  <c r="EE24" i="135"/>
  <c r="CU22" i="135"/>
  <c r="CU28" i="135"/>
  <c r="FO23" i="135"/>
  <c r="EE23" i="135"/>
  <c r="FO24" i="135"/>
  <c r="CU24" i="135"/>
  <c r="FO27" i="135"/>
  <c r="FP63" i="135"/>
  <c r="FP61" i="135"/>
  <c r="FP60" i="135"/>
  <c r="FP62" i="135"/>
  <c r="FP64" i="135"/>
  <c r="FP65" i="135"/>
  <c r="FP66" i="135"/>
  <c r="FP67" i="135"/>
  <c r="FP68" i="135"/>
  <c r="FP73" i="135"/>
  <c r="FP74" i="135"/>
  <c r="FP75" i="135"/>
  <c r="FP76" i="135"/>
  <c r="FP77" i="135"/>
  <c r="FP78" i="135"/>
  <c r="FP79" i="135"/>
  <c r="FP80" i="135"/>
  <c r="FP81" i="135"/>
  <c r="FP82" i="135"/>
  <c r="FP83" i="135"/>
  <c r="FP84" i="135"/>
  <c r="FP85" i="135"/>
  <c r="FP86" i="135"/>
  <c r="FP87" i="135"/>
  <c r="FP88" i="135"/>
  <c r="FP89" i="135"/>
  <c r="FP90" i="135"/>
  <c r="FP91" i="135"/>
  <c r="FP92" i="135"/>
  <c r="FP93" i="135"/>
  <c r="FP94" i="135"/>
  <c r="FP95" i="135"/>
  <c r="FP96" i="135"/>
  <c r="FP97" i="135"/>
  <c r="EF63" i="135"/>
  <c r="EF62" i="135"/>
  <c r="EF61" i="135"/>
  <c r="EF60" i="135"/>
  <c r="EF64" i="135"/>
  <c r="EF65" i="135"/>
  <c r="EF66" i="135"/>
  <c r="EF67" i="135"/>
  <c r="EF68" i="135"/>
  <c r="EF73" i="135"/>
  <c r="EF74" i="135"/>
  <c r="EF75" i="135"/>
  <c r="EF76" i="135"/>
  <c r="EF77" i="135"/>
  <c r="EF78" i="135"/>
  <c r="EF79" i="135"/>
  <c r="EF80" i="135"/>
  <c r="EF81" i="135"/>
  <c r="EF82" i="135"/>
  <c r="EF83" i="135"/>
  <c r="EF84" i="135"/>
  <c r="EF85" i="135"/>
  <c r="EF86" i="135"/>
  <c r="EF87" i="135"/>
  <c r="EF88" i="135"/>
  <c r="EF89" i="135"/>
  <c r="EF90" i="135"/>
  <c r="EF91" i="135"/>
  <c r="EF92" i="135"/>
  <c r="EF93" i="135"/>
  <c r="EF94" i="135"/>
  <c r="EF95" i="135"/>
  <c r="EF96" i="135"/>
  <c r="EF97" i="135"/>
  <c r="CV63" i="135"/>
  <c r="CV61" i="135"/>
  <c r="CV62" i="135"/>
  <c r="CV60" i="135"/>
  <c r="CV64" i="135"/>
  <c r="CV65" i="135"/>
  <c r="CV66" i="135"/>
  <c r="CV67" i="135"/>
  <c r="CV68" i="135"/>
  <c r="CV73" i="135"/>
  <c r="CV74" i="135"/>
  <c r="CV75" i="135"/>
  <c r="CV76" i="135"/>
  <c r="CV77" i="135"/>
  <c r="CV78" i="135"/>
  <c r="CV79" i="135"/>
  <c r="CV80" i="135"/>
  <c r="CV81" i="135"/>
  <c r="CV82" i="135"/>
  <c r="CV83" i="135"/>
  <c r="CV84" i="135"/>
  <c r="CV85" i="135"/>
  <c r="CV86" i="135"/>
  <c r="CV87" i="135"/>
  <c r="CV88" i="135"/>
  <c r="CV89" i="135"/>
  <c r="CV90" i="135"/>
  <c r="CV91" i="135"/>
  <c r="CV92" i="135"/>
  <c r="CV93" i="135"/>
  <c r="CV94" i="135"/>
  <c r="CV95" i="135"/>
  <c r="CV96" i="135"/>
  <c r="CV97" i="135"/>
  <c r="C98" i="135"/>
  <c r="T98" i="135" s="1"/>
  <c r="FP51" i="135"/>
  <c r="FP56" i="135"/>
  <c r="FP59" i="135"/>
  <c r="FP57" i="135"/>
  <c r="FP50" i="135"/>
  <c r="FP55" i="135"/>
  <c r="FP53" i="135"/>
  <c r="FP58" i="135"/>
  <c r="FP54" i="135"/>
  <c r="FP52" i="135"/>
  <c r="CV59" i="135"/>
  <c r="CV56" i="135"/>
  <c r="CV51" i="135"/>
  <c r="CV53" i="135"/>
  <c r="CV55" i="135"/>
  <c r="CV58" i="135"/>
  <c r="CV57" i="135"/>
  <c r="CV50" i="135"/>
  <c r="CV54" i="135"/>
  <c r="CV52" i="135"/>
  <c r="EF56" i="135"/>
  <c r="EF51" i="135"/>
  <c r="EF59" i="135"/>
  <c r="EF57" i="135"/>
  <c r="EF55" i="135"/>
  <c r="EF58" i="135"/>
  <c r="EF53" i="135"/>
  <c r="EF50" i="135"/>
  <c r="EF54" i="135"/>
  <c r="EF52" i="135"/>
  <c r="CV49" i="135"/>
  <c r="EF49" i="135"/>
  <c r="FP49" i="135"/>
  <c r="FO21" i="135"/>
  <c r="FO14" i="135"/>
  <c r="EE21" i="135"/>
  <c r="EE14" i="135"/>
  <c r="FQ8" i="135"/>
  <c r="EG8" i="135"/>
  <c r="CW8" i="135"/>
  <c r="EF25" i="135" l="1"/>
  <c r="FP25" i="135"/>
  <c r="V169" i="135"/>
  <c r="AL169" i="135"/>
  <c r="AK169" i="135"/>
  <c r="EG169" i="135" s="1"/>
  <c r="U169" i="135"/>
  <c r="AI169" i="135"/>
  <c r="AH168" i="135"/>
  <c r="Y168" i="135"/>
  <c r="AF168" i="135"/>
  <c r="AM168" i="135" s="1"/>
  <c r="BD168" i="135" s="1"/>
  <c r="AB168" i="135"/>
  <c r="AI168" i="135"/>
  <c r="AC168" i="135"/>
  <c r="AD168" i="135"/>
  <c r="U98" i="135"/>
  <c r="V98" i="135"/>
  <c r="AK98" i="135"/>
  <c r="AL98" i="135"/>
  <c r="AI98" i="135"/>
  <c r="X168" i="135"/>
  <c r="CI168" i="135" s="1"/>
  <c r="AG168" i="135"/>
  <c r="Z168" i="135"/>
  <c r="CL167" i="135"/>
  <c r="CP167" i="135"/>
  <c r="CM167" i="135"/>
  <c r="DU167" i="135"/>
  <c r="FP168" i="135"/>
  <c r="FH167" i="135"/>
  <c r="FD167" i="135"/>
  <c r="FI167" i="135"/>
  <c r="FE167" i="135"/>
  <c r="DY167" i="135"/>
  <c r="CV168" i="135"/>
  <c r="FF167" i="135"/>
  <c r="FJ167" i="135"/>
  <c r="FG167" i="135"/>
  <c r="DX167" i="135"/>
  <c r="DW167" i="135"/>
  <c r="CJ167" i="135"/>
  <c r="CN167" i="135"/>
  <c r="CK167" i="135"/>
  <c r="CO167" i="135"/>
  <c r="DV167" i="135"/>
  <c r="DZ167" i="135"/>
  <c r="FB167" i="135"/>
  <c r="CB167" i="135"/>
  <c r="CF167" i="135"/>
  <c r="CD167" i="135"/>
  <c r="EF34" i="135"/>
  <c r="FP34" i="135"/>
  <c r="EX167" i="135"/>
  <c r="CH167" i="135"/>
  <c r="CW267" i="135"/>
  <c r="CW270" i="135"/>
  <c r="CW271" i="135"/>
  <c r="CW269" i="135"/>
  <c r="CW252" i="135"/>
  <c r="CW235" i="135"/>
  <c r="CW231" i="135"/>
  <c r="CW234" i="135"/>
  <c r="CW230" i="135"/>
  <c r="CW221" i="135"/>
  <c r="CW218" i="135"/>
  <c r="CW220" i="135"/>
  <c r="CW217" i="135"/>
  <c r="CW216" i="135"/>
  <c r="CW215" i="135"/>
  <c r="CW214" i="135"/>
  <c r="CW228" i="135"/>
  <c r="CW223" i="135"/>
  <c r="CW236" i="135"/>
  <c r="CW242" i="135"/>
  <c r="CW244" i="135"/>
  <c r="CW257" i="135"/>
  <c r="CW239" i="135"/>
  <c r="CW243" i="135"/>
  <c r="CW246" i="135"/>
  <c r="CW248" i="135"/>
  <c r="CW219" i="135"/>
  <c r="CW226" i="135"/>
  <c r="CW222" i="135"/>
  <c r="CW238" i="135"/>
  <c r="CW224" i="135"/>
  <c r="CW233" i="135"/>
  <c r="CW245" i="135"/>
  <c r="CW250" i="135"/>
  <c r="CW253" i="135"/>
  <c r="CW254" i="135"/>
  <c r="CW255" i="135"/>
  <c r="CW227" i="135"/>
  <c r="CW240" i="135"/>
  <c r="CW229" i="135"/>
  <c r="CW237" i="135"/>
  <c r="CW241" i="135"/>
  <c r="CW247" i="135"/>
  <c r="CW249" i="135"/>
  <c r="CW225" i="135"/>
  <c r="CW232" i="135"/>
  <c r="CW256" i="135"/>
  <c r="CW251" i="135"/>
  <c r="CW261" i="135"/>
  <c r="CW272" i="135"/>
  <c r="CW274" i="135"/>
  <c r="CW268" i="135"/>
  <c r="CW273" i="135"/>
  <c r="CW258" i="135"/>
  <c r="CW260" i="135"/>
  <c r="CW265" i="135"/>
  <c r="CW264" i="135"/>
  <c r="CW275" i="135"/>
  <c r="CW259" i="135"/>
  <c r="CW263" i="135"/>
  <c r="CW266" i="135"/>
  <c r="CW262" i="135"/>
  <c r="EG267" i="135"/>
  <c r="EG268" i="135"/>
  <c r="EG266" i="135"/>
  <c r="EG258" i="135"/>
  <c r="EG249" i="135"/>
  <c r="EG234" i="135"/>
  <c r="EG230" i="135"/>
  <c r="EG247" i="135"/>
  <c r="EG241" i="135"/>
  <c r="EG233" i="135"/>
  <c r="EG232" i="135"/>
  <c r="EG229" i="135"/>
  <c r="EG243" i="135"/>
  <c r="EG239" i="135"/>
  <c r="EG251" i="135"/>
  <c r="EG248" i="135"/>
  <c r="EG245" i="135"/>
  <c r="EG237" i="135"/>
  <c r="EG226" i="135"/>
  <c r="EG223" i="135"/>
  <c r="EG222" i="135"/>
  <c r="EG215" i="135"/>
  <c r="EG238" i="135"/>
  <c r="EG244" i="135"/>
  <c r="EG246" i="135"/>
  <c r="EG219" i="135"/>
  <c r="EG216" i="135"/>
  <c r="EG227" i="135"/>
  <c r="EG220" i="135"/>
  <c r="EG235" i="135"/>
  <c r="EG240" i="135"/>
  <c r="EG250" i="135"/>
  <c r="EG217" i="135"/>
  <c r="EG224" i="135"/>
  <c r="EG221" i="135"/>
  <c r="EG231" i="135"/>
  <c r="EG252" i="135"/>
  <c r="EG256" i="135"/>
  <c r="EG225" i="135"/>
  <c r="EG228" i="135"/>
  <c r="EG242" i="135"/>
  <c r="EG261" i="135"/>
  <c r="EG263" i="135"/>
  <c r="EG214" i="135"/>
  <c r="EG236" i="135"/>
  <c r="EG218" i="135"/>
  <c r="EG257" i="135"/>
  <c r="EG265" i="135"/>
  <c r="EG269" i="135"/>
  <c r="EG272" i="135"/>
  <c r="EG274" i="135"/>
  <c r="EG273" i="135"/>
  <c r="EG270" i="135"/>
  <c r="EG260" i="135"/>
  <c r="EG271" i="135"/>
  <c r="EG254" i="135"/>
  <c r="EG255" i="135"/>
  <c r="EG262" i="135"/>
  <c r="EG275" i="135"/>
  <c r="EG259" i="135"/>
  <c r="EG264" i="135"/>
  <c r="EG253" i="135"/>
  <c r="FQ275" i="135"/>
  <c r="FQ273" i="135"/>
  <c r="FQ259" i="135"/>
  <c r="FQ254" i="135"/>
  <c r="FQ252" i="135"/>
  <c r="FQ250" i="135"/>
  <c r="FQ246" i="135"/>
  <c r="FQ256" i="135"/>
  <c r="FQ249" i="135"/>
  <c r="FQ245" i="135"/>
  <c r="FQ243" i="135"/>
  <c r="FQ255" i="135"/>
  <c r="FQ239" i="135"/>
  <c r="FQ237" i="135"/>
  <c r="FQ235" i="135"/>
  <c r="FQ231" i="135"/>
  <c r="FQ224" i="135"/>
  <c r="FQ230" i="135"/>
  <c r="FQ241" i="135"/>
  <c r="FQ234" i="135"/>
  <c r="FQ225" i="135"/>
  <c r="FQ214" i="135"/>
  <c r="FQ227" i="135"/>
  <c r="FQ236" i="135"/>
  <c r="FQ257" i="135"/>
  <c r="FQ251" i="135"/>
  <c r="FQ215" i="135"/>
  <c r="FQ221" i="135"/>
  <c r="FQ222" i="135"/>
  <c r="FQ242" i="135"/>
  <c r="FQ244" i="135"/>
  <c r="FQ226" i="135"/>
  <c r="FQ218" i="135"/>
  <c r="FQ216" i="135"/>
  <c r="FQ220" i="135"/>
  <c r="FQ238" i="135"/>
  <c r="FQ223" i="135"/>
  <c r="FQ232" i="135"/>
  <c r="FQ233" i="135"/>
  <c r="FQ217" i="135"/>
  <c r="FQ219" i="135"/>
  <c r="FQ228" i="135"/>
  <c r="FQ240" i="135"/>
  <c r="FQ253" i="135"/>
  <c r="FQ261" i="135"/>
  <c r="FQ265" i="135"/>
  <c r="FQ229" i="135"/>
  <c r="FQ247" i="135"/>
  <c r="FQ267" i="135"/>
  <c r="FQ269" i="135"/>
  <c r="FQ271" i="135"/>
  <c r="FQ260" i="135"/>
  <c r="FQ262" i="135"/>
  <c r="FQ270" i="135"/>
  <c r="FQ248" i="135"/>
  <c r="FQ258" i="135"/>
  <c r="FQ264" i="135"/>
  <c r="FQ268" i="135"/>
  <c r="FQ274" i="135"/>
  <c r="FQ266" i="135"/>
  <c r="FQ263" i="135"/>
  <c r="FQ272" i="135"/>
  <c r="EW167" i="135"/>
  <c r="EY167" i="135"/>
  <c r="FA167" i="135"/>
  <c r="FC167" i="135"/>
  <c r="EZ167" i="135"/>
  <c r="BP166" i="135"/>
  <c r="BY166" i="135"/>
  <c r="BD166" i="135"/>
  <c r="AW166" i="135"/>
  <c r="AQ166" i="135" s="1"/>
  <c r="AN166" i="135"/>
  <c r="Q166" i="135" s="1"/>
  <c r="C170" i="135"/>
  <c r="T170" i="135" s="1"/>
  <c r="DK168" i="135"/>
  <c r="EE168" i="135"/>
  <c r="EU168" i="135"/>
  <c r="CU168" i="135"/>
  <c r="CA168" i="135"/>
  <c r="FO168" i="135"/>
  <c r="EB168" i="135"/>
  <c r="FN168" i="135"/>
  <c r="DR167" i="135"/>
  <c r="DM167" i="135"/>
  <c r="DP167" i="135"/>
  <c r="DT167" i="135"/>
  <c r="DS167" i="135"/>
  <c r="DO167" i="135"/>
  <c r="DQ167" i="135"/>
  <c r="DN167" i="135"/>
  <c r="CG167" i="135"/>
  <c r="CE167" i="135"/>
  <c r="CC167" i="135"/>
  <c r="AN167" i="135"/>
  <c r="Q167" i="135" s="1"/>
  <c r="BP167" i="135"/>
  <c r="BY167" i="135"/>
  <c r="AW167" i="135"/>
  <c r="BD167" i="135"/>
  <c r="BQ167" i="135"/>
  <c r="AX167" i="135"/>
  <c r="BI167" i="135"/>
  <c r="AU167" i="135"/>
  <c r="BN167" i="135"/>
  <c r="BH167" i="135"/>
  <c r="BC167" i="135"/>
  <c r="BX167" i="135"/>
  <c r="AV167" i="135"/>
  <c r="CV15" i="135"/>
  <c r="FP15" i="135"/>
  <c r="EF15" i="135"/>
  <c r="CW127" i="135"/>
  <c r="CW126" i="135"/>
  <c r="EG126" i="135"/>
  <c r="EG127" i="135"/>
  <c r="FQ127" i="135"/>
  <c r="FQ126" i="135"/>
  <c r="CV34" i="135"/>
  <c r="EG72" i="135"/>
  <c r="EG71" i="135"/>
  <c r="EG69" i="135"/>
  <c r="EG70" i="135"/>
  <c r="FQ72" i="135"/>
  <c r="FQ69" i="135"/>
  <c r="FQ70" i="135"/>
  <c r="FQ71" i="135"/>
  <c r="CV25" i="135"/>
  <c r="CW69" i="135"/>
  <c r="CW71" i="135"/>
  <c r="CW72" i="135"/>
  <c r="CW70" i="135"/>
  <c r="FP36" i="135"/>
  <c r="EF30" i="135"/>
  <c r="CV35" i="135"/>
  <c r="CV36" i="135"/>
  <c r="CV37" i="135"/>
  <c r="CW121" i="135"/>
  <c r="CW124" i="135"/>
  <c r="CW128" i="135"/>
  <c r="CW122" i="135"/>
  <c r="CW129" i="135"/>
  <c r="CW125" i="135"/>
  <c r="CW123" i="135"/>
  <c r="CW151" i="135"/>
  <c r="CW148" i="135"/>
  <c r="CW165" i="135"/>
  <c r="CW108" i="135"/>
  <c r="CW147" i="135"/>
  <c r="CW144" i="135"/>
  <c r="CW163" i="135"/>
  <c r="CW116" i="135"/>
  <c r="CW132" i="135"/>
  <c r="CW139" i="135"/>
  <c r="CW141" i="135"/>
  <c r="CW150" i="135"/>
  <c r="CW135" i="135"/>
  <c r="CW115" i="135"/>
  <c r="CW164" i="135"/>
  <c r="CW118" i="135"/>
  <c r="CW111" i="135"/>
  <c r="CW159" i="135"/>
  <c r="CW136" i="135"/>
  <c r="CW134" i="135"/>
  <c r="CW131" i="135"/>
  <c r="CW160" i="135"/>
  <c r="CW162" i="135"/>
  <c r="CW107" i="135"/>
  <c r="CW154" i="135"/>
  <c r="CW130" i="135"/>
  <c r="CW155" i="135"/>
  <c r="CW153" i="135"/>
  <c r="CW110" i="135"/>
  <c r="CW114" i="135"/>
  <c r="CW138" i="135"/>
  <c r="CW137" i="135"/>
  <c r="CW112" i="135"/>
  <c r="CW152" i="135"/>
  <c r="CW133" i="135"/>
  <c r="CW157" i="135"/>
  <c r="CW149" i="135"/>
  <c r="CW117" i="135"/>
  <c r="CW168" i="135"/>
  <c r="CW145" i="135"/>
  <c r="CW167" i="135"/>
  <c r="CW166" i="135"/>
  <c r="CW113" i="135"/>
  <c r="CW161" i="135"/>
  <c r="CW119" i="135"/>
  <c r="CW143" i="135"/>
  <c r="CW142" i="135"/>
  <c r="CW146" i="135"/>
  <c r="CW106" i="135"/>
  <c r="CW156" i="135"/>
  <c r="CW109" i="135"/>
  <c r="CW158" i="135"/>
  <c r="CW120" i="135"/>
  <c r="CW140" i="135"/>
  <c r="EG122" i="135"/>
  <c r="EG121" i="135"/>
  <c r="EG124" i="135"/>
  <c r="EG129" i="135"/>
  <c r="EG123" i="135"/>
  <c r="EG125" i="135"/>
  <c r="EG128" i="135"/>
  <c r="EG151" i="135"/>
  <c r="EG139" i="135"/>
  <c r="EG141" i="135"/>
  <c r="EG108" i="135"/>
  <c r="EG148" i="135"/>
  <c r="EG111" i="135"/>
  <c r="EG135" i="135"/>
  <c r="EG144" i="135"/>
  <c r="EG116" i="135"/>
  <c r="EG165" i="135"/>
  <c r="EG163" i="135"/>
  <c r="EG159" i="135"/>
  <c r="EG118" i="135"/>
  <c r="EG150" i="135"/>
  <c r="EG115" i="135"/>
  <c r="EG147" i="135"/>
  <c r="EG132" i="135"/>
  <c r="EG164" i="135"/>
  <c r="EG107" i="135"/>
  <c r="EG154" i="135"/>
  <c r="EG112" i="135"/>
  <c r="EG155" i="135"/>
  <c r="EG153" i="135"/>
  <c r="EG110" i="135"/>
  <c r="EG136" i="135"/>
  <c r="EG134" i="135"/>
  <c r="EG152" i="135"/>
  <c r="EG160" i="135"/>
  <c r="EG162" i="135"/>
  <c r="EG130" i="135"/>
  <c r="EG131" i="135"/>
  <c r="EG114" i="135"/>
  <c r="EG138" i="135"/>
  <c r="EG166" i="135"/>
  <c r="EG133" i="135"/>
  <c r="EG137" i="135"/>
  <c r="EG145" i="135"/>
  <c r="EG168" i="135"/>
  <c r="EG161" i="135"/>
  <c r="EG143" i="135"/>
  <c r="EG117" i="135"/>
  <c r="EG167" i="135"/>
  <c r="EG113" i="135"/>
  <c r="EG119" i="135"/>
  <c r="EG157" i="135"/>
  <c r="EG149" i="135"/>
  <c r="EG146" i="135"/>
  <c r="EG158" i="135"/>
  <c r="EG106" i="135"/>
  <c r="EG109" i="135"/>
  <c r="EG142" i="135"/>
  <c r="EG156" i="135"/>
  <c r="EG120" i="135"/>
  <c r="EG140" i="135"/>
  <c r="CV33" i="135"/>
  <c r="FP28" i="135"/>
  <c r="FP37" i="135"/>
  <c r="FP26" i="135"/>
  <c r="FP35" i="135"/>
  <c r="FP33" i="135"/>
  <c r="CV30" i="135"/>
  <c r="FP31" i="135"/>
  <c r="FQ121" i="135"/>
  <c r="FQ123" i="135"/>
  <c r="FQ125" i="135"/>
  <c r="FQ122" i="135"/>
  <c r="FQ129" i="135"/>
  <c r="FQ124" i="135"/>
  <c r="FQ128" i="135"/>
  <c r="FQ151" i="135"/>
  <c r="FQ165" i="135"/>
  <c r="FQ141" i="135"/>
  <c r="FQ108" i="135"/>
  <c r="FQ147" i="135"/>
  <c r="FQ139" i="135"/>
  <c r="FQ148" i="135"/>
  <c r="FQ115" i="135"/>
  <c r="FQ144" i="135"/>
  <c r="FQ135" i="135"/>
  <c r="FQ150" i="135"/>
  <c r="FQ118" i="135"/>
  <c r="FQ111" i="135"/>
  <c r="FQ132" i="135"/>
  <c r="FQ163" i="135"/>
  <c r="FQ116" i="135"/>
  <c r="FQ159" i="135"/>
  <c r="FQ164" i="135"/>
  <c r="FQ110" i="135"/>
  <c r="FQ136" i="135"/>
  <c r="FQ162" i="135"/>
  <c r="FQ107" i="135"/>
  <c r="FQ134" i="135"/>
  <c r="FQ154" i="135"/>
  <c r="FQ112" i="135"/>
  <c r="FQ130" i="135"/>
  <c r="FQ131" i="135"/>
  <c r="FQ152" i="135"/>
  <c r="FQ153" i="135"/>
  <c r="FQ166" i="135"/>
  <c r="FQ113" i="135"/>
  <c r="FQ160" i="135"/>
  <c r="FQ155" i="135"/>
  <c r="FQ114" i="135"/>
  <c r="FQ137" i="135"/>
  <c r="FQ138" i="135"/>
  <c r="FQ133" i="135"/>
  <c r="FQ161" i="135"/>
  <c r="FQ145" i="135"/>
  <c r="FQ149" i="135"/>
  <c r="FQ167" i="135"/>
  <c r="FQ117" i="135"/>
  <c r="FQ143" i="135"/>
  <c r="FQ157" i="135"/>
  <c r="FQ119" i="135"/>
  <c r="FQ168" i="135"/>
  <c r="FQ109" i="135"/>
  <c r="FQ142" i="135"/>
  <c r="FQ158" i="135"/>
  <c r="FQ146" i="135"/>
  <c r="FQ106" i="135"/>
  <c r="FQ156" i="135"/>
  <c r="FQ120" i="135"/>
  <c r="FQ140" i="135"/>
  <c r="CV32" i="135"/>
  <c r="FP32" i="135"/>
  <c r="EF36" i="135"/>
  <c r="EF31" i="135"/>
  <c r="FP30" i="135"/>
  <c r="EF32" i="135"/>
  <c r="CV31" i="135"/>
  <c r="EF28" i="135"/>
  <c r="EF37" i="135"/>
  <c r="EF26" i="135"/>
  <c r="EF35" i="135"/>
  <c r="EF33" i="135"/>
  <c r="EF22" i="135"/>
  <c r="CV23" i="135"/>
  <c r="FP23" i="135"/>
  <c r="CV27" i="135"/>
  <c r="FP24" i="135"/>
  <c r="EF23" i="135"/>
  <c r="CV22" i="135"/>
  <c r="CV28" i="135"/>
  <c r="CV26" i="135"/>
  <c r="CV24" i="135"/>
  <c r="EF27" i="135"/>
  <c r="FP22" i="135"/>
  <c r="EF24" i="135"/>
  <c r="FP27" i="135"/>
  <c r="CW63" i="135"/>
  <c r="CW62" i="135"/>
  <c r="CW61" i="135"/>
  <c r="CW60" i="135"/>
  <c r="CW64" i="135"/>
  <c r="CW65" i="135"/>
  <c r="CW66" i="135"/>
  <c r="CW67" i="135"/>
  <c r="CW68" i="135"/>
  <c r="CW73" i="135"/>
  <c r="CW74" i="135"/>
  <c r="CW75" i="135"/>
  <c r="CW76" i="135"/>
  <c r="CW77" i="135"/>
  <c r="CW78" i="135"/>
  <c r="CW79" i="135"/>
  <c r="CW80" i="135"/>
  <c r="CW81" i="135"/>
  <c r="CW82" i="135"/>
  <c r="CW83" i="135"/>
  <c r="CW84" i="135"/>
  <c r="CW85" i="135"/>
  <c r="CW86" i="135"/>
  <c r="CW87" i="135"/>
  <c r="CW88" i="135"/>
  <c r="CW89" i="135"/>
  <c r="CW90" i="135"/>
  <c r="CW91" i="135"/>
  <c r="CW92" i="135"/>
  <c r="CW93" i="135"/>
  <c r="CW94" i="135"/>
  <c r="CW95" i="135"/>
  <c r="CW96" i="135"/>
  <c r="CW97" i="135"/>
  <c r="EG63" i="135"/>
  <c r="EG61" i="135"/>
  <c r="EG60" i="135"/>
  <c r="EG62" i="135"/>
  <c r="EG64" i="135"/>
  <c r="EG65" i="135"/>
  <c r="EG66" i="135"/>
  <c r="EG67" i="135"/>
  <c r="EG68" i="135"/>
  <c r="EG73" i="135"/>
  <c r="EG74" i="135"/>
  <c r="EG75" i="135"/>
  <c r="EG76" i="135"/>
  <c r="EG77" i="135"/>
  <c r="EG78" i="135"/>
  <c r="EG79" i="135"/>
  <c r="EG80" i="135"/>
  <c r="EG81" i="135"/>
  <c r="EG82" i="135"/>
  <c r="EG83" i="135"/>
  <c r="EG84" i="135"/>
  <c r="EG85" i="135"/>
  <c r="EG86" i="135"/>
  <c r="EG87" i="135"/>
  <c r="EG88" i="135"/>
  <c r="EG89" i="135"/>
  <c r="EG90" i="135"/>
  <c r="EG91" i="135"/>
  <c r="EG92" i="135"/>
  <c r="EG93" i="135"/>
  <c r="EG94" i="135"/>
  <c r="EG95" i="135"/>
  <c r="EG96" i="135"/>
  <c r="EG97" i="135"/>
  <c r="FQ61" i="135"/>
  <c r="FQ63" i="135"/>
  <c r="FQ60" i="135"/>
  <c r="FQ62" i="135"/>
  <c r="FQ64" i="135"/>
  <c r="FQ65" i="135"/>
  <c r="FQ66" i="135"/>
  <c r="FQ67" i="135"/>
  <c r="FQ68" i="135"/>
  <c r="FQ73" i="135"/>
  <c r="FQ74" i="135"/>
  <c r="FQ75" i="135"/>
  <c r="FQ76" i="135"/>
  <c r="FQ77" i="135"/>
  <c r="FQ78" i="135"/>
  <c r="FQ79" i="135"/>
  <c r="FQ80" i="135"/>
  <c r="FQ81" i="135"/>
  <c r="FQ82" i="135"/>
  <c r="FQ83" i="135"/>
  <c r="FQ84" i="135"/>
  <c r="FQ85" i="135"/>
  <c r="FQ86" i="135"/>
  <c r="FQ87" i="135"/>
  <c r="FQ88" i="135"/>
  <c r="FQ89" i="135"/>
  <c r="FQ90" i="135"/>
  <c r="FQ91" i="135"/>
  <c r="FQ92" i="135"/>
  <c r="FQ93" i="135"/>
  <c r="FQ94" i="135"/>
  <c r="FQ95" i="135"/>
  <c r="FQ96" i="135"/>
  <c r="FQ97" i="135"/>
  <c r="C99" i="135"/>
  <c r="T99" i="135" s="1"/>
  <c r="CW51" i="135"/>
  <c r="CW59" i="135"/>
  <c r="CW56" i="135"/>
  <c r="CW58" i="135"/>
  <c r="CW53" i="135"/>
  <c r="CW50" i="135"/>
  <c r="CW57" i="135"/>
  <c r="CW55" i="135"/>
  <c r="CW52" i="135"/>
  <c r="CW54" i="135"/>
  <c r="FQ51" i="135"/>
  <c r="FQ56" i="135"/>
  <c r="FQ59" i="135"/>
  <c r="FQ50" i="135"/>
  <c r="FQ58" i="135"/>
  <c r="FQ53" i="135"/>
  <c r="FQ57" i="135"/>
  <c r="FQ55" i="135"/>
  <c r="FQ54" i="135"/>
  <c r="FQ52" i="135"/>
  <c r="EG56" i="135"/>
  <c r="EG51" i="135"/>
  <c r="EG59" i="135"/>
  <c r="EG57" i="135"/>
  <c r="EG58" i="135"/>
  <c r="EG55" i="135"/>
  <c r="EG53" i="135"/>
  <c r="EG50" i="135"/>
  <c r="EG54" i="135"/>
  <c r="EG52" i="135"/>
  <c r="FQ49" i="135"/>
  <c r="CW49" i="135"/>
  <c r="EG49" i="135"/>
  <c r="FP21" i="135"/>
  <c r="FP14" i="135"/>
  <c r="EF21" i="135"/>
  <c r="EF14" i="135"/>
  <c r="CV21" i="135"/>
  <c r="CV14" i="135"/>
  <c r="FR8" i="135"/>
  <c r="EH8" i="135"/>
  <c r="CX8" i="135"/>
  <c r="FQ25" i="135" l="1"/>
  <c r="EG25" i="135"/>
  <c r="BY168" i="135"/>
  <c r="AW168" i="135"/>
  <c r="BP168" i="135"/>
  <c r="AC98" i="135"/>
  <c r="AN168" i="135"/>
  <c r="Q168" i="135" s="1"/>
  <c r="AF169" i="135"/>
  <c r="AM169" i="135" s="1"/>
  <c r="AF98" i="135"/>
  <c r="AC169" i="135"/>
  <c r="Y98" i="135"/>
  <c r="X98" i="135"/>
  <c r="CG98" i="135" s="1"/>
  <c r="AB98" i="135"/>
  <c r="AJ98" i="135"/>
  <c r="BN98" i="135" s="1"/>
  <c r="V170" i="135"/>
  <c r="AI170" i="135"/>
  <c r="U170" i="135"/>
  <c r="AL170" i="135"/>
  <c r="AK170" i="135"/>
  <c r="EH170" i="135" s="1"/>
  <c r="AD169" i="135"/>
  <c r="Y169" i="135"/>
  <c r="DL169" i="135" s="1"/>
  <c r="AJ169" i="135"/>
  <c r="AG98" i="135"/>
  <c r="Z98" i="135"/>
  <c r="AB169" i="135"/>
  <c r="AI99" i="135"/>
  <c r="V99" i="135"/>
  <c r="AK99" i="135"/>
  <c r="U99" i="135"/>
  <c r="AL99" i="135"/>
  <c r="X169" i="135"/>
  <c r="CB169" i="135" s="1"/>
  <c r="AD98" i="135"/>
  <c r="AH98" i="135"/>
  <c r="Z169" i="135"/>
  <c r="EV169" i="135" s="1"/>
  <c r="AH169" i="135"/>
  <c r="AG169" i="135"/>
  <c r="FQ169" i="135"/>
  <c r="CW169" i="135"/>
  <c r="DL168" i="135"/>
  <c r="EG34" i="135"/>
  <c r="EV168" i="135"/>
  <c r="CB168" i="135"/>
  <c r="EH270" i="135"/>
  <c r="EH271" i="135"/>
  <c r="EH259" i="135"/>
  <c r="EH231" i="135"/>
  <c r="EH235" i="135"/>
  <c r="EH218" i="135"/>
  <c r="EH217" i="135"/>
  <c r="EH216" i="135"/>
  <c r="EH232" i="135"/>
  <c r="EH220" i="135"/>
  <c r="EH215" i="135"/>
  <c r="EH214" i="135"/>
  <c r="EH221" i="135"/>
  <c r="EH226" i="135"/>
  <c r="EH219" i="135"/>
  <c r="EH222" i="135"/>
  <c r="EH238" i="135"/>
  <c r="EH224" i="135"/>
  <c r="EH234" i="135"/>
  <c r="EH245" i="135"/>
  <c r="EH250" i="135"/>
  <c r="EH227" i="135"/>
  <c r="EH240" i="135"/>
  <c r="EH230" i="135"/>
  <c r="EH237" i="135"/>
  <c r="EH241" i="135"/>
  <c r="EH247" i="135"/>
  <c r="EH252" i="135"/>
  <c r="EH249" i="135"/>
  <c r="EH225" i="135"/>
  <c r="EH229" i="135"/>
  <c r="EH233" i="135"/>
  <c r="EH251" i="135"/>
  <c r="EH256" i="135"/>
  <c r="EH239" i="135"/>
  <c r="EH228" i="135"/>
  <c r="EH236" i="135"/>
  <c r="EH243" i="135"/>
  <c r="EH260" i="135"/>
  <c r="EH265" i="135"/>
  <c r="EH223" i="135"/>
  <c r="EH242" i="135"/>
  <c r="EH244" i="135"/>
  <c r="EH257" i="135"/>
  <c r="EH253" i="135"/>
  <c r="EH262" i="135"/>
  <c r="EH268" i="135"/>
  <c r="EH275" i="135"/>
  <c r="EH269" i="135"/>
  <c r="EH267" i="135"/>
  <c r="EH246" i="135"/>
  <c r="EH248" i="135"/>
  <c r="EH258" i="135"/>
  <c r="EH261" i="135"/>
  <c r="EH272" i="135"/>
  <c r="EH273" i="135"/>
  <c r="EH274" i="135"/>
  <c r="EH255" i="135"/>
  <c r="EH266" i="135"/>
  <c r="EH254" i="135"/>
  <c r="EH264" i="135"/>
  <c r="EH263" i="135"/>
  <c r="FR268" i="135"/>
  <c r="FR267" i="135"/>
  <c r="FR258" i="135"/>
  <c r="FR249" i="135"/>
  <c r="FR245" i="135"/>
  <c r="FR243" i="135"/>
  <c r="FR241" i="135"/>
  <c r="FR239" i="135"/>
  <c r="FR237" i="135"/>
  <c r="FR248" i="135"/>
  <c r="FR236" i="135"/>
  <c r="FR240" i="135"/>
  <c r="FR234" i="135"/>
  <c r="FR230" i="135"/>
  <c r="FR238" i="135"/>
  <c r="FR233" i="135"/>
  <c r="FR223" i="135"/>
  <c r="FR229" i="135"/>
  <c r="FR244" i="135"/>
  <c r="FR224" i="135"/>
  <c r="FR219" i="135"/>
  <c r="FR214" i="135"/>
  <c r="FR218" i="135"/>
  <c r="FR227" i="135"/>
  <c r="FR231" i="135"/>
  <c r="FR247" i="135"/>
  <c r="FR225" i="135"/>
  <c r="FR215" i="135"/>
  <c r="FR242" i="135"/>
  <c r="FR251" i="135"/>
  <c r="FR252" i="135"/>
  <c r="FR256" i="135"/>
  <c r="FR216" i="135"/>
  <c r="FR228" i="135"/>
  <c r="FR220" i="135"/>
  <c r="FR222" i="135"/>
  <c r="FR257" i="135"/>
  <c r="FR246" i="135"/>
  <c r="FR253" i="135"/>
  <c r="FR226" i="135"/>
  <c r="FR221" i="135"/>
  <c r="FR250" i="135"/>
  <c r="FR255" i="135"/>
  <c r="FR259" i="135"/>
  <c r="FR217" i="135"/>
  <c r="FR235" i="135"/>
  <c r="FR232" i="135"/>
  <c r="FR260" i="135"/>
  <c r="FR262" i="135"/>
  <c r="FR265" i="135"/>
  <c r="FR271" i="135"/>
  <c r="FR273" i="135"/>
  <c r="FR275" i="135"/>
  <c r="FR272" i="135"/>
  <c r="FR270" i="135"/>
  <c r="FR274" i="135"/>
  <c r="FR254" i="135"/>
  <c r="FR261" i="135"/>
  <c r="FR264" i="135"/>
  <c r="FR263" i="135"/>
  <c r="FR266" i="135"/>
  <c r="FR269" i="135"/>
  <c r="CX272" i="135"/>
  <c r="CX267" i="135"/>
  <c r="CX266" i="135"/>
  <c r="CX268" i="135"/>
  <c r="CX264" i="135"/>
  <c r="CX262" i="135"/>
  <c r="CX263" i="135"/>
  <c r="CX261" i="135"/>
  <c r="CX258" i="135"/>
  <c r="CX255" i="135"/>
  <c r="CX249" i="135"/>
  <c r="CX259" i="135"/>
  <c r="CX253" i="135"/>
  <c r="CX250" i="135"/>
  <c r="CX252" i="135"/>
  <c r="CX246" i="135"/>
  <c r="CX220" i="135"/>
  <c r="CX225" i="135"/>
  <c r="CX224" i="135"/>
  <c r="CX221" i="135"/>
  <c r="CX216" i="135"/>
  <c r="CX228" i="135"/>
  <c r="CX222" i="135"/>
  <c r="CX238" i="135"/>
  <c r="CX232" i="135"/>
  <c r="CX235" i="135"/>
  <c r="CX257" i="135"/>
  <c r="CX247" i="135"/>
  <c r="CX217" i="135"/>
  <c r="CX219" i="135"/>
  <c r="CX223" i="135"/>
  <c r="CX227" i="135"/>
  <c r="CX231" i="135"/>
  <c r="CX240" i="135"/>
  <c r="CX234" i="135"/>
  <c r="CX237" i="135"/>
  <c r="CX241" i="135"/>
  <c r="CX251" i="135"/>
  <c r="CX214" i="135"/>
  <c r="CX218" i="135"/>
  <c r="CX230" i="135"/>
  <c r="CX248" i="135"/>
  <c r="CX215" i="135"/>
  <c r="CX226" i="135"/>
  <c r="CX243" i="135"/>
  <c r="CX245" i="135"/>
  <c r="CX256" i="135"/>
  <c r="CX229" i="135"/>
  <c r="CX260" i="135"/>
  <c r="CX265" i="135"/>
  <c r="CX242" i="135"/>
  <c r="CX236" i="135"/>
  <c r="CX239" i="135"/>
  <c r="CX270" i="135"/>
  <c r="CX269" i="135"/>
  <c r="CX271" i="135"/>
  <c r="CX275" i="135"/>
  <c r="CX274" i="135"/>
  <c r="CX254" i="135"/>
  <c r="CX273" i="135"/>
  <c r="CX244" i="135"/>
  <c r="CX233" i="135"/>
  <c r="DZ168" i="135"/>
  <c r="EC168" i="135"/>
  <c r="ED168" i="135"/>
  <c r="DN168" i="135"/>
  <c r="DY168" i="135"/>
  <c r="DU168" i="135"/>
  <c r="DX168" i="135"/>
  <c r="EA168" i="135"/>
  <c r="DW168" i="135"/>
  <c r="DV168" i="135"/>
  <c r="CR168" i="135"/>
  <c r="CN168" i="135"/>
  <c r="CP168" i="135"/>
  <c r="CS168" i="135"/>
  <c r="CT168" i="135"/>
  <c r="CO168" i="135"/>
  <c r="CK168" i="135"/>
  <c r="FG168" i="135"/>
  <c r="FL168" i="135"/>
  <c r="CL168" i="135"/>
  <c r="FK168" i="135"/>
  <c r="FJ168" i="135"/>
  <c r="FF168" i="135"/>
  <c r="FI168" i="135"/>
  <c r="FE168" i="135"/>
  <c r="FH168" i="135"/>
  <c r="FM168" i="135"/>
  <c r="CQ168" i="135"/>
  <c r="CM168" i="135"/>
  <c r="AQ167" i="135"/>
  <c r="CG168" i="135"/>
  <c r="CE168" i="135"/>
  <c r="CC168" i="135"/>
  <c r="BC169" i="135"/>
  <c r="AV169" i="135"/>
  <c r="BH169" i="135"/>
  <c r="BX169" i="135"/>
  <c r="BN168" i="135"/>
  <c r="AU168" i="135"/>
  <c r="BQ168" i="135"/>
  <c r="BI168" i="135"/>
  <c r="AX168" i="135"/>
  <c r="CD168" i="135"/>
  <c r="EY168" i="135"/>
  <c r="EX168" i="135"/>
  <c r="FD168" i="135"/>
  <c r="EW168" i="135"/>
  <c r="FC168" i="135"/>
  <c r="FB168" i="135"/>
  <c r="EZ168" i="135"/>
  <c r="FA168" i="135"/>
  <c r="CJ168" i="135"/>
  <c r="C171" i="135"/>
  <c r="T171" i="135" s="1"/>
  <c r="DO168" i="135"/>
  <c r="DQ168" i="135"/>
  <c r="DS168" i="135"/>
  <c r="DT168" i="135"/>
  <c r="DP168" i="135"/>
  <c r="DR168" i="135"/>
  <c r="DM168" i="135"/>
  <c r="CH168" i="135"/>
  <c r="CF168" i="135"/>
  <c r="CT169" i="135"/>
  <c r="EU169" i="135"/>
  <c r="FF169" i="135"/>
  <c r="EA169" i="135"/>
  <c r="EC169" i="135"/>
  <c r="FN169" i="135"/>
  <c r="CA169" i="135"/>
  <c r="FH169" i="135"/>
  <c r="FJ169" i="135"/>
  <c r="EB169" i="135"/>
  <c r="FM169" i="135"/>
  <c r="FP169" i="135"/>
  <c r="EF169" i="135"/>
  <c r="DK169" i="135"/>
  <c r="FL169" i="135"/>
  <c r="CV169" i="135"/>
  <c r="BC168" i="135"/>
  <c r="BX168" i="135"/>
  <c r="BH168" i="135"/>
  <c r="AV168" i="135"/>
  <c r="FO169" i="135"/>
  <c r="EE169" i="135"/>
  <c r="CU169" i="135"/>
  <c r="CW37" i="135"/>
  <c r="EG15" i="135"/>
  <c r="CW15" i="135"/>
  <c r="FQ15" i="135"/>
  <c r="FR126" i="135"/>
  <c r="FR127" i="135"/>
  <c r="EH127" i="135"/>
  <c r="EH126" i="135"/>
  <c r="FQ34" i="135"/>
  <c r="CW34" i="135"/>
  <c r="CX127" i="135"/>
  <c r="CX126" i="135"/>
  <c r="EH70" i="135"/>
  <c r="EH69" i="135"/>
  <c r="EH72" i="135"/>
  <c r="EH71" i="135"/>
  <c r="FR72" i="135"/>
  <c r="FR70" i="135"/>
  <c r="FR69" i="135"/>
  <c r="FR71" i="135"/>
  <c r="CX69" i="135"/>
  <c r="CX72" i="135"/>
  <c r="CX71" i="135"/>
  <c r="CX70" i="135"/>
  <c r="CW25" i="135"/>
  <c r="EG30" i="135"/>
  <c r="CW30" i="135"/>
  <c r="CW36" i="135"/>
  <c r="EG33" i="135"/>
  <c r="EH121" i="135"/>
  <c r="EH124" i="135"/>
  <c r="EH128" i="135"/>
  <c r="EH122" i="135"/>
  <c r="EH129" i="135"/>
  <c r="EH123" i="135"/>
  <c r="EH151" i="135"/>
  <c r="EH125" i="135"/>
  <c r="EH108" i="135"/>
  <c r="EH148" i="135"/>
  <c r="EH165" i="135"/>
  <c r="EH144" i="135"/>
  <c r="EH116" i="135"/>
  <c r="EH132" i="135"/>
  <c r="EH139" i="135"/>
  <c r="EH111" i="135"/>
  <c r="EH163" i="135"/>
  <c r="EH141" i="135"/>
  <c r="EH135" i="135"/>
  <c r="EH115" i="135"/>
  <c r="EH150" i="135"/>
  <c r="EH164" i="135"/>
  <c r="EH110" i="135"/>
  <c r="EH147" i="135"/>
  <c r="EH159" i="135"/>
  <c r="EH118" i="135"/>
  <c r="EH169" i="135"/>
  <c r="EH136" i="135"/>
  <c r="EH160" i="135"/>
  <c r="EH107" i="135"/>
  <c r="EH134" i="135"/>
  <c r="EH130" i="135"/>
  <c r="EH155" i="135"/>
  <c r="EH153" i="135"/>
  <c r="EH162" i="135"/>
  <c r="EH154" i="135"/>
  <c r="EH112" i="135"/>
  <c r="EH152" i="135"/>
  <c r="EH131" i="135"/>
  <c r="EH113" i="135"/>
  <c r="EH114" i="135"/>
  <c r="EH138" i="135"/>
  <c r="EH137" i="135"/>
  <c r="EH119" i="135"/>
  <c r="EH149" i="135"/>
  <c r="EH117" i="135"/>
  <c r="EH166" i="135"/>
  <c r="EH133" i="135"/>
  <c r="EH161" i="135"/>
  <c r="EH167" i="135"/>
  <c r="EH143" i="135"/>
  <c r="EH145" i="135"/>
  <c r="EH157" i="135"/>
  <c r="EH146" i="135"/>
  <c r="EH106" i="135"/>
  <c r="EH156" i="135"/>
  <c r="EH168" i="135"/>
  <c r="EH109" i="135"/>
  <c r="EH158" i="135"/>
  <c r="EH142" i="135"/>
  <c r="EH120" i="135"/>
  <c r="EH140" i="135"/>
  <c r="EG31" i="135"/>
  <c r="FQ32" i="135"/>
  <c r="EG36" i="135"/>
  <c r="CW26" i="135"/>
  <c r="CW35" i="135"/>
  <c r="FR122" i="135"/>
  <c r="FR124" i="135"/>
  <c r="FR121" i="135"/>
  <c r="FR151" i="135"/>
  <c r="FR128" i="135"/>
  <c r="FR129" i="135"/>
  <c r="FR123" i="135"/>
  <c r="FR125" i="135"/>
  <c r="FR108" i="135"/>
  <c r="FR148" i="135"/>
  <c r="FR144" i="135"/>
  <c r="FR116" i="135"/>
  <c r="FR141" i="135"/>
  <c r="FR165" i="135"/>
  <c r="FR147" i="135"/>
  <c r="FR139" i="135"/>
  <c r="FR135" i="135"/>
  <c r="FR164" i="135"/>
  <c r="FR110" i="135"/>
  <c r="FR159" i="135"/>
  <c r="FR150" i="135"/>
  <c r="FR169" i="135"/>
  <c r="FR115" i="135"/>
  <c r="FR111" i="135"/>
  <c r="FR163" i="135"/>
  <c r="FR118" i="135"/>
  <c r="FR132" i="135"/>
  <c r="FR130" i="135"/>
  <c r="FR153" i="135"/>
  <c r="FR166" i="135"/>
  <c r="FR136" i="135"/>
  <c r="FR152" i="135"/>
  <c r="FR155" i="135"/>
  <c r="FR160" i="135"/>
  <c r="FR162" i="135"/>
  <c r="FR134" i="135"/>
  <c r="FR154" i="135"/>
  <c r="FR114" i="135"/>
  <c r="FR107" i="135"/>
  <c r="FR112" i="135"/>
  <c r="FR131" i="135"/>
  <c r="FR138" i="135"/>
  <c r="FR133" i="135"/>
  <c r="FR137" i="135"/>
  <c r="FR143" i="135"/>
  <c r="FR157" i="135"/>
  <c r="FR117" i="135"/>
  <c r="FR119" i="135"/>
  <c r="FR167" i="135"/>
  <c r="FR113" i="135"/>
  <c r="FR161" i="135"/>
  <c r="FR149" i="135"/>
  <c r="FR145" i="135"/>
  <c r="FR106" i="135"/>
  <c r="FR158" i="135"/>
  <c r="FR168" i="135"/>
  <c r="FR109" i="135"/>
  <c r="FR142" i="135"/>
  <c r="FR156" i="135"/>
  <c r="FR146" i="135"/>
  <c r="FR120" i="135"/>
  <c r="FR140" i="135"/>
  <c r="FQ30" i="135"/>
  <c r="FQ31" i="135"/>
  <c r="CW32" i="135"/>
  <c r="CW31" i="135"/>
  <c r="FQ36" i="135"/>
  <c r="FQ33" i="135"/>
  <c r="EG28" i="135"/>
  <c r="EG37" i="135"/>
  <c r="EG26" i="135"/>
  <c r="EG35" i="135"/>
  <c r="CW33" i="135"/>
  <c r="CX125" i="135"/>
  <c r="CX128" i="135"/>
  <c r="CX129" i="135"/>
  <c r="CX121" i="135"/>
  <c r="CX124" i="135"/>
  <c r="CX122" i="135"/>
  <c r="CX123" i="135"/>
  <c r="CX151" i="135"/>
  <c r="CX141" i="135"/>
  <c r="CX148" i="135"/>
  <c r="CX165" i="135"/>
  <c r="CX139" i="135"/>
  <c r="CX163" i="135"/>
  <c r="CX135" i="135"/>
  <c r="CX108" i="135"/>
  <c r="CX147" i="135"/>
  <c r="CX116" i="135"/>
  <c r="CX144" i="135"/>
  <c r="CX159" i="135"/>
  <c r="CX118" i="135"/>
  <c r="CX169" i="135"/>
  <c r="CX111" i="135"/>
  <c r="CX150" i="135"/>
  <c r="CX132" i="135"/>
  <c r="CX115" i="135"/>
  <c r="CX164" i="135"/>
  <c r="CX136" i="135"/>
  <c r="CX134" i="135"/>
  <c r="CX154" i="135"/>
  <c r="CX155" i="135"/>
  <c r="CX153" i="135"/>
  <c r="CX114" i="135"/>
  <c r="CX162" i="135"/>
  <c r="CX112" i="135"/>
  <c r="CX130" i="135"/>
  <c r="CX131" i="135"/>
  <c r="CX152" i="135"/>
  <c r="CX113" i="135"/>
  <c r="CX110" i="135"/>
  <c r="CX160" i="135"/>
  <c r="CX107" i="135"/>
  <c r="CX138" i="135"/>
  <c r="CX166" i="135"/>
  <c r="CX133" i="135"/>
  <c r="CX161" i="135"/>
  <c r="CX143" i="135"/>
  <c r="CX145" i="135"/>
  <c r="CX149" i="135"/>
  <c r="CX117" i="135"/>
  <c r="CX137" i="135"/>
  <c r="CX119" i="135"/>
  <c r="CX157" i="135"/>
  <c r="CX109" i="135"/>
  <c r="CX156" i="135"/>
  <c r="CX167" i="135"/>
  <c r="CX142" i="135"/>
  <c r="CX158" i="135"/>
  <c r="CX168" i="135"/>
  <c r="CX146" i="135"/>
  <c r="CX106" i="135"/>
  <c r="CX120" i="135"/>
  <c r="CX140" i="135"/>
  <c r="EG32" i="135"/>
  <c r="FQ28" i="135"/>
  <c r="FQ37" i="135"/>
  <c r="FQ26" i="135"/>
  <c r="FQ35" i="135"/>
  <c r="EG23" i="135"/>
  <c r="EG27" i="135"/>
  <c r="FQ27" i="135"/>
  <c r="FQ24" i="135"/>
  <c r="CW24" i="135"/>
  <c r="EG22" i="135"/>
  <c r="FQ23" i="135"/>
  <c r="FQ22" i="135"/>
  <c r="CW23" i="135"/>
  <c r="CW22" i="135"/>
  <c r="EG24" i="135"/>
  <c r="CW27" i="135"/>
  <c r="CW28" i="135"/>
  <c r="EH63" i="135"/>
  <c r="EH62" i="135"/>
  <c r="EH60" i="135"/>
  <c r="EH61" i="135"/>
  <c r="EH64" i="135"/>
  <c r="EH65" i="135"/>
  <c r="EH66" i="135"/>
  <c r="EH67" i="135"/>
  <c r="EH68" i="135"/>
  <c r="EH73" i="135"/>
  <c r="EH74" i="135"/>
  <c r="EH75" i="135"/>
  <c r="EH76" i="135"/>
  <c r="EH77" i="135"/>
  <c r="EH78" i="135"/>
  <c r="EH79" i="135"/>
  <c r="EH80" i="135"/>
  <c r="EH81" i="135"/>
  <c r="EH82" i="135"/>
  <c r="EH83" i="135"/>
  <c r="EH84" i="135"/>
  <c r="EH85" i="135"/>
  <c r="EH86" i="135"/>
  <c r="EH87" i="135"/>
  <c r="EH88" i="135"/>
  <c r="EH89" i="135"/>
  <c r="EH90" i="135"/>
  <c r="EH91" i="135"/>
  <c r="EH92" i="135"/>
  <c r="EH93" i="135"/>
  <c r="EH94" i="135"/>
  <c r="EH95" i="135"/>
  <c r="EH96" i="135"/>
  <c r="EH97" i="135"/>
  <c r="CX63" i="135"/>
  <c r="CX60" i="135"/>
  <c r="CX61" i="135"/>
  <c r="CX62" i="135"/>
  <c r="CX64" i="135"/>
  <c r="CX65" i="135"/>
  <c r="CX66" i="135"/>
  <c r="CX67" i="135"/>
  <c r="CX68" i="135"/>
  <c r="CX73" i="135"/>
  <c r="CX74" i="135"/>
  <c r="CX75" i="135"/>
  <c r="CX76" i="135"/>
  <c r="CX77" i="135"/>
  <c r="CX78" i="135"/>
  <c r="CX79" i="135"/>
  <c r="CX80" i="135"/>
  <c r="CX81" i="135"/>
  <c r="CX82" i="135"/>
  <c r="CX83" i="135"/>
  <c r="CX84" i="135"/>
  <c r="CX85" i="135"/>
  <c r="CX86" i="135"/>
  <c r="CX87" i="135"/>
  <c r="CX88" i="135"/>
  <c r="CX89" i="135"/>
  <c r="CX90" i="135"/>
  <c r="CX91" i="135"/>
  <c r="CX92" i="135"/>
  <c r="CX93" i="135"/>
  <c r="CX94" i="135"/>
  <c r="CX95" i="135"/>
  <c r="CX96" i="135"/>
  <c r="CX97" i="135"/>
  <c r="FR63" i="135"/>
  <c r="FR62" i="135"/>
  <c r="FR60" i="135"/>
  <c r="FR61" i="135"/>
  <c r="FR64" i="135"/>
  <c r="FR65" i="135"/>
  <c r="FR66" i="135"/>
  <c r="FR67" i="135"/>
  <c r="FR68" i="135"/>
  <c r="FR73" i="135"/>
  <c r="FR74" i="135"/>
  <c r="FR75" i="135"/>
  <c r="FR76" i="135"/>
  <c r="FR77" i="135"/>
  <c r="FR78" i="135"/>
  <c r="FR79" i="135"/>
  <c r="FR80" i="135"/>
  <c r="FR81" i="135"/>
  <c r="FR82" i="135"/>
  <c r="FR83" i="135"/>
  <c r="FR84" i="135"/>
  <c r="FR85" i="135"/>
  <c r="FR86" i="135"/>
  <c r="FR87" i="135"/>
  <c r="FR88" i="135"/>
  <c r="FR89" i="135"/>
  <c r="FR90" i="135"/>
  <c r="FR91" i="135"/>
  <c r="FR92" i="135"/>
  <c r="FR93" i="135"/>
  <c r="FR94" i="135"/>
  <c r="FR95" i="135"/>
  <c r="FR96" i="135"/>
  <c r="FR97" i="135"/>
  <c r="FF98" i="135"/>
  <c r="C100" i="135"/>
  <c r="T100" i="135" s="1"/>
  <c r="DS98" i="135"/>
  <c r="FM98" i="135"/>
  <c r="CU98" i="135"/>
  <c r="EE98" i="135"/>
  <c r="CX98" i="135"/>
  <c r="FQ98" i="135"/>
  <c r="CR98" i="135"/>
  <c r="CV98" i="135"/>
  <c r="FK98" i="135"/>
  <c r="CS98" i="135"/>
  <c r="FN98" i="135"/>
  <c r="FO98" i="135"/>
  <c r="EG98" i="135"/>
  <c r="CW98" i="135"/>
  <c r="FP98" i="135"/>
  <c r="CT98" i="135"/>
  <c r="CQ98" i="135"/>
  <c r="FR98" i="135"/>
  <c r="FL98" i="135"/>
  <c r="CX51" i="135"/>
  <c r="CX59" i="135"/>
  <c r="CX56" i="135"/>
  <c r="CX53" i="135"/>
  <c r="CX57" i="135"/>
  <c r="CX50" i="135"/>
  <c r="CX55" i="135"/>
  <c r="CX58" i="135"/>
  <c r="CX52" i="135"/>
  <c r="CX54" i="135"/>
  <c r="EH56" i="135"/>
  <c r="EH51" i="135"/>
  <c r="EH59" i="135"/>
  <c r="EH57" i="135"/>
  <c r="EH53" i="135"/>
  <c r="EH50" i="135"/>
  <c r="EH58" i="135"/>
  <c r="EH55" i="135"/>
  <c r="EH52" i="135"/>
  <c r="EH54" i="135"/>
  <c r="FR51" i="135"/>
  <c r="FR59" i="135"/>
  <c r="FR56" i="135"/>
  <c r="FR58" i="135"/>
  <c r="FR50" i="135"/>
  <c r="FR57" i="135"/>
  <c r="FR53" i="135"/>
  <c r="FR55" i="135"/>
  <c r="FR54" i="135"/>
  <c r="FR52" i="135"/>
  <c r="FR49" i="135"/>
  <c r="EH49" i="135"/>
  <c r="CX49" i="135"/>
  <c r="EG21" i="135"/>
  <c r="EG14" i="135"/>
  <c r="FQ21" i="135"/>
  <c r="FQ14" i="135"/>
  <c r="CW21" i="135"/>
  <c r="CW14" i="135"/>
  <c r="FS8" i="135"/>
  <c r="EI8" i="135"/>
  <c r="CY8" i="135"/>
  <c r="AU98" i="135" l="1"/>
  <c r="EH25" i="135"/>
  <c r="AQ168" i="135"/>
  <c r="X170" i="135"/>
  <c r="CD170" i="135" s="1"/>
  <c r="AD170" i="135"/>
  <c r="Y170" i="135"/>
  <c r="DO170" i="135" s="1"/>
  <c r="AB170" i="135"/>
  <c r="AC170" i="135"/>
  <c r="AJ170" i="135"/>
  <c r="AF170" i="135"/>
  <c r="AM170" i="135" s="1"/>
  <c r="AH170" i="135"/>
  <c r="AC99" i="135"/>
  <c r="AB99" i="135"/>
  <c r="Z170" i="135"/>
  <c r="V171" i="135"/>
  <c r="U171" i="135"/>
  <c r="AK171" i="135"/>
  <c r="FS171" i="135" s="1"/>
  <c r="AL171" i="135"/>
  <c r="Y99" i="135"/>
  <c r="DP99" i="135" s="1"/>
  <c r="AG99" i="135"/>
  <c r="AF99" i="135"/>
  <c r="AM99" i="135" s="1"/>
  <c r="BY99" i="135" s="1"/>
  <c r="AD99" i="135"/>
  <c r="AH99" i="135"/>
  <c r="V100" i="135"/>
  <c r="U100" i="135"/>
  <c r="AI100" i="135"/>
  <c r="AK100" i="135"/>
  <c r="AL100" i="135"/>
  <c r="X99" i="135"/>
  <c r="AJ99" i="135"/>
  <c r="AU99" i="135" s="1"/>
  <c r="Z99" i="135"/>
  <c r="AG170" i="135"/>
  <c r="DX169" i="135"/>
  <c r="FG169" i="135"/>
  <c r="DW169" i="135"/>
  <c r="DY169" i="135"/>
  <c r="EF98" i="135"/>
  <c r="ED98" i="135"/>
  <c r="EA98" i="135"/>
  <c r="EB98" i="135"/>
  <c r="EC98" i="135"/>
  <c r="EH98" i="135"/>
  <c r="DP169" i="135"/>
  <c r="CX170" i="135"/>
  <c r="FR170" i="135"/>
  <c r="FE169" i="135"/>
  <c r="FR34" i="135"/>
  <c r="EH34" i="135"/>
  <c r="EI272" i="135"/>
  <c r="EI268" i="135"/>
  <c r="EI266" i="135"/>
  <c r="EI267" i="135"/>
  <c r="EI261" i="135"/>
  <c r="EI264" i="135"/>
  <c r="EI260" i="135"/>
  <c r="EI263" i="135"/>
  <c r="EI262" i="135"/>
  <c r="EI258" i="135"/>
  <c r="EI256" i="135"/>
  <c r="EI252" i="135"/>
  <c r="EI255" i="135"/>
  <c r="EI251" i="135"/>
  <c r="EI250" i="135"/>
  <c r="EI247" i="135"/>
  <c r="EI246" i="135"/>
  <c r="EI222" i="135"/>
  <c r="EI227" i="135"/>
  <c r="EI221" i="135"/>
  <c r="EI220" i="135"/>
  <c r="EI219" i="135"/>
  <c r="EI215" i="135"/>
  <c r="EI231" i="135"/>
  <c r="EI240" i="135"/>
  <c r="EI234" i="135"/>
  <c r="EI237" i="135"/>
  <c r="EI241" i="135"/>
  <c r="EI216" i="135"/>
  <c r="EI225" i="135"/>
  <c r="EI226" i="135"/>
  <c r="EI228" i="135"/>
  <c r="EI230" i="135"/>
  <c r="EI217" i="135"/>
  <c r="EI223" i="135"/>
  <c r="EI236" i="135"/>
  <c r="EI242" i="135"/>
  <c r="EI244" i="135"/>
  <c r="EI229" i="135"/>
  <c r="EI233" i="135"/>
  <c r="EI239" i="135"/>
  <c r="EI243" i="135"/>
  <c r="EI245" i="135"/>
  <c r="EI248" i="135"/>
  <c r="EI214" i="135"/>
  <c r="EI218" i="135"/>
  <c r="EI235" i="135"/>
  <c r="EI257" i="135"/>
  <c r="EI259" i="135"/>
  <c r="EI238" i="135"/>
  <c r="EI232" i="135"/>
  <c r="EI224" i="135"/>
  <c r="EI253" i="135"/>
  <c r="EI265" i="135"/>
  <c r="EI275" i="135"/>
  <c r="EI269" i="135"/>
  <c r="EI270" i="135"/>
  <c r="EI274" i="135"/>
  <c r="EI271" i="135"/>
  <c r="EI273" i="135"/>
  <c r="EI249" i="135"/>
  <c r="EI254" i="135"/>
  <c r="FS271" i="135"/>
  <c r="FS270" i="135"/>
  <c r="FS269" i="135"/>
  <c r="FS234" i="135"/>
  <c r="FS230" i="135"/>
  <c r="FS252" i="135"/>
  <c r="FS233" i="135"/>
  <c r="FS232" i="135"/>
  <c r="FS229" i="135"/>
  <c r="FS221" i="135"/>
  <c r="FS216" i="135"/>
  <c r="FS220" i="135"/>
  <c r="FS215" i="135"/>
  <c r="FS214" i="135"/>
  <c r="FS218" i="135"/>
  <c r="FS217" i="135"/>
  <c r="FS227" i="135"/>
  <c r="FS240" i="135"/>
  <c r="FS237" i="135"/>
  <c r="FS241" i="135"/>
  <c r="FS247" i="135"/>
  <c r="FS225" i="135"/>
  <c r="FS245" i="135"/>
  <c r="FS251" i="135"/>
  <c r="FS256" i="135"/>
  <c r="FS228" i="135"/>
  <c r="FS223" i="135"/>
  <c r="FS235" i="135"/>
  <c r="FS236" i="135"/>
  <c r="FS242" i="135"/>
  <c r="FS244" i="135"/>
  <c r="FS257" i="135"/>
  <c r="FS239" i="135"/>
  <c r="FS243" i="135"/>
  <c r="FS246" i="135"/>
  <c r="FS248" i="135"/>
  <c r="FS219" i="135"/>
  <c r="FS226" i="135"/>
  <c r="FS250" i="135"/>
  <c r="FS224" i="135"/>
  <c r="FS253" i="135"/>
  <c r="FS254" i="135"/>
  <c r="FS231" i="135"/>
  <c r="FS222" i="135"/>
  <c r="FS238" i="135"/>
  <c r="FS260" i="135"/>
  <c r="FS265" i="135"/>
  <c r="FS263" i="135"/>
  <c r="FS266" i="135"/>
  <c r="FS275" i="135"/>
  <c r="FS273" i="135"/>
  <c r="FS274" i="135"/>
  <c r="FS272" i="135"/>
  <c r="FS255" i="135"/>
  <c r="FS267" i="135"/>
  <c r="FS262" i="135"/>
  <c r="FS268" i="135"/>
  <c r="FS259" i="135"/>
  <c r="FS264" i="135"/>
  <c r="FS258" i="135"/>
  <c r="FS261" i="135"/>
  <c r="FS249" i="135"/>
  <c r="ED169" i="135"/>
  <c r="CY248" i="135"/>
  <c r="CY254" i="135"/>
  <c r="CY253" i="135"/>
  <c r="CY238" i="135"/>
  <c r="CY234" i="135"/>
  <c r="CY230" i="135"/>
  <c r="CY233" i="135"/>
  <c r="CY229" i="135"/>
  <c r="CY249" i="135"/>
  <c r="CY227" i="135"/>
  <c r="CY224" i="135"/>
  <c r="CY223" i="135"/>
  <c r="CY240" i="135"/>
  <c r="CY226" i="135"/>
  <c r="CY215" i="135"/>
  <c r="CY214" i="135"/>
  <c r="CY221" i="135"/>
  <c r="CY232" i="135"/>
  <c r="CY235" i="135"/>
  <c r="CY237" i="135"/>
  <c r="CY241" i="135"/>
  <c r="CY250" i="135"/>
  <c r="CY218" i="135"/>
  <c r="CY220" i="135"/>
  <c r="CY222" i="135"/>
  <c r="CY231" i="135"/>
  <c r="CY236" i="135"/>
  <c r="CY247" i="135"/>
  <c r="CY252" i="135"/>
  <c r="CY255" i="135"/>
  <c r="CY225" i="135"/>
  <c r="CY217" i="135"/>
  <c r="CY228" i="135"/>
  <c r="CY242" i="135"/>
  <c r="CY244" i="135"/>
  <c r="CY257" i="135"/>
  <c r="CY239" i="135"/>
  <c r="CY243" i="135"/>
  <c r="CY251" i="135"/>
  <c r="CY216" i="135"/>
  <c r="CY219" i="135"/>
  <c r="CY246" i="135"/>
  <c r="CY259" i="135"/>
  <c r="CY264" i="135"/>
  <c r="CY260" i="135"/>
  <c r="CY266" i="135"/>
  <c r="CY268" i="135"/>
  <c r="CY273" i="135"/>
  <c r="CY275" i="135"/>
  <c r="CY267" i="135"/>
  <c r="CY271" i="135"/>
  <c r="CY270" i="135"/>
  <c r="CY272" i="135"/>
  <c r="CY256" i="135"/>
  <c r="CY258" i="135"/>
  <c r="CY263" i="135"/>
  <c r="CY269" i="135"/>
  <c r="CY245" i="135"/>
  <c r="CY262" i="135"/>
  <c r="CY261" i="135"/>
  <c r="CY265" i="135"/>
  <c r="CY274" i="135"/>
  <c r="CR169" i="135"/>
  <c r="FK169" i="135"/>
  <c r="DV169" i="135"/>
  <c r="DZ169" i="135"/>
  <c r="DU169" i="135"/>
  <c r="CL169" i="135"/>
  <c r="CO169" i="135"/>
  <c r="CP169" i="135"/>
  <c r="CQ169" i="135"/>
  <c r="CK169" i="135"/>
  <c r="CN169" i="135"/>
  <c r="CM169" i="135"/>
  <c r="CS169" i="135"/>
  <c r="FI169" i="135"/>
  <c r="EW169" i="135"/>
  <c r="FB169" i="135"/>
  <c r="EX169" i="135"/>
  <c r="FD169" i="135"/>
  <c r="EZ169" i="135"/>
  <c r="EY169" i="135"/>
  <c r="DM169" i="135"/>
  <c r="DT169" i="135"/>
  <c r="DO169" i="135"/>
  <c r="DN169" i="135"/>
  <c r="DS169" i="135"/>
  <c r="DR169" i="135"/>
  <c r="DQ169" i="135"/>
  <c r="C172" i="135"/>
  <c r="T172" i="135" s="1"/>
  <c r="FE170" i="135"/>
  <c r="FC169" i="135"/>
  <c r="FA169" i="135"/>
  <c r="BQ169" i="135"/>
  <c r="AX169" i="135"/>
  <c r="BI169" i="135"/>
  <c r="BN169" i="135"/>
  <c r="AU169" i="135"/>
  <c r="AW169" i="135"/>
  <c r="BD169" i="135"/>
  <c r="AN169" i="135"/>
  <c r="Q169" i="135" s="1"/>
  <c r="BP169" i="135"/>
  <c r="BY169" i="135"/>
  <c r="CD169" i="135"/>
  <c r="CI169" i="135"/>
  <c r="CE169" i="135"/>
  <c r="CG169" i="135"/>
  <c r="CH169" i="135"/>
  <c r="CJ169" i="135"/>
  <c r="CC169" i="135"/>
  <c r="CF169" i="135"/>
  <c r="FP170" i="135"/>
  <c r="EF170" i="135"/>
  <c r="CV170" i="135"/>
  <c r="FK170" i="135"/>
  <c r="ED170" i="135"/>
  <c r="FO170" i="135"/>
  <c r="EG170" i="135"/>
  <c r="CA170" i="135"/>
  <c r="EC170" i="135"/>
  <c r="CU170" i="135"/>
  <c r="FQ170" i="135"/>
  <c r="DK170" i="135"/>
  <c r="EB170" i="135"/>
  <c r="FN170" i="135"/>
  <c r="CW170" i="135"/>
  <c r="EU170" i="135"/>
  <c r="CN170" i="135"/>
  <c r="EA170" i="135"/>
  <c r="FL170" i="135"/>
  <c r="EE170" i="135"/>
  <c r="CX15" i="135"/>
  <c r="EH15" i="135"/>
  <c r="FR15" i="135"/>
  <c r="EI126" i="135"/>
  <c r="EI127" i="135"/>
  <c r="CX34" i="135"/>
  <c r="CY126" i="135"/>
  <c r="CY127" i="135"/>
  <c r="FS126" i="135"/>
  <c r="FS127" i="135"/>
  <c r="CX25" i="135"/>
  <c r="CY70" i="135"/>
  <c r="CY72" i="135"/>
  <c r="CY71" i="135"/>
  <c r="CY69" i="135"/>
  <c r="EI70" i="135"/>
  <c r="EI71" i="135"/>
  <c r="EI69" i="135"/>
  <c r="EI72" i="135"/>
  <c r="FR25" i="135"/>
  <c r="FS70" i="135"/>
  <c r="FS69" i="135"/>
  <c r="FS71" i="135"/>
  <c r="FS72" i="135"/>
  <c r="EH31" i="135"/>
  <c r="CX37" i="135"/>
  <c r="EH30" i="135"/>
  <c r="CX30" i="135"/>
  <c r="EI128" i="135"/>
  <c r="EI129" i="135"/>
  <c r="EI125" i="135"/>
  <c r="EI124" i="135"/>
  <c r="EI122" i="135"/>
  <c r="EI123" i="135"/>
  <c r="EI121" i="135"/>
  <c r="EI151" i="135"/>
  <c r="EI141" i="135"/>
  <c r="EI108" i="135"/>
  <c r="EI148" i="135"/>
  <c r="EI165" i="135"/>
  <c r="EI163" i="135"/>
  <c r="EI139" i="135"/>
  <c r="EI111" i="135"/>
  <c r="EI116" i="135"/>
  <c r="EI132" i="135"/>
  <c r="EI150" i="135"/>
  <c r="EI110" i="135"/>
  <c r="EI135" i="135"/>
  <c r="EI115" i="135"/>
  <c r="EI147" i="135"/>
  <c r="EI144" i="135"/>
  <c r="EI159" i="135"/>
  <c r="EI118" i="135"/>
  <c r="EI169" i="135"/>
  <c r="EI164" i="135"/>
  <c r="EI160" i="135"/>
  <c r="EI136" i="135"/>
  <c r="EI162" i="135"/>
  <c r="EI112" i="135"/>
  <c r="EI155" i="135"/>
  <c r="EI154" i="135"/>
  <c r="EI130" i="135"/>
  <c r="EI107" i="135"/>
  <c r="EI152" i="135"/>
  <c r="EI153" i="135"/>
  <c r="EI166" i="135"/>
  <c r="EI134" i="135"/>
  <c r="EI131" i="135"/>
  <c r="EI114" i="135"/>
  <c r="EI133" i="135"/>
  <c r="EI167" i="135"/>
  <c r="EI113" i="135"/>
  <c r="EI149" i="135"/>
  <c r="EI117" i="135"/>
  <c r="EI138" i="135"/>
  <c r="EI143" i="135"/>
  <c r="EI157" i="135"/>
  <c r="EI137" i="135"/>
  <c r="EI161" i="135"/>
  <c r="EI119" i="135"/>
  <c r="EI145" i="135"/>
  <c r="EI142" i="135"/>
  <c r="EI168" i="135"/>
  <c r="EI146" i="135"/>
  <c r="EI106" i="135"/>
  <c r="EI170" i="135"/>
  <c r="EI109" i="135"/>
  <c r="EI156" i="135"/>
  <c r="EI158" i="135"/>
  <c r="EI120" i="135"/>
  <c r="EI140" i="135"/>
  <c r="FS121" i="135"/>
  <c r="FS151" i="135"/>
  <c r="FS124" i="135"/>
  <c r="FS128" i="135"/>
  <c r="FS122" i="135"/>
  <c r="FS129" i="135"/>
  <c r="FS125" i="135"/>
  <c r="FS123" i="135"/>
  <c r="FS139" i="135"/>
  <c r="FS141" i="135"/>
  <c r="FS108" i="135"/>
  <c r="FS148" i="135"/>
  <c r="FS165" i="135"/>
  <c r="FS111" i="135"/>
  <c r="FS163" i="135"/>
  <c r="FS147" i="135"/>
  <c r="FS135" i="135"/>
  <c r="FS144" i="135"/>
  <c r="FS110" i="135"/>
  <c r="FS150" i="135"/>
  <c r="FS116" i="135"/>
  <c r="FS132" i="135"/>
  <c r="FS159" i="135"/>
  <c r="FS118" i="135"/>
  <c r="FS169" i="135"/>
  <c r="FS164" i="135"/>
  <c r="FS115" i="135"/>
  <c r="FS114" i="135"/>
  <c r="FS138" i="135"/>
  <c r="FS136" i="135"/>
  <c r="FS160" i="135"/>
  <c r="FS112" i="135"/>
  <c r="FS152" i="135"/>
  <c r="FS131" i="135"/>
  <c r="FS166" i="135"/>
  <c r="FS113" i="135"/>
  <c r="FS162" i="135"/>
  <c r="FS107" i="135"/>
  <c r="FS134" i="135"/>
  <c r="FS154" i="135"/>
  <c r="FS130" i="135"/>
  <c r="FS155" i="135"/>
  <c r="FS153" i="135"/>
  <c r="FS133" i="135"/>
  <c r="FS161" i="135"/>
  <c r="FS143" i="135"/>
  <c r="FS145" i="135"/>
  <c r="FS149" i="135"/>
  <c r="FS167" i="135"/>
  <c r="FS157" i="135"/>
  <c r="FS117" i="135"/>
  <c r="FS137" i="135"/>
  <c r="FS119" i="135"/>
  <c r="FS168" i="135"/>
  <c r="FS109" i="135"/>
  <c r="FS158" i="135"/>
  <c r="FS142" i="135"/>
  <c r="FS146" i="135"/>
  <c r="FS106" i="135"/>
  <c r="FS156" i="135"/>
  <c r="FS170" i="135"/>
  <c r="FS120" i="135"/>
  <c r="FS140" i="135"/>
  <c r="FR30" i="135"/>
  <c r="FR31" i="135"/>
  <c r="EH32" i="135"/>
  <c r="CX32" i="135"/>
  <c r="CX31" i="135"/>
  <c r="FR33" i="135"/>
  <c r="EH33" i="135"/>
  <c r="CY122" i="135"/>
  <c r="CY123" i="135"/>
  <c r="CY128" i="135"/>
  <c r="CY129" i="135"/>
  <c r="CY125" i="135"/>
  <c r="CY121" i="135"/>
  <c r="CY124" i="135"/>
  <c r="CY151" i="135"/>
  <c r="CY139" i="135"/>
  <c r="CY108" i="135"/>
  <c r="CY147" i="135"/>
  <c r="CY144" i="135"/>
  <c r="CY163" i="135"/>
  <c r="CY135" i="135"/>
  <c r="CY141" i="135"/>
  <c r="CY148" i="135"/>
  <c r="CY165" i="135"/>
  <c r="CY116" i="135"/>
  <c r="CY159" i="135"/>
  <c r="CY150" i="135"/>
  <c r="CY169" i="135"/>
  <c r="CY164" i="135"/>
  <c r="CY110" i="135"/>
  <c r="CY111" i="135"/>
  <c r="CY132" i="135"/>
  <c r="CY118" i="135"/>
  <c r="CY115" i="135"/>
  <c r="CY136" i="135"/>
  <c r="CY114" i="135"/>
  <c r="CY134" i="135"/>
  <c r="CY130" i="135"/>
  <c r="CY112" i="135"/>
  <c r="CY152" i="135"/>
  <c r="CY107" i="135"/>
  <c r="CY131" i="135"/>
  <c r="CY138" i="135"/>
  <c r="CY166" i="135"/>
  <c r="CY160" i="135"/>
  <c r="CY162" i="135"/>
  <c r="CY154" i="135"/>
  <c r="CY155" i="135"/>
  <c r="CY153" i="135"/>
  <c r="CY137" i="135"/>
  <c r="CY133" i="135"/>
  <c r="CY161" i="135"/>
  <c r="CY145" i="135"/>
  <c r="CY149" i="135"/>
  <c r="CY117" i="135"/>
  <c r="CY168" i="135"/>
  <c r="CY113" i="135"/>
  <c r="CY119" i="135"/>
  <c r="CY143" i="135"/>
  <c r="CY157" i="135"/>
  <c r="CY167" i="135"/>
  <c r="CY146" i="135"/>
  <c r="CY170" i="135"/>
  <c r="CY158" i="135"/>
  <c r="CY109" i="135"/>
  <c r="CY106" i="135"/>
  <c r="CY142" i="135"/>
  <c r="CY156" i="135"/>
  <c r="CY120" i="135"/>
  <c r="CY140" i="135"/>
  <c r="FR32" i="135"/>
  <c r="FR36" i="135"/>
  <c r="CX36" i="135"/>
  <c r="CX33" i="135"/>
  <c r="EH36" i="135"/>
  <c r="FR28" i="135"/>
  <c r="FR37" i="135"/>
  <c r="FR26" i="135"/>
  <c r="FR35" i="135"/>
  <c r="CX26" i="135"/>
  <c r="CX35" i="135"/>
  <c r="EH28" i="135"/>
  <c r="EH37" i="135"/>
  <c r="EH26" i="135"/>
  <c r="EH35" i="135"/>
  <c r="EU98" i="135"/>
  <c r="CA98" i="135"/>
  <c r="DK98" i="135"/>
  <c r="FR23" i="135"/>
  <c r="CX22" i="135"/>
  <c r="EH24" i="135"/>
  <c r="FR22" i="135"/>
  <c r="EH23" i="135"/>
  <c r="FR24" i="135"/>
  <c r="CX23" i="135"/>
  <c r="FR27" i="135"/>
  <c r="CX27" i="135"/>
  <c r="CX24" i="135"/>
  <c r="CX28" i="135"/>
  <c r="EH22" i="135"/>
  <c r="EH27" i="135"/>
  <c r="EW98" i="135"/>
  <c r="DW98" i="135"/>
  <c r="CO98" i="135"/>
  <c r="EX98" i="135"/>
  <c r="DZ98" i="135"/>
  <c r="DT98" i="135"/>
  <c r="FA98" i="135"/>
  <c r="CY63" i="135"/>
  <c r="CY62" i="135"/>
  <c r="CY61" i="135"/>
  <c r="CY60" i="135"/>
  <c r="CY64" i="135"/>
  <c r="CY65" i="135"/>
  <c r="CY66" i="135"/>
  <c r="CY67" i="135"/>
  <c r="CY68" i="135"/>
  <c r="CY73" i="135"/>
  <c r="CY74" i="135"/>
  <c r="CY75" i="135"/>
  <c r="CY76" i="135"/>
  <c r="CY77" i="135"/>
  <c r="CY78" i="135"/>
  <c r="CY79" i="135"/>
  <c r="CY80" i="135"/>
  <c r="CY81" i="135"/>
  <c r="CY82" i="135"/>
  <c r="CY83" i="135"/>
  <c r="CY84" i="135"/>
  <c r="CY85" i="135"/>
  <c r="CY86" i="135"/>
  <c r="CY87" i="135"/>
  <c r="CY88" i="135"/>
  <c r="CY89" i="135"/>
  <c r="CY90" i="135"/>
  <c r="CY91" i="135"/>
  <c r="CY92" i="135"/>
  <c r="CY93" i="135"/>
  <c r="CY94" i="135"/>
  <c r="CY95" i="135"/>
  <c r="CY96" i="135"/>
  <c r="CY97" i="135"/>
  <c r="FS63" i="135"/>
  <c r="FS61" i="135"/>
  <c r="FS62" i="135"/>
  <c r="FS60" i="135"/>
  <c r="FS64" i="135"/>
  <c r="FS65" i="135"/>
  <c r="FS66" i="135"/>
  <c r="FS67" i="135"/>
  <c r="FS68" i="135"/>
  <c r="FS73" i="135"/>
  <c r="FS74" i="135"/>
  <c r="FS75" i="135"/>
  <c r="FS76" i="135"/>
  <c r="FS77" i="135"/>
  <c r="FS78" i="135"/>
  <c r="FS79" i="135"/>
  <c r="FS80" i="135"/>
  <c r="FS81" i="135"/>
  <c r="FS82" i="135"/>
  <c r="FS83" i="135"/>
  <c r="FS84" i="135"/>
  <c r="FS85" i="135"/>
  <c r="FS86" i="135"/>
  <c r="FS87" i="135"/>
  <c r="FS88" i="135"/>
  <c r="FS89" i="135"/>
  <c r="FS90" i="135"/>
  <c r="FS91" i="135"/>
  <c r="FS92" i="135"/>
  <c r="FS93" i="135"/>
  <c r="FS94" i="135"/>
  <c r="FS95" i="135"/>
  <c r="FS96" i="135"/>
  <c r="FS97" i="135"/>
  <c r="DM98" i="135"/>
  <c r="DO98" i="135"/>
  <c r="DU98" i="135"/>
  <c r="DY98" i="135"/>
  <c r="FC98" i="135"/>
  <c r="BI98" i="135"/>
  <c r="FS98" i="135"/>
  <c r="DQ98" i="135"/>
  <c r="DX98" i="135"/>
  <c r="CY98" i="135"/>
  <c r="EI63" i="135"/>
  <c r="EI62" i="135"/>
  <c r="EI61" i="135"/>
  <c r="EI60" i="135"/>
  <c r="EI64" i="135"/>
  <c r="EI65" i="135"/>
  <c r="EI66" i="135"/>
  <c r="EI67" i="135"/>
  <c r="EI68" i="135"/>
  <c r="EI73" i="135"/>
  <c r="EI74" i="135"/>
  <c r="EI75" i="135"/>
  <c r="EI76" i="135"/>
  <c r="EI77" i="135"/>
  <c r="EI78" i="135"/>
  <c r="EI79" i="135"/>
  <c r="EI80" i="135"/>
  <c r="EI81" i="135"/>
  <c r="EI82" i="135"/>
  <c r="EI83" i="135"/>
  <c r="EI84" i="135"/>
  <c r="EI85" i="135"/>
  <c r="EI86" i="135"/>
  <c r="EI87" i="135"/>
  <c r="EI88" i="135"/>
  <c r="EI89" i="135"/>
  <c r="EI90" i="135"/>
  <c r="EI91" i="135"/>
  <c r="EI92" i="135"/>
  <c r="EI93" i="135"/>
  <c r="EI94" i="135"/>
  <c r="EI95" i="135"/>
  <c r="EI96" i="135"/>
  <c r="EI97" i="135"/>
  <c r="EI98" i="135"/>
  <c r="FI98" i="135"/>
  <c r="DV98" i="135"/>
  <c r="FG98" i="135"/>
  <c r="FH98" i="135"/>
  <c r="EV98" i="135"/>
  <c r="EZ98" i="135"/>
  <c r="FJ98" i="135"/>
  <c r="EY98" i="135"/>
  <c r="DR98" i="135"/>
  <c r="DN98" i="135"/>
  <c r="FD98" i="135"/>
  <c r="FB98" i="135"/>
  <c r="FE98" i="135"/>
  <c r="DP98" i="135"/>
  <c r="DL98" i="135"/>
  <c r="CM98" i="135"/>
  <c r="CJ98" i="135"/>
  <c r="AX98" i="135"/>
  <c r="CC98" i="135"/>
  <c r="CN98" i="135"/>
  <c r="CD98" i="135"/>
  <c r="CF98" i="135"/>
  <c r="CB98" i="135"/>
  <c r="BQ98" i="135"/>
  <c r="CE98" i="135"/>
  <c r="CL98" i="135"/>
  <c r="CP98" i="135"/>
  <c r="CH98" i="135"/>
  <c r="CI98" i="135"/>
  <c r="CK98" i="135"/>
  <c r="AM98" i="135"/>
  <c r="BD98" i="135" s="1"/>
  <c r="FF99" i="135"/>
  <c r="CJ99" i="135"/>
  <c r="EA99" i="135"/>
  <c r="FK99" i="135"/>
  <c r="EF99" i="135"/>
  <c r="EE99" i="135"/>
  <c r="CW99" i="135"/>
  <c r="EG99" i="135"/>
  <c r="EC99" i="135"/>
  <c r="ED99" i="135"/>
  <c r="CR99" i="135"/>
  <c r="FN99" i="135"/>
  <c r="CT99" i="135"/>
  <c r="FO99" i="135"/>
  <c r="EH99" i="135"/>
  <c r="EB99" i="135"/>
  <c r="EI99" i="135"/>
  <c r="FQ99" i="135"/>
  <c r="C101" i="135"/>
  <c r="T101" i="135" s="1"/>
  <c r="BX98" i="135"/>
  <c r="BH98" i="135"/>
  <c r="AV98" i="135"/>
  <c r="BC98" i="135"/>
  <c r="BX99" i="135"/>
  <c r="BC99" i="135"/>
  <c r="AV99" i="135"/>
  <c r="BH99" i="135"/>
  <c r="CY59" i="135"/>
  <c r="CY51" i="135"/>
  <c r="CY56" i="135"/>
  <c r="CY57" i="135"/>
  <c r="CY50" i="135"/>
  <c r="CY53" i="135"/>
  <c r="CY55" i="135"/>
  <c r="CY58" i="135"/>
  <c r="CY52" i="135"/>
  <c r="CY54" i="135"/>
  <c r="EI51" i="135"/>
  <c r="EI56" i="135"/>
  <c r="EI59" i="135"/>
  <c r="EI58" i="135"/>
  <c r="EI57" i="135"/>
  <c r="EI55" i="135"/>
  <c r="EI53" i="135"/>
  <c r="EI50" i="135"/>
  <c r="EI54" i="135"/>
  <c r="EI52" i="135"/>
  <c r="FS51" i="135"/>
  <c r="FS56" i="135"/>
  <c r="FS59" i="135"/>
  <c r="FS57" i="135"/>
  <c r="FS53" i="135"/>
  <c r="FS58" i="135"/>
  <c r="FS50" i="135"/>
  <c r="FS55" i="135"/>
  <c r="FS54" i="135"/>
  <c r="FS52" i="135"/>
  <c r="EI49" i="135"/>
  <c r="FS49" i="135"/>
  <c r="CY49" i="135"/>
  <c r="FR21" i="135"/>
  <c r="FR14" i="135"/>
  <c r="EH21" i="135"/>
  <c r="EH14" i="135"/>
  <c r="CX21" i="135"/>
  <c r="CX14" i="135"/>
  <c r="FT8" i="135"/>
  <c r="EJ8" i="135"/>
  <c r="CZ8" i="135"/>
  <c r="AQ169" i="135" l="1"/>
  <c r="EI25" i="135"/>
  <c r="AG100" i="135"/>
  <c r="AH171" i="135"/>
  <c r="Y171" i="135"/>
  <c r="DT171" i="135" s="1"/>
  <c r="AI171" i="135"/>
  <c r="BX171" i="135" s="1"/>
  <c r="AG171" i="135"/>
  <c r="AD171" i="135"/>
  <c r="X171" i="135"/>
  <c r="CC171" i="135" s="1"/>
  <c r="AF100" i="135"/>
  <c r="X100" i="135"/>
  <c r="CI100" i="135" s="1"/>
  <c r="Z100" i="135"/>
  <c r="EV100" i="135" s="1"/>
  <c r="AJ100" i="135"/>
  <c r="AU100" i="135" s="1"/>
  <c r="AF171" i="135"/>
  <c r="AC171" i="135"/>
  <c r="AD100" i="135"/>
  <c r="AB100" i="135"/>
  <c r="AB171" i="135"/>
  <c r="AH100" i="135"/>
  <c r="AC100" i="135"/>
  <c r="AJ101" i="135"/>
  <c r="AL101" i="135"/>
  <c r="V101" i="135"/>
  <c r="AK101" i="135"/>
  <c r="U101" i="135"/>
  <c r="AL172" i="135"/>
  <c r="V172" i="135"/>
  <c r="U172" i="135"/>
  <c r="AJ172" i="135"/>
  <c r="AK172" i="135"/>
  <c r="CZ172" i="135" s="1"/>
  <c r="Y100" i="135"/>
  <c r="DR100" i="135" s="1"/>
  <c r="AJ171" i="135"/>
  <c r="Z171" i="135"/>
  <c r="FI171" i="135" s="1"/>
  <c r="DZ170" i="135"/>
  <c r="FH170" i="135"/>
  <c r="DX170" i="135"/>
  <c r="DY170" i="135"/>
  <c r="DW170" i="135"/>
  <c r="DV170" i="135"/>
  <c r="DU170" i="135"/>
  <c r="CQ99" i="135"/>
  <c r="CU99" i="135"/>
  <c r="CY99" i="135"/>
  <c r="CV99" i="135"/>
  <c r="CX99" i="135"/>
  <c r="CS99" i="135"/>
  <c r="FL99" i="135"/>
  <c r="FM99" i="135"/>
  <c r="FP99" i="135"/>
  <c r="FS99" i="135"/>
  <c r="FR99" i="135"/>
  <c r="EI171" i="135"/>
  <c r="DL170" i="135"/>
  <c r="CY171" i="135"/>
  <c r="DT170" i="135"/>
  <c r="DP170" i="135"/>
  <c r="DN170" i="135"/>
  <c r="DS170" i="135"/>
  <c r="DM170" i="135"/>
  <c r="EV170" i="135"/>
  <c r="DQ170" i="135"/>
  <c r="DR170" i="135"/>
  <c r="CB170" i="135"/>
  <c r="EI34" i="135"/>
  <c r="CZ267" i="135"/>
  <c r="CZ268" i="135"/>
  <c r="CZ266" i="135"/>
  <c r="CZ258" i="135"/>
  <c r="CZ249" i="135"/>
  <c r="CZ234" i="135"/>
  <c r="CZ230" i="135"/>
  <c r="CZ241" i="135"/>
  <c r="CZ233" i="135"/>
  <c r="CZ232" i="135"/>
  <c r="CZ229" i="135"/>
  <c r="CZ251" i="135"/>
  <c r="CZ248" i="135"/>
  <c r="CZ243" i="135"/>
  <c r="CZ239" i="135"/>
  <c r="CZ245" i="135"/>
  <c r="CZ237" i="135"/>
  <c r="CZ247" i="135"/>
  <c r="CZ226" i="135"/>
  <c r="CZ223" i="135"/>
  <c r="CZ222" i="135"/>
  <c r="CZ215" i="135"/>
  <c r="CZ224" i="135"/>
  <c r="CZ238" i="135"/>
  <c r="CZ231" i="135"/>
  <c r="CZ244" i="135"/>
  <c r="CZ225" i="135"/>
  <c r="CZ219" i="135"/>
  <c r="CZ216" i="135"/>
  <c r="CZ227" i="135"/>
  <c r="CZ220" i="135"/>
  <c r="CZ240" i="135"/>
  <c r="CZ217" i="135"/>
  <c r="CZ221" i="135"/>
  <c r="CZ246" i="135"/>
  <c r="CZ252" i="135"/>
  <c r="CZ256" i="135"/>
  <c r="CZ214" i="135"/>
  <c r="CZ235" i="135"/>
  <c r="CZ257" i="135"/>
  <c r="CZ218" i="135"/>
  <c r="CZ242" i="135"/>
  <c r="CZ261" i="135"/>
  <c r="CZ263" i="135"/>
  <c r="CZ228" i="135"/>
  <c r="CZ236" i="135"/>
  <c r="CZ254" i="135"/>
  <c r="CZ255" i="135"/>
  <c r="CZ264" i="135"/>
  <c r="CZ269" i="135"/>
  <c r="CZ272" i="135"/>
  <c r="CZ274" i="135"/>
  <c r="CZ273" i="135"/>
  <c r="CZ270" i="135"/>
  <c r="CZ271" i="135"/>
  <c r="CZ253" i="135"/>
  <c r="CZ259" i="135"/>
  <c r="CZ260" i="135"/>
  <c r="CZ275" i="135"/>
  <c r="CZ262" i="135"/>
  <c r="CZ250" i="135"/>
  <c r="CZ265" i="135"/>
  <c r="FI170" i="135"/>
  <c r="FJ170" i="135"/>
  <c r="EJ275" i="135"/>
  <c r="EJ273" i="135"/>
  <c r="EJ259" i="135"/>
  <c r="EJ256" i="135"/>
  <c r="EJ255" i="135"/>
  <c r="EJ250" i="135"/>
  <c r="EJ246" i="135"/>
  <c r="EJ254" i="135"/>
  <c r="EJ249" i="135"/>
  <c r="EJ245" i="135"/>
  <c r="EJ243" i="135"/>
  <c r="EJ239" i="135"/>
  <c r="EJ237" i="135"/>
  <c r="EJ235" i="135"/>
  <c r="EJ231" i="135"/>
  <c r="EJ224" i="135"/>
  <c r="EJ225" i="135"/>
  <c r="EJ234" i="135"/>
  <c r="EJ230" i="135"/>
  <c r="EJ241" i="135"/>
  <c r="EJ226" i="135"/>
  <c r="EJ227" i="135"/>
  <c r="EJ223" i="135"/>
  <c r="EJ232" i="135"/>
  <c r="EJ236" i="135"/>
  <c r="EJ233" i="135"/>
  <c r="EJ215" i="135"/>
  <c r="EJ221" i="135"/>
  <c r="EJ242" i="135"/>
  <c r="EJ229" i="135"/>
  <c r="EJ244" i="135"/>
  <c r="EJ247" i="135"/>
  <c r="EJ248" i="135"/>
  <c r="EJ218" i="135"/>
  <c r="EJ214" i="135"/>
  <c r="EJ220" i="135"/>
  <c r="EJ238" i="135"/>
  <c r="EJ251" i="135"/>
  <c r="EJ252" i="135"/>
  <c r="EJ258" i="135"/>
  <c r="EJ216" i="135"/>
  <c r="EJ222" i="135"/>
  <c r="EJ261" i="135"/>
  <c r="EJ265" i="135"/>
  <c r="EJ228" i="135"/>
  <c r="EJ240" i="135"/>
  <c r="EJ217" i="135"/>
  <c r="EJ219" i="135"/>
  <c r="EJ257" i="135"/>
  <c r="EJ263" i="135"/>
  <c r="EJ274" i="135"/>
  <c r="EJ266" i="135"/>
  <c r="EJ267" i="135"/>
  <c r="EJ269" i="135"/>
  <c r="EJ271" i="135"/>
  <c r="EJ264" i="135"/>
  <c r="EJ270" i="135"/>
  <c r="EJ253" i="135"/>
  <c r="EJ260" i="135"/>
  <c r="EJ262" i="135"/>
  <c r="EJ268" i="135"/>
  <c r="EJ272" i="135"/>
  <c r="FT272" i="135"/>
  <c r="FT267" i="135"/>
  <c r="FT268" i="135"/>
  <c r="FT263" i="135"/>
  <c r="FT261" i="135"/>
  <c r="FT264" i="135"/>
  <c r="FT262" i="135"/>
  <c r="FT259" i="135"/>
  <c r="FT258" i="135"/>
  <c r="FT255" i="135"/>
  <c r="FT254" i="135"/>
  <c r="FT249" i="135"/>
  <c r="FT251" i="135"/>
  <c r="FT248" i="135"/>
  <c r="FT247" i="135"/>
  <c r="FT220" i="135"/>
  <c r="FT222" i="135"/>
  <c r="FT221" i="135"/>
  <c r="FT226" i="135"/>
  <c r="FT223" i="135"/>
  <c r="FT214" i="135"/>
  <c r="FT218" i="135"/>
  <c r="FT225" i="135"/>
  <c r="FT257" i="135"/>
  <c r="FT230" i="135"/>
  <c r="FT215" i="135"/>
  <c r="FT224" i="135"/>
  <c r="FT236" i="135"/>
  <c r="FT242" i="135"/>
  <c r="FT244" i="135"/>
  <c r="FT229" i="135"/>
  <c r="FT233" i="135"/>
  <c r="FT239" i="135"/>
  <c r="FT243" i="135"/>
  <c r="FT245" i="135"/>
  <c r="FT246" i="135"/>
  <c r="FT216" i="135"/>
  <c r="FT238" i="135"/>
  <c r="FT227" i="135"/>
  <c r="FT232" i="135"/>
  <c r="FT235" i="135"/>
  <c r="FT250" i="135"/>
  <c r="FT252" i="135"/>
  <c r="FT256" i="135"/>
  <c r="FT217" i="135"/>
  <c r="FT237" i="135"/>
  <c r="FT219" i="135"/>
  <c r="FT228" i="135"/>
  <c r="FT241" i="135"/>
  <c r="FT231" i="135"/>
  <c r="FT240" i="135"/>
  <c r="FT234" i="135"/>
  <c r="FT260" i="135"/>
  <c r="FT266" i="135"/>
  <c r="FT269" i="135"/>
  <c r="FT274" i="135"/>
  <c r="FT270" i="135"/>
  <c r="FT271" i="135"/>
  <c r="FT253" i="135"/>
  <c r="FT265" i="135"/>
  <c r="FT273" i="135"/>
  <c r="FT275" i="135"/>
  <c r="FM170" i="135"/>
  <c r="FG170" i="135"/>
  <c r="CR170" i="135"/>
  <c r="CG170" i="135"/>
  <c r="CL170" i="135"/>
  <c r="CT170" i="135"/>
  <c r="CJ170" i="135"/>
  <c r="CK170" i="135"/>
  <c r="CP170" i="135"/>
  <c r="CH170" i="135"/>
  <c r="CO170" i="135"/>
  <c r="CI170" i="135"/>
  <c r="CE170" i="135"/>
  <c r="CM170" i="135"/>
  <c r="CC170" i="135"/>
  <c r="CS170" i="135"/>
  <c r="CF170" i="135"/>
  <c r="CQ170" i="135"/>
  <c r="FF170" i="135"/>
  <c r="BN170" i="135"/>
  <c r="AU170" i="135"/>
  <c r="EW170" i="135"/>
  <c r="EX170" i="135"/>
  <c r="FC170" i="135"/>
  <c r="FD170" i="135"/>
  <c r="EZ170" i="135"/>
  <c r="CW171" i="135"/>
  <c r="EG171" i="135"/>
  <c r="FQ171" i="135"/>
  <c r="EU171" i="135"/>
  <c r="CR171" i="135"/>
  <c r="EC171" i="135"/>
  <c r="FP171" i="135"/>
  <c r="FR171" i="135"/>
  <c r="FL171" i="135"/>
  <c r="EE171" i="135"/>
  <c r="EF171" i="135"/>
  <c r="EH171" i="135"/>
  <c r="DK171" i="135"/>
  <c r="EB171" i="135"/>
  <c r="ED171" i="135"/>
  <c r="CU171" i="135"/>
  <c r="CV171" i="135"/>
  <c r="CA171" i="135"/>
  <c r="EA171" i="135"/>
  <c r="FN171" i="135"/>
  <c r="FO171" i="135"/>
  <c r="CX171" i="135"/>
  <c r="FB170" i="135"/>
  <c r="AN170" i="135"/>
  <c r="Q170" i="135" s="1"/>
  <c r="BC170" i="135"/>
  <c r="BX170" i="135"/>
  <c r="AV170" i="135"/>
  <c r="BH170" i="135"/>
  <c r="C173" i="135"/>
  <c r="T173" i="135" s="1"/>
  <c r="FA170" i="135"/>
  <c r="BI170" i="135"/>
  <c r="BQ170" i="135"/>
  <c r="AX170" i="135"/>
  <c r="BD170" i="135"/>
  <c r="BP170" i="135"/>
  <c r="BY170" i="135"/>
  <c r="AW170" i="135"/>
  <c r="EY170" i="135"/>
  <c r="P22" i="131"/>
  <c r="F36" i="235" s="1"/>
  <c r="AD24" i="235" s="1"/>
  <c r="EI15" i="135"/>
  <c r="CY15" i="135"/>
  <c r="FS15" i="135"/>
  <c r="CY36" i="135"/>
  <c r="CY37" i="135"/>
  <c r="EJ126" i="135"/>
  <c r="EJ127" i="135"/>
  <c r="FT127" i="135"/>
  <c r="FT126" i="135"/>
  <c r="FS34" i="135"/>
  <c r="CY34" i="135"/>
  <c r="CZ127" i="135"/>
  <c r="CZ126" i="135"/>
  <c r="CY25" i="135"/>
  <c r="CZ72" i="135"/>
  <c r="CZ69" i="135"/>
  <c r="CZ70" i="135"/>
  <c r="CZ71" i="135"/>
  <c r="EJ72" i="135"/>
  <c r="EJ70" i="135"/>
  <c r="EJ69" i="135"/>
  <c r="EJ71" i="135"/>
  <c r="FT70" i="135"/>
  <c r="FT71" i="135"/>
  <c r="FT69" i="135"/>
  <c r="FT72" i="135"/>
  <c r="FS25" i="135"/>
  <c r="FS31" i="135"/>
  <c r="EI32" i="135"/>
  <c r="EI31" i="135"/>
  <c r="EI36" i="135"/>
  <c r="EI30" i="135"/>
  <c r="FS32" i="135"/>
  <c r="CZ123" i="135"/>
  <c r="CZ125" i="135"/>
  <c r="CZ128" i="135"/>
  <c r="CZ121" i="135"/>
  <c r="CZ122" i="135"/>
  <c r="CZ151" i="135"/>
  <c r="CZ124" i="135"/>
  <c r="CZ129" i="135"/>
  <c r="CZ171" i="135"/>
  <c r="CZ141" i="135"/>
  <c r="CZ108" i="135"/>
  <c r="CZ165" i="135"/>
  <c r="CZ147" i="135"/>
  <c r="CZ144" i="135"/>
  <c r="CZ132" i="135"/>
  <c r="CZ116" i="135"/>
  <c r="CZ139" i="135"/>
  <c r="CZ148" i="135"/>
  <c r="CZ111" i="135"/>
  <c r="CZ135" i="135"/>
  <c r="CZ169" i="135"/>
  <c r="CZ118" i="135"/>
  <c r="CZ164" i="135"/>
  <c r="CZ150" i="135"/>
  <c r="CZ115" i="135"/>
  <c r="CZ163" i="135"/>
  <c r="CZ159" i="135"/>
  <c r="CZ136" i="135"/>
  <c r="CZ162" i="135"/>
  <c r="CZ107" i="135"/>
  <c r="CZ134" i="135"/>
  <c r="CZ130" i="135"/>
  <c r="CZ112" i="135"/>
  <c r="CZ131" i="135"/>
  <c r="CZ110" i="135"/>
  <c r="CZ160" i="135"/>
  <c r="CZ155" i="135"/>
  <c r="CZ153" i="135"/>
  <c r="CZ154" i="135"/>
  <c r="CZ152" i="135"/>
  <c r="CZ114" i="135"/>
  <c r="CZ138" i="135"/>
  <c r="CZ133" i="135"/>
  <c r="CZ143" i="135"/>
  <c r="CZ119" i="135"/>
  <c r="CZ145" i="135"/>
  <c r="CZ157" i="135"/>
  <c r="CZ117" i="135"/>
  <c r="CZ166" i="135"/>
  <c r="CZ113" i="135"/>
  <c r="CZ137" i="135"/>
  <c r="CZ161" i="135"/>
  <c r="CZ149" i="135"/>
  <c r="CZ167" i="135"/>
  <c r="CZ168" i="135"/>
  <c r="CZ146" i="135"/>
  <c r="CZ156" i="135"/>
  <c r="CZ170" i="135"/>
  <c r="CZ106" i="135"/>
  <c r="CZ158" i="135"/>
  <c r="CZ109" i="135"/>
  <c r="CZ142" i="135"/>
  <c r="CZ120" i="135"/>
  <c r="CZ140" i="135"/>
  <c r="EJ121" i="135"/>
  <c r="EJ125" i="135"/>
  <c r="EJ128" i="135"/>
  <c r="EJ171" i="135"/>
  <c r="EJ124" i="135"/>
  <c r="EJ129" i="135"/>
  <c r="EJ122" i="135"/>
  <c r="EJ123" i="135"/>
  <c r="EJ151" i="135"/>
  <c r="EJ141" i="135"/>
  <c r="EJ148" i="135"/>
  <c r="EJ144" i="135"/>
  <c r="EJ163" i="135"/>
  <c r="EJ116" i="135"/>
  <c r="EJ139" i="135"/>
  <c r="EJ165" i="135"/>
  <c r="EJ111" i="135"/>
  <c r="EJ135" i="135"/>
  <c r="EJ108" i="135"/>
  <c r="EJ132" i="135"/>
  <c r="EJ150" i="135"/>
  <c r="EJ118" i="135"/>
  <c r="EJ159" i="135"/>
  <c r="EJ169" i="135"/>
  <c r="EJ164" i="135"/>
  <c r="EJ115" i="135"/>
  <c r="EJ147" i="135"/>
  <c r="EJ152" i="135"/>
  <c r="EJ153" i="135"/>
  <c r="EJ166" i="135"/>
  <c r="EJ110" i="135"/>
  <c r="EJ160" i="135"/>
  <c r="EJ155" i="135"/>
  <c r="EJ162" i="135"/>
  <c r="EJ107" i="135"/>
  <c r="EJ134" i="135"/>
  <c r="EJ112" i="135"/>
  <c r="EJ136" i="135"/>
  <c r="EJ154" i="135"/>
  <c r="EJ130" i="135"/>
  <c r="EJ131" i="135"/>
  <c r="EJ138" i="135"/>
  <c r="EJ133" i="135"/>
  <c r="EJ143" i="135"/>
  <c r="EJ157" i="135"/>
  <c r="EJ119" i="135"/>
  <c r="EJ113" i="135"/>
  <c r="EJ137" i="135"/>
  <c r="EJ161" i="135"/>
  <c r="EJ145" i="135"/>
  <c r="EJ149" i="135"/>
  <c r="EJ114" i="135"/>
  <c r="EJ117" i="135"/>
  <c r="EJ146" i="135"/>
  <c r="EJ106" i="135"/>
  <c r="EJ170" i="135"/>
  <c r="EJ156" i="135"/>
  <c r="EJ168" i="135"/>
  <c r="EJ167" i="135"/>
  <c r="EJ109" i="135"/>
  <c r="EJ142" i="135"/>
  <c r="EJ158" i="135"/>
  <c r="EJ120" i="135"/>
  <c r="EJ140" i="135"/>
  <c r="CY30" i="135"/>
  <c r="FT125" i="135"/>
  <c r="FT129" i="135"/>
  <c r="FT128" i="135"/>
  <c r="FT151" i="135"/>
  <c r="FT171" i="135"/>
  <c r="FT124" i="135"/>
  <c r="FT121" i="135"/>
  <c r="FT122" i="135"/>
  <c r="FT123" i="135"/>
  <c r="FT139" i="135"/>
  <c r="FT108" i="135"/>
  <c r="FT148" i="135"/>
  <c r="FT141" i="135"/>
  <c r="FT165" i="135"/>
  <c r="FT111" i="135"/>
  <c r="FT147" i="135"/>
  <c r="FT144" i="135"/>
  <c r="FT135" i="135"/>
  <c r="FT132" i="135"/>
  <c r="FT163" i="135"/>
  <c r="FT118" i="135"/>
  <c r="FT110" i="135"/>
  <c r="FT115" i="135"/>
  <c r="FT164" i="135"/>
  <c r="FT159" i="135"/>
  <c r="FT169" i="135"/>
  <c r="FT116" i="135"/>
  <c r="FT150" i="135"/>
  <c r="FT166" i="135"/>
  <c r="FT136" i="135"/>
  <c r="FT107" i="135"/>
  <c r="FT155" i="135"/>
  <c r="FT160" i="135"/>
  <c r="FT152" i="135"/>
  <c r="FT114" i="135"/>
  <c r="FT162" i="135"/>
  <c r="FT134" i="135"/>
  <c r="FT154" i="135"/>
  <c r="FT130" i="135"/>
  <c r="FT112" i="135"/>
  <c r="FT131" i="135"/>
  <c r="FT153" i="135"/>
  <c r="FT133" i="135"/>
  <c r="FT113" i="135"/>
  <c r="FT149" i="135"/>
  <c r="FT117" i="135"/>
  <c r="FT167" i="135"/>
  <c r="FT137" i="135"/>
  <c r="FT143" i="135"/>
  <c r="FT161" i="135"/>
  <c r="FT145" i="135"/>
  <c r="FT157" i="135"/>
  <c r="FT138" i="135"/>
  <c r="FT119" i="135"/>
  <c r="FT142" i="135"/>
  <c r="FT158" i="135"/>
  <c r="FT170" i="135"/>
  <c r="FT146" i="135"/>
  <c r="FT106" i="135"/>
  <c r="FT156" i="135"/>
  <c r="FT109" i="135"/>
  <c r="FT168" i="135"/>
  <c r="FT120" i="135"/>
  <c r="FT140" i="135"/>
  <c r="FS30" i="135"/>
  <c r="CY32" i="135"/>
  <c r="CY31" i="135"/>
  <c r="EI33" i="135"/>
  <c r="FS36" i="135"/>
  <c r="FS28" i="135"/>
  <c r="FS37" i="135"/>
  <c r="FS26" i="135"/>
  <c r="FS35" i="135"/>
  <c r="FS33" i="135"/>
  <c r="EI28" i="135"/>
  <c r="EI37" i="135"/>
  <c r="EI26" i="135"/>
  <c r="EI35" i="135"/>
  <c r="CY26" i="135"/>
  <c r="CY35" i="135"/>
  <c r="CY33" i="135"/>
  <c r="DK99" i="135"/>
  <c r="EU99" i="135"/>
  <c r="CH99" i="135"/>
  <c r="BY98" i="135"/>
  <c r="CA99" i="135"/>
  <c r="AN99" i="135"/>
  <c r="Q99" i="135" s="1"/>
  <c r="CB99" i="135"/>
  <c r="AN98" i="135"/>
  <c r="Q98" i="135" s="1"/>
  <c r="BI99" i="135"/>
  <c r="AW98" i="135"/>
  <c r="AQ98" i="135" s="1"/>
  <c r="EI27" i="135"/>
  <c r="FS27" i="135"/>
  <c r="CY23" i="135"/>
  <c r="CY22" i="135"/>
  <c r="FS24" i="135"/>
  <c r="CY27" i="135"/>
  <c r="FS23" i="135"/>
  <c r="FS22" i="135"/>
  <c r="EI23" i="135"/>
  <c r="EI22" i="135"/>
  <c r="BP98" i="135"/>
  <c r="EI24" i="135"/>
  <c r="CY28" i="135"/>
  <c r="CY24" i="135"/>
  <c r="BP99" i="135"/>
  <c r="CI99" i="135"/>
  <c r="CL99" i="135"/>
  <c r="BD99" i="135"/>
  <c r="CD99" i="135"/>
  <c r="CN99" i="135"/>
  <c r="AW99" i="135"/>
  <c r="CO99" i="135"/>
  <c r="CC99" i="135"/>
  <c r="CG99" i="135"/>
  <c r="CP99" i="135"/>
  <c r="CF99" i="135"/>
  <c r="CM99" i="135"/>
  <c r="CK99" i="135"/>
  <c r="CE99" i="135"/>
  <c r="FD99" i="135"/>
  <c r="CZ63" i="135"/>
  <c r="CZ61" i="135"/>
  <c r="CZ62" i="135"/>
  <c r="CZ60" i="135"/>
  <c r="CZ64" i="135"/>
  <c r="CZ65" i="135"/>
  <c r="CZ66" i="135"/>
  <c r="CZ67" i="135"/>
  <c r="CZ68" i="135"/>
  <c r="CZ73" i="135"/>
  <c r="CZ74" i="135"/>
  <c r="CZ75" i="135"/>
  <c r="CZ76" i="135"/>
  <c r="CZ77" i="135"/>
  <c r="CZ78" i="135"/>
  <c r="CZ79" i="135"/>
  <c r="CZ80" i="135"/>
  <c r="CZ81" i="135"/>
  <c r="CZ82" i="135"/>
  <c r="CZ83" i="135"/>
  <c r="CZ84" i="135"/>
  <c r="CZ85" i="135"/>
  <c r="CZ86" i="135"/>
  <c r="CZ87" i="135"/>
  <c r="CZ88" i="135"/>
  <c r="CZ89" i="135"/>
  <c r="CZ90" i="135"/>
  <c r="CZ91" i="135"/>
  <c r="CZ92" i="135"/>
  <c r="CZ93" i="135"/>
  <c r="CZ94" i="135"/>
  <c r="CZ95" i="135"/>
  <c r="CZ96" i="135"/>
  <c r="CZ97" i="135"/>
  <c r="CZ98" i="135"/>
  <c r="EJ63" i="135"/>
  <c r="EJ60" i="135"/>
  <c r="EJ62" i="135"/>
  <c r="EJ61" i="135"/>
  <c r="EJ64" i="135"/>
  <c r="EJ65" i="135"/>
  <c r="EJ66" i="135"/>
  <c r="EJ67" i="135"/>
  <c r="EJ68" i="135"/>
  <c r="EJ73" i="135"/>
  <c r="EJ74" i="135"/>
  <c r="EJ75" i="135"/>
  <c r="EJ76" i="135"/>
  <c r="EJ77" i="135"/>
  <c r="EJ78" i="135"/>
  <c r="EJ79" i="135"/>
  <c r="EJ80" i="135"/>
  <c r="EJ81" i="135"/>
  <c r="EJ82" i="135"/>
  <c r="EJ83" i="135"/>
  <c r="EJ84" i="135"/>
  <c r="EJ85" i="135"/>
  <c r="EJ86" i="135"/>
  <c r="EJ87" i="135"/>
  <c r="EJ88" i="135"/>
  <c r="EJ89" i="135"/>
  <c r="EJ90" i="135"/>
  <c r="EJ91" i="135"/>
  <c r="EJ92" i="135"/>
  <c r="EJ93" i="135"/>
  <c r="EJ94" i="135"/>
  <c r="EJ95" i="135"/>
  <c r="EJ96" i="135"/>
  <c r="EJ97" i="135"/>
  <c r="EJ98" i="135"/>
  <c r="CZ99" i="135"/>
  <c r="FT63" i="135"/>
  <c r="FT61" i="135"/>
  <c r="FT60" i="135"/>
  <c r="FT62" i="135"/>
  <c r="FT64" i="135"/>
  <c r="FT65" i="135"/>
  <c r="FT66" i="135"/>
  <c r="FT67" i="135"/>
  <c r="FT68" i="135"/>
  <c r="FT73" i="135"/>
  <c r="FT74" i="135"/>
  <c r="FT75" i="135"/>
  <c r="FT76" i="135"/>
  <c r="FT77" i="135"/>
  <c r="FT78" i="135"/>
  <c r="FT79" i="135"/>
  <c r="FT80" i="135"/>
  <c r="FT81" i="135"/>
  <c r="FT82" i="135"/>
  <c r="FT83" i="135"/>
  <c r="FT84" i="135"/>
  <c r="FT85" i="135"/>
  <c r="FT86" i="135"/>
  <c r="FT87" i="135"/>
  <c r="FT88" i="135"/>
  <c r="FT89" i="135"/>
  <c r="FT90" i="135"/>
  <c r="FT91" i="135"/>
  <c r="FT92" i="135"/>
  <c r="FT93" i="135"/>
  <c r="FT94" i="135"/>
  <c r="FT95" i="135"/>
  <c r="FT96" i="135"/>
  <c r="FT97" i="135"/>
  <c r="FT98" i="135"/>
  <c r="EJ99" i="135"/>
  <c r="FT99" i="135"/>
  <c r="FH99" i="135"/>
  <c r="DZ99" i="135"/>
  <c r="FI99" i="135"/>
  <c r="DQ99" i="135"/>
  <c r="DY99" i="135"/>
  <c r="FB99" i="135"/>
  <c r="DL99" i="135"/>
  <c r="EW99" i="135"/>
  <c r="FG99" i="135"/>
  <c r="EX99" i="135"/>
  <c r="EY99" i="135"/>
  <c r="AX99" i="135"/>
  <c r="DM99" i="135"/>
  <c r="DR99" i="135"/>
  <c r="FA99" i="135"/>
  <c r="DX99" i="135"/>
  <c r="FJ99" i="135"/>
  <c r="FC99" i="135"/>
  <c r="DN99" i="135"/>
  <c r="DT99" i="135"/>
  <c r="BQ99" i="135"/>
  <c r="DS99" i="135"/>
  <c r="FE99" i="135"/>
  <c r="EZ99" i="135"/>
  <c r="BN99" i="135"/>
  <c r="DW99" i="135"/>
  <c r="DV99" i="135"/>
  <c r="EV99" i="135"/>
  <c r="DO99" i="135"/>
  <c r="DU99" i="135"/>
  <c r="BH100" i="135"/>
  <c r="CZ100" i="135"/>
  <c r="FT100" i="135"/>
  <c r="FS100" i="135"/>
  <c r="EJ100" i="135"/>
  <c r="CR100" i="135"/>
  <c r="FR100" i="135"/>
  <c r="EI100" i="135"/>
  <c r="CV100" i="135"/>
  <c r="CY100" i="135"/>
  <c r="EE100" i="135"/>
  <c r="FK100" i="135"/>
  <c r="FL100" i="135"/>
  <c r="FM100" i="135"/>
  <c r="CS100" i="135"/>
  <c r="CT100" i="135"/>
  <c r="C102" i="135"/>
  <c r="T102" i="135" s="1"/>
  <c r="EJ51" i="135"/>
  <c r="EJ59" i="135"/>
  <c r="EJ56" i="135"/>
  <c r="EJ54" i="135"/>
  <c r="EJ55" i="135"/>
  <c r="EJ57" i="135"/>
  <c r="EJ52" i="135"/>
  <c r="EJ53" i="135"/>
  <c r="EJ58" i="135"/>
  <c r="EJ50" i="135"/>
  <c r="FT59" i="135"/>
  <c r="FT56" i="135"/>
  <c r="FT51" i="135"/>
  <c r="FT57" i="135"/>
  <c r="FT52" i="135"/>
  <c r="FT58" i="135"/>
  <c r="FT50" i="135"/>
  <c r="FT54" i="135"/>
  <c r="FT53" i="135"/>
  <c r="FT55" i="135"/>
  <c r="CZ59" i="135"/>
  <c r="CZ51" i="135"/>
  <c r="CZ56" i="135"/>
  <c r="CZ58" i="135"/>
  <c r="CZ54" i="135"/>
  <c r="CZ55" i="135"/>
  <c r="CZ52" i="135"/>
  <c r="CZ53" i="135"/>
  <c r="CZ50" i="135"/>
  <c r="CZ57" i="135"/>
  <c r="CZ49" i="135"/>
  <c r="FT49" i="135"/>
  <c r="EJ49" i="135"/>
  <c r="CY21" i="135"/>
  <c r="CY14" i="135"/>
  <c r="EI21" i="135"/>
  <c r="EI14" i="135"/>
  <c r="FS21" i="135"/>
  <c r="FS14" i="135"/>
  <c r="FU8" i="135"/>
  <c r="EK8" i="135"/>
  <c r="DA8" i="135"/>
  <c r="FT25" i="135" l="1"/>
  <c r="EJ25" i="135"/>
  <c r="BN100" i="135"/>
  <c r="AV171" i="135"/>
  <c r="BC171" i="135"/>
  <c r="AQ170" i="135"/>
  <c r="BH171" i="135"/>
  <c r="AC172" i="135"/>
  <c r="Y172" i="135"/>
  <c r="AI173" i="135"/>
  <c r="U173" i="135"/>
  <c r="AK173" i="135"/>
  <c r="EK173" i="135" s="1"/>
  <c r="V173" i="135"/>
  <c r="AL173" i="135"/>
  <c r="AH172" i="135"/>
  <c r="AG172" i="135"/>
  <c r="AI101" i="135"/>
  <c r="BX101" i="135" s="1"/>
  <c r="AD101" i="135"/>
  <c r="AB101" i="135"/>
  <c r="AC101" i="135"/>
  <c r="X172" i="135"/>
  <c r="CE172" i="135" s="1"/>
  <c r="AF172" i="135"/>
  <c r="AM172" i="135" s="1"/>
  <c r="AI172" i="135"/>
  <c r="AG101" i="135"/>
  <c r="Y101" i="135"/>
  <c r="AH101" i="135"/>
  <c r="Z101" i="135"/>
  <c r="AF102" i="135"/>
  <c r="AM102" i="135" s="1"/>
  <c r="V102" i="135"/>
  <c r="AL102" i="135"/>
  <c r="AK102" i="135"/>
  <c r="U102" i="135"/>
  <c r="Z172" i="135"/>
  <c r="AD172" i="135"/>
  <c r="AB172" i="135"/>
  <c r="X101" i="135"/>
  <c r="CG101" i="135" s="1"/>
  <c r="AF101" i="135"/>
  <c r="AM101" i="135" s="1"/>
  <c r="BP101" i="135" s="1"/>
  <c r="FP100" i="135"/>
  <c r="FN100" i="135"/>
  <c r="CX100" i="135"/>
  <c r="EB100" i="135"/>
  <c r="FO100" i="135"/>
  <c r="FQ100" i="135"/>
  <c r="EG100" i="135"/>
  <c r="EA100" i="135"/>
  <c r="CU100" i="135"/>
  <c r="CQ100" i="135"/>
  <c r="CW100" i="135"/>
  <c r="EF100" i="135"/>
  <c r="EH100" i="135"/>
  <c r="EC100" i="135"/>
  <c r="ED100" i="135"/>
  <c r="DU171" i="135"/>
  <c r="DP171" i="135"/>
  <c r="DY171" i="135"/>
  <c r="DV171" i="135"/>
  <c r="DW171" i="135"/>
  <c r="DX171" i="135"/>
  <c r="DO171" i="135"/>
  <c r="DL171" i="135"/>
  <c r="DZ171" i="135"/>
  <c r="FT172" i="135"/>
  <c r="EJ172" i="135"/>
  <c r="EV171" i="135"/>
  <c r="FH171" i="135"/>
  <c r="CL171" i="135"/>
  <c r="CE171" i="135"/>
  <c r="CB171" i="135"/>
  <c r="AM171" i="135"/>
  <c r="AW171" i="135" s="1"/>
  <c r="FB171" i="135"/>
  <c r="FT34" i="135"/>
  <c r="EJ34" i="135"/>
  <c r="EK268" i="135"/>
  <c r="EK267" i="135"/>
  <c r="EK266" i="135"/>
  <c r="EK258" i="135"/>
  <c r="EK249" i="135"/>
  <c r="EK245" i="135"/>
  <c r="EK243" i="135"/>
  <c r="EK241" i="135"/>
  <c r="EK239" i="135"/>
  <c r="EK237" i="135"/>
  <c r="EK248" i="135"/>
  <c r="EK236" i="135"/>
  <c r="EK240" i="135"/>
  <c r="EK234" i="135"/>
  <c r="EK230" i="135"/>
  <c r="EK244" i="135"/>
  <c r="EK229" i="135"/>
  <c r="EK223" i="135"/>
  <c r="EK224" i="135"/>
  <c r="EK238" i="135"/>
  <c r="EK233" i="135"/>
  <c r="EK219" i="135"/>
  <c r="EK214" i="135"/>
  <c r="EK218" i="135"/>
  <c r="EK227" i="135"/>
  <c r="EK242" i="135"/>
  <c r="EK222" i="135"/>
  <c r="EK246" i="135"/>
  <c r="EK226" i="135"/>
  <c r="EK215" i="135"/>
  <c r="EK232" i="135"/>
  <c r="EK235" i="135"/>
  <c r="EK250" i="135"/>
  <c r="EK252" i="135"/>
  <c r="EK256" i="135"/>
  <c r="EK216" i="135"/>
  <c r="EK228" i="135"/>
  <c r="EK220" i="135"/>
  <c r="EK231" i="135"/>
  <c r="EK257" i="135"/>
  <c r="EK247" i="135"/>
  <c r="EK253" i="135"/>
  <c r="EK225" i="135"/>
  <c r="EK217" i="135"/>
  <c r="EK251" i="135"/>
  <c r="EK255" i="135"/>
  <c r="EK259" i="135"/>
  <c r="EK221" i="135"/>
  <c r="EK254" i="135"/>
  <c r="EK263" i="135"/>
  <c r="EK271" i="135"/>
  <c r="EK273" i="135"/>
  <c r="EK275" i="135"/>
  <c r="EK272" i="135"/>
  <c r="EK270" i="135"/>
  <c r="EK274" i="135"/>
  <c r="EK261" i="135"/>
  <c r="EK264" i="135"/>
  <c r="EK265" i="135"/>
  <c r="EK260" i="135"/>
  <c r="EK262" i="135"/>
  <c r="EK269" i="135"/>
  <c r="FU253" i="135"/>
  <c r="FU236" i="135"/>
  <c r="FU228" i="135"/>
  <c r="FU227" i="135"/>
  <c r="FU222" i="135"/>
  <c r="FU225" i="135"/>
  <c r="FU217" i="135"/>
  <c r="FU238" i="135"/>
  <c r="FU230" i="135"/>
  <c r="FU251" i="135"/>
  <c r="FU257" i="135"/>
  <c r="FU215" i="135"/>
  <c r="FU223" i="135"/>
  <c r="FU240" i="135"/>
  <c r="FU242" i="135"/>
  <c r="FU229" i="135"/>
  <c r="FU233" i="135"/>
  <c r="FU237" i="135"/>
  <c r="FU241" i="135"/>
  <c r="FU246" i="135"/>
  <c r="FU248" i="135"/>
  <c r="FU226" i="135"/>
  <c r="FU219" i="135"/>
  <c r="FU221" i="135"/>
  <c r="FU224" i="135"/>
  <c r="FU232" i="135"/>
  <c r="FU235" i="135"/>
  <c r="FU250" i="135"/>
  <c r="FU256" i="135"/>
  <c r="FU255" i="135"/>
  <c r="FU239" i="135"/>
  <c r="FU245" i="135"/>
  <c r="FU218" i="135"/>
  <c r="FU214" i="135"/>
  <c r="FU216" i="135"/>
  <c r="FU243" i="135"/>
  <c r="FU254" i="135"/>
  <c r="FU258" i="135"/>
  <c r="FU260" i="135"/>
  <c r="FU262" i="135"/>
  <c r="FU220" i="135"/>
  <c r="FU231" i="135"/>
  <c r="FU244" i="135"/>
  <c r="FU234" i="135"/>
  <c r="FU247" i="135"/>
  <c r="FU249" i="135"/>
  <c r="FU261" i="135"/>
  <c r="FU270" i="135"/>
  <c r="FU272" i="135"/>
  <c r="FU273" i="135"/>
  <c r="FU269" i="135"/>
  <c r="FU266" i="135"/>
  <c r="FU268" i="135"/>
  <c r="FU267" i="135"/>
  <c r="FU271" i="135"/>
  <c r="FU275" i="135"/>
  <c r="FU252" i="135"/>
  <c r="FU259" i="135"/>
  <c r="FU274" i="135"/>
  <c r="FU264" i="135"/>
  <c r="FU265" i="135"/>
  <c r="FU263" i="135"/>
  <c r="CS171" i="135"/>
  <c r="CK171" i="135"/>
  <c r="CJ171" i="135"/>
  <c r="DA270" i="135"/>
  <c r="DA267" i="135"/>
  <c r="DA271" i="135"/>
  <c r="DA259" i="135"/>
  <c r="DA232" i="135"/>
  <c r="DA231" i="135"/>
  <c r="DA220" i="135"/>
  <c r="DA217" i="135"/>
  <c r="DA216" i="135"/>
  <c r="DA215" i="135"/>
  <c r="DA214" i="135"/>
  <c r="DA218" i="135"/>
  <c r="DA235" i="135"/>
  <c r="DA221" i="135"/>
  <c r="DA219" i="135"/>
  <c r="DA226" i="135"/>
  <c r="DA222" i="135"/>
  <c r="DA238" i="135"/>
  <c r="DA224" i="135"/>
  <c r="DA229" i="135"/>
  <c r="DA233" i="135"/>
  <c r="DA245" i="135"/>
  <c r="DA250" i="135"/>
  <c r="DA227" i="135"/>
  <c r="DA240" i="135"/>
  <c r="DA237" i="135"/>
  <c r="DA241" i="135"/>
  <c r="DA247" i="135"/>
  <c r="DA249" i="135"/>
  <c r="DA225" i="135"/>
  <c r="DA234" i="135"/>
  <c r="DA251" i="135"/>
  <c r="DA256" i="135"/>
  <c r="DA223" i="135"/>
  <c r="DA242" i="135"/>
  <c r="DA244" i="135"/>
  <c r="DA257" i="135"/>
  <c r="DA230" i="135"/>
  <c r="DA246" i="135"/>
  <c r="DA248" i="135"/>
  <c r="DA252" i="135"/>
  <c r="DA260" i="135"/>
  <c r="DA265" i="135"/>
  <c r="DA228" i="135"/>
  <c r="DA236" i="135"/>
  <c r="DA243" i="135"/>
  <c r="DA239" i="135"/>
  <c r="DA262" i="135"/>
  <c r="DA269" i="135"/>
  <c r="DA268" i="135"/>
  <c r="DA275" i="135"/>
  <c r="DA266" i="135"/>
  <c r="DA274" i="135"/>
  <c r="DA254" i="135"/>
  <c r="DA261" i="135"/>
  <c r="DA272" i="135"/>
  <c r="DA273" i="135"/>
  <c r="DA263" i="135"/>
  <c r="DA253" i="135"/>
  <c r="DA255" i="135"/>
  <c r="DA258" i="135"/>
  <c r="DA264" i="135"/>
  <c r="CM171" i="135"/>
  <c r="CT171" i="135"/>
  <c r="FA171" i="135"/>
  <c r="FG171" i="135"/>
  <c r="FK171" i="135"/>
  <c r="FF171" i="135"/>
  <c r="EX171" i="135"/>
  <c r="FJ171" i="135"/>
  <c r="FM171" i="135"/>
  <c r="FE171" i="135"/>
  <c r="DQ171" i="135"/>
  <c r="CP171" i="135"/>
  <c r="CN171" i="135"/>
  <c r="CG171" i="135"/>
  <c r="CF171" i="135"/>
  <c r="CD171" i="135"/>
  <c r="CI171" i="135"/>
  <c r="CH171" i="135"/>
  <c r="CQ171" i="135"/>
  <c r="CO171" i="135"/>
  <c r="EH172" i="135"/>
  <c r="FR172" i="135"/>
  <c r="CX172" i="135"/>
  <c r="CA172" i="135"/>
  <c r="CU172" i="135"/>
  <c r="EF172" i="135"/>
  <c r="CY172" i="135"/>
  <c r="DK172" i="135"/>
  <c r="FO172" i="135"/>
  <c r="EG172" i="135"/>
  <c r="EI172" i="135"/>
  <c r="FS172" i="135"/>
  <c r="EU172" i="135"/>
  <c r="FP172" i="135"/>
  <c r="FQ172" i="135"/>
  <c r="EE172" i="135"/>
  <c r="CV172" i="135"/>
  <c r="CW172" i="135"/>
  <c r="BI171" i="135"/>
  <c r="AX171" i="135"/>
  <c r="BQ171" i="135"/>
  <c r="C174" i="135"/>
  <c r="T174" i="135" s="1"/>
  <c r="FM172" i="135"/>
  <c r="EB172" i="135"/>
  <c r="EW171" i="135"/>
  <c r="FC171" i="135"/>
  <c r="EZ171" i="135"/>
  <c r="FD171" i="135"/>
  <c r="EY171" i="135"/>
  <c r="DM171" i="135"/>
  <c r="DS171" i="135"/>
  <c r="DR171" i="135"/>
  <c r="DN171" i="135"/>
  <c r="AU171" i="135"/>
  <c r="BN171" i="135"/>
  <c r="DW100" i="135"/>
  <c r="EJ15" i="135"/>
  <c r="FT15" i="135"/>
  <c r="CZ15" i="135"/>
  <c r="DA127" i="135"/>
  <c r="DA126" i="135"/>
  <c r="CZ34" i="135"/>
  <c r="EK126" i="135"/>
  <c r="EK127" i="135"/>
  <c r="FU127" i="135"/>
  <c r="FU126" i="135"/>
  <c r="DA70" i="135"/>
  <c r="DA69" i="135"/>
  <c r="DA72" i="135"/>
  <c r="DA71" i="135"/>
  <c r="EK72" i="135"/>
  <c r="EK70" i="135"/>
  <c r="EK69" i="135"/>
  <c r="EK71" i="135"/>
  <c r="FU71" i="135"/>
  <c r="FU69" i="135"/>
  <c r="FU70" i="135"/>
  <c r="FU72" i="135"/>
  <c r="CZ25" i="135"/>
  <c r="FT33" i="135"/>
  <c r="CZ37" i="135"/>
  <c r="EJ36" i="135"/>
  <c r="FT32" i="135"/>
  <c r="FT36" i="135"/>
  <c r="EJ28" i="135"/>
  <c r="EJ37" i="135"/>
  <c r="EJ26" i="135"/>
  <c r="EJ35" i="135"/>
  <c r="EJ33" i="135"/>
  <c r="EK100" i="135"/>
  <c r="EK128" i="135"/>
  <c r="EK151" i="135"/>
  <c r="EK122" i="135"/>
  <c r="EK121" i="135"/>
  <c r="EK124" i="135"/>
  <c r="EK125" i="135"/>
  <c r="EK129" i="135"/>
  <c r="EK123" i="135"/>
  <c r="EK171" i="135"/>
  <c r="EK141" i="135"/>
  <c r="EK108" i="135"/>
  <c r="EK148" i="135"/>
  <c r="EK165" i="135"/>
  <c r="EK144" i="135"/>
  <c r="EK116" i="135"/>
  <c r="EK135" i="135"/>
  <c r="EK139" i="135"/>
  <c r="EK147" i="135"/>
  <c r="EK163" i="135"/>
  <c r="EK132" i="135"/>
  <c r="EK118" i="135"/>
  <c r="EK110" i="135"/>
  <c r="EK150" i="135"/>
  <c r="EK115" i="135"/>
  <c r="EK111" i="135"/>
  <c r="EK164" i="135"/>
  <c r="EK159" i="135"/>
  <c r="EK169" i="135"/>
  <c r="EK136" i="135"/>
  <c r="EK160" i="135"/>
  <c r="EK162" i="135"/>
  <c r="EK134" i="135"/>
  <c r="EK154" i="135"/>
  <c r="EK131" i="135"/>
  <c r="EK130" i="135"/>
  <c r="EK153" i="135"/>
  <c r="EK114" i="135"/>
  <c r="EK166" i="135"/>
  <c r="EK107" i="135"/>
  <c r="EK112" i="135"/>
  <c r="EK152" i="135"/>
  <c r="EK155" i="135"/>
  <c r="EK137" i="135"/>
  <c r="EK161" i="135"/>
  <c r="EK143" i="135"/>
  <c r="EK117" i="135"/>
  <c r="EK138" i="135"/>
  <c r="EK113" i="135"/>
  <c r="EK157" i="135"/>
  <c r="EK149" i="135"/>
  <c r="EK133" i="135"/>
  <c r="EK119" i="135"/>
  <c r="EK145" i="135"/>
  <c r="EK167" i="135"/>
  <c r="EK156" i="135"/>
  <c r="EK170" i="135"/>
  <c r="EK168" i="135"/>
  <c r="EK106" i="135"/>
  <c r="EK109" i="135"/>
  <c r="EK142" i="135"/>
  <c r="EK146" i="135"/>
  <c r="EK158" i="135"/>
  <c r="EK120" i="135"/>
  <c r="EK172" i="135"/>
  <c r="EK140" i="135"/>
  <c r="EJ30" i="135"/>
  <c r="FT31" i="135"/>
  <c r="FU100" i="135"/>
  <c r="FU124" i="135"/>
  <c r="FU128" i="135"/>
  <c r="FU171" i="135"/>
  <c r="FU121" i="135"/>
  <c r="FU123" i="135"/>
  <c r="FU125" i="135"/>
  <c r="FU151" i="135"/>
  <c r="FU122" i="135"/>
  <c r="FU129" i="135"/>
  <c r="FU141" i="135"/>
  <c r="FU165" i="135"/>
  <c r="FU139" i="135"/>
  <c r="FU148" i="135"/>
  <c r="FU147" i="135"/>
  <c r="FU116" i="135"/>
  <c r="FU108" i="135"/>
  <c r="FU111" i="135"/>
  <c r="FU144" i="135"/>
  <c r="FU159" i="135"/>
  <c r="FU150" i="135"/>
  <c r="FU115" i="135"/>
  <c r="FU164" i="135"/>
  <c r="FU132" i="135"/>
  <c r="FU118" i="135"/>
  <c r="FU163" i="135"/>
  <c r="FU169" i="135"/>
  <c r="FU135" i="135"/>
  <c r="FU136" i="135"/>
  <c r="FU160" i="135"/>
  <c r="FU134" i="135"/>
  <c r="FU131" i="135"/>
  <c r="FU155" i="135"/>
  <c r="FU138" i="135"/>
  <c r="FU154" i="135"/>
  <c r="FU152" i="135"/>
  <c r="FU110" i="135"/>
  <c r="FU162" i="135"/>
  <c r="FU130" i="135"/>
  <c r="FU153" i="135"/>
  <c r="FU113" i="135"/>
  <c r="FU107" i="135"/>
  <c r="FU112" i="135"/>
  <c r="FU114" i="135"/>
  <c r="FU166" i="135"/>
  <c r="FU161" i="135"/>
  <c r="FU119" i="135"/>
  <c r="FU145" i="135"/>
  <c r="FU149" i="135"/>
  <c r="FU143" i="135"/>
  <c r="FU157" i="135"/>
  <c r="FU117" i="135"/>
  <c r="FU137" i="135"/>
  <c r="FU133" i="135"/>
  <c r="FU167" i="135"/>
  <c r="FU168" i="135"/>
  <c r="FU109" i="135"/>
  <c r="FU142" i="135"/>
  <c r="FU158" i="135"/>
  <c r="FU146" i="135"/>
  <c r="FU106" i="135"/>
  <c r="FU170" i="135"/>
  <c r="FU156" i="135"/>
  <c r="FU120" i="135"/>
  <c r="FU140" i="135"/>
  <c r="FU172" i="135"/>
  <c r="FT30" i="135"/>
  <c r="CZ32" i="135"/>
  <c r="CZ31" i="135"/>
  <c r="EJ32" i="135"/>
  <c r="FT28" i="135"/>
  <c r="FT37" i="135"/>
  <c r="FT26" i="135"/>
  <c r="FT35" i="135"/>
  <c r="CZ36" i="135"/>
  <c r="CZ30" i="135"/>
  <c r="EJ31" i="135"/>
  <c r="CZ26" i="135"/>
  <c r="CZ35" i="135"/>
  <c r="CZ33" i="135"/>
  <c r="DA124" i="135"/>
  <c r="DA171" i="135"/>
  <c r="DA128" i="135"/>
  <c r="DA122" i="135"/>
  <c r="DA121" i="135"/>
  <c r="DA125" i="135"/>
  <c r="DA151" i="135"/>
  <c r="DA129" i="135"/>
  <c r="DA123" i="135"/>
  <c r="DA108" i="135"/>
  <c r="DA147" i="135"/>
  <c r="DA144" i="135"/>
  <c r="DA163" i="135"/>
  <c r="DA116" i="135"/>
  <c r="DA132" i="135"/>
  <c r="DA139" i="135"/>
  <c r="DA141" i="135"/>
  <c r="DA111" i="135"/>
  <c r="DA148" i="135"/>
  <c r="DA165" i="135"/>
  <c r="DA135" i="135"/>
  <c r="DA115" i="135"/>
  <c r="DA164" i="135"/>
  <c r="DA118" i="135"/>
  <c r="DA159" i="135"/>
  <c r="DA169" i="135"/>
  <c r="DA150" i="135"/>
  <c r="DA160" i="135"/>
  <c r="DA162" i="135"/>
  <c r="DA107" i="135"/>
  <c r="DA154" i="135"/>
  <c r="DA130" i="135"/>
  <c r="DA155" i="135"/>
  <c r="DA153" i="135"/>
  <c r="DA110" i="135"/>
  <c r="DA136" i="135"/>
  <c r="DA112" i="135"/>
  <c r="DA152" i="135"/>
  <c r="DA134" i="135"/>
  <c r="DA131" i="135"/>
  <c r="DA166" i="135"/>
  <c r="DA113" i="135"/>
  <c r="DA137" i="135"/>
  <c r="DA119" i="135"/>
  <c r="DA145" i="135"/>
  <c r="DA161" i="135"/>
  <c r="DA114" i="135"/>
  <c r="DA138" i="135"/>
  <c r="DA143" i="135"/>
  <c r="DA149" i="135"/>
  <c r="DA117" i="135"/>
  <c r="DA133" i="135"/>
  <c r="DA157" i="135"/>
  <c r="DA167" i="135"/>
  <c r="DA168" i="135"/>
  <c r="DA146" i="135"/>
  <c r="DA106" i="135"/>
  <c r="DA156" i="135"/>
  <c r="DA109" i="135"/>
  <c r="DA158" i="135"/>
  <c r="DA170" i="135"/>
  <c r="DA142" i="135"/>
  <c r="DA120" i="135"/>
  <c r="DA140" i="135"/>
  <c r="DA172" i="135"/>
  <c r="EU100" i="135"/>
  <c r="DK100" i="135"/>
  <c r="CA100" i="135"/>
  <c r="AQ99" i="135"/>
  <c r="FT23" i="135"/>
  <c r="FT22" i="135"/>
  <c r="DT100" i="135"/>
  <c r="FT24" i="135"/>
  <c r="EJ24" i="135"/>
  <c r="CZ27" i="135"/>
  <c r="CZ23" i="135"/>
  <c r="CZ22" i="135"/>
  <c r="CZ28" i="135"/>
  <c r="CZ24" i="135"/>
  <c r="EJ23" i="135"/>
  <c r="BX100" i="135"/>
  <c r="FT27" i="135"/>
  <c r="EJ22" i="135"/>
  <c r="EJ27" i="135"/>
  <c r="DP100" i="135"/>
  <c r="AX100" i="135"/>
  <c r="CL100" i="135"/>
  <c r="DV100" i="135"/>
  <c r="DQ100" i="135"/>
  <c r="DZ100" i="135"/>
  <c r="DO100" i="135"/>
  <c r="DN100" i="135"/>
  <c r="DS100" i="135"/>
  <c r="DA63" i="135"/>
  <c r="DA61" i="135"/>
  <c r="DA60" i="135"/>
  <c r="DA62" i="135"/>
  <c r="DA64" i="135"/>
  <c r="DA65" i="135"/>
  <c r="DA66" i="135"/>
  <c r="DA67" i="135"/>
  <c r="DA68" i="135"/>
  <c r="DA73" i="135"/>
  <c r="DA74" i="135"/>
  <c r="DA75" i="135"/>
  <c r="DA76" i="135"/>
  <c r="DA77" i="135"/>
  <c r="DA78" i="135"/>
  <c r="DA79" i="135"/>
  <c r="DA80" i="135"/>
  <c r="DA81" i="135"/>
  <c r="DA82" i="135"/>
  <c r="DA83" i="135"/>
  <c r="DA84" i="135"/>
  <c r="DA85" i="135"/>
  <c r="DA86" i="135"/>
  <c r="DA87" i="135"/>
  <c r="DA88" i="135"/>
  <c r="DA89" i="135"/>
  <c r="DA90" i="135"/>
  <c r="DA91" i="135"/>
  <c r="DA92" i="135"/>
  <c r="DA93" i="135"/>
  <c r="DA94" i="135"/>
  <c r="DA95" i="135"/>
  <c r="DA96" i="135"/>
  <c r="DA97" i="135"/>
  <c r="DA98" i="135"/>
  <c r="DA99" i="135"/>
  <c r="EK63" i="135"/>
  <c r="EK61" i="135"/>
  <c r="EK60" i="135"/>
  <c r="EK62" i="135"/>
  <c r="EK64" i="135"/>
  <c r="EK65" i="135"/>
  <c r="EK66" i="135"/>
  <c r="EK67" i="135"/>
  <c r="EK68" i="135"/>
  <c r="EK73" i="135"/>
  <c r="EK74" i="135"/>
  <c r="EK75" i="135"/>
  <c r="EK76" i="135"/>
  <c r="EK77" i="135"/>
  <c r="EK78" i="135"/>
  <c r="EK79" i="135"/>
  <c r="EK80" i="135"/>
  <c r="EK81" i="135"/>
  <c r="EK82" i="135"/>
  <c r="EK83" i="135"/>
  <c r="EK84" i="135"/>
  <c r="EK85" i="135"/>
  <c r="EK86" i="135"/>
  <c r="EK87" i="135"/>
  <c r="EK88" i="135"/>
  <c r="EK89" i="135"/>
  <c r="EK90" i="135"/>
  <c r="EK91" i="135"/>
  <c r="EK92" i="135"/>
  <c r="EK93" i="135"/>
  <c r="EK94" i="135"/>
  <c r="EK95" i="135"/>
  <c r="EK96" i="135"/>
  <c r="EK97" i="135"/>
  <c r="EK98" i="135"/>
  <c r="EK99" i="135"/>
  <c r="BC100" i="135"/>
  <c r="FU63" i="135"/>
  <c r="FU60" i="135"/>
  <c r="FU61" i="135"/>
  <c r="FU62" i="135"/>
  <c r="FU64" i="135"/>
  <c r="FU65" i="135"/>
  <c r="FU66" i="135"/>
  <c r="FU67" i="135"/>
  <c r="FU68" i="135"/>
  <c r="FU73" i="135"/>
  <c r="FU74" i="135"/>
  <c r="FU75" i="135"/>
  <c r="FU76" i="135"/>
  <c r="FU77" i="135"/>
  <c r="FU78" i="135"/>
  <c r="FU79" i="135"/>
  <c r="FU80" i="135"/>
  <c r="FU81" i="135"/>
  <c r="FU82" i="135"/>
  <c r="FU83" i="135"/>
  <c r="FU84" i="135"/>
  <c r="FU85" i="135"/>
  <c r="FU86" i="135"/>
  <c r="FU87" i="135"/>
  <c r="FU88" i="135"/>
  <c r="FU89" i="135"/>
  <c r="FU90" i="135"/>
  <c r="FU91" i="135"/>
  <c r="FU92" i="135"/>
  <c r="FU93" i="135"/>
  <c r="FU94" i="135"/>
  <c r="FU95" i="135"/>
  <c r="FU96" i="135"/>
  <c r="FU97" i="135"/>
  <c r="FU98" i="135"/>
  <c r="FU99" i="135"/>
  <c r="DA100" i="135"/>
  <c r="AM100" i="135"/>
  <c r="AN100" i="135" s="1"/>
  <c r="Q100" i="135" s="1"/>
  <c r="CO100" i="135"/>
  <c r="CB100" i="135"/>
  <c r="BI100" i="135"/>
  <c r="DL100" i="135"/>
  <c r="DU100" i="135"/>
  <c r="CF100" i="135"/>
  <c r="FI100" i="135"/>
  <c r="BQ100" i="135"/>
  <c r="FH100" i="135"/>
  <c r="EY100" i="135"/>
  <c r="FC100" i="135"/>
  <c r="EW100" i="135"/>
  <c r="CM100" i="135"/>
  <c r="CG100" i="135"/>
  <c r="CH100" i="135"/>
  <c r="CD100" i="135"/>
  <c r="CE100" i="135"/>
  <c r="EX100" i="135"/>
  <c r="CJ100" i="135"/>
  <c r="CK100" i="135"/>
  <c r="CP100" i="135"/>
  <c r="CC100" i="135"/>
  <c r="CN100" i="135"/>
  <c r="FF100" i="135"/>
  <c r="FJ100" i="135"/>
  <c r="DX100" i="135"/>
  <c r="DM100" i="135"/>
  <c r="DY100" i="135"/>
  <c r="FA100" i="135"/>
  <c r="FD100" i="135"/>
  <c r="FE100" i="135"/>
  <c r="FG100" i="135"/>
  <c r="EZ100" i="135"/>
  <c r="AV100" i="135"/>
  <c r="FB100" i="135"/>
  <c r="FE101" i="135"/>
  <c r="DX101" i="135"/>
  <c r="EG101" i="135"/>
  <c r="CU101" i="135"/>
  <c r="FL101" i="135"/>
  <c r="EC101" i="135"/>
  <c r="ED101" i="135"/>
  <c r="EK101" i="135"/>
  <c r="EE101" i="135"/>
  <c r="EJ101" i="135"/>
  <c r="CQ101" i="135"/>
  <c r="CX101" i="135"/>
  <c r="EA101" i="135"/>
  <c r="FT101" i="135"/>
  <c r="CW101" i="135"/>
  <c r="EI101" i="135"/>
  <c r="EH101" i="135"/>
  <c r="CY101" i="135"/>
  <c r="EB101" i="135"/>
  <c r="CT101" i="135"/>
  <c r="FN101" i="135"/>
  <c r="EF101" i="135"/>
  <c r="CS101" i="135"/>
  <c r="C103" i="135"/>
  <c r="T103" i="135" s="1"/>
  <c r="AU101" i="135"/>
  <c r="BN101" i="135"/>
  <c r="DA56" i="135"/>
  <c r="DA51" i="135"/>
  <c r="DA59" i="135"/>
  <c r="DA53" i="135"/>
  <c r="DA55" i="135"/>
  <c r="DA52" i="135"/>
  <c r="DA57" i="135"/>
  <c r="DA58" i="135"/>
  <c r="DA54" i="135"/>
  <c r="DA50" i="135"/>
  <c r="EK51" i="135"/>
  <c r="EK59" i="135"/>
  <c r="EK56" i="135"/>
  <c r="EK58" i="135"/>
  <c r="EK52" i="135"/>
  <c r="EK57" i="135"/>
  <c r="EK54" i="135"/>
  <c r="EK53" i="135"/>
  <c r="EK50" i="135"/>
  <c r="EK55" i="135"/>
  <c r="FU51" i="135"/>
  <c r="FU56" i="135"/>
  <c r="FU59" i="135"/>
  <c r="FU50" i="135"/>
  <c r="FU58" i="135"/>
  <c r="FU53" i="135"/>
  <c r="FU52" i="135"/>
  <c r="FU57" i="135"/>
  <c r="FU54" i="135"/>
  <c r="FU55" i="135"/>
  <c r="DA49" i="135"/>
  <c r="EK49" i="135"/>
  <c r="FU49" i="135"/>
  <c r="EJ21" i="135"/>
  <c r="EJ14" i="135"/>
  <c r="CZ14" i="135"/>
  <c r="CZ21" i="135"/>
  <c r="FT21" i="135"/>
  <c r="FT14" i="135"/>
  <c r="FV8" i="135"/>
  <c r="EL8" i="135"/>
  <c r="DB8" i="135"/>
  <c r="EK25" i="135" l="1"/>
  <c r="FU25" i="135"/>
  <c r="AH173" i="135"/>
  <c r="AJ173" i="135"/>
  <c r="AF173" i="135"/>
  <c r="AM173" i="135" s="1"/>
  <c r="AC102" i="135"/>
  <c r="Y102" i="135"/>
  <c r="DM102" i="135" s="1"/>
  <c r="AJ102" i="135"/>
  <c r="AU102" i="135" s="1"/>
  <c r="AD102" i="135"/>
  <c r="Y173" i="135"/>
  <c r="DR173" i="135" s="1"/>
  <c r="Z173" i="135"/>
  <c r="EX173" i="135" s="1"/>
  <c r="X102" i="135"/>
  <c r="Z102" i="135"/>
  <c r="FA102" i="135" s="1"/>
  <c r="AB102" i="135"/>
  <c r="AI102" i="135"/>
  <c r="BC102" i="135" s="1"/>
  <c r="AG173" i="135"/>
  <c r="X173" i="135"/>
  <c r="AC173" i="135"/>
  <c r="AL174" i="135"/>
  <c r="U174" i="135"/>
  <c r="AK174" i="135"/>
  <c r="ED174" i="135" s="1"/>
  <c r="V174" i="135"/>
  <c r="AF174" i="135"/>
  <c r="AB173" i="135"/>
  <c r="AL103" i="135"/>
  <c r="AI103" i="135"/>
  <c r="AK103" i="135"/>
  <c r="V103" i="135"/>
  <c r="U103" i="135"/>
  <c r="AH102" i="135"/>
  <c r="AG102" i="135"/>
  <c r="AD173" i="135"/>
  <c r="FU101" i="135"/>
  <c r="DA101" i="135"/>
  <c r="FS101" i="135"/>
  <c r="FR101" i="135"/>
  <c r="FP101" i="135"/>
  <c r="CV101" i="135"/>
  <c r="FQ101" i="135"/>
  <c r="FM101" i="135"/>
  <c r="CR101" i="135"/>
  <c r="FO101" i="135"/>
  <c r="FK101" i="135"/>
  <c r="CZ101" i="135"/>
  <c r="BY171" i="135"/>
  <c r="BP171" i="135"/>
  <c r="AN171" i="135"/>
  <c r="Q171" i="135" s="1"/>
  <c r="BD171" i="135"/>
  <c r="DA173" i="135"/>
  <c r="FU173" i="135"/>
  <c r="EV172" i="135"/>
  <c r="DL172" i="135"/>
  <c r="EK34" i="135"/>
  <c r="CB172" i="135"/>
  <c r="DB272" i="135"/>
  <c r="DB268" i="135"/>
  <c r="DB266" i="135"/>
  <c r="DB267" i="135"/>
  <c r="DB261" i="135"/>
  <c r="DB264" i="135"/>
  <c r="DB260" i="135"/>
  <c r="DB262" i="135"/>
  <c r="DB255" i="135"/>
  <c r="DB263" i="135"/>
  <c r="DB251" i="135"/>
  <c r="DB250" i="135"/>
  <c r="DB247" i="135"/>
  <c r="DB246" i="135"/>
  <c r="DB258" i="135"/>
  <c r="DB256" i="135"/>
  <c r="DB222" i="135"/>
  <c r="DB227" i="135"/>
  <c r="DB221" i="135"/>
  <c r="DB220" i="135"/>
  <c r="DB215" i="135"/>
  <c r="DB223" i="135"/>
  <c r="DB231" i="135"/>
  <c r="DB240" i="135"/>
  <c r="DB234" i="135"/>
  <c r="DB237" i="135"/>
  <c r="DB241" i="135"/>
  <c r="DB248" i="135"/>
  <c r="DB216" i="135"/>
  <c r="DB228" i="135"/>
  <c r="DB224" i="135"/>
  <c r="DB230" i="135"/>
  <c r="DB253" i="135"/>
  <c r="DB217" i="135"/>
  <c r="DB219" i="135"/>
  <c r="DB225" i="135"/>
  <c r="DB226" i="135"/>
  <c r="DB236" i="135"/>
  <c r="DB242" i="135"/>
  <c r="DB244" i="135"/>
  <c r="DB229" i="135"/>
  <c r="DB233" i="135"/>
  <c r="DB239" i="135"/>
  <c r="DB243" i="135"/>
  <c r="DB245" i="135"/>
  <c r="DB249" i="135"/>
  <c r="DB214" i="135"/>
  <c r="DB218" i="135"/>
  <c r="DB238" i="135"/>
  <c r="DB232" i="135"/>
  <c r="DB257" i="135"/>
  <c r="DB235" i="135"/>
  <c r="DB275" i="135"/>
  <c r="DB269" i="135"/>
  <c r="DB270" i="135"/>
  <c r="DB274" i="135"/>
  <c r="DB271" i="135"/>
  <c r="DB252" i="135"/>
  <c r="DB273" i="135"/>
  <c r="DB254" i="135"/>
  <c r="DB265" i="135"/>
  <c r="DB259" i="135"/>
  <c r="EL271" i="135"/>
  <c r="EL270" i="135"/>
  <c r="EL269" i="135"/>
  <c r="EL234" i="135"/>
  <c r="EL230" i="135"/>
  <c r="EL233" i="135"/>
  <c r="EL232" i="135"/>
  <c r="EL229" i="135"/>
  <c r="EL221" i="135"/>
  <c r="EL220" i="135"/>
  <c r="EL218" i="135"/>
  <c r="EL216" i="135"/>
  <c r="EL217" i="135"/>
  <c r="EL215" i="135"/>
  <c r="EL214" i="135"/>
  <c r="EL227" i="135"/>
  <c r="EL235" i="135"/>
  <c r="EL240" i="135"/>
  <c r="EL237" i="135"/>
  <c r="EL241" i="135"/>
  <c r="EL247" i="135"/>
  <c r="EL225" i="135"/>
  <c r="EL231" i="135"/>
  <c r="EL245" i="135"/>
  <c r="EL251" i="135"/>
  <c r="EL256" i="135"/>
  <c r="EL252" i="135"/>
  <c r="EL228" i="135"/>
  <c r="EL223" i="135"/>
  <c r="EL236" i="135"/>
  <c r="EL242" i="135"/>
  <c r="EL244" i="135"/>
  <c r="EL257" i="135"/>
  <c r="EL239" i="135"/>
  <c r="EL243" i="135"/>
  <c r="EL246" i="135"/>
  <c r="EL248" i="135"/>
  <c r="EL259" i="135"/>
  <c r="EL219" i="135"/>
  <c r="EL226" i="135"/>
  <c r="EL222" i="135"/>
  <c r="EL238" i="135"/>
  <c r="EL253" i="135"/>
  <c r="EL254" i="135"/>
  <c r="EL224" i="135"/>
  <c r="EL263" i="135"/>
  <c r="EL266" i="135"/>
  <c r="EL275" i="135"/>
  <c r="EL274" i="135"/>
  <c r="EL272" i="135"/>
  <c r="EL267" i="135"/>
  <c r="EL262" i="135"/>
  <c r="EL268" i="135"/>
  <c r="EL273" i="135"/>
  <c r="EL250" i="135"/>
  <c r="EL249" i="135"/>
  <c r="EL255" i="135"/>
  <c r="EL258" i="135"/>
  <c r="EL260" i="135"/>
  <c r="EL265" i="135"/>
  <c r="EL261" i="135"/>
  <c r="EL264" i="135"/>
  <c r="FV267" i="135"/>
  <c r="FV268" i="135"/>
  <c r="FV266" i="135"/>
  <c r="FV258" i="135"/>
  <c r="FV249" i="135"/>
  <c r="FV243" i="135"/>
  <c r="FV237" i="135"/>
  <c r="FV235" i="135"/>
  <c r="FV231" i="135"/>
  <c r="FV250" i="135"/>
  <c r="FV234" i="135"/>
  <c r="FV230" i="135"/>
  <c r="FV241" i="135"/>
  <c r="FV225" i="135"/>
  <c r="FV224" i="135"/>
  <c r="FV246" i="135"/>
  <c r="FV239" i="135"/>
  <c r="FV217" i="135"/>
  <c r="FV221" i="135"/>
  <c r="FV240" i="135"/>
  <c r="FV229" i="135"/>
  <c r="FV252" i="135"/>
  <c r="FV226" i="135"/>
  <c r="FV214" i="135"/>
  <c r="FV218" i="135"/>
  <c r="FV228" i="135"/>
  <c r="FV232" i="135"/>
  <c r="FV257" i="135"/>
  <c r="FV244" i="135"/>
  <c r="FV253" i="135"/>
  <c r="FV215" i="135"/>
  <c r="FV222" i="135"/>
  <c r="FV236" i="135"/>
  <c r="FV242" i="135"/>
  <c r="FV247" i="135"/>
  <c r="FV254" i="135"/>
  <c r="FV255" i="135"/>
  <c r="FV227" i="135"/>
  <c r="FV223" i="135"/>
  <c r="FV245" i="135"/>
  <c r="FV238" i="135"/>
  <c r="FV220" i="135"/>
  <c r="FV251" i="135"/>
  <c r="FV256" i="135"/>
  <c r="FV248" i="135"/>
  <c r="FV262" i="135"/>
  <c r="FV264" i="135"/>
  <c r="FV219" i="135"/>
  <c r="FV216" i="135"/>
  <c r="FV233" i="135"/>
  <c r="FV259" i="135"/>
  <c r="FV270" i="135"/>
  <c r="FV269" i="135"/>
  <c r="FV274" i="135"/>
  <c r="FV260" i="135"/>
  <c r="FV263" i="135"/>
  <c r="FV265" i="135"/>
  <c r="FV273" i="135"/>
  <c r="FV271" i="135"/>
  <c r="FV272" i="135"/>
  <c r="FV261" i="135"/>
  <c r="FV275" i="135"/>
  <c r="FL172" i="135"/>
  <c r="FN172" i="135"/>
  <c r="ED172" i="135"/>
  <c r="CR172" i="135"/>
  <c r="CS172" i="135"/>
  <c r="EC172" i="135"/>
  <c r="AQ171" i="135"/>
  <c r="CT172" i="135"/>
  <c r="FF172" i="135"/>
  <c r="CY173" i="135"/>
  <c r="FS173" i="135"/>
  <c r="EI173" i="135"/>
  <c r="CA173" i="135"/>
  <c r="CU173" i="135"/>
  <c r="FQ173" i="135"/>
  <c r="EH173" i="135"/>
  <c r="DK173" i="135"/>
  <c r="EF173" i="135"/>
  <c r="EG173" i="135"/>
  <c r="FR173" i="135"/>
  <c r="FT173" i="135"/>
  <c r="EU173" i="135"/>
  <c r="EE173" i="135"/>
  <c r="CV173" i="135"/>
  <c r="CW173" i="135"/>
  <c r="CZ173" i="135"/>
  <c r="EJ173" i="135"/>
  <c r="FO173" i="135"/>
  <c r="FP173" i="135"/>
  <c r="CX173" i="135"/>
  <c r="EY172" i="135"/>
  <c r="FC172" i="135"/>
  <c r="FH172" i="135"/>
  <c r="FA172" i="135"/>
  <c r="EZ172" i="135"/>
  <c r="EX172" i="135"/>
  <c r="FE172" i="135"/>
  <c r="FG172" i="135"/>
  <c r="FD172" i="135"/>
  <c r="FB172" i="135"/>
  <c r="BH172" i="135"/>
  <c r="BC172" i="135"/>
  <c r="AV172" i="135"/>
  <c r="BX172" i="135"/>
  <c r="FJ172" i="135"/>
  <c r="CG172" i="135"/>
  <c r="FK172" i="135"/>
  <c r="CF172" i="135"/>
  <c r="CN172" i="135"/>
  <c r="CJ172" i="135"/>
  <c r="BN172" i="135"/>
  <c r="AU172" i="135"/>
  <c r="CM172" i="135"/>
  <c r="EW172" i="135"/>
  <c r="CQ172" i="135"/>
  <c r="CO172" i="135"/>
  <c r="CS173" i="135"/>
  <c r="DS172" i="135"/>
  <c r="EA172" i="135"/>
  <c r="DP172" i="135"/>
  <c r="DY172" i="135"/>
  <c r="DX172" i="135"/>
  <c r="DM172" i="135"/>
  <c r="DN172" i="135"/>
  <c r="DQ172" i="135"/>
  <c r="DZ172" i="135"/>
  <c r="DW172" i="135"/>
  <c r="DO172" i="135"/>
  <c r="DR172" i="135"/>
  <c r="DU172" i="135"/>
  <c r="DV172" i="135"/>
  <c r="DT172" i="135"/>
  <c r="BP172" i="135"/>
  <c r="AN172" i="135"/>
  <c r="Q172" i="135" s="1"/>
  <c r="BD172" i="135"/>
  <c r="BY172" i="135"/>
  <c r="AW172" i="135"/>
  <c r="C175" i="135"/>
  <c r="T175" i="135" s="1"/>
  <c r="CH172" i="135"/>
  <c r="CP172" i="135"/>
  <c r="FI172" i="135"/>
  <c r="CI172" i="135"/>
  <c r="BI172" i="135"/>
  <c r="BQ172" i="135"/>
  <c r="AX172" i="135"/>
  <c r="CC172" i="135"/>
  <c r="CL172" i="135"/>
  <c r="CK172" i="135"/>
  <c r="CD172" i="135"/>
  <c r="FF101" i="135"/>
  <c r="DA37" i="135"/>
  <c r="FU15" i="135"/>
  <c r="EK15" i="135"/>
  <c r="DA15" i="135"/>
  <c r="FU34" i="135"/>
  <c r="DB126" i="135"/>
  <c r="DB127" i="135"/>
  <c r="DA34" i="135"/>
  <c r="EL126" i="135"/>
  <c r="EL127" i="135"/>
  <c r="FV126" i="135"/>
  <c r="FV127" i="135"/>
  <c r="FV70" i="135"/>
  <c r="FV71" i="135"/>
  <c r="FV69" i="135"/>
  <c r="FV72" i="135"/>
  <c r="DB69" i="135"/>
  <c r="DB72" i="135"/>
  <c r="DB70" i="135"/>
  <c r="DB71" i="135"/>
  <c r="EL69" i="135"/>
  <c r="EL70" i="135"/>
  <c r="EL71" i="135"/>
  <c r="EL72" i="135"/>
  <c r="DA25" i="135"/>
  <c r="FU30" i="135"/>
  <c r="FU32" i="135"/>
  <c r="FU36" i="135"/>
  <c r="FU33" i="135"/>
  <c r="EK36" i="135"/>
  <c r="EK33" i="135"/>
  <c r="DA26" i="135"/>
  <c r="DA35" i="135"/>
  <c r="DA33" i="135"/>
  <c r="FV101" i="135"/>
  <c r="FV128" i="135"/>
  <c r="FV129" i="135"/>
  <c r="FV122" i="135"/>
  <c r="FV124" i="135"/>
  <c r="FV121" i="135"/>
  <c r="FV123" i="135"/>
  <c r="FV125" i="135"/>
  <c r="FV151" i="135"/>
  <c r="FV171" i="135"/>
  <c r="FV139" i="135"/>
  <c r="FV141" i="135"/>
  <c r="FV165" i="135"/>
  <c r="FV147" i="135"/>
  <c r="FV108" i="135"/>
  <c r="FV148" i="135"/>
  <c r="FV116" i="135"/>
  <c r="FV150" i="135"/>
  <c r="FV115" i="135"/>
  <c r="FV111" i="135"/>
  <c r="FV163" i="135"/>
  <c r="FV118" i="135"/>
  <c r="FV169" i="135"/>
  <c r="FV144" i="135"/>
  <c r="FV132" i="135"/>
  <c r="FV135" i="135"/>
  <c r="FV159" i="135"/>
  <c r="FV164" i="135"/>
  <c r="FV110" i="135"/>
  <c r="FV136" i="135"/>
  <c r="FV154" i="135"/>
  <c r="FV130" i="135"/>
  <c r="FV131" i="135"/>
  <c r="FV152" i="135"/>
  <c r="FV153" i="135"/>
  <c r="FV107" i="135"/>
  <c r="FV112" i="135"/>
  <c r="FV166" i="135"/>
  <c r="FV137" i="135"/>
  <c r="FV160" i="135"/>
  <c r="FV162" i="135"/>
  <c r="FV134" i="135"/>
  <c r="FV155" i="135"/>
  <c r="FV138" i="135"/>
  <c r="FV113" i="135"/>
  <c r="FV114" i="135"/>
  <c r="FV157" i="135"/>
  <c r="FV133" i="135"/>
  <c r="FV149" i="135"/>
  <c r="FV119" i="135"/>
  <c r="FV145" i="135"/>
  <c r="FV161" i="135"/>
  <c r="FV173" i="135"/>
  <c r="FV143" i="135"/>
  <c r="FV117" i="135"/>
  <c r="FV167" i="135"/>
  <c r="FV106" i="135"/>
  <c r="FV170" i="135"/>
  <c r="FV168" i="135"/>
  <c r="FV109" i="135"/>
  <c r="FV142" i="135"/>
  <c r="FV146" i="135"/>
  <c r="FV158" i="135"/>
  <c r="FV156" i="135"/>
  <c r="FV120" i="135"/>
  <c r="FV140" i="135"/>
  <c r="FV172" i="135"/>
  <c r="EK30" i="135"/>
  <c r="DA31" i="135"/>
  <c r="FU28" i="135"/>
  <c r="FU37" i="135"/>
  <c r="FU26" i="135"/>
  <c r="FU35" i="135"/>
  <c r="EK28" i="135"/>
  <c r="EK37" i="135"/>
  <c r="EK26" i="135"/>
  <c r="EK35" i="135"/>
  <c r="DA30" i="135"/>
  <c r="FU31" i="135"/>
  <c r="EK32" i="135"/>
  <c r="EK31" i="135"/>
  <c r="EL121" i="135"/>
  <c r="EL124" i="135"/>
  <c r="EL171" i="135"/>
  <c r="EL128" i="135"/>
  <c r="EL122" i="135"/>
  <c r="EL151" i="135"/>
  <c r="EL129" i="135"/>
  <c r="EL125" i="135"/>
  <c r="EL123" i="135"/>
  <c r="EL108" i="135"/>
  <c r="EL148" i="135"/>
  <c r="EL139" i="135"/>
  <c r="EL111" i="135"/>
  <c r="EL163" i="135"/>
  <c r="EL141" i="135"/>
  <c r="EL165" i="135"/>
  <c r="EL147" i="135"/>
  <c r="EL135" i="135"/>
  <c r="EL144" i="135"/>
  <c r="EL150" i="135"/>
  <c r="EL169" i="135"/>
  <c r="EL164" i="135"/>
  <c r="EL110" i="135"/>
  <c r="EL118" i="135"/>
  <c r="EL116" i="135"/>
  <c r="EL132" i="135"/>
  <c r="EL159" i="135"/>
  <c r="EL115" i="135"/>
  <c r="EL114" i="135"/>
  <c r="EL138" i="135"/>
  <c r="EL166" i="135"/>
  <c r="EL162" i="135"/>
  <c r="EL154" i="135"/>
  <c r="EL112" i="135"/>
  <c r="EL152" i="135"/>
  <c r="EL131" i="135"/>
  <c r="EL113" i="135"/>
  <c r="EL136" i="135"/>
  <c r="EL160" i="135"/>
  <c r="EL107" i="135"/>
  <c r="EL134" i="135"/>
  <c r="EL130" i="135"/>
  <c r="EL155" i="135"/>
  <c r="EL153" i="135"/>
  <c r="EL133" i="135"/>
  <c r="EL161" i="135"/>
  <c r="EL117" i="135"/>
  <c r="EL143" i="135"/>
  <c r="EL145" i="135"/>
  <c r="EL173" i="135"/>
  <c r="EL157" i="135"/>
  <c r="EL137" i="135"/>
  <c r="EL119" i="135"/>
  <c r="EL149" i="135"/>
  <c r="EL167" i="135"/>
  <c r="EL168" i="135"/>
  <c r="EL109" i="135"/>
  <c r="EL158" i="135"/>
  <c r="EL170" i="135"/>
  <c r="EL142" i="135"/>
  <c r="EL146" i="135"/>
  <c r="EL106" i="135"/>
  <c r="EL156" i="135"/>
  <c r="EL120" i="135"/>
  <c r="EL140" i="135"/>
  <c r="EL172" i="135"/>
  <c r="DB129" i="135"/>
  <c r="DB125" i="135"/>
  <c r="DB128" i="135"/>
  <c r="DB122" i="135"/>
  <c r="DB123" i="135"/>
  <c r="DB171" i="135"/>
  <c r="DB124" i="135"/>
  <c r="DB121" i="135"/>
  <c r="DB151" i="135"/>
  <c r="DB139" i="135"/>
  <c r="DB108" i="135"/>
  <c r="DB147" i="135"/>
  <c r="DB116" i="135"/>
  <c r="DB135" i="135"/>
  <c r="DB111" i="135"/>
  <c r="DB141" i="135"/>
  <c r="DB148" i="135"/>
  <c r="DB165" i="135"/>
  <c r="DB150" i="135"/>
  <c r="DB159" i="135"/>
  <c r="DB110" i="135"/>
  <c r="DB163" i="135"/>
  <c r="DB132" i="135"/>
  <c r="DB169" i="135"/>
  <c r="DB115" i="135"/>
  <c r="DB164" i="135"/>
  <c r="DB144" i="135"/>
  <c r="DB118" i="135"/>
  <c r="DB154" i="135"/>
  <c r="DB112" i="135"/>
  <c r="DB152" i="135"/>
  <c r="DB153" i="135"/>
  <c r="DB166" i="135"/>
  <c r="DB160" i="135"/>
  <c r="DB134" i="135"/>
  <c r="DB131" i="135"/>
  <c r="DB136" i="135"/>
  <c r="DB162" i="135"/>
  <c r="DB107" i="135"/>
  <c r="DB155" i="135"/>
  <c r="DB130" i="135"/>
  <c r="DB114" i="135"/>
  <c r="DB138" i="135"/>
  <c r="DB137" i="135"/>
  <c r="DB143" i="135"/>
  <c r="DB145" i="135"/>
  <c r="DB157" i="135"/>
  <c r="DB113" i="135"/>
  <c r="DB161" i="135"/>
  <c r="DB149" i="135"/>
  <c r="DB117" i="135"/>
  <c r="DB133" i="135"/>
  <c r="DB173" i="135"/>
  <c r="DB119" i="135"/>
  <c r="DB167" i="135"/>
  <c r="DB168" i="135"/>
  <c r="DB142" i="135"/>
  <c r="DB156" i="135"/>
  <c r="DB158" i="135"/>
  <c r="DB146" i="135"/>
  <c r="DB106" i="135"/>
  <c r="DB170" i="135"/>
  <c r="DB109" i="135"/>
  <c r="DB120" i="135"/>
  <c r="DB172" i="135"/>
  <c r="DB140" i="135"/>
  <c r="DA32" i="135"/>
  <c r="DA36" i="135"/>
  <c r="DK101" i="135"/>
  <c r="CA101" i="135"/>
  <c r="EU101" i="135"/>
  <c r="BY101" i="135"/>
  <c r="AW101" i="135"/>
  <c r="BD101" i="135"/>
  <c r="EK24" i="135"/>
  <c r="EK27" i="135"/>
  <c r="EK23" i="135"/>
  <c r="EK22" i="135"/>
  <c r="EX101" i="135"/>
  <c r="FI101" i="135"/>
  <c r="FU22" i="135"/>
  <c r="DA22" i="135"/>
  <c r="FU27" i="135"/>
  <c r="FU24" i="135"/>
  <c r="DA27" i="135"/>
  <c r="FU23" i="135"/>
  <c r="DA23" i="135"/>
  <c r="FB101" i="135"/>
  <c r="DA28" i="135"/>
  <c r="DA24" i="135"/>
  <c r="DP101" i="135"/>
  <c r="DO101" i="135"/>
  <c r="DT101" i="135"/>
  <c r="DW101" i="135"/>
  <c r="AN101" i="135"/>
  <c r="Q101" i="135" s="1"/>
  <c r="DU101" i="135"/>
  <c r="DM101" i="135"/>
  <c r="CF101" i="135"/>
  <c r="FJ101" i="135"/>
  <c r="FD101" i="135"/>
  <c r="CM101" i="135"/>
  <c r="DB63" i="135"/>
  <c r="DB60" i="135"/>
  <c r="DB62" i="135"/>
  <c r="DB61" i="135"/>
  <c r="DB64" i="135"/>
  <c r="DB65" i="135"/>
  <c r="DB66" i="135"/>
  <c r="DB67" i="135"/>
  <c r="DB68" i="135"/>
  <c r="DB73" i="135"/>
  <c r="DB74" i="135"/>
  <c r="DB75" i="135"/>
  <c r="DB76" i="135"/>
  <c r="DB77" i="135"/>
  <c r="DB78" i="135"/>
  <c r="DB79" i="135"/>
  <c r="DB80" i="135"/>
  <c r="DB81" i="135"/>
  <c r="DB82" i="135"/>
  <c r="DB83" i="135"/>
  <c r="DB84" i="135"/>
  <c r="DB85" i="135"/>
  <c r="DB86" i="135"/>
  <c r="DB87" i="135"/>
  <c r="DB88" i="135"/>
  <c r="DB89" i="135"/>
  <c r="DB90" i="135"/>
  <c r="DB91" i="135"/>
  <c r="DB92" i="135"/>
  <c r="DB93" i="135"/>
  <c r="DB94" i="135"/>
  <c r="DB95" i="135"/>
  <c r="DB96" i="135"/>
  <c r="DB97" i="135"/>
  <c r="DB98" i="135"/>
  <c r="DB99" i="135"/>
  <c r="DB100" i="135"/>
  <c r="EL63" i="135"/>
  <c r="EL61" i="135"/>
  <c r="EL60" i="135"/>
  <c r="EL62" i="135"/>
  <c r="EL64" i="135"/>
  <c r="EL65" i="135"/>
  <c r="EL66" i="135"/>
  <c r="EL67" i="135"/>
  <c r="EL68" i="135"/>
  <c r="EL73" i="135"/>
  <c r="EL74" i="135"/>
  <c r="EL75" i="135"/>
  <c r="EL76" i="135"/>
  <c r="EL77" i="135"/>
  <c r="EL78" i="135"/>
  <c r="EL79" i="135"/>
  <c r="EL80" i="135"/>
  <c r="EL81" i="135"/>
  <c r="EL82" i="135"/>
  <c r="EL83" i="135"/>
  <c r="EL84" i="135"/>
  <c r="EL85" i="135"/>
  <c r="EL86" i="135"/>
  <c r="EL87" i="135"/>
  <c r="EL88" i="135"/>
  <c r="EL89" i="135"/>
  <c r="EL90" i="135"/>
  <c r="EL91" i="135"/>
  <c r="EL92" i="135"/>
  <c r="EL93" i="135"/>
  <c r="EL94" i="135"/>
  <c r="EL95" i="135"/>
  <c r="EL96" i="135"/>
  <c r="EL97" i="135"/>
  <c r="EL98" i="135"/>
  <c r="EL99" i="135"/>
  <c r="EL100" i="135"/>
  <c r="EV101" i="135"/>
  <c r="FG101" i="135"/>
  <c r="FH101" i="135"/>
  <c r="EW101" i="135"/>
  <c r="FA101" i="135"/>
  <c r="EY101" i="135"/>
  <c r="BD100" i="135"/>
  <c r="BP100" i="135"/>
  <c r="AW100" i="135"/>
  <c r="AQ100" i="135" s="1"/>
  <c r="BY100" i="135"/>
  <c r="FV63" i="135"/>
  <c r="FV61" i="135"/>
  <c r="FV60" i="135"/>
  <c r="FV62" i="135"/>
  <c r="FV64" i="135"/>
  <c r="FV65" i="135"/>
  <c r="FV66" i="135"/>
  <c r="FV67" i="135"/>
  <c r="FV68" i="135"/>
  <c r="FV73" i="135"/>
  <c r="FV74" i="135"/>
  <c r="FV75" i="135"/>
  <c r="FV76" i="135"/>
  <c r="FV77" i="135"/>
  <c r="FV78" i="135"/>
  <c r="FV79" i="135"/>
  <c r="FV80" i="135"/>
  <c r="FV81" i="135"/>
  <c r="FV82" i="135"/>
  <c r="FV83" i="135"/>
  <c r="FV84" i="135"/>
  <c r="FV85" i="135"/>
  <c r="FV86" i="135"/>
  <c r="FV87" i="135"/>
  <c r="FV88" i="135"/>
  <c r="FV89" i="135"/>
  <c r="FV90" i="135"/>
  <c r="FV91" i="135"/>
  <c r="FV92" i="135"/>
  <c r="FV93" i="135"/>
  <c r="FV94" i="135"/>
  <c r="FV95" i="135"/>
  <c r="FV96" i="135"/>
  <c r="FV97" i="135"/>
  <c r="FV98" i="135"/>
  <c r="FV99" i="135"/>
  <c r="FV100" i="135"/>
  <c r="FC101" i="135"/>
  <c r="EZ101" i="135"/>
  <c r="DB101" i="135"/>
  <c r="EL101" i="135"/>
  <c r="DQ101" i="135"/>
  <c r="DY101" i="135"/>
  <c r="DN101" i="135"/>
  <c r="DZ101" i="135"/>
  <c r="DL101" i="135"/>
  <c r="DR101" i="135"/>
  <c r="DS101" i="135"/>
  <c r="DV101" i="135"/>
  <c r="CO101" i="135"/>
  <c r="CB101" i="135"/>
  <c r="CK101" i="135"/>
  <c r="CC101" i="135"/>
  <c r="CL101" i="135"/>
  <c r="CJ102" i="135"/>
  <c r="CD101" i="135"/>
  <c r="CE101" i="135"/>
  <c r="CI101" i="135"/>
  <c r="CJ101" i="135"/>
  <c r="CN101" i="135"/>
  <c r="CP101" i="135"/>
  <c r="CH101" i="135"/>
  <c r="BC101" i="135"/>
  <c r="AV101" i="135"/>
  <c r="BH101" i="135"/>
  <c r="BD102" i="135"/>
  <c r="BY102" i="135"/>
  <c r="BP102" i="135"/>
  <c r="AW102" i="135"/>
  <c r="BQ101" i="135"/>
  <c r="AX101" i="135"/>
  <c r="BI101" i="135"/>
  <c r="DB102" i="135"/>
  <c r="EH102" i="135"/>
  <c r="EB102" i="135"/>
  <c r="EG102" i="135"/>
  <c r="EI102" i="135"/>
  <c r="CR102" i="135"/>
  <c r="CW102" i="135"/>
  <c r="CX102" i="135"/>
  <c r="EJ102" i="135"/>
  <c r="CQ102" i="135"/>
  <c r="C104" i="135"/>
  <c r="T104" i="135" s="1"/>
  <c r="DB59" i="135"/>
  <c r="DB56" i="135"/>
  <c r="DB51" i="135"/>
  <c r="DB57" i="135"/>
  <c r="DB52" i="135"/>
  <c r="DB53" i="135"/>
  <c r="DB54" i="135"/>
  <c r="DB55" i="135"/>
  <c r="DB58" i="135"/>
  <c r="DB50" i="135"/>
  <c r="FV59" i="135"/>
  <c r="FV56" i="135"/>
  <c r="FV51" i="135"/>
  <c r="FV58" i="135"/>
  <c r="FV52" i="135"/>
  <c r="FV54" i="135"/>
  <c r="FV53" i="135"/>
  <c r="FV57" i="135"/>
  <c r="FV55" i="135"/>
  <c r="FV50" i="135"/>
  <c r="EL51" i="135"/>
  <c r="EL56" i="135"/>
  <c r="EL59" i="135"/>
  <c r="EL57" i="135"/>
  <c r="EL52" i="135"/>
  <c r="EL53" i="135"/>
  <c r="EL58" i="135"/>
  <c r="EL54" i="135"/>
  <c r="EL50" i="135"/>
  <c r="EL55" i="135"/>
  <c r="FV49" i="135"/>
  <c r="DB49" i="135"/>
  <c r="EL49" i="135"/>
  <c r="EK21" i="135"/>
  <c r="EK14" i="135"/>
  <c r="FU14" i="135"/>
  <c r="FU21" i="135"/>
  <c r="DA21" i="135"/>
  <c r="DA14" i="135"/>
  <c r="FW8" i="135"/>
  <c r="EM8" i="135"/>
  <c r="DC8" i="135"/>
  <c r="FV25" i="135" l="1"/>
  <c r="EL25" i="135"/>
  <c r="AG103" i="135"/>
  <c r="AJ103" i="135"/>
  <c r="Y174" i="135"/>
  <c r="AI174" i="135"/>
  <c r="AD174" i="135"/>
  <c r="AC174" i="135"/>
  <c r="AD103" i="135"/>
  <c r="AC103" i="135"/>
  <c r="X103" i="135"/>
  <c r="Z103" i="135"/>
  <c r="AF103" i="135"/>
  <c r="AH174" i="135"/>
  <c r="U104" i="135"/>
  <c r="AK104" i="135"/>
  <c r="AL104" i="135"/>
  <c r="V104" i="135"/>
  <c r="AF104" i="135"/>
  <c r="AL175" i="135"/>
  <c r="U175" i="135"/>
  <c r="AK175" i="135"/>
  <c r="FN175" i="135" s="1"/>
  <c r="AF175" i="135"/>
  <c r="V175" i="135"/>
  <c r="Y103" i="135"/>
  <c r="AH103" i="135"/>
  <c r="AG174" i="135"/>
  <c r="Z174" i="135"/>
  <c r="EV174" i="135" s="1"/>
  <c r="AB174" i="135"/>
  <c r="AB103" i="135"/>
  <c r="AJ174" i="135"/>
  <c r="X174" i="135"/>
  <c r="CI174" i="135" s="1"/>
  <c r="FP102" i="135"/>
  <c r="FO102" i="135"/>
  <c r="CV102" i="135"/>
  <c r="CY102" i="135"/>
  <c r="DA102" i="135"/>
  <c r="FR102" i="135"/>
  <c r="CT102" i="135"/>
  <c r="CU102" i="135"/>
  <c r="EC102" i="135"/>
  <c r="CS102" i="135"/>
  <c r="EL102" i="135"/>
  <c r="CZ102" i="135"/>
  <c r="FK102" i="135"/>
  <c r="EK102" i="135"/>
  <c r="FS102" i="135"/>
  <c r="FQ102" i="135"/>
  <c r="FT102" i="135"/>
  <c r="FM102" i="135"/>
  <c r="FL102" i="135"/>
  <c r="FU102" i="135"/>
  <c r="EF102" i="135"/>
  <c r="FV102" i="135"/>
  <c r="EE102" i="135"/>
  <c r="EA102" i="135"/>
  <c r="ED102" i="135"/>
  <c r="FN102" i="135"/>
  <c r="EL174" i="135"/>
  <c r="DB174" i="135"/>
  <c r="FV174" i="135"/>
  <c r="EV173" i="135"/>
  <c r="CB173" i="135"/>
  <c r="FV34" i="135"/>
  <c r="EL34" i="135"/>
  <c r="DL173" i="135"/>
  <c r="FW271" i="135"/>
  <c r="FW270" i="135"/>
  <c r="FW259" i="135"/>
  <c r="FW234" i="135"/>
  <c r="FW230" i="135"/>
  <c r="FW233" i="135"/>
  <c r="FW229" i="135"/>
  <c r="FW220" i="135"/>
  <c r="FW218" i="135"/>
  <c r="FW217" i="135"/>
  <c r="FW221" i="135"/>
  <c r="FW216" i="135"/>
  <c r="FW215" i="135"/>
  <c r="FW214" i="135"/>
  <c r="FW225" i="135"/>
  <c r="FW245" i="135"/>
  <c r="FW251" i="135"/>
  <c r="FW219" i="135"/>
  <c r="FW228" i="135"/>
  <c r="FW223" i="135"/>
  <c r="FW236" i="135"/>
  <c r="FW242" i="135"/>
  <c r="FW244" i="135"/>
  <c r="FW257" i="135"/>
  <c r="FW239" i="135"/>
  <c r="FW243" i="135"/>
  <c r="FW246" i="135"/>
  <c r="FW248" i="135"/>
  <c r="FW226" i="135"/>
  <c r="FW222" i="135"/>
  <c r="FW238" i="135"/>
  <c r="FW224" i="135"/>
  <c r="FW232" i="135"/>
  <c r="FW235" i="135"/>
  <c r="FW250" i="135"/>
  <c r="FW253" i="135"/>
  <c r="FW252" i="135"/>
  <c r="FW254" i="135"/>
  <c r="FW255" i="135"/>
  <c r="FW258" i="135"/>
  <c r="FW241" i="135"/>
  <c r="FW227" i="135"/>
  <c r="FW247" i="135"/>
  <c r="FW240" i="135"/>
  <c r="FW231" i="135"/>
  <c r="FW237" i="135"/>
  <c r="FW256" i="135"/>
  <c r="FW264" i="135"/>
  <c r="FW267" i="135"/>
  <c r="FW273" i="135"/>
  <c r="FW274" i="135"/>
  <c r="FW268" i="135"/>
  <c r="FW265" i="135"/>
  <c r="FW266" i="135"/>
  <c r="FW272" i="135"/>
  <c r="FW275" i="135"/>
  <c r="FW263" i="135"/>
  <c r="FW269" i="135"/>
  <c r="FW260" i="135"/>
  <c r="FW261" i="135"/>
  <c r="FW249" i="135"/>
  <c r="FW262" i="135"/>
  <c r="DC275" i="135"/>
  <c r="DC273" i="135"/>
  <c r="DC259" i="135"/>
  <c r="DC254" i="135"/>
  <c r="DC250" i="135"/>
  <c r="DC246" i="135"/>
  <c r="DC256" i="135"/>
  <c r="DC252" i="135"/>
  <c r="DC249" i="135"/>
  <c r="DC245" i="135"/>
  <c r="DC243" i="135"/>
  <c r="DC239" i="135"/>
  <c r="DC237" i="135"/>
  <c r="DC235" i="135"/>
  <c r="DC231" i="135"/>
  <c r="DC255" i="135"/>
  <c r="DC234" i="135"/>
  <c r="DC224" i="135"/>
  <c r="DC241" i="135"/>
  <c r="DC230" i="135"/>
  <c r="DC225" i="135"/>
  <c r="DC227" i="135"/>
  <c r="DC236" i="135"/>
  <c r="DC251" i="135"/>
  <c r="DC215" i="135"/>
  <c r="DC216" i="135"/>
  <c r="DC221" i="135"/>
  <c r="DC222" i="135"/>
  <c r="DC242" i="135"/>
  <c r="DC244" i="135"/>
  <c r="DC226" i="135"/>
  <c r="DC214" i="135"/>
  <c r="DC218" i="135"/>
  <c r="DC219" i="135"/>
  <c r="DC220" i="135"/>
  <c r="DC238" i="135"/>
  <c r="DC223" i="135"/>
  <c r="DC232" i="135"/>
  <c r="DC257" i="135"/>
  <c r="DC233" i="135"/>
  <c r="DC258" i="135"/>
  <c r="DC229" i="135"/>
  <c r="DC217" i="135"/>
  <c r="DC247" i="135"/>
  <c r="DC253" i="135"/>
  <c r="DC261" i="135"/>
  <c r="DC265" i="135"/>
  <c r="DC228" i="135"/>
  <c r="DC240" i="135"/>
  <c r="DC248" i="135"/>
  <c r="DC274" i="135"/>
  <c r="DC266" i="135"/>
  <c r="DC267" i="135"/>
  <c r="DC269" i="135"/>
  <c r="DC271" i="135"/>
  <c r="DC270" i="135"/>
  <c r="DC272" i="135"/>
  <c r="DC264" i="135"/>
  <c r="DC268" i="135"/>
  <c r="DC262" i="135"/>
  <c r="DC263" i="135"/>
  <c r="DC260" i="135"/>
  <c r="EM272" i="135"/>
  <c r="EM267" i="135"/>
  <c r="EM266" i="135"/>
  <c r="EM268" i="135"/>
  <c r="EM263" i="135"/>
  <c r="EM261" i="135"/>
  <c r="EM264" i="135"/>
  <c r="EM262" i="135"/>
  <c r="EM259" i="135"/>
  <c r="EM258" i="135"/>
  <c r="EM255" i="135"/>
  <c r="EM254" i="135"/>
  <c r="EM249" i="135"/>
  <c r="EM251" i="135"/>
  <c r="EM248" i="135"/>
  <c r="EM247" i="135"/>
  <c r="EM257" i="135"/>
  <c r="EM220" i="135"/>
  <c r="EM226" i="135"/>
  <c r="EM222" i="135"/>
  <c r="EM221" i="135"/>
  <c r="EM223" i="135"/>
  <c r="EM214" i="135"/>
  <c r="EM218" i="135"/>
  <c r="EM230" i="135"/>
  <c r="EM250" i="135"/>
  <c r="EM215" i="135"/>
  <c r="EM236" i="135"/>
  <c r="EM242" i="135"/>
  <c r="EM244" i="135"/>
  <c r="EM229" i="135"/>
  <c r="EM233" i="135"/>
  <c r="EM239" i="135"/>
  <c r="EM243" i="135"/>
  <c r="EM216" i="135"/>
  <c r="EM225" i="135"/>
  <c r="EM238" i="135"/>
  <c r="EM227" i="135"/>
  <c r="EM232" i="135"/>
  <c r="EM235" i="135"/>
  <c r="EM256" i="135"/>
  <c r="EM260" i="135"/>
  <c r="EM217" i="135"/>
  <c r="EM219" i="135"/>
  <c r="EM245" i="135"/>
  <c r="EM231" i="135"/>
  <c r="EM240" i="135"/>
  <c r="EM234" i="135"/>
  <c r="EM246" i="135"/>
  <c r="EM228" i="135"/>
  <c r="EM224" i="135"/>
  <c r="EM241" i="135"/>
  <c r="EM253" i="135"/>
  <c r="EM269" i="135"/>
  <c r="EM274" i="135"/>
  <c r="EM270" i="135"/>
  <c r="EM265" i="135"/>
  <c r="EM271" i="135"/>
  <c r="EM237" i="135"/>
  <c r="EM252" i="135"/>
  <c r="EM273" i="135"/>
  <c r="EM275" i="135"/>
  <c r="FM173" i="135"/>
  <c r="EC173" i="135"/>
  <c r="CT173" i="135"/>
  <c r="ED173" i="135"/>
  <c r="FN173" i="135"/>
  <c r="FM174" i="135"/>
  <c r="EC174" i="135"/>
  <c r="FN174" i="135"/>
  <c r="CS174" i="135"/>
  <c r="CZ174" i="135"/>
  <c r="EJ174" i="135"/>
  <c r="FT174" i="135"/>
  <c r="CT174" i="135"/>
  <c r="FP174" i="135"/>
  <c r="FQ174" i="135"/>
  <c r="CX174" i="135"/>
  <c r="EK174" i="135"/>
  <c r="DK174" i="135"/>
  <c r="CU174" i="135"/>
  <c r="CV174" i="135"/>
  <c r="EG174" i="135"/>
  <c r="FS174" i="135"/>
  <c r="CA174" i="135"/>
  <c r="FO174" i="135"/>
  <c r="EF174" i="135"/>
  <c r="FR174" i="135"/>
  <c r="EI174" i="135"/>
  <c r="FU174" i="135"/>
  <c r="DA174" i="135"/>
  <c r="EU174" i="135"/>
  <c r="EE174" i="135"/>
  <c r="CW174" i="135"/>
  <c r="EH174" i="135"/>
  <c r="CY174" i="135"/>
  <c r="AM174" i="135"/>
  <c r="AQ172" i="135"/>
  <c r="CD173" i="135"/>
  <c r="CE173" i="135"/>
  <c r="CN173" i="135"/>
  <c r="CG173" i="135"/>
  <c r="CC173" i="135"/>
  <c r="BH173" i="135"/>
  <c r="BX173" i="135"/>
  <c r="BC173" i="135"/>
  <c r="AV173" i="135"/>
  <c r="CQ173" i="135"/>
  <c r="CF173" i="135"/>
  <c r="DZ173" i="135"/>
  <c r="CR173" i="135"/>
  <c r="FD173" i="135"/>
  <c r="DO173" i="135"/>
  <c r="DP173" i="135"/>
  <c r="EA173" i="135"/>
  <c r="DS173" i="135"/>
  <c r="DV173" i="135"/>
  <c r="DN173" i="135"/>
  <c r="DY173" i="135"/>
  <c r="DQ173" i="135"/>
  <c r="DT173" i="135"/>
  <c r="DW173" i="135"/>
  <c r="BI173" i="135"/>
  <c r="AX173" i="135"/>
  <c r="BQ173" i="135"/>
  <c r="FI173" i="135"/>
  <c r="FK173" i="135"/>
  <c r="FH173" i="135"/>
  <c r="FC173" i="135"/>
  <c r="FA173" i="135"/>
  <c r="FG173" i="135"/>
  <c r="FE173" i="135"/>
  <c r="EY173" i="135"/>
  <c r="EW173" i="135"/>
  <c r="EZ173" i="135"/>
  <c r="FF173" i="135"/>
  <c r="FB173" i="135"/>
  <c r="DX173" i="135"/>
  <c r="FL173" i="135"/>
  <c r="CL173" i="135"/>
  <c r="CO173" i="135"/>
  <c r="DM173" i="135"/>
  <c r="C176" i="135"/>
  <c r="T176" i="135" s="1"/>
  <c r="BD173" i="135"/>
  <c r="AN173" i="135"/>
  <c r="Q173" i="135" s="1"/>
  <c r="BY173" i="135"/>
  <c r="BP173" i="135"/>
  <c r="AW173" i="135"/>
  <c r="CI173" i="135"/>
  <c r="CP173" i="135"/>
  <c r="DU173" i="135"/>
  <c r="CH173" i="135"/>
  <c r="DY174" i="135"/>
  <c r="AU173" i="135"/>
  <c r="BN173" i="135"/>
  <c r="CM173" i="135"/>
  <c r="EB173" i="135"/>
  <c r="CK173" i="135"/>
  <c r="FJ173" i="135"/>
  <c r="CJ173" i="135"/>
  <c r="EL15" i="135"/>
  <c r="DB15" i="135"/>
  <c r="FV15" i="135"/>
  <c r="FV30" i="135"/>
  <c r="EL31" i="135"/>
  <c r="EM127" i="135"/>
  <c r="EM126" i="135"/>
  <c r="FW127" i="135"/>
  <c r="FW126" i="135"/>
  <c r="DB34" i="135"/>
  <c r="DC126" i="135"/>
  <c r="DC127" i="135"/>
  <c r="FW70" i="135"/>
  <c r="FW71" i="135"/>
  <c r="FW69" i="135"/>
  <c r="FW72" i="135"/>
  <c r="DB25" i="135"/>
  <c r="DC72" i="135"/>
  <c r="DC70" i="135"/>
  <c r="DC69" i="135"/>
  <c r="DC71" i="135"/>
  <c r="EM70" i="135"/>
  <c r="EM71" i="135"/>
  <c r="EM69" i="135"/>
  <c r="EM72" i="135"/>
  <c r="DB30" i="135"/>
  <c r="DB37" i="135"/>
  <c r="EL30" i="135"/>
  <c r="FW171" i="135"/>
  <c r="FW151" i="135"/>
  <c r="FW121" i="135"/>
  <c r="FW174" i="135"/>
  <c r="FW124" i="135"/>
  <c r="FW129" i="135"/>
  <c r="FW125" i="135"/>
  <c r="FW128" i="135"/>
  <c r="FW122" i="135"/>
  <c r="FW123" i="135"/>
  <c r="FW147" i="135"/>
  <c r="FW135" i="135"/>
  <c r="FW139" i="135"/>
  <c r="FW141" i="135"/>
  <c r="FW108" i="135"/>
  <c r="FW148" i="135"/>
  <c r="FW165" i="135"/>
  <c r="FW111" i="135"/>
  <c r="FW116" i="135"/>
  <c r="FW132" i="135"/>
  <c r="FW159" i="135"/>
  <c r="FW169" i="135"/>
  <c r="FW164" i="135"/>
  <c r="FW163" i="135"/>
  <c r="FW150" i="135"/>
  <c r="FW115" i="135"/>
  <c r="FW144" i="135"/>
  <c r="FW118" i="135"/>
  <c r="FW110" i="135"/>
  <c r="FW160" i="135"/>
  <c r="FW136" i="135"/>
  <c r="FW112" i="135"/>
  <c r="FW152" i="135"/>
  <c r="FW131" i="135"/>
  <c r="FW162" i="135"/>
  <c r="FW107" i="135"/>
  <c r="FW134" i="135"/>
  <c r="FW154" i="135"/>
  <c r="FW130" i="135"/>
  <c r="FW155" i="135"/>
  <c r="FW153" i="135"/>
  <c r="FW114" i="135"/>
  <c r="FW138" i="135"/>
  <c r="FW137" i="135"/>
  <c r="FW166" i="135"/>
  <c r="FW143" i="135"/>
  <c r="FW145" i="135"/>
  <c r="FW167" i="135"/>
  <c r="FW113" i="135"/>
  <c r="FW173" i="135"/>
  <c r="FW157" i="135"/>
  <c r="FW133" i="135"/>
  <c r="FW149" i="135"/>
  <c r="FW161" i="135"/>
  <c r="FW119" i="135"/>
  <c r="FW117" i="135"/>
  <c r="FW168" i="135"/>
  <c r="FW142" i="135"/>
  <c r="FW146" i="135"/>
  <c r="FW106" i="135"/>
  <c r="FW156" i="135"/>
  <c r="FW109" i="135"/>
  <c r="FW158" i="135"/>
  <c r="FW170" i="135"/>
  <c r="FW120" i="135"/>
  <c r="FW140" i="135"/>
  <c r="FW172" i="135"/>
  <c r="DC102" i="135"/>
  <c r="DC121" i="135"/>
  <c r="DC124" i="135"/>
  <c r="DC171" i="135"/>
  <c r="DC122" i="135"/>
  <c r="DC174" i="135"/>
  <c r="DC123" i="135"/>
  <c r="DC128" i="135"/>
  <c r="DC129" i="135"/>
  <c r="DC125" i="135"/>
  <c r="DC151" i="135"/>
  <c r="DC165" i="135"/>
  <c r="DC139" i="135"/>
  <c r="DC111" i="135"/>
  <c r="DC147" i="135"/>
  <c r="DC141" i="135"/>
  <c r="DC108" i="135"/>
  <c r="DC148" i="135"/>
  <c r="DC115" i="135"/>
  <c r="DC163" i="135"/>
  <c r="DC116" i="135"/>
  <c r="DC150" i="135"/>
  <c r="DC118" i="135"/>
  <c r="DC144" i="135"/>
  <c r="DC135" i="135"/>
  <c r="DC132" i="135"/>
  <c r="DC159" i="135"/>
  <c r="DC169" i="135"/>
  <c r="DC164" i="135"/>
  <c r="DC110" i="135"/>
  <c r="DC136" i="135"/>
  <c r="DC160" i="135"/>
  <c r="DC162" i="135"/>
  <c r="DC107" i="135"/>
  <c r="DC134" i="135"/>
  <c r="DC112" i="135"/>
  <c r="DC154" i="135"/>
  <c r="DC130" i="135"/>
  <c r="DC131" i="135"/>
  <c r="DC152" i="135"/>
  <c r="DC153" i="135"/>
  <c r="DC166" i="135"/>
  <c r="DC113" i="135"/>
  <c r="DC155" i="135"/>
  <c r="DC114" i="135"/>
  <c r="DC137" i="135"/>
  <c r="DC161" i="135"/>
  <c r="DC173" i="135"/>
  <c r="DC145" i="135"/>
  <c r="DC149" i="135"/>
  <c r="DC167" i="135"/>
  <c r="DC133" i="135"/>
  <c r="DC117" i="135"/>
  <c r="DC143" i="135"/>
  <c r="DC157" i="135"/>
  <c r="DC138" i="135"/>
  <c r="DC119" i="135"/>
  <c r="DC168" i="135"/>
  <c r="DC109" i="135"/>
  <c r="DC142" i="135"/>
  <c r="DC158" i="135"/>
  <c r="DC146" i="135"/>
  <c r="DC106" i="135"/>
  <c r="DC170" i="135"/>
  <c r="DC156" i="135"/>
  <c r="DC120" i="135"/>
  <c r="DC172" i="135"/>
  <c r="DC140" i="135"/>
  <c r="EL28" i="135"/>
  <c r="EL37" i="135"/>
  <c r="EL26" i="135"/>
  <c r="EL35" i="135"/>
  <c r="DB26" i="135"/>
  <c r="DB35" i="135"/>
  <c r="EM125" i="135"/>
  <c r="EM128" i="135"/>
  <c r="EM129" i="135"/>
  <c r="EM174" i="135"/>
  <c r="EM121" i="135"/>
  <c r="EM151" i="135"/>
  <c r="EM171" i="135"/>
  <c r="EM124" i="135"/>
  <c r="EM122" i="135"/>
  <c r="EM123" i="135"/>
  <c r="EM108" i="135"/>
  <c r="EM148" i="135"/>
  <c r="EM111" i="135"/>
  <c r="EM147" i="135"/>
  <c r="EM144" i="135"/>
  <c r="EM163" i="135"/>
  <c r="EM139" i="135"/>
  <c r="EM141" i="135"/>
  <c r="EM165" i="135"/>
  <c r="EM159" i="135"/>
  <c r="EM169" i="135"/>
  <c r="EM110" i="135"/>
  <c r="EM135" i="135"/>
  <c r="EM115" i="135"/>
  <c r="EM132" i="135"/>
  <c r="EM118" i="135"/>
  <c r="EM116" i="135"/>
  <c r="EM150" i="135"/>
  <c r="EM164" i="135"/>
  <c r="EM136" i="135"/>
  <c r="EM152" i="135"/>
  <c r="EM160" i="135"/>
  <c r="EM162" i="135"/>
  <c r="EM107" i="135"/>
  <c r="EM134" i="135"/>
  <c r="EM154" i="135"/>
  <c r="EM130" i="135"/>
  <c r="EM131" i="135"/>
  <c r="EM153" i="135"/>
  <c r="EM114" i="135"/>
  <c r="EM166" i="135"/>
  <c r="EM137" i="135"/>
  <c r="EM112" i="135"/>
  <c r="EM155" i="135"/>
  <c r="EM138" i="135"/>
  <c r="EM113" i="135"/>
  <c r="EM161" i="135"/>
  <c r="EM157" i="135"/>
  <c r="EM149" i="135"/>
  <c r="EM117" i="135"/>
  <c r="EM173" i="135"/>
  <c r="EM143" i="135"/>
  <c r="EM133" i="135"/>
  <c r="EM145" i="135"/>
  <c r="EM119" i="135"/>
  <c r="EM142" i="135"/>
  <c r="EM168" i="135"/>
  <c r="EM146" i="135"/>
  <c r="EM106" i="135"/>
  <c r="EM170" i="135"/>
  <c r="EM109" i="135"/>
  <c r="EM158" i="135"/>
  <c r="EM167" i="135"/>
  <c r="EM156" i="135"/>
  <c r="EM120" i="135"/>
  <c r="EM140" i="135"/>
  <c r="EM172" i="135"/>
  <c r="FV32" i="135"/>
  <c r="FV31" i="135"/>
  <c r="DB31" i="135"/>
  <c r="FV36" i="135"/>
  <c r="FV33" i="135"/>
  <c r="DB33" i="135"/>
  <c r="EL32" i="135"/>
  <c r="DB32" i="135"/>
  <c r="FV28" i="135"/>
  <c r="FV37" i="135"/>
  <c r="FV26" i="135"/>
  <c r="FV35" i="135"/>
  <c r="EL33" i="135"/>
  <c r="EL36" i="135"/>
  <c r="DB36" i="135"/>
  <c r="AQ101" i="135"/>
  <c r="DK102" i="135"/>
  <c r="FE102" i="135"/>
  <c r="FC102" i="135"/>
  <c r="EU102" i="135"/>
  <c r="CA102" i="135"/>
  <c r="EX102" i="135"/>
  <c r="FI102" i="135"/>
  <c r="FG102" i="135"/>
  <c r="FH102" i="135"/>
  <c r="DB23" i="135"/>
  <c r="CL102" i="135"/>
  <c r="FV23" i="135"/>
  <c r="FV22" i="135"/>
  <c r="DB22" i="135"/>
  <c r="CE102" i="135"/>
  <c r="EL22" i="135"/>
  <c r="FB102" i="135"/>
  <c r="EY102" i="135"/>
  <c r="EV102" i="135"/>
  <c r="DB24" i="135"/>
  <c r="DY102" i="135"/>
  <c r="CM102" i="135"/>
  <c r="EL24" i="135"/>
  <c r="DV102" i="135"/>
  <c r="DT102" i="135"/>
  <c r="FV27" i="135"/>
  <c r="FV24" i="135"/>
  <c r="EL27" i="135"/>
  <c r="DB27" i="135"/>
  <c r="EL23" i="135"/>
  <c r="DB28" i="135"/>
  <c r="CD102" i="135"/>
  <c r="CP102" i="135"/>
  <c r="DQ102" i="135"/>
  <c r="FD102" i="135"/>
  <c r="EW102" i="135"/>
  <c r="EZ102" i="135"/>
  <c r="CC102" i="135"/>
  <c r="CH102" i="135"/>
  <c r="DW102" i="135"/>
  <c r="DP102" i="135"/>
  <c r="DR102" i="135"/>
  <c r="DZ102" i="135"/>
  <c r="DO102" i="135"/>
  <c r="CI102" i="135"/>
  <c r="CO102" i="135"/>
  <c r="CK102" i="135"/>
  <c r="DX102" i="135"/>
  <c r="DL102" i="135"/>
  <c r="DU102" i="135"/>
  <c r="DS102" i="135"/>
  <c r="CG102" i="135"/>
  <c r="CN102" i="135"/>
  <c r="DN102" i="135"/>
  <c r="BX102" i="135"/>
  <c r="EM63" i="135"/>
  <c r="EM61" i="135"/>
  <c r="EM60" i="135"/>
  <c r="EM62" i="135"/>
  <c r="EM64" i="135"/>
  <c r="EM65" i="135"/>
  <c r="EM66" i="135"/>
  <c r="EM67" i="135"/>
  <c r="EM68" i="135"/>
  <c r="EM73" i="135"/>
  <c r="EM74" i="135"/>
  <c r="EM75" i="135"/>
  <c r="EM76" i="135"/>
  <c r="EM77" i="135"/>
  <c r="EM78" i="135"/>
  <c r="EM79" i="135"/>
  <c r="EM80" i="135"/>
  <c r="EM81" i="135"/>
  <c r="EM82" i="135"/>
  <c r="EM83" i="135"/>
  <c r="EM84" i="135"/>
  <c r="EM85" i="135"/>
  <c r="EM86" i="135"/>
  <c r="EM87" i="135"/>
  <c r="EM88" i="135"/>
  <c r="EM89" i="135"/>
  <c r="EM90" i="135"/>
  <c r="EM91" i="135"/>
  <c r="EM92" i="135"/>
  <c r="EM93" i="135"/>
  <c r="EM94" i="135"/>
  <c r="EM95" i="135"/>
  <c r="EM96" i="135"/>
  <c r="EM97" i="135"/>
  <c r="EM98" i="135"/>
  <c r="EM99" i="135"/>
  <c r="EM100" i="135"/>
  <c r="EM101" i="135"/>
  <c r="FW63" i="135"/>
  <c r="FW61" i="135"/>
  <c r="FW62" i="135"/>
  <c r="FW60" i="135"/>
  <c r="FW64" i="135"/>
  <c r="FW65" i="135"/>
  <c r="FW66" i="135"/>
  <c r="FW67" i="135"/>
  <c r="FW68" i="135"/>
  <c r="FW73" i="135"/>
  <c r="FW74" i="135"/>
  <c r="FW75" i="135"/>
  <c r="FW76" i="135"/>
  <c r="FW77" i="135"/>
  <c r="FW78" i="135"/>
  <c r="FW79" i="135"/>
  <c r="FW80" i="135"/>
  <c r="FW81" i="135"/>
  <c r="FW82" i="135"/>
  <c r="FW83" i="135"/>
  <c r="FW84" i="135"/>
  <c r="FW85" i="135"/>
  <c r="FW86" i="135"/>
  <c r="FW87" i="135"/>
  <c r="FW88" i="135"/>
  <c r="FW89" i="135"/>
  <c r="FW90" i="135"/>
  <c r="FW91" i="135"/>
  <c r="FW92" i="135"/>
  <c r="FW93" i="135"/>
  <c r="FW94" i="135"/>
  <c r="FW95" i="135"/>
  <c r="FW96" i="135"/>
  <c r="FW97" i="135"/>
  <c r="FW98" i="135"/>
  <c r="FW99" i="135"/>
  <c r="FW100" i="135"/>
  <c r="FW101" i="135"/>
  <c r="EM102" i="135"/>
  <c r="DC63" i="135"/>
  <c r="DC61" i="135"/>
  <c r="DC60" i="135"/>
  <c r="DC62" i="135"/>
  <c r="DC64" i="135"/>
  <c r="DC65" i="135"/>
  <c r="DC66" i="135"/>
  <c r="DC67" i="135"/>
  <c r="DC68" i="135"/>
  <c r="DC73" i="135"/>
  <c r="DC74" i="135"/>
  <c r="DC75" i="135"/>
  <c r="DC76" i="135"/>
  <c r="DC77" i="135"/>
  <c r="DC78" i="135"/>
  <c r="DC79" i="135"/>
  <c r="DC80" i="135"/>
  <c r="DC81" i="135"/>
  <c r="DC82" i="135"/>
  <c r="DC83" i="135"/>
  <c r="DC84" i="135"/>
  <c r="DC85" i="135"/>
  <c r="DC86" i="135"/>
  <c r="DC87" i="135"/>
  <c r="DC88" i="135"/>
  <c r="DC89" i="135"/>
  <c r="DC90" i="135"/>
  <c r="DC91" i="135"/>
  <c r="DC92" i="135"/>
  <c r="DC93" i="135"/>
  <c r="DC94" i="135"/>
  <c r="DC95" i="135"/>
  <c r="DC96" i="135"/>
  <c r="DC97" i="135"/>
  <c r="DC98" i="135"/>
  <c r="DC99" i="135"/>
  <c r="DC100" i="135"/>
  <c r="DC101" i="135"/>
  <c r="FW102" i="135"/>
  <c r="FJ102" i="135"/>
  <c r="FF102" i="135"/>
  <c r="CF102" i="135"/>
  <c r="CB102" i="135"/>
  <c r="AN102" i="135"/>
  <c r="Q102" i="135" s="1"/>
  <c r="AX102" i="135"/>
  <c r="AQ102" i="135" s="1"/>
  <c r="AV102" i="135"/>
  <c r="BH102" i="135"/>
  <c r="BQ102" i="135"/>
  <c r="BI102" i="135"/>
  <c r="CV103" i="135"/>
  <c r="FS103" i="135"/>
  <c r="BN102" i="135"/>
  <c r="FK103" i="135"/>
  <c r="EK103" i="135"/>
  <c r="FM103" i="135"/>
  <c r="EJ103" i="135"/>
  <c r="FU103" i="135"/>
  <c r="ED103" i="135"/>
  <c r="EE103" i="135"/>
  <c r="EH103" i="135"/>
  <c r="EB103" i="135"/>
  <c r="EG103" i="135"/>
  <c r="FQ103" i="135"/>
  <c r="EM103" i="135"/>
  <c r="EA103" i="135"/>
  <c r="EI103" i="135"/>
  <c r="EL103" i="135"/>
  <c r="EF103" i="135"/>
  <c r="FR103" i="135"/>
  <c r="EC103" i="135"/>
  <c r="FW103" i="135"/>
  <c r="DC56" i="135"/>
  <c r="DC51" i="135"/>
  <c r="DC59" i="135"/>
  <c r="DC52" i="135"/>
  <c r="DC54" i="135"/>
  <c r="DC53" i="135"/>
  <c r="DC58" i="135"/>
  <c r="DC55" i="135"/>
  <c r="DC57" i="135"/>
  <c r="DC50" i="135"/>
  <c r="EM51" i="135"/>
  <c r="EM59" i="135"/>
  <c r="EM56" i="135"/>
  <c r="EM55" i="135"/>
  <c r="EM57" i="135"/>
  <c r="EM58" i="135"/>
  <c r="EM54" i="135"/>
  <c r="EM50" i="135"/>
  <c r="EM53" i="135"/>
  <c r="EM52" i="135"/>
  <c r="FW51" i="135"/>
  <c r="FW59" i="135"/>
  <c r="FW56" i="135"/>
  <c r="FW58" i="135"/>
  <c r="FW55" i="135"/>
  <c r="FW52" i="135"/>
  <c r="FW54" i="135"/>
  <c r="FW53" i="135"/>
  <c r="FW57" i="135"/>
  <c r="FW50" i="135"/>
  <c r="DC49" i="135"/>
  <c r="EM49" i="135"/>
  <c r="FW49" i="135"/>
  <c r="DB14" i="135"/>
  <c r="DB21" i="135"/>
  <c r="FV21" i="135"/>
  <c r="FV14" i="135"/>
  <c r="EL21" i="135"/>
  <c r="EL14" i="135"/>
  <c r="FX8" i="135"/>
  <c r="EN8" i="135"/>
  <c r="DD8" i="135"/>
  <c r="EM25" i="135" l="1"/>
  <c r="Y104" i="135"/>
  <c r="Z104" i="135"/>
  <c r="AC104" i="135"/>
  <c r="AJ104" i="135"/>
  <c r="BN104" i="135" s="1"/>
  <c r="AI175" i="135"/>
  <c r="AJ175" i="135"/>
  <c r="AI104" i="135"/>
  <c r="BH104" i="135" s="1"/>
  <c r="AG104" i="135"/>
  <c r="AD104" i="135"/>
  <c r="AH175" i="135"/>
  <c r="X104" i="135"/>
  <c r="CH104" i="135" s="1"/>
  <c r="AH104" i="135"/>
  <c r="AB104" i="135"/>
  <c r="AC175" i="135"/>
  <c r="AD175" i="135"/>
  <c r="X175" i="135"/>
  <c r="CB175" i="135" s="1"/>
  <c r="U176" i="135"/>
  <c r="AL176" i="135"/>
  <c r="V176" i="135"/>
  <c r="AK176" i="135"/>
  <c r="CT176" i="135" s="1"/>
  <c r="Y175" i="135"/>
  <c r="DM175" i="135" s="1"/>
  <c r="Z175" i="135"/>
  <c r="EV175" i="135" s="1"/>
  <c r="AG175" i="135"/>
  <c r="AB175" i="135"/>
  <c r="FP103" i="135"/>
  <c r="FL103" i="135"/>
  <c r="CQ103" i="135"/>
  <c r="CR103" i="135"/>
  <c r="DA103" i="135"/>
  <c r="CU103" i="135"/>
  <c r="CS103" i="135"/>
  <c r="CY103" i="135"/>
  <c r="DC103" i="135"/>
  <c r="CW103" i="135"/>
  <c r="CT103" i="135"/>
  <c r="FN103" i="135"/>
  <c r="CZ103" i="135"/>
  <c r="FT103" i="135"/>
  <c r="FV103" i="135"/>
  <c r="CX103" i="135"/>
  <c r="FO103" i="135"/>
  <c r="DB103" i="135"/>
  <c r="EM175" i="135"/>
  <c r="DC175" i="135"/>
  <c r="FW175" i="135"/>
  <c r="CB174" i="135"/>
  <c r="FW34" i="135"/>
  <c r="EM34" i="135"/>
  <c r="DL174" i="135"/>
  <c r="DD268" i="135"/>
  <c r="DD267" i="135"/>
  <c r="DD266" i="135"/>
  <c r="DD258" i="135"/>
  <c r="DD249" i="135"/>
  <c r="DD245" i="135"/>
  <c r="DD243" i="135"/>
  <c r="DD241" i="135"/>
  <c r="DD239" i="135"/>
  <c r="DD237" i="135"/>
  <c r="DD248" i="135"/>
  <c r="DD236" i="135"/>
  <c r="DD240" i="135"/>
  <c r="DD234" i="135"/>
  <c r="DD230" i="135"/>
  <c r="DD238" i="135"/>
  <c r="DD223" i="135"/>
  <c r="DD229" i="135"/>
  <c r="DD244" i="135"/>
  <c r="DD224" i="135"/>
  <c r="DD233" i="135"/>
  <c r="DD219" i="135"/>
  <c r="DD214" i="135"/>
  <c r="DD218" i="135"/>
  <c r="DD227" i="135"/>
  <c r="DD231" i="135"/>
  <c r="DD247" i="135"/>
  <c r="DD225" i="135"/>
  <c r="DD215" i="135"/>
  <c r="DD251" i="135"/>
  <c r="DD252" i="135"/>
  <c r="DD256" i="135"/>
  <c r="DD216" i="135"/>
  <c r="DD228" i="135"/>
  <c r="DD220" i="135"/>
  <c r="DD222" i="135"/>
  <c r="DD257" i="135"/>
  <c r="DD246" i="135"/>
  <c r="DD253" i="135"/>
  <c r="DD226" i="135"/>
  <c r="DD221" i="135"/>
  <c r="DD242" i="135"/>
  <c r="DD235" i="135"/>
  <c r="DD255" i="135"/>
  <c r="DD259" i="135"/>
  <c r="DD217" i="135"/>
  <c r="DD232" i="135"/>
  <c r="DD260" i="135"/>
  <c r="DD262" i="135"/>
  <c r="DD271" i="135"/>
  <c r="DD273" i="135"/>
  <c r="DD275" i="135"/>
  <c r="DD272" i="135"/>
  <c r="DD270" i="135"/>
  <c r="DD274" i="135"/>
  <c r="DD250" i="135"/>
  <c r="DD261" i="135"/>
  <c r="DD264" i="135"/>
  <c r="DD265" i="135"/>
  <c r="DD254" i="135"/>
  <c r="DD269" i="135"/>
  <c r="DD263" i="135"/>
  <c r="EN252" i="135"/>
  <c r="EN253" i="135"/>
  <c r="EN228" i="135"/>
  <c r="EN236" i="135"/>
  <c r="EN227" i="135"/>
  <c r="EN222" i="135"/>
  <c r="EN217" i="135"/>
  <c r="EN224" i="135"/>
  <c r="EN231" i="135"/>
  <c r="EN247" i="135"/>
  <c r="EN225" i="135"/>
  <c r="EN214" i="135"/>
  <c r="EN215" i="135"/>
  <c r="EN242" i="135"/>
  <c r="EN234" i="135"/>
  <c r="EN237" i="135"/>
  <c r="EN241" i="135"/>
  <c r="EN245" i="135"/>
  <c r="EN251" i="135"/>
  <c r="EN249" i="135"/>
  <c r="EN219" i="135"/>
  <c r="EN216" i="135"/>
  <c r="EN221" i="135"/>
  <c r="EN238" i="135"/>
  <c r="EN257" i="135"/>
  <c r="EN230" i="135"/>
  <c r="EN246" i="135"/>
  <c r="EN255" i="135"/>
  <c r="EN220" i="135"/>
  <c r="EN232" i="135"/>
  <c r="EN233" i="135"/>
  <c r="EN243" i="135"/>
  <c r="EN235" i="135"/>
  <c r="EN240" i="135"/>
  <c r="EN260" i="135"/>
  <c r="EN262" i="135"/>
  <c r="EN223" i="135"/>
  <c r="EN226" i="135"/>
  <c r="EN218" i="135"/>
  <c r="EN229" i="135"/>
  <c r="EN239" i="135"/>
  <c r="EN254" i="135"/>
  <c r="EN258" i="135"/>
  <c r="EN259" i="135"/>
  <c r="EN264" i="135"/>
  <c r="EN265" i="135"/>
  <c r="EN270" i="135"/>
  <c r="EN272" i="135"/>
  <c r="EN275" i="135"/>
  <c r="EN266" i="135"/>
  <c r="EN268" i="135"/>
  <c r="EN273" i="135"/>
  <c r="EN271" i="135"/>
  <c r="EN274" i="135"/>
  <c r="EN248" i="135"/>
  <c r="EN263" i="135"/>
  <c r="EN269" i="135"/>
  <c r="EN267" i="135"/>
  <c r="EN244" i="135"/>
  <c r="EN261" i="135"/>
  <c r="EN250" i="135"/>
  <c r="EN256" i="135"/>
  <c r="FX272" i="135"/>
  <c r="FX268" i="135"/>
  <c r="FX267" i="135"/>
  <c r="FX264" i="135"/>
  <c r="FX260" i="135"/>
  <c r="FX263" i="135"/>
  <c r="FX261" i="135"/>
  <c r="FX255" i="135"/>
  <c r="FX262" i="135"/>
  <c r="FX258" i="135"/>
  <c r="FX253" i="135"/>
  <c r="FX248" i="135"/>
  <c r="FX252" i="135"/>
  <c r="FX249" i="135"/>
  <c r="FX245" i="135"/>
  <c r="FX219" i="135"/>
  <c r="FX227" i="135"/>
  <c r="FX224" i="135"/>
  <c r="FX221" i="135"/>
  <c r="FX223" i="135"/>
  <c r="FX220" i="135"/>
  <c r="FX217" i="135"/>
  <c r="FX225" i="135"/>
  <c r="FX228" i="135"/>
  <c r="FX236" i="135"/>
  <c r="FX242" i="135"/>
  <c r="FX244" i="135"/>
  <c r="FX229" i="135"/>
  <c r="FX233" i="135"/>
  <c r="FX239" i="135"/>
  <c r="FX243" i="135"/>
  <c r="FX251" i="135"/>
  <c r="FX214" i="135"/>
  <c r="FX218" i="135"/>
  <c r="FX238" i="135"/>
  <c r="FX232" i="135"/>
  <c r="FX235" i="135"/>
  <c r="FX246" i="135"/>
  <c r="FX215" i="135"/>
  <c r="FX226" i="135"/>
  <c r="FX231" i="135"/>
  <c r="FX240" i="135"/>
  <c r="FX257" i="135"/>
  <c r="FX234" i="135"/>
  <c r="FX237" i="135"/>
  <c r="FX241" i="135"/>
  <c r="FX250" i="135"/>
  <c r="FX216" i="135"/>
  <c r="FX230" i="135"/>
  <c r="FX247" i="135"/>
  <c r="FX254" i="135"/>
  <c r="FX222" i="135"/>
  <c r="FX259" i="135"/>
  <c r="FX265" i="135"/>
  <c r="FX271" i="135"/>
  <c r="FX273" i="135"/>
  <c r="FX274" i="135"/>
  <c r="FX256" i="135"/>
  <c r="FX275" i="135"/>
  <c r="FX269" i="135"/>
  <c r="FX270" i="135"/>
  <c r="FX266" i="135"/>
  <c r="CT175" i="135"/>
  <c r="FM175" i="135"/>
  <c r="CS175" i="135"/>
  <c r="EC175" i="135"/>
  <c r="ED175" i="135"/>
  <c r="CR174" i="135"/>
  <c r="CE174" i="135"/>
  <c r="AM175" i="135"/>
  <c r="FU175" i="135"/>
  <c r="EK175" i="135"/>
  <c r="DA175" i="135"/>
  <c r="DK175" i="135"/>
  <c r="FO175" i="135"/>
  <c r="EF175" i="135"/>
  <c r="CX175" i="135"/>
  <c r="FS175" i="135"/>
  <c r="FT175" i="135"/>
  <c r="CA175" i="135"/>
  <c r="EE175" i="135"/>
  <c r="FQ175" i="135"/>
  <c r="EH175" i="135"/>
  <c r="CY175" i="135"/>
  <c r="DB175" i="135"/>
  <c r="EU175" i="135"/>
  <c r="FP175" i="135"/>
  <c r="CW175" i="135"/>
  <c r="FR175" i="135"/>
  <c r="EJ175" i="135"/>
  <c r="CU175" i="135"/>
  <c r="CV175" i="135"/>
  <c r="EG175" i="135"/>
  <c r="EI175" i="135"/>
  <c r="CZ175" i="135"/>
  <c r="FV175" i="135"/>
  <c r="EL175" i="135"/>
  <c r="C177" i="135"/>
  <c r="T177" i="135" s="1"/>
  <c r="BQ174" i="135"/>
  <c r="BI174" i="135"/>
  <c r="AX174" i="135"/>
  <c r="BH174" i="135"/>
  <c r="BX174" i="135"/>
  <c r="AV174" i="135"/>
  <c r="BC174" i="135"/>
  <c r="DR174" i="135"/>
  <c r="EA174" i="135"/>
  <c r="EB174" i="135"/>
  <c r="DU174" i="135"/>
  <c r="DP174" i="135"/>
  <c r="DN174" i="135"/>
  <c r="DW174" i="135"/>
  <c r="DO174" i="135"/>
  <c r="DM174" i="135"/>
  <c r="DZ174" i="135"/>
  <c r="DT174" i="135"/>
  <c r="DQ174" i="135"/>
  <c r="DS174" i="135"/>
  <c r="AQ173" i="135"/>
  <c r="EZ174" i="135"/>
  <c r="FH174" i="135"/>
  <c r="EX174" i="135"/>
  <c r="FE174" i="135"/>
  <c r="FL174" i="135"/>
  <c r="FF174" i="135"/>
  <c r="FG174" i="135"/>
  <c r="FC174" i="135"/>
  <c r="FJ174" i="135"/>
  <c r="EW174" i="135"/>
  <c r="FI174" i="135"/>
  <c r="FB174" i="135"/>
  <c r="FD174" i="135"/>
  <c r="FK174" i="135"/>
  <c r="FA174" i="135"/>
  <c r="EY174" i="135"/>
  <c r="AU174" i="135"/>
  <c r="BN174" i="135"/>
  <c r="DV174" i="135"/>
  <c r="CO174" i="135"/>
  <c r="CK174" i="135"/>
  <c r="CG174" i="135"/>
  <c r="CD174" i="135"/>
  <c r="CQ174" i="135"/>
  <c r="CH174" i="135"/>
  <c r="CP174" i="135"/>
  <c r="CF174" i="135"/>
  <c r="CL174" i="135"/>
  <c r="CJ174" i="135"/>
  <c r="CM174" i="135"/>
  <c r="CN174" i="135"/>
  <c r="BD174" i="135"/>
  <c r="AW174" i="135"/>
  <c r="BP174" i="135"/>
  <c r="BY174" i="135"/>
  <c r="AN174" i="135"/>
  <c r="Q174" i="135" s="1"/>
  <c r="CC174" i="135"/>
  <c r="DX174" i="135"/>
  <c r="DC15" i="135"/>
  <c r="FW15" i="135"/>
  <c r="EM15" i="135"/>
  <c r="DC31" i="135"/>
  <c r="FW36" i="135"/>
  <c r="DC33" i="135"/>
  <c r="DD126" i="135"/>
  <c r="DD127" i="135"/>
  <c r="DC34" i="135"/>
  <c r="EN127" i="135"/>
  <c r="EN126" i="135"/>
  <c r="FX126" i="135"/>
  <c r="FX127" i="135"/>
  <c r="DD70" i="135"/>
  <c r="DD72" i="135"/>
  <c r="DD69" i="135"/>
  <c r="DD71" i="135"/>
  <c r="EN72" i="135"/>
  <c r="EN70" i="135"/>
  <c r="EN69" i="135"/>
  <c r="EN71" i="135"/>
  <c r="FX71" i="135"/>
  <c r="FX69" i="135"/>
  <c r="FX72" i="135"/>
  <c r="FX70" i="135"/>
  <c r="DC25" i="135"/>
  <c r="FW25" i="135"/>
  <c r="EM30" i="135"/>
  <c r="FW32" i="135"/>
  <c r="DC37" i="135"/>
  <c r="DC30" i="135"/>
  <c r="DK103" i="135"/>
  <c r="DC26" i="135"/>
  <c r="DC35" i="135"/>
  <c r="FW33" i="135"/>
  <c r="EM28" i="135"/>
  <c r="EM37" i="135"/>
  <c r="EM26" i="135"/>
  <c r="EM35" i="135"/>
  <c r="DD124" i="135"/>
  <c r="DD128" i="135"/>
  <c r="DD121" i="135"/>
  <c r="DD122" i="135"/>
  <c r="DD151" i="135"/>
  <c r="DD174" i="135"/>
  <c r="DD129" i="135"/>
  <c r="DD123" i="135"/>
  <c r="DD171" i="135"/>
  <c r="DD125" i="135"/>
  <c r="DD139" i="135"/>
  <c r="DD163" i="135"/>
  <c r="DD116" i="135"/>
  <c r="DD148" i="135"/>
  <c r="DD165" i="135"/>
  <c r="DD141" i="135"/>
  <c r="DD108" i="135"/>
  <c r="DD132" i="135"/>
  <c r="DD118" i="135"/>
  <c r="DD110" i="135"/>
  <c r="DD159" i="135"/>
  <c r="DD150" i="135"/>
  <c r="DD169" i="135"/>
  <c r="DD115" i="135"/>
  <c r="DD164" i="135"/>
  <c r="DD147" i="135"/>
  <c r="DD144" i="135"/>
  <c r="DD135" i="135"/>
  <c r="DD111" i="135"/>
  <c r="DD130" i="135"/>
  <c r="DD153" i="135"/>
  <c r="DD166" i="135"/>
  <c r="DD152" i="135"/>
  <c r="DD155" i="135"/>
  <c r="DD175" i="135"/>
  <c r="DD136" i="135"/>
  <c r="DD162" i="135"/>
  <c r="DD134" i="135"/>
  <c r="DD114" i="135"/>
  <c r="DD160" i="135"/>
  <c r="DD107" i="135"/>
  <c r="DD154" i="135"/>
  <c r="DD112" i="135"/>
  <c r="DD131" i="135"/>
  <c r="DD138" i="135"/>
  <c r="DD133" i="135"/>
  <c r="DD145" i="135"/>
  <c r="DD157" i="135"/>
  <c r="DD117" i="135"/>
  <c r="DD168" i="135"/>
  <c r="DD137" i="135"/>
  <c r="DD119" i="135"/>
  <c r="DD167" i="135"/>
  <c r="DD113" i="135"/>
  <c r="DD161" i="135"/>
  <c r="DD173" i="135"/>
  <c r="DD149" i="135"/>
  <c r="DD143" i="135"/>
  <c r="DD106" i="135"/>
  <c r="DD158" i="135"/>
  <c r="DD109" i="135"/>
  <c r="DD142" i="135"/>
  <c r="DD156" i="135"/>
  <c r="DD170" i="135"/>
  <c r="DD146" i="135"/>
  <c r="DD120" i="135"/>
  <c r="DD172" i="135"/>
  <c r="DD140" i="135"/>
  <c r="EN103" i="135"/>
  <c r="EN122" i="135"/>
  <c r="EN123" i="135"/>
  <c r="EN121" i="135"/>
  <c r="EN125" i="135"/>
  <c r="EN128" i="135"/>
  <c r="EN171" i="135"/>
  <c r="EN124" i="135"/>
  <c r="EN129" i="135"/>
  <c r="EN151" i="135"/>
  <c r="EN174" i="135"/>
  <c r="EN139" i="135"/>
  <c r="EN108" i="135"/>
  <c r="EN141" i="135"/>
  <c r="EN165" i="135"/>
  <c r="EN163" i="135"/>
  <c r="EN135" i="135"/>
  <c r="EN148" i="135"/>
  <c r="EN111" i="135"/>
  <c r="EN144" i="135"/>
  <c r="EN169" i="135"/>
  <c r="EN110" i="135"/>
  <c r="EN116" i="135"/>
  <c r="EN159" i="135"/>
  <c r="EN115" i="135"/>
  <c r="EN164" i="135"/>
  <c r="EN147" i="135"/>
  <c r="EN132" i="135"/>
  <c r="EN150" i="135"/>
  <c r="EN118" i="135"/>
  <c r="EN162" i="135"/>
  <c r="EN130" i="135"/>
  <c r="EN153" i="135"/>
  <c r="EN107" i="135"/>
  <c r="EN112" i="135"/>
  <c r="EN136" i="135"/>
  <c r="EN160" i="135"/>
  <c r="EN134" i="135"/>
  <c r="EN131" i="135"/>
  <c r="EN155" i="135"/>
  <c r="EN175" i="135"/>
  <c r="EN138" i="135"/>
  <c r="EN154" i="135"/>
  <c r="EN152" i="135"/>
  <c r="EN133" i="135"/>
  <c r="EN166" i="135"/>
  <c r="EN137" i="135"/>
  <c r="EN167" i="135"/>
  <c r="EN114" i="135"/>
  <c r="EN113" i="135"/>
  <c r="EN161" i="135"/>
  <c r="EN119" i="135"/>
  <c r="EN145" i="135"/>
  <c r="EN149" i="135"/>
  <c r="EN173" i="135"/>
  <c r="EN143" i="135"/>
  <c r="EN157" i="135"/>
  <c r="EN117" i="135"/>
  <c r="EN168" i="135"/>
  <c r="EN156" i="135"/>
  <c r="EN109" i="135"/>
  <c r="EN142" i="135"/>
  <c r="EN158" i="135"/>
  <c r="EN146" i="135"/>
  <c r="EN106" i="135"/>
  <c r="EN170" i="135"/>
  <c r="EN120" i="135"/>
  <c r="EN140" i="135"/>
  <c r="EN172" i="135"/>
  <c r="FW30" i="135"/>
  <c r="FH103" i="135"/>
  <c r="FX103" i="135"/>
  <c r="FX128" i="135"/>
  <c r="FX151" i="135"/>
  <c r="FX125" i="135"/>
  <c r="FX129" i="135"/>
  <c r="FX124" i="135"/>
  <c r="FX174" i="135"/>
  <c r="FX121" i="135"/>
  <c r="FX171" i="135"/>
  <c r="FX122" i="135"/>
  <c r="FX123" i="135"/>
  <c r="FX139" i="135"/>
  <c r="FX141" i="135"/>
  <c r="FX147" i="135"/>
  <c r="FX144" i="135"/>
  <c r="FX163" i="135"/>
  <c r="FX165" i="135"/>
  <c r="FX116" i="135"/>
  <c r="FX108" i="135"/>
  <c r="FX148" i="135"/>
  <c r="FX135" i="135"/>
  <c r="FX115" i="135"/>
  <c r="FX159" i="135"/>
  <c r="FX164" i="135"/>
  <c r="FX111" i="135"/>
  <c r="FX150" i="135"/>
  <c r="FX169" i="135"/>
  <c r="FX132" i="135"/>
  <c r="FX118" i="135"/>
  <c r="FX110" i="135"/>
  <c r="FX160" i="135"/>
  <c r="FX136" i="135"/>
  <c r="FX107" i="135"/>
  <c r="FX131" i="135"/>
  <c r="FX152" i="135"/>
  <c r="FX153" i="135"/>
  <c r="FX175" i="135"/>
  <c r="FX154" i="135"/>
  <c r="FX155" i="135"/>
  <c r="FX162" i="135"/>
  <c r="FX134" i="135"/>
  <c r="FX112" i="135"/>
  <c r="FX138" i="135"/>
  <c r="FX130" i="135"/>
  <c r="FX113" i="135"/>
  <c r="FX137" i="135"/>
  <c r="FX143" i="135"/>
  <c r="FX145" i="135"/>
  <c r="FX168" i="135"/>
  <c r="FX166" i="135"/>
  <c r="FX133" i="135"/>
  <c r="FX161" i="135"/>
  <c r="FX173" i="135"/>
  <c r="FX119" i="135"/>
  <c r="FX114" i="135"/>
  <c r="FX157" i="135"/>
  <c r="FX149" i="135"/>
  <c r="FX117" i="135"/>
  <c r="FX146" i="135"/>
  <c r="FX106" i="135"/>
  <c r="FX156" i="135"/>
  <c r="FX158" i="135"/>
  <c r="FX109" i="135"/>
  <c r="FX167" i="135"/>
  <c r="FX170" i="135"/>
  <c r="FX142" i="135"/>
  <c r="FX120" i="135"/>
  <c r="FX172" i="135"/>
  <c r="FX140" i="135"/>
  <c r="DC32" i="135"/>
  <c r="FW31" i="135"/>
  <c r="EM32" i="135"/>
  <c r="EM31" i="135"/>
  <c r="CA103" i="135"/>
  <c r="DC36" i="135"/>
  <c r="FW28" i="135"/>
  <c r="FW37" i="135"/>
  <c r="FW26" i="135"/>
  <c r="FW35" i="135"/>
  <c r="EM36" i="135"/>
  <c r="EM33" i="135"/>
  <c r="EU103" i="135"/>
  <c r="FE103" i="135"/>
  <c r="EM23" i="135"/>
  <c r="EM22" i="135"/>
  <c r="DC27" i="135"/>
  <c r="DC24" i="135"/>
  <c r="FW23" i="135"/>
  <c r="DW103" i="135"/>
  <c r="EZ103" i="135"/>
  <c r="DC28" i="135"/>
  <c r="FW27" i="135"/>
  <c r="FW22" i="135"/>
  <c r="DC23" i="135"/>
  <c r="DC22" i="135"/>
  <c r="EM27" i="135"/>
  <c r="EM24" i="135"/>
  <c r="AX103" i="135"/>
  <c r="CI103" i="135"/>
  <c r="FW24" i="135"/>
  <c r="FJ103" i="135"/>
  <c r="FC103" i="135"/>
  <c r="FF103" i="135"/>
  <c r="EV103" i="135"/>
  <c r="FA103" i="135"/>
  <c r="EY103" i="135"/>
  <c r="CD103" i="135"/>
  <c r="CL103" i="135"/>
  <c r="CK103" i="135"/>
  <c r="CH103" i="135"/>
  <c r="CG103" i="135"/>
  <c r="CP103" i="135"/>
  <c r="CJ103" i="135"/>
  <c r="DM103" i="135"/>
  <c r="CB103" i="135"/>
  <c r="CC103" i="135"/>
  <c r="CM103" i="135"/>
  <c r="CF103" i="135"/>
  <c r="BI103" i="135"/>
  <c r="CE103" i="135"/>
  <c r="CN103" i="135"/>
  <c r="CO103" i="135"/>
  <c r="DZ103" i="135"/>
  <c r="DQ103" i="135"/>
  <c r="DT103" i="135"/>
  <c r="DD63" i="135"/>
  <c r="DD62" i="135"/>
  <c r="DD61" i="135"/>
  <c r="DD60" i="135"/>
  <c r="DD64" i="135"/>
  <c r="DD65" i="135"/>
  <c r="DD66" i="135"/>
  <c r="DD67" i="135"/>
  <c r="DD68" i="135"/>
  <c r="DD73" i="135"/>
  <c r="DD74" i="135"/>
  <c r="DD75" i="135"/>
  <c r="DD76" i="135"/>
  <c r="DD77" i="135"/>
  <c r="DD78" i="135"/>
  <c r="DD79" i="135"/>
  <c r="DD80" i="135"/>
  <c r="DD81" i="135"/>
  <c r="DD82" i="135"/>
  <c r="DD83" i="135"/>
  <c r="DD84" i="135"/>
  <c r="DD85" i="135"/>
  <c r="DD86" i="135"/>
  <c r="DD87" i="135"/>
  <c r="DD88" i="135"/>
  <c r="DD89" i="135"/>
  <c r="DD90" i="135"/>
  <c r="DD91" i="135"/>
  <c r="DD92" i="135"/>
  <c r="DD93" i="135"/>
  <c r="DD94" i="135"/>
  <c r="DD95" i="135"/>
  <c r="DD96" i="135"/>
  <c r="DD97" i="135"/>
  <c r="DD98" i="135"/>
  <c r="DD99" i="135"/>
  <c r="DD100" i="135"/>
  <c r="DD101" i="135"/>
  <c r="DD102" i="135"/>
  <c r="DD103" i="135"/>
  <c r="EN63" i="135"/>
  <c r="EN60" i="135"/>
  <c r="EN61" i="135"/>
  <c r="EN62" i="135"/>
  <c r="EN64" i="135"/>
  <c r="EN65" i="135"/>
  <c r="EN66" i="135"/>
  <c r="EN67" i="135"/>
  <c r="EN68" i="135"/>
  <c r="EN73" i="135"/>
  <c r="EN74" i="135"/>
  <c r="EN75" i="135"/>
  <c r="EN76" i="135"/>
  <c r="EN77" i="135"/>
  <c r="EN78" i="135"/>
  <c r="EN79" i="135"/>
  <c r="EN80" i="135"/>
  <c r="EN81" i="135"/>
  <c r="EN82" i="135"/>
  <c r="EN83" i="135"/>
  <c r="EN84" i="135"/>
  <c r="EN85" i="135"/>
  <c r="EN86" i="135"/>
  <c r="EN87" i="135"/>
  <c r="EN88" i="135"/>
  <c r="EN89" i="135"/>
  <c r="EN90" i="135"/>
  <c r="EN91" i="135"/>
  <c r="EN92" i="135"/>
  <c r="EN93" i="135"/>
  <c r="EN94" i="135"/>
  <c r="EN95" i="135"/>
  <c r="EN96" i="135"/>
  <c r="EN97" i="135"/>
  <c r="EN98" i="135"/>
  <c r="EN99" i="135"/>
  <c r="EN100" i="135"/>
  <c r="EN101" i="135"/>
  <c r="EN102" i="135"/>
  <c r="AM103" i="135"/>
  <c r="BY103" i="135" s="1"/>
  <c r="FX63" i="135"/>
  <c r="FX60" i="135"/>
  <c r="FX61" i="135"/>
  <c r="FX62" i="135"/>
  <c r="FX64" i="135"/>
  <c r="FX65" i="135"/>
  <c r="FX66" i="135"/>
  <c r="FX67" i="135"/>
  <c r="FX68" i="135"/>
  <c r="FX73" i="135"/>
  <c r="FX74" i="135"/>
  <c r="FX75" i="135"/>
  <c r="FX76" i="135"/>
  <c r="FX77" i="135"/>
  <c r="FX78" i="135"/>
  <c r="FX79" i="135"/>
  <c r="FX80" i="135"/>
  <c r="FX81" i="135"/>
  <c r="FX82" i="135"/>
  <c r="FX83" i="135"/>
  <c r="FX84" i="135"/>
  <c r="FX85" i="135"/>
  <c r="FX86" i="135"/>
  <c r="FX87" i="135"/>
  <c r="FX88" i="135"/>
  <c r="FX89" i="135"/>
  <c r="FX90" i="135"/>
  <c r="FX91" i="135"/>
  <c r="FX92" i="135"/>
  <c r="FX93" i="135"/>
  <c r="FX94" i="135"/>
  <c r="FX95" i="135"/>
  <c r="FX96" i="135"/>
  <c r="FX97" i="135"/>
  <c r="FX98" i="135"/>
  <c r="FX99" i="135"/>
  <c r="FX100" i="135"/>
  <c r="FX101" i="135"/>
  <c r="FX102" i="135"/>
  <c r="DR103" i="135"/>
  <c r="DN103" i="135"/>
  <c r="DS103" i="135"/>
  <c r="FI103" i="135"/>
  <c r="EW103" i="135"/>
  <c r="FD103" i="135"/>
  <c r="DO103" i="135"/>
  <c r="DY103" i="135"/>
  <c r="FB103" i="135"/>
  <c r="DX103" i="135"/>
  <c r="DL103" i="135"/>
  <c r="EX103" i="135"/>
  <c r="FG103" i="135"/>
  <c r="DP103" i="135"/>
  <c r="DU103" i="135"/>
  <c r="DV103" i="135"/>
  <c r="BQ103" i="135"/>
  <c r="FD104" i="135"/>
  <c r="AM104" i="135"/>
  <c r="BP104" i="135" s="1"/>
  <c r="BH103" i="135"/>
  <c r="BX103" i="135"/>
  <c r="AV103" i="135"/>
  <c r="BC103" i="135"/>
  <c r="AU103" i="135"/>
  <c r="BN103" i="135"/>
  <c r="C105" i="135"/>
  <c r="T105" i="135" s="1"/>
  <c r="DZ104" i="135"/>
  <c r="EL104" i="135"/>
  <c r="DC104" i="135"/>
  <c r="EK104" i="135"/>
  <c r="DD104" i="135"/>
  <c r="CZ104" i="135"/>
  <c r="CY104" i="135"/>
  <c r="DB104" i="135"/>
  <c r="CR104" i="135"/>
  <c r="CS104" i="135"/>
  <c r="FM104" i="135"/>
  <c r="CW104" i="135"/>
  <c r="DA104" i="135"/>
  <c r="CU104" i="135"/>
  <c r="CQ104" i="135"/>
  <c r="CV104" i="135"/>
  <c r="CT104" i="135"/>
  <c r="FT104" i="135"/>
  <c r="CX104" i="135"/>
  <c r="EN59" i="135"/>
  <c r="EN51" i="135"/>
  <c r="EN56" i="135"/>
  <c r="EN54" i="135"/>
  <c r="EN50" i="135"/>
  <c r="EN57" i="135"/>
  <c r="EN53" i="135"/>
  <c r="EN52" i="135"/>
  <c r="EN58" i="135"/>
  <c r="EN55" i="135"/>
  <c r="FX56" i="135"/>
  <c r="FX51" i="135"/>
  <c r="FX59" i="135"/>
  <c r="FX50" i="135"/>
  <c r="FX57" i="135"/>
  <c r="FX52" i="135"/>
  <c r="FX55" i="135"/>
  <c r="FX53" i="135"/>
  <c r="FX58" i="135"/>
  <c r="FX54" i="135"/>
  <c r="DD51" i="135"/>
  <c r="DD56" i="135"/>
  <c r="DD59" i="135"/>
  <c r="DD57" i="135"/>
  <c r="DD54" i="135"/>
  <c r="DD55" i="135"/>
  <c r="DD53" i="135"/>
  <c r="DD52" i="135"/>
  <c r="DD50" i="135"/>
  <c r="DD58" i="135"/>
  <c r="FX49" i="135"/>
  <c r="DD49" i="135"/>
  <c r="EN49" i="135"/>
  <c r="DC21" i="135"/>
  <c r="DC14" i="135"/>
  <c r="EM21" i="135"/>
  <c r="EM14" i="135"/>
  <c r="FW21" i="135"/>
  <c r="FW14" i="135"/>
  <c r="FY8" i="135"/>
  <c r="EO8" i="135"/>
  <c r="DE8" i="135"/>
  <c r="EN25" i="135" l="1"/>
  <c r="FX25" i="135"/>
  <c r="AH176" i="135"/>
  <c r="AD176" i="135"/>
  <c r="Y176" i="135"/>
  <c r="DR176" i="135" s="1"/>
  <c r="AL177" i="135"/>
  <c r="U177" i="135"/>
  <c r="V177" i="135"/>
  <c r="AF177" i="135"/>
  <c r="AK177" i="135"/>
  <c r="EO177" i="135" s="1"/>
  <c r="V105" i="135"/>
  <c r="AL105" i="135"/>
  <c r="AI105" i="135"/>
  <c r="U105" i="135"/>
  <c r="AK105" i="135"/>
  <c r="AG176" i="135"/>
  <c r="AF176" i="135"/>
  <c r="AM176" i="135" s="1"/>
  <c r="AW176" i="135" s="1"/>
  <c r="X176" i="135"/>
  <c r="CC176" i="135" s="1"/>
  <c r="Z176" i="135"/>
  <c r="AC176" i="135"/>
  <c r="AJ176" i="135"/>
  <c r="AI176" i="135"/>
  <c r="BH176" i="135" s="1"/>
  <c r="AB176" i="135"/>
  <c r="EB104" i="135"/>
  <c r="FN104" i="135"/>
  <c r="FU104" i="135"/>
  <c r="FS104" i="135"/>
  <c r="EA104" i="135"/>
  <c r="FV104" i="135"/>
  <c r="EC104" i="135"/>
  <c r="FR104" i="135"/>
  <c r="FK104" i="135"/>
  <c r="ED104" i="135"/>
  <c r="EE104" i="135"/>
  <c r="EF104" i="135"/>
  <c r="EN104" i="135"/>
  <c r="FP104" i="135"/>
  <c r="FW104" i="135"/>
  <c r="EH104" i="135"/>
  <c r="FO104" i="135"/>
  <c r="EG104" i="135"/>
  <c r="EJ104" i="135"/>
  <c r="EM104" i="135"/>
  <c r="FL104" i="135"/>
  <c r="FQ104" i="135"/>
  <c r="EI104" i="135"/>
  <c r="FX104" i="135"/>
  <c r="FX176" i="135"/>
  <c r="DD176" i="135"/>
  <c r="EN176" i="135"/>
  <c r="CS176" i="135"/>
  <c r="DL175" i="135"/>
  <c r="FM176" i="135"/>
  <c r="AQ174" i="135"/>
  <c r="EN34" i="135"/>
  <c r="FN176" i="135"/>
  <c r="DE267" i="135"/>
  <c r="DE271" i="135"/>
  <c r="DE270" i="135"/>
  <c r="DE269" i="135"/>
  <c r="DE252" i="135"/>
  <c r="DE234" i="135"/>
  <c r="DE230" i="135"/>
  <c r="DE233" i="135"/>
  <c r="DE232" i="135"/>
  <c r="DE229" i="135"/>
  <c r="DE221" i="135"/>
  <c r="DE218" i="135"/>
  <c r="DE220" i="135"/>
  <c r="DE217" i="135"/>
  <c r="DE216" i="135"/>
  <c r="DE215" i="135"/>
  <c r="DE214" i="135"/>
  <c r="DE219" i="135"/>
  <c r="DE227" i="135"/>
  <c r="DE240" i="135"/>
  <c r="DE237" i="135"/>
  <c r="DE241" i="135"/>
  <c r="DE247" i="135"/>
  <c r="DE225" i="135"/>
  <c r="DE251" i="135"/>
  <c r="DE256" i="135"/>
  <c r="DE258" i="135"/>
  <c r="DE228" i="135"/>
  <c r="DE223" i="135"/>
  <c r="DE235" i="135"/>
  <c r="DE236" i="135"/>
  <c r="DE242" i="135"/>
  <c r="DE244" i="135"/>
  <c r="DE257" i="135"/>
  <c r="DE239" i="135"/>
  <c r="DE243" i="135"/>
  <c r="DE246" i="135"/>
  <c r="DE248" i="135"/>
  <c r="DE226" i="135"/>
  <c r="DE250" i="135"/>
  <c r="DE224" i="135"/>
  <c r="DE231" i="135"/>
  <c r="DE253" i="135"/>
  <c r="DE254" i="135"/>
  <c r="DE222" i="135"/>
  <c r="DE238" i="135"/>
  <c r="DE259" i="135"/>
  <c r="DE260" i="135"/>
  <c r="DE265" i="135"/>
  <c r="DE263" i="135"/>
  <c r="DE266" i="135"/>
  <c r="DE275" i="135"/>
  <c r="DE272" i="135"/>
  <c r="DE264" i="135"/>
  <c r="DE274" i="135"/>
  <c r="DE249" i="135"/>
  <c r="DE255" i="135"/>
  <c r="DE262" i="135"/>
  <c r="DE268" i="135"/>
  <c r="DE273" i="135"/>
  <c r="DE261" i="135"/>
  <c r="DE245" i="135"/>
  <c r="EO267" i="135"/>
  <c r="EO268" i="135"/>
  <c r="EO266" i="135"/>
  <c r="EO258" i="135"/>
  <c r="EO249" i="135"/>
  <c r="EO250" i="135"/>
  <c r="EO243" i="135"/>
  <c r="EO237" i="135"/>
  <c r="EO235" i="135"/>
  <c r="EO231" i="135"/>
  <c r="EO234" i="135"/>
  <c r="EO230" i="135"/>
  <c r="EO246" i="135"/>
  <c r="EO241" i="135"/>
  <c r="EO239" i="135"/>
  <c r="EO225" i="135"/>
  <c r="EO224" i="135"/>
  <c r="EO217" i="135"/>
  <c r="EO222" i="135"/>
  <c r="EO221" i="135"/>
  <c r="EO240" i="135"/>
  <c r="EO245" i="135"/>
  <c r="EO247" i="135"/>
  <c r="EO252" i="135"/>
  <c r="EO214" i="135"/>
  <c r="EO218" i="135"/>
  <c r="EO228" i="135"/>
  <c r="EO223" i="135"/>
  <c r="EO257" i="135"/>
  <c r="EO244" i="135"/>
  <c r="EO233" i="135"/>
  <c r="EO251" i="135"/>
  <c r="EO253" i="135"/>
  <c r="EO215" i="135"/>
  <c r="EO236" i="135"/>
  <c r="EO242" i="135"/>
  <c r="EO229" i="135"/>
  <c r="EO248" i="135"/>
  <c r="EO254" i="135"/>
  <c r="EO255" i="135"/>
  <c r="EO226" i="135"/>
  <c r="EO219" i="135"/>
  <c r="EO216" i="135"/>
  <c r="EO256" i="135"/>
  <c r="EO262" i="135"/>
  <c r="EO264" i="135"/>
  <c r="EO227" i="135"/>
  <c r="EO238" i="135"/>
  <c r="EO232" i="135"/>
  <c r="EO220" i="135"/>
  <c r="EO261" i="135"/>
  <c r="EO270" i="135"/>
  <c r="EO269" i="135"/>
  <c r="EO274" i="135"/>
  <c r="EO273" i="135"/>
  <c r="EO260" i="135"/>
  <c r="EO263" i="135"/>
  <c r="EO265" i="135"/>
  <c r="EO271" i="135"/>
  <c r="EO272" i="135"/>
  <c r="EO259" i="135"/>
  <c r="EO275" i="135"/>
  <c r="FY259" i="135"/>
  <c r="FY249" i="135"/>
  <c r="FY256" i="135"/>
  <c r="FY234" i="135"/>
  <c r="FY230" i="135"/>
  <c r="FY255" i="135"/>
  <c r="FY243" i="135"/>
  <c r="FY254" i="135"/>
  <c r="FY247" i="135"/>
  <c r="FY233" i="135"/>
  <c r="FY232" i="135"/>
  <c r="FY229" i="135"/>
  <c r="FY241" i="135"/>
  <c r="FY251" i="135"/>
  <c r="FY248" i="135"/>
  <c r="FY239" i="135"/>
  <c r="FY237" i="135"/>
  <c r="FY226" i="135"/>
  <c r="FY223" i="135"/>
  <c r="FY222" i="135"/>
  <c r="FY218" i="135"/>
  <c r="FY220" i="135"/>
  <c r="FY242" i="135"/>
  <c r="FY245" i="135"/>
  <c r="FY246" i="135"/>
  <c r="FY214" i="135"/>
  <c r="FY217" i="135"/>
  <c r="FY219" i="135"/>
  <c r="FY227" i="135"/>
  <c r="FY238" i="135"/>
  <c r="FY235" i="135"/>
  <c r="FY250" i="135"/>
  <c r="FY252" i="135"/>
  <c r="FY215" i="135"/>
  <c r="FY228" i="135"/>
  <c r="FY231" i="135"/>
  <c r="FY240" i="135"/>
  <c r="FY244" i="135"/>
  <c r="FY253" i="135"/>
  <c r="FY224" i="135"/>
  <c r="FY225" i="135"/>
  <c r="FY236" i="135"/>
  <c r="FY257" i="135"/>
  <c r="FY263" i="135"/>
  <c r="FY216" i="135"/>
  <c r="FY221" i="135"/>
  <c r="FY262" i="135"/>
  <c r="FY267" i="135"/>
  <c r="FY269" i="135"/>
  <c r="FY271" i="135"/>
  <c r="FY275" i="135"/>
  <c r="FY266" i="135"/>
  <c r="FY272" i="135"/>
  <c r="FY264" i="135"/>
  <c r="FY268" i="135"/>
  <c r="FY261" i="135"/>
  <c r="FY265" i="135"/>
  <c r="FY270" i="135"/>
  <c r="FY274" i="135"/>
  <c r="FY258" i="135"/>
  <c r="FY260" i="135"/>
  <c r="FY273" i="135"/>
  <c r="BP175" i="135"/>
  <c r="BY175" i="135"/>
  <c r="BD175" i="135"/>
  <c r="AW175" i="135"/>
  <c r="AN175" i="135"/>
  <c r="Q175" i="135" s="1"/>
  <c r="DO175" i="135"/>
  <c r="DY175" i="135"/>
  <c r="DX175" i="135"/>
  <c r="DN175" i="135"/>
  <c r="DQ175" i="135"/>
  <c r="DS175" i="135"/>
  <c r="DW175" i="135"/>
  <c r="EB175" i="135"/>
  <c r="DZ175" i="135"/>
  <c r="DR175" i="135"/>
  <c r="EA175" i="135"/>
  <c r="DU175" i="135"/>
  <c r="DP175" i="135"/>
  <c r="DT175" i="135"/>
  <c r="DV175" i="135"/>
  <c r="CD175" i="135"/>
  <c r="CE175" i="135"/>
  <c r="CQ175" i="135"/>
  <c r="CK175" i="135"/>
  <c r="CP175" i="135"/>
  <c r="CJ175" i="135"/>
  <c r="CI175" i="135"/>
  <c r="CC175" i="135"/>
  <c r="CH175" i="135"/>
  <c r="CN175" i="135"/>
  <c r="CF175" i="135"/>
  <c r="CO175" i="135"/>
  <c r="CG175" i="135"/>
  <c r="CR175" i="135"/>
  <c r="CM175" i="135"/>
  <c r="CL175" i="135"/>
  <c r="BN175" i="135"/>
  <c r="AU175" i="135"/>
  <c r="BX175" i="135"/>
  <c r="BC175" i="135"/>
  <c r="BH175" i="135"/>
  <c r="AV175" i="135"/>
  <c r="AX175" i="135"/>
  <c r="BQ175" i="135"/>
  <c r="BI175" i="135"/>
  <c r="EZ175" i="135"/>
  <c r="FD175" i="135"/>
  <c r="FB175" i="135"/>
  <c r="EW175" i="135"/>
  <c r="FH175" i="135"/>
  <c r="FL175" i="135"/>
  <c r="FF175" i="135"/>
  <c r="FJ175" i="135"/>
  <c r="FC175" i="135"/>
  <c r="FG175" i="135"/>
  <c r="FA175" i="135"/>
  <c r="FE175" i="135"/>
  <c r="FI175" i="135"/>
  <c r="EX175" i="135"/>
  <c r="EY175" i="135"/>
  <c r="FK175" i="135"/>
  <c r="FK176" i="135"/>
  <c r="C178" i="135"/>
  <c r="T178" i="135" s="1"/>
  <c r="DB176" i="135"/>
  <c r="FV176" i="135"/>
  <c r="EL176" i="135"/>
  <c r="CA176" i="135"/>
  <c r="EB176" i="135"/>
  <c r="CU176" i="135"/>
  <c r="EF176" i="135"/>
  <c r="EH176" i="135"/>
  <c r="EI176" i="135"/>
  <c r="FT176" i="135"/>
  <c r="EU176" i="135"/>
  <c r="EC176" i="135"/>
  <c r="FO176" i="135"/>
  <c r="EG176" i="135"/>
  <c r="CX176" i="135"/>
  <c r="FS176" i="135"/>
  <c r="EK176" i="135"/>
  <c r="FW176" i="135"/>
  <c r="ED176" i="135"/>
  <c r="FP176" i="135"/>
  <c r="FQ176" i="135"/>
  <c r="FR176" i="135"/>
  <c r="CZ176" i="135"/>
  <c r="DA176" i="135"/>
  <c r="DC176" i="135"/>
  <c r="EM176" i="135"/>
  <c r="DK176" i="135"/>
  <c r="EE176" i="135"/>
  <c r="CV176" i="135"/>
  <c r="CW176" i="135"/>
  <c r="CY176" i="135"/>
  <c r="EJ176" i="135"/>
  <c r="FU176" i="135"/>
  <c r="DD15" i="135"/>
  <c r="EN15" i="135"/>
  <c r="FX15" i="135"/>
  <c r="DD37" i="135"/>
  <c r="EN33" i="135"/>
  <c r="DD36" i="135"/>
  <c r="EN30" i="135"/>
  <c r="DE126" i="135"/>
  <c r="DE127" i="135"/>
  <c r="FY126" i="135"/>
  <c r="FY127" i="135"/>
  <c r="FX34" i="135"/>
  <c r="DD34" i="135"/>
  <c r="EO126" i="135"/>
  <c r="EO127" i="135"/>
  <c r="EO70" i="135"/>
  <c r="EO71" i="135"/>
  <c r="EO69" i="135"/>
  <c r="EO72" i="135"/>
  <c r="DD25" i="135"/>
  <c r="DE69" i="135"/>
  <c r="DE70" i="135"/>
  <c r="DE72" i="135"/>
  <c r="DE71" i="135"/>
  <c r="FY71" i="135"/>
  <c r="FY72" i="135"/>
  <c r="FY69" i="135"/>
  <c r="FY70" i="135"/>
  <c r="EO123" i="135"/>
  <c r="EO125" i="135"/>
  <c r="EO128" i="135"/>
  <c r="EO151" i="135"/>
  <c r="EO122" i="135"/>
  <c r="EO129" i="135"/>
  <c r="EO121" i="135"/>
  <c r="EO124" i="135"/>
  <c r="EO171" i="135"/>
  <c r="EO174" i="135"/>
  <c r="EO147" i="135"/>
  <c r="EO163" i="135"/>
  <c r="EO135" i="135"/>
  <c r="EO132" i="135"/>
  <c r="EO139" i="135"/>
  <c r="EO141" i="135"/>
  <c r="EO108" i="135"/>
  <c r="EO148" i="135"/>
  <c r="EO165" i="135"/>
  <c r="EO116" i="135"/>
  <c r="EO150" i="135"/>
  <c r="EO115" i="135"/>
  <c r="EO111" i="135"/>
  <c r="EO159" i="135"/>
  <c r="EO164" i="135"/>
  <c r="EO144" i="135"/>
  <c r="EO118" i="135"/>
  <c r="EO169" i="135"/>
  <c r="EO110" i="135"/>
  <c r="EO175" i="135"/>
  <c r="EO166" i="135"/>
  <c r="EO162" i="135"/>
  <c r="EO134" i="135"/>
  <c r="EO155" i="135"/>
  <c r="EO160" i="135"/>
  <c r="EO107" i="135"/>
  <c r="EO112" i="135"/>
  <c r="EO136" i="135"/>
  <c r="EO154" i="135"/>
  <c r="EO130" i="135"/>
  <c r="EO131" i="135"/>
  <c r="EO152" i="135"/>
  <c r="EO153" i="135"/>
  <c r="EO113" i="135"/>
  <c r="EO133" i="135"/>
  <c r="EO119" i="135"/>
  <c r="EO137" i="135"/>
  <c r="EO161" i="135"/>
  <c r="EO149" i="135"/>
  <c r="EO167" i="135"/>
  <c r="EO114" i="135"/>
  <c r="EO138" i="135"/>
  <c r="EO145" i="135"/>
  <c r="EO157" i="135"/>
  <c r="EO173" i="135"/>
  <c r="EO143" i="135"/>
  <c r="EO117" i="135"/>
  <c r="EO168" i="135"/>
  <c r="EO106" i="135"/>
  <c r="EO158" i="135"/>
  <c r="EO109" i="135"/>
  <c r="EO142" i="135"/>
  <c r="EO156" i="135"/>
  <c r="EO170" i="135"/>
  <c r="EO176" i="135"/>
  <c r="EO146" i="135"/>
  <c r="EO120" i="135"/>
  <c r="EO172" i="135"/>
  <c r="EO140" i="135"/>
  <c r="EN32" i="135"/>
  <c r="EN36" i="135"/>
  <c r="DD26" i="135"/>
  <c r="DD35" i="135"/>
  <c r="DD32" i="135"/>
  <c r="FY122" i="135"/>
  <c r="FY129" i="135"/>
  <c r="FY174" i="135"/>
  <c r="FY124" i="135"/>
  <c r="FY128" i="135"/>
  <c r="FY171" i="135"/>
  <c r="FY121" i="135"/>
  <c r="FY123" i="135"/>
  <c r="FY125" i="135"/>
  <c r="FY151" i="135"/>
  <c r="FY139" i="135"/>
  <c r="FY141" i="135"/>
  <c r="FY148" i="135"/>
  <c r="FY163" i="135"/>
  <c r="FY135" i="135"/>
  <c r="FY165" i="135"/>
  <c r="FY144" i="135"/>
  <c r="FY108" i="135"/>
  <c r="FY111" i="135"/>
  <c r="FY118" i="135"/>
  <c r="FY116" i="135"/>
  <c r="FY132" i="135"/>
  <c r="FY115" i="135"/>
  <c r="FY147" i="135"/>
  <c r="FY159" i="135"/>
  <c r="FY150" i="135"/>
  <c r="FY169" i="135"/>
  <c r="FY164" i="135"/>
  <c r="FY136" i="135"/>
  <c r="FY162" i="135"/>
  <c r="FY107" i="135"/>
  <c r="FY166" i="135"/>
  <c r="FY154" i="135"/>
  <c r="FY155" i="135"/>
  <c r="FY110" i="135"/>
  <c r="FY160" i="135"/>
  <c r="FY130" i="135"/>
  <c r="FY112" i="135"/>
  <c r="FY131" i="135"/>
  <c r="FY114" i="135"/>
  <c r="FY113" i="135"/>
  <c r="FY134" i="135"/>
  <c r="FY152" i="135"/>
  <c r="FY153" i="135"/>
  <c r="FY175" i="135"/>
  <c r="FY137" i="135"/>
  <c r="FY133" i="135"/>
  <c r="FY161" i="135"/>
  <c r="FY173" i="135"/>
  <c r="FY143" i="135"/>
  <c r="FY168" i="135"/>
  <c r="FY119" i="135"/>
  <c r="FY149" i="135"/>
  <c r="FY167" i="135"/>
  <c r="FY138" i="135"/>
  <c r="FY145" i="135"/>
  <c r="FY157" i="135"/>
  <c r="FY117" i="135"/>
  <c r="FY106" i="135"/>
  <c r="FY142" i="135"/>
  <c r="FY156" i="135"/>
  <c r="FY109" i="135"/>
  <c r="FY176" i="135"/>
  <c r="FY146" i="135"/>
  <c r="FY170" i="135"/>
  <c r="FY158" i="135"/>
  <c r="FY120" i="135"/>
  <c r="FY140" i="135"/>
  <c r="FY172" i="135"/>
  <c r="DD30" i="135"/>
  <c r="FX32" i="135"/>
  <c r="FX31" i="135"/>
  <c r="EN31" i="135"/>
  <c r="FX36" i="135"/>
  <c r="FX33" i="135"/>
  <c r="EN28" i="135"/>
  <c r="EN37" i="135"/>
  <c r="EN26" i="135"/>
  <c r="EN35" i="135"/>
  <c r="DD33" i="135"/>
  <c r="DE104" i="135"/>
  <c r="DE121" i="135"/>
  <c r="DE174" i="135"/>
  <c r="DE151" i="135"/>
  <c r="DE124" i="135"/>
  <c r="DE171" i="135"/>
  <c r="DE128" i="135"/>
  <c r="DE122" i="135"/>
  <c r="DE125" i="135"/>
  <c r="DE129" i="135"/>
  <c r="DE123" i="135"/>
  <c r="DE108" i="135"/>
  <c r="DE165" i="135"/>
  <c r="DE139" i="135"/>
  <c r="DE141" i="135"/>
  <c r="DE111" i="135"/>
  <c r="DE148" i="135"/>
  <c r="DE135" i="135"/>
  <c r="DE144" i="135"/>
  <c r="DE116" i="135"/>
  <c r="DE110" i="135"/>
  <c r="DE159" i="135"/>
  <c r="DE147" i="135"/>
  <c r="DE163" i="135"/>
  <c r="DE132" i="135"/>
  <c r="DE150" i="135"/>
  <c r="DE169" i="135"/>
  <c r="DE118" i="135"/>
  <c r="DE115" i="135"/>
  <c r="DE164" i="135"/>
  <c r="DE160" i="135"/>
  <c r="DE114" i="135"/>
  <c r="DE138" i="135"/>
  <c r="DE136" i="135"/>
  <c r="DE112" i="135"/>
  <c r="DE152" i="135"/>
  <c r="DE134" i="135"/>
  <c r="DE131" i="135"/>
  <c r="DE166" i="135"/>
  <c r="DE113" i="135"/>
  <c r="DE162" i="135"/>
  <c r="DE107" i="135"/>
  <c r="DE154" i="135"/>
  <c r="DE130" i="135"/>
  <c r="DE155" i="135"/>
  <c r="DE153" i="135"/>
  <c r="DE175" i="135"/>
  <c r="DE133" i="135"/>
  <c r="DE161" i="135"/>
  <c r="DE143" i="135"/>
  <c r="DE149" i="135"/>
  <c r="DE167" i="135"/>
  <c r="DE173" i="135"/>
  <c r="DE119" i="135"/>
  <c r="DE157" i="135"/>
  <c r="DE117" i="135"/>
  <c r="DE137" i="135"/>
  <c r="DE145" i="135"/>
  <c r="DE168" i="135"/>
  <c r="DE109" i="135"/>
  <c r="DE158" i="135"/>
  <c r="DE170" i="135"/>
  <c r="DE176" i="135"/>
  <c r="DE142" i="135"/>
  <c r="DE146" i="135"/>
  <c r="DE106" i="135"/>
  <c r="DE156" i="135"/>
  <c r="DE120" i="135"/>
  <c r="DE140" i="135"/>
  <c r="DE172" i="135"/>
  <c r="FX30" i="135"/>
  <c r="DD31" i="135"/>
  <c r="FX28" i="135"/>
  <c r="FX37" i="135"/>
  <c r="FX26" i="135"/>
  <c r="FX35" i="135"/>
  <c r="DK104" i="135"/>
  <c r="CL104" i="135"/>
  <c r="AV104" i="135"/>
  <c r="AW103" i="135"/>
  <c r="AQ103" i="135" s="1"/>
  <c r="CJ104" i="135"/>
  <c r="CA104" i="135"/>
  <c r="EU104" i="135"/>
  <c r="CG104" i="135"/>
  <c r="CI104" i="135"/>
  <c r="CE104" i="135"/>
  <c r="CO104" i="135"/>
  <c r="FF104" i="135"/>
  <c r="FI104" i="135"/>
  <c r="EZ104" i="135"/>
  <c r="DD22" i="135"/>
  <c r="DN104" i="135"/>
  <c r="FX23" i="135"/>
  <c r="DU104" i="135"/>
  <c r="FX27" i="135"/>
  <c r="FX24" i="135"/>
  <c r="EN24" i="135"/>
  <c r="DD27" i="135"/>
  <c r="EN27" i="135"/>
  <c r="DD28" i="135"/>
  <c r="EN23" i="135"/>
  <c r="DR104" i="135"/>
  <c r="DX104" i="135"/>
  <c r="DO104" i="135"/>
  <c r="FX22" i="135"/>
  <c r="DD24" i="135"/>
  <c r="DD23" i="135"/>
  <c r="EN22" i="135"/>
  <c r="DQ104" i="135"/>
  <c r="DV104" i="135"/>
  <c r="DY104" i="135"/>
  <c r="FH104" i="135"/>
  <c r="EY104" i="135"/>
  <c r="CF104" i="135"/>
  <c r="CN104" i="135"/>
  <c r="CP104" i="135"/>
  <c r="AN103" i="135"/>
  <c r="Q103" i="135" s="1"/>
  <c r="BD103" i="135"/>
  <c r="BP103" i="135"/>
  <c r="CB104" i="135"/>
  <c r="DW104" i="135"/>
  <c r="EX104" i="135"/>
  <c r="FE104" i="135"/>
  <c r="FB104" i="135"/>
  <c r="FC104" i="135"/>
  <c r="EW104" i="135"/>
  <c r="FJ104" i="135"/>
  <c r="EV104" i="135"/>
  <c r="FG104" i="135"/>
  <c r="FA104" i="135"/>
  <c r="BD104" i="135"/>
  <c r="DP104" i="135"/>
  <c r="DM104" i="135"/>
  <c r="DS104" i="135"/>
  <c r="CK104" i="135"/>
  <c r="BY104" i="135"/>
  <c r="DT104" i="135"/>
  <c r="CD104" i="135"/>
  <c r="CM104" i="135"/>
  <c r="DL104" i="135"/>
  <c r="AW104" i="135"/>
  <c r="CC104" i="135"/>
  <c r="EO63" i="135"/>
  <c r="EO60" i="135"/>
  <c r="EO62" i="135"/>
  <c r="EO61" i="135"/>
  <c r="EO64" i="135"/>
  <c r="EO65" i="135"/>
  <c r="EO66" i="135"/>
  <c r="EO67" i="135"/>
  <c r="EO68" i="135"/>
  <c r="EO73" i="135"/>
  <c r="EO74" i="135"/>
  <c r="EO75" i="135"/>
  <c r="EO76" i="135"/>
  <c r="EO77" i="135"/>
  <c r="EO78" i="135"/>
  <c r="EO79" i="135"/>
  <c r="EO80" i="135"/>
  <c r="EO81" i="135"/>
  <c r="EO82" i="135"/>
  <c r="EO83" i="135"/>
  <c r="EO84" i="135"/>
  <c r="EO85" i="135"/>
  <c r="EO86" i="135"/>
  <c r="EO87" i="135"/>
  <c r="EO88" i="135"/>
  <c r="EO89" i="135"/>
  <c r="EO90" i="135"/>
  <c r="EO91" i="135"/>
  <c r="EO92" i="135"/>
  <c r="EO93" i="135"/>
  <c r="EO94" i="135"/>
  <c r="EO95" i="135"/>
  <c r="EO96" i="135"/>
  <c r="EO97" i="135"/>
  <c r="EO98" i="135"/>
  <c r="EO99" i="135"/>
  <c r="EO100" i="135"/>
  <c r="EO101" i="135"/>
  <c r="EO102" i="135"/>
  <c r="EO103" i="135"/>
  <c r="BC104" i="135"/>
  <c r="AN104" i="135"/>
  <c r="Q104" i="135" s="1"/>
  <c r="DE63" i="135"/>
  <c r="DE60" i="135"/>
  <c r="DE61" i="135"/>
  <c r="DE62" i="135"/>
  <c r="DE64" i="135"/>
  <c r="DE65" i="135"/>
  <c r="DE66" i="135"/>
  <c r="DE67" i="135"/>
  <c r="DE68" i="135"/>
  <c r="DE73" i="135"/>
  <c r="DE74" i="135"/>
  <c r="DE75" i="135"/>
  <c r="DE76" i="135"/>
  <c r="DE77" i="135"/>
  <c r="DE78" i="135"/>
  <c r="DE79" i="135"/>
  <c r="DE80" i="135"/>
  <c r="DE81" i="135"/>
  <c r="DE82" i="135"/>
  <c r="DE83" i="135"/>
  <c r="DE84" i="135"/>
  <c r="DE85" i="135"/>
  <c r="DE86" i="135"/>
  <c r="DE87" i="135"/>
  <c r="DE88" i="135"/>
  <c r="DE89" i="135"/>
  <c r="DE90" i="135"/>
  <c r="DE91" i="135"/>
  <c r="DE92" i="135"/>
  <c r="DE93" i="135"/>
  <c r="DE94" i="135"/>
  <c r="DE95" i="135"/>
  <c r="DE96" i="135"/>
  <c r="DE97" i="135"/>
  <c r="DE98" i="135"/>
  <c r="DE99" i="135"/>
  <c r="DE100" i="135"/>
  <c r="DE101" i="135"/>
  <c r="DE102" i="135"/>
  <c r="DE103" i="135"/>
  <c r="BX104" i="135"/>
  <c r="FY63" i="135"/>
  <c r="FY61" i="135"/>
  <c r="FY60" i="135"/>
  <c r="FY62" i="135"/>
  <c r="FY64" i="135"/>
  <c r="FY65" i="135"/>
  <c r="FY66" i="135"/>
  <c r="FY67" i="135"/>
  <c r="FY68" i="135"/>
  <c r="FY73" i="135"/>
  <c r="FY74" i="135"/>
  <c r="FY75" i="135"/>
  <c r="FY76" i="135"/>
  <c r="FY77" i="135"/>
  <c r="FY78" i="135"/>
  <c r="FY79" i="135"/>
  <c r="FY80" i="135"/>
  <c r="FY81" i="135"/>
  <c r="FY82" i="135"/>
  <c r="FY83" i="135"/>
  <c r="FY84" i="135"/>
  <c r="FY85" i="135"/>
  <c r="FY86" i="135"/>
  <c r="FY87" i="135"/>
  <c r="FY88" i="135"/>
  <c r="FY89" i="135"/>
  <c r="FY90" i="135"/>
  <c r="FY91" i="135"/>
  <c r="FY92" i="135"/>
  <c r="FY93" i="135"/>
  <c r="FY94" i="135"/>
  <c r="FY95" i="135"/>
  <c r="FY96" i="135"/>
  <c r="FY97" i="135"/>
  <c r="FY98" i="135"/>
  <c r="FY99" i="135"/>
  <c r="FY100" i="135"/>
  <c r="FY101" i="135"/>
  <c r="FY102" i="135"/>
  <c r="FY103" i="135"/>
  <c r="FY104" i="135"/>
  <c r="EO104" i="135"/>
  <c r="AU104" i="135"/>
  <c r="BQ104" i="135"/>
  <c r="BI104" i="135"/>
  <c r="AX104" i="135"/>
  <c r="FY59" i="135"/>
  <c r="FY56" i="135"/>
  <c r="FY51" i="135"/>
  <c r="FY57" i="135"/>
  <c r="FY52" i="135"/>
  <c r="FY54" i="135"/>
  <c r="FY53" i="135"/>
  <c r="FY55" i="135"/>
  <c r="FY58" i="135"/>
  <c r="FY50" i="135"/>
  <c r="DE59" i="135"/>
  <c r="DE51" i="135"/>
  <c r="DE56" i="135"/>
  <c r="DE54" i="135"/>
  <c r="DE53" i="135"/>
  <c r="DE50" i="135"/>
  <c r="DE57" i="135"/>
  <c r="DE52" i="135"/>
  <c r="DE55" i="135"/>
  <c r="DE58" i="135"/>
  <c r="EO59" i="135"/>
  <c r="EO51" i="135"/>
  <c r="EO56" i="135"/>
  <c r="EO52" i="135"/>
  <c r="EO54" i="135"/>
  <c r="EO53" i="135"/>
  <c r="EO57" i="135"/>
  <c r="EO55" i="135"/>
  <c r="EO58" i="135"/>
  <c r="EO50" i="135"/>
  <c r="EO49" i="135"/>
  <c r="FY49" i="135"/>
  <c r="DE49" i="135"/>
  <c r="EN21" i="135"/>
  <c r="EN14" i="135"/>
  <c r="DD14" i="135"/>
  <c r="DD21" i="135"/>
  <c r="FX21" i="135"/>
  <c r="FX14" i="135"/>
  <c r="FZ8" i="135"/>
  <c r="EP8" i="135"/>
  <c r="DF8" i="135"/>
  <c r="EO25" i="135" l="1"/>
  <c r="AV176" i="135"/>
  <c r="BX176" i="135"/>
  <c r="Y105" i="135"/>
  <c r="DT105" i="135" s="1"/>
  <c r="BC176" i="135"/>
  <c r="AH177" i="135"/>
  <c r="AB177" i="135"/>
  <c r="AJ177" i="135"/>
  <c r="AC105" i="135"/>
  <c r="AG177" i="135"/>
  <c r="AH105" i="135"/>
  <c r="AF105" i="135"/>
  <c r="AM105" i="135" s="1"/>
  <c r="AL178" i="135"/>
  <c r="V178" i="135"/>
  <c r="AI178" i="135"/>
  <c r="U178" i="135"/>
  <c r="AK178" i="135"/>
  <c r="EP178" i="135" s="1"/>
  <c r="X105" i="135"/>
  <c r="CB105" i="135" s="1"/>
  <c r="AD177" i="135"/>
  <c r="AI177" i="135"/>
  <c r="AV177" i="135" s="1"/>
  <c r="AB105" i="135"/>
  <c r="AJ105" i="135"/>
  <c r="BN105" i="135" s="1"/>
  <c r="Z177" i="135"/>
  <c r="AD105" i="135"/>
  <c r="Z105" i="135"/>
  <c r="EY105" i="135" s="1"/>
  <c r="AG105" i="135"/>
  <c r="Y177" i="135"/>
  <c r="AC177" i="135"/>
  <c r="X177" i="135"/>
  <c r="CB177" i="135" s="1"/>
  <c r="BY176" i="135"/>
  <c r="FY177" i="135"/>
  <c r="DE177" i="135"/>
  <c r="DX176" i="135"/>
  <c r="DN176" i="135"/>
  <c r="DW176" i="135"/>
  <c r="DY176" i="135"/>
  <c r="DL176" i="135"/>
  <c r="DQ176" i="135"/>
  <c r="DP176" i="135"/>
  <c r="DS176" i="135"/>
  <c r="DU176" i="135"/>
  <c r="AM177" i="135"/>
  <c r="BD177" i="135" s="1"/>
  <c r="EO34" i="135"/>
  <c r="EA176" i="135"/>
  <c r="CB176" i="135"/>
  <c r="DZ176" i="135"/>
  <c r="EV176" i="135"/>
  <c r="DT176" i="135"/>
  <c r="CO176" i="135"/>
  <c r="DF272" i="135"/>
  <c r="DF267" i="135"/>
  <c r="DF266" i="135"/>
  <c r="DF268" i="135"/>
  <c r="DF263" i="135"/>
  <c r="DF261" i="135"/>
  <c r="DF264" i="135"/>
  <c r="DF262" i="135"/>
  <c r="DF259" i="135"/>
  <c r="DF258" i="135"/>
  <c r="DF255" i="135"/>
  <c r="DF254" i="135"/>
  <c r="DF249" i="135"/>
  <c r="DF251" i="135"/>
  <c r="DF248" i="135"/>
  <c r="DF247" i="135"/>
  <c r="DF220" i="135"/>
  <c r="DF223" i="135"/>
  <c r="DF222" i="135"/>
  <c r="DF221" i="135"/>
  <c r="DF219" i="135"/>
  <c r="DF226" i="135"/>
  <c r="DF214" i="135"/>
  <c r="DF218" i="135"/>
  <c r="DF225" i="135"/>
  <c r="DF230" i="135"/>
  <c r="DF215" i="135"/>
  <c r="DF224" i="135"/>
  <c r="DF236" i="135"/>
  <c r="DF242" i="135"/>
  <c r="DF244" i="135"/>
  <c r="DF229" i="135"/>
  <c r="DF233" i="135"/>
  <c r="DF257" i="135"/>
  <c r="DF239" i="135"/>
  <c r="DF243" i="135"/>
  <c r="DF245" i="135"/>
  <c r="DF246" i="135"/>
  <c r="DF253" i="135"/>
  <c r="DF216" i="135"/>
  <c r="DF238" i="135"/>
  <c r="DF227" i="135"/>
  <c r="DF232" i="135"/>
  <c r="DF235" i="135"/>
  <c r="DF250" i="135"/>
  <c r="DF252" i="135"/>
  <c r="DF256" i="135"/>
  <c r="DF217" i="135"/>
  <c r="DF237" i="135"/>
  <c r="DF241" i="135"/>
  <c r="DF260" i="135"/>
  <c r="DF228" i="135"/>
  <c r="DF231" i="135"/>
  <c r="DF240" i="135"/>
  <c r="DF234" i="135"/>
  <c r="DF269" i="135"/>
  <c r="DF274" i="135"/>
  <c r="DF270" i="135"/>
  <c r="DF271" i="135"/>
  <c r="DF265" i="135"/>
  <c r="DF273" i="135"/>
  <c r="DF275" i="135"/>
  <c r="FZ268" i="135"/>
  <c r="FZ267" i="135"/>
  <c r="FZ258" i="135"/>
  <c r="FZ243" i="135"/>
  <c r="FZ241" i="135"/>
  <c r="FZ239" i="135"/>
  <c r="FZ237" i="135"/>
  <c r="FZ251" i="135"/>
  <c r="FZ250" i="135"/>
  <c r="FZ247" i="135"/>
  <c r="FZ246" i="135"/>
  <c r="FZ240" i="135"/>
  <c r="FZ265" i="135"/>
  <c r="FZ244" i="135"/>
  <c r="FZ236" i="135"/>
  <c r="FZ231" i="135"/>
  <c r="FZ222" i="135"/>
  <c r="FZ235" i="135"/>
  <c r="FZ232" i="135"/>
  <c r="FZ214" i="135"/>
  <c r="FZ215" i="135"/>
  <c r="FZ228" i="135"/>
  <c r="FZ238" i="135"/>
  <c r="FZ257" i="135"/>
  <c r="FZ234" i="135"/>
  <c r="FZ217" i="135"/>
  <c r="FZ221" i="135"/>
  <c r="FZ225" i="135"/>
  <c r="FZ226" i="135"/>
  <c r="FZ230" i="135"/>
  <c r="FZ254" i="135"/>
  <c r="FZ255" i="135"/>
  <c r="FZ218" i="135"/>
  <c r="FZ219" i="135"/>
  <c r="FZ220" i="135"/>
  <c r="FZ223" i="135"/>
  <c r="FZ227" i="135"/>
  <c r="FZ229" i="135"/>
  <c r="FZ233" i="135"/>
  <c r="FZ245" i="135"/>
  <c r="FZ248" i="135"/>
  <c r="FZ216" i="135"/>
  <c r="FZ242" i="135"/>
  <c r="FZ256" i="135"/>
  <c r="FZ224" i="135"/>
  <c r="FZ252" i="135"/>
  <c r="FZ260" i="135"/>
  <c r="FZ253" i="135"/>
  <c r="FZ263" i="135"/>
  <c r="FZ266" i="135"/>
  <c r="FZ269" i="135"/>
  <c r="FZ271" i="135"/>
  <c r="FZ249" i="135"/>
  <c r="FZ262" i="135"/>
  <c r="FZ274" i="135"/>
  <c r="FZ273" i="135"/>
  <c r="FZ275" i="135"/>
  <c r="FZ259" i="135"/>
  <c r="FZ261" i="135"/>
  <c r="FZ264" i="135"/>
  <c r="FZ270" i="135"/>
  <c r="FZ272" i="135"/>
  <c r="FI177" i="135"/>
  <c r="CI176" i="135"/>
  <c r="DM176" i="135"/>
  <c r="EP271" i="135"/>
  <c r="EP270" i="135"/>
  <c r="EP259" i="135"/>
  <c r="EP234" i="135"/>
  <c r="EP230" i="135"/>
  <c r="EP233" i="135"/>
  <c r="EP229" i="135"/>
  <c r="EP252" i="135"/>
  <c r="EP215" i="135"/>
  <c r="EP214" i="135"/>
  <c r="EP217" i="135"/>
  <c r="EP221" i="135"/>
  <c r="EP220" i="135"/>
  <c r="EP218" i="135"/>
  <c r="EP216" i="135"/>
  <c r="EP225" i="135"/>
  <c r="EP232" i="135"/>
  <c r="EP235" i="135"/>
  <c r="EP245" i="135"/>
  <c r="EP251" i="135"/>
  <c r="EP219" i="135"/>
  <c r="EP228" i="135"/>
  <c r="EP223" i="135"/>
  <c r="EP231" i="135"/>
  <c r="EP236" i="135"/>
  <c r="EP242" i="135"/>
  <c r="EP244" i="135"/>
  <c r="EP257" i="135"/>
  <c r="EP239" i="135"/>
  <c r="EP243" i="135"/>
  <c r="EP246" i="135"/>
  <c r="EP248" i="135"/>
  <c r="EP226" i="135"/>
  <c r="EP222" i="135"/>
  <c r="EP238" i="135"/>
  <c r="EP224" i="135"/>
  <c r="EP250" i="135"/>
  <c r="EP253" i="135"/>
  <c r="EP254" i="135"/>
  <c r="EP255" i="135"/>
  <c r="EP258" i="135"/>
  <c r="EP240" i="135"/>
  <c r="EP237" i="135"/>
  <c r="EP227" i="135"/>
  <c r="EP241" i="135"/>
  <c r="EP264" i="135"/>
  <c r="EP267" i="135"/>
  <c r="EP273" i="135"/>
  <c r="EP274" i="135"/>
  <c r="EP268" i="135"/>
  <c r="EP269" i="135"/>
  <c r="EP272" i="135"/>
  <c r="EP275" i="135"/>
  <c r="EP249" i="135"/>
  <c r="EP260" i="135"/>
  <c r="EP265" i="135"/>
  <c r="EP263" i="135"/>
  <c r="EP266" i="135"/>
  <c r="EP261" i="135"/>
  <c r="EP256" i="135"/>
  <c r="EP262" i="135"/>
  <c r="EP247" i="135"/>
  <c r="FN177" i="135"/>
  <c r="FL177" i="135"/>
  <c r="FM177" i="135"/>
  <c r="BD176" i="135"/>
  <c r="DO176" i="135"/>
  <c r="CH176" i="135"/>
  <c r="BP176" i="135"/>
  <c r="DV176" i="135"/>
  <c r="AN176" i="135"/>
  <c r="Q176" i="135" s="1"/>
  <c r="BI176" i="135"/>
  <c r="BQ176" i="135"/>
  <c r="AX176" i="135"/>
  <c r="AQ176" i="135" s="1"/>
  <c r="EM177" i="135"/>
  <c r="FW177" i="135"/>
  <c r="DC177" i="135"/>
  <c r="EU177" i="135"/>
  <c r="FO177" i="135"/>
  <c r="FP177" i="135"/>
  <c r="CX177" i="135"/>
  <c r="CY177" i="135"/>
  <c r="DB177" i="135"/>
  <c r="CU177" i="135"/>
  <c r="FQ177" i="135"/>
  <c r="FR177" i="135"/>
  <c r="FS177" i="135"/>
  <c r="FV177" i="135"/>
  <c r="EN177" i="135"/>
  <c r="FX177" i="135"/>
  <c r="CA177" i="135"/>
  <c r="CW177" i="135"/>
  <c r="FT177" i="135"/>
  <c r="DA177" i="135"/>
  <c r="EL177" i="135"/>
  <c r="DD177" i="135"/>
  <c r="DK177" i="135"/>
  <c r="CV177" i="135"/>
  <c r="CZ177" i="135"/>
  <c r="FU177" i="135"/>
  <c r="C179" i="135"/>
  <c r="T179" i="135" s="1"/>
  <c r="AQ175" i="135"/>
  <c r="AU176" i="135"/>
  <c r="BN176" i="135"/>
  <c r="EY176" i="135"/>
  <c r="FD176" i="135"/>
  <c r="FF176" i="135"/>
  <c r="FC176" i="135"/>
  <c r="FI176" i="135"/>
  <c r="FB176" i="135"/>
  <c r="EW176" i="135"/>
  <c r="FA176" i="135"/>
  <c r="FE176" i="135"/>
  <c r="EX176" i="135"/>
  <c r="FL176" i="135"/>
  <c r="EZ176" i="135"/>
  <c r="FG176" i="135"/>
  <c r="FJ176" i="135"/>
  <c r="FH176" i="135"/>
  <c r="CE176" i="135"/>
  <c r="CR176" i="135"/>
  <c r="CK176" i="135"/>
  <c r="CG176" i="135"/>
  <c r="CP176" i="135"/>
  <c r="CJ176" i="135"/>
  <c r="CQ176" i="135"/>
  <c r="CD176" i="135"/>
  <c r="CN176" i="135"/>
  <c r="CF176" i="135"/>
  <c r="CL176" i="135"/>
  <c r="CM176" i="135"/>
  <c r="ED177" i="135"/>
  <c r="FY15" i="135"/>
  <c r="DE15" i="135"/>
  <c r="EO15" i="135"/>
  <c r="FY34" i="135"/>
  <c r="DE34" i="135"/>
  <c r="EP127" i="135"/>
  <c r="EP126" i="135"/>
  <c r="DF127" i="135"/>
  <c r="DF126" i="135"/>
  <c r="FZ126" i="135"/>
  <c r="FZ127" i="135"/>
  <c r="DE25" i="135"/>
  <c r="FZ71" i="135"/>
  <c r="FZ72" i="135"/>
  <c r="FZ69" i="135"/>
  <c r="FZ70" i="135"/>
  <c r="DF70" i="135"/>
  <c r="DF71" i="135"/>
  <c r="DF69" i="135"/>
  <c r="DF72" i="135"/>
  <c r="EP70" i="135"/>
  <c r="EP71" i="135"/>
  <c r="EP69" i="135"/>
  <c r="EP72" i="135"/>
  <c r="FY25" i="135"/>
  <c r="FY36" i="135"/>
  <c r="DE37" i="135"/>
  <c r="FY32" i="135"/>
  <c r="FY33" i="135"/>
  <c r="DE36" i="135"/>
  <c r="DE33" i="135"/>
  <c r="DE30" i="135"/>
  <c r="EP124" i="135"/>
  <c r="EP128" i="135"/>
  <c r="EP122" i="135"/>
  <c r="EP151" i="135"/>
  <c r="EP125" i="135"/>
  <c r="EP123" i="135"/>
  <c r="EP174" i="135"/>
  <c r="EP171" i="135"/>
  <c r="EP121" i="135"/>
  <c r="EP129" i="135"/>
  <c r="EP139" i="135"/>
  <c r="EP141" i="135"/>
  <c r="EP165" i="135"/>
  <c r="EP147" i="135"/>
  <c r="EP135" i="135"/>
  <c r="EP108" i="135"/>
  <c r="EP148" i="135"/>
  <c r="EP111" i="135"/>
  <c r="EP177" i="135"/>
  <c r="EP116" i="135"/>
  <c r="EP132" i="135"/>
  <c r="EP159" i="135"/>
  <c r="EP150" i="135"/>
  <c r="EP118" i="135"/>
  <c r="EP163" i="135"/>
  <c r="EP115" i="135"/>
  <c r="EP144" i="135"/>
  <c r="EP169" i="135"/>
  <c r="EP164" i="135"/>
  <c r="EP110" i="135"/>
  <c r="EP160" i="135"/>
  <c r="EP162" i="135"/>
  <c r="EP154" i="135"/>
  <c r="EP112" i="135"/>
  <c r="EP152" i="135"/>
  <c r="EP131" i="135"/>
  <c r="EP136" i="135"/>
  <c r="EP107" i="135"/>
  <c r="EP134" i="135"/>
  <c r="EP130" i="135"/>
  <c r="EP155" i="135"/>
  <c r="EP153" i="135"/>
  <c r="EP175" i="135"/>
  <c r="EP114" i="135"/>
  <c r="EP138" i="135"/>
  <c r="EP166" i="135"/>
  <c r="EP137" i="135"/>
  <c r="EP133" i="135"/>
  <c r="EP143" i="135"/>
  <c r="EP145" i="135"/>
  <c r="EP149" i="135"/>
  <c r="EP113" i="135"/>
  <c r="EP173" i="135"/>
  <c r="EP157" i="135"/>
  <c r="EP117" i="135"/>
  <c r="EP161" i="135"/>
  <c r="EP119" i="135"/>
  <c r="EP170" i="135"/>
  <c r="EP168" i="135"/>
  <c r="EP142" i="135"/>
  <c r="EP146" i="135"/>
  <c r="EP106" i="135"/>
  <c r="EP156" i="135"/>
  <c r="EP167" i="135"/>
  <c r="EP109" i="135"/>
  <c r="EP158" i="135"/>
  <c r="EP176" i="135"/>
  <c r="EP120" i="135"/>
  <c r="EP172" i="135"/>
  <c r="EP140" i="135"/>
  <c r="FZ121" i="135"/>
  <c r="FZ128" i="135"/>
  <c r="FZ122" i="135"/>
  <c r="FZ124" i="135"/>
  <c r="FZ174" i="135"/>
  <c r="FZ151" i="135"/>
  <c r="FZ129" i="135"/>
  <c r="FZ123" i="135"/>
  <c r="FZ171" i="135"/>
  <c r="FZ125" i="135"/>
  <c r="FZ139" i="135"/>
  <c r="FZ141" i="135"/>
  <c r="FZ108" i="135"/>
  <c r="FZ148" i="135"/>
  <c r="FZ165" i="135"/>
  <c r="FZ111" i="135"/>
  <c r="FZ118" i="135"/>
  <c r="FZ169" i="135"/>
  <c r="FZ164" i="135"/>
  <c r="FZ144" i="135"/>
  <c r="FZ163" i="135"/>
  <c r="FZ135" i="135"/>
  <c r="FZ132" i="135"/>
  <c r="FZ147" i="135"/>
  <c r="FZ177" i="135"/>
  <c r="FZ116" i="135"/>
  <c r="FZ159" i="135"/>
  <c r="FZ150" i="135"/>
  <c r="FZ115" i="135"/>
  <c r="FZ136" i="135"/>
  <c r="FZ110" i="135"/>
  <c r="FZ160" i="135"/>
  <c r="FZ155" i="135"/>
  <c r="FZ114" i="135"/>
  <c r="FZ107" i="135"/>
  <c r="FZ134" i="135"/>
  <c r="FZ130" i="135"/>
  <c r="FZ112" i="135"/>
  <c r="FZ131" i="135"/>
  <c r="FZ153" i="135"/>
  <c r="FZ154" i="135"/>
  <c r="FZ152" i="135"/>
  <c r="FZ113" i="135"/>
  <c r="FZ137" i="135"/>
  <c r="FZ162" i="135"/>
  <c r="FZ175" i="135"/>
  <c r="FZ166" i="135"/>
  <c r="FZ133" i="135"/>
  <c r="FZ138" i="135"/>
  <c r="FZ161" i="135"/>
  <c r="FZ119" i="135"/>
  <c r="FZ149" i="135"/>
  <c r="FZ173" i="135"/>
  <c r="FZ145" i="135"/>
  <c r="FZ167" i="135"/>
  <c r="FZ143" i="135"/>
  <c r="FZ157" i="135"/>
  <c r="FZ117" i="135"/>
  <c r="FZ109" i="135"/>
  <c r="FZ142" i="135"/>
  <c r="FZ158" i="135"/>
  <c r="FZ176" i="135"/>
  <c r="FZ168" i="135"/>
  <c r="FZ146" i="135"/>
  <c r="FZ170" i="135"/>
  <c r="FZ106" i="135"/>
  <c r="FZ156" i="135"/>
  <c r="FZ120" i="135"/>
  <c r="FZ140" i="135"/>
  <c r="FZ172" i="135"/>
  <c r="FY30" i="135"/>
  <c r="EO32" i="135"/>
  <c r="EO31" i="135"/>
  <c r="DE31" i="135"/>
  <c r="EO28" i="135"/>
  <c r="EO37" i="135"/>
  <c r="EO26" i="135"/>
  <c r="EO35" i="135"/>
  <c r="EO33" i="135"/>
  <c r="DF129" i="135"/>
  <c r="DF125" i="135"/>
  <c r="DF128" i="135"/>
  <c r="DF174" i="135"/>
  <c r="DF171" i="135"/>
  <c r="DF124" i="135"/>
  <c r="DF151" i="135"/>
  <c r="DF121" i="135"/>
  <c r="DF122" i="135"/>
  <c r="DF123" i="135"/>
  <c r="DF108" i="135"/>
  <c r="DF165" i="135"/>
  <c r="DF111" i="135"/>
  <c r="DF177" i="135"/>
  <c r="DF139" i="135"/>
  <c r="DF141" i="135"/>
  <c r="DF148" i="135"/>
  <c r="DF144" i="135"/>
  <c r="DF135" i="135"/>
  <c r="DF132" i="135"/>
  <c r="DF110" i="135"/>
  <c r="DF115" i="135"/>
  <c r="DF164" i="135"/>
  <c r="DF147" i="135"/>
  <c r="DF163" i="135"/>
  <c r="DF116" i="135"/>
  <c r="DF159" i="135"/>
  <c r="DF118" i="135"/>
  <c r="DF169" i="135"/>
  <c r="DF150" i="135"/>
  <c r="DF166" i="135"/>
  <c r="DF107" i="135"/>
  <c r="DF155" i="135"/>
  <c r="DF175" i="135"/>
  <c r="DF136" i="135"/>
  <c r="DF152" i="135"/>
  <c r="DF114" i="135"/>
  <c r="DF160" i="135"/>
  <c r="DF162" i="135"/>
  <c r="DF134" i="135"/>
  <c r="DF154" i="135"/>
  <c r="DF130" i="135"/>
  <c r="DF112" i="135"/>
  <c r="DF131" i="135"/>
  <c r="DF153" i="135"/>
  <c r="DF133" i="135"/>
  <c r="DF113" i="135"/>
  <c r="DF149" i="135"/>
  <c r="DF117" i="135"/>
  <c r="DF167" i="135"/>
  <c r="DF173" i="135"/>
  <c r="DF138" i="135"/>
  <c r="DF161" i="135"/>
  <c r="DF119" i="135"/>
  <c r="DF157" i="135"/>
  <c r="DF137" i="135"/>
  <c r="DF143" i="135"/>
  <c r="DF145" i="135"/>
  <c r="DF168" i="135"/>
  <c r="DF142" i="135"/>
  <c r="DF158" i="135"/>
  <c r="DF146" i="135"/>
  <c r="DF106" i="135"/>
  <c r="DF156" i="135"/>
  <c r="DF170" i="135"/>
  <c r="DF109" i="135"/>
  <c r="DF176" i="135"/>
  <c r="DF120" i="135"/>
  <c r="DF172" i="135"/>
  <c r="DF140" i="135"/>
  <c r="EO30" i="135"/>
  <c r="DE32" i="135"/>
  <c r="FY31" i="135"/>
  <c r="FY28" i="135"/>
  <c r="FY37" i="135"/>
  <c r="FY26" i="135"/>
  <c r="FY35" i="135"/>
  <c r="DE26" i="135"/>
  <c r="DE35" i="135"/>
  <c r="EO36" i="135"/>
  <c r="EO23" i="135"/>
  <c r="DE23" i="135"/>
  <c r="DE27" i="135"/>
  <c r="DE24" i="135"/>
  <c r="EO27" i="135"/>
  <c r="EO22" i="135"/>
  <c r="FY23" i="135"/>
  <c r="FY22" i="135"/>
  <c r="AQ104" i="135"/>
  <c r="DE28" i="135"/>
  <c r="EO24" i="135"/>
  <c r="DE22" i="135"/>
  <c r="FY27" i="135"/>
  <c r="FY24" i="135"/>
  <c r="EP63" i="135"/>
  <c r="EP60" i="135"/>
  <c r="EP62" i="135"/>
  <c r="EP61" i="135"/>
  <c r="EP64" i="135"/>
  <c r="EP65" i="135"/>
  <c r="EP66" i="135"/>
  <c r="EP67" i="135"/>
  <c r="EP68" i="135"/>
  <c r="EP73" i="135"/>
  <c r="EP74" i="135"/>
  <c r="EP75" i="135"/>
  <c r="EP76" i="135"/>
  <c r="EP77" i="135"/>
  <c r="EP78" i="135"/>
  <c r="EP79" i="135"/>
  <c r="EP80" i="135"/>
  <c r="EP81" i="135"/>
  <c r="EP82" i="135"/>
  <c r="EP83" i="135"/>
  <c r="EP84" i="135"/>
  <c r="EP85" i="135"/>
  <c r="EP86" i="135"/>
  <c r="EP87" i="135"/>
  <c r="EP88" i="135"/>
  <c r="EP89" i="135"/>
  <c r="EP90" i="135"/>
  <c r="EP91" i="135"/>
  <c r="EP92" i="135"/>
  <c r="EP93" i="135"/>
  <c r="EP94" i="135"/>
  <c r="EP95" i="135"/>
  <c r="EP96" i="135"/>
  <c r="EP97" i="135"/>
  <c r="EP98" i="135"/>
  <c r="EP99" i="135"/>
  <c r="EP100" i="135"/>
  <c r="EP101" i="135"/>
  <c r="EP102" i="135"/>
  <c r="EP103" i="135"/>
  <c r="EP104" i="135"/>
  <c r="FZ63" i="135"/>
  <c r="FZ61" i="135"/>
  <c r="FZ62" i="135"/>
  <c r="FZ60" i="135"/>
  <c r="FZ64" i="135"/>
  <c r="FZ65" i="135"/>
  <c r="FZ66" i="135"/>
  <c r="FZ67" i="135"/>
  <c r="FZ68" i="135"/>
  <c r="FZ73" i="135"/>
  <c r="FZ74" i="135"/>
  <c r="FZ75" i="135"/>
  <c r="FZ76" i="135"/>
  <c r="FZ77" i="135"/>
  <c r="FZ78" i="135"/>
  <c r="FZ79" i="135"/>
  <c r="FZ80" i="135"/>
  <c r="FZ81" i="135"/>
  <c r="FZ82" i="135"/>
  <c r="FZ83" i="135"/>
  <c r="FZ84" i="135"/>
  <c r="FZ85" i="135"/>
  <c r="FZ86" i="135"/>
  <c r="FZ87" i="135"/>
  <c r="FZ88" i="135"/>
  <c r="FZ89" i="135"/>
  <c r="FZ90" i="135"/>
  <c r="FZ91" i="135"/>
  <c r="FZ92" i="135"/>
  <c r="FZ93" i="135"/>
  <c r="FZ94" i="135"/>
  <c r="FZ95" i="135"/>
  <c r="FZ96" i="135"/>
  <c r="FZ97" i="135"/>
  <c r="FZ98" i="135"/>
  <c r="FZ99" i="135"/>
  <c r="FZ100" i="135"/>
  <c r="FZ101" i="135"/>
  <c r="FZ102" i="135"/>
  <c r="FZ103" i="135"/>
  <c r="FZ104" i="135"/>
  <c r="DF63" i="135"/>
  <c r="DF60" i="135"/>
  <c r="DF62" i="135"/>
  <c r="DF61" i="135"/>
  <c r="DF64" i="135"/>
  <c r="DF65" i="135"/>
  <c r="DF66" i="135"/>
  <c r="DF67" i="135"/>
  <c r="DF68" i="135"/>
  <c r="DF73" i="135"/>
  <c r="DF74" i="135"/>
  <c r="DF75" i="135"/>
  <c r="DF76" i="135"/>
  <c r="DF77" i="135"/>
  <c r="DF78" i="135"/>
  <c r="DF79" i="135"/>
  <c r="DF80" i="135"/>
  <c r="DF81" i="135"/>
  <c r="DF82" i="135"/>
  <c r="DF83" i="135"/>
  <c r="DF84" i="135"/>
  <c r="DF85" i="135"/>
  <c r="DF86" i="135"/>
  <c r="DF87" i="135"/>
  <c r="DF88" i="135"/>
  <c r="DF89" i="135"/>
  <c r="DF90" i="135"/>
  <c r="DF91" i="135"/>
  <c r="DF92" i="135"/>
  <c r="DF93" i="135"/>
  <c r="DF94" i="135"/>
  <c r="DF95" i="135"/>
  <c r="DF96" i="135"/>
  <c r="DF97" i="135"/>
  <c r="DF98" i="135"/>
  <c r="DF99" i="135"/>
  <c r="DF100" i="135"/>
  <c r="DF101" i="135"/>
  <c r="DF102" i="135"/>
  <c r="DF103" i="135"/>
  <c r="DF104" i="135"/>
  <c r="FT105" i="135"/>
  <c r="FX105" i="135"/>
  <c r="CZ105" i="135"/>
  <c r="FU105" i="135"/>
  <c r="DC105" i="135"/>
  <c r="EL105" i="135"/>
  <c r="DE105" i="135"/>
  <c r="EO105" i="135"/>
  <c r="EJ105" i="135"/>
  <c r="EM105" i="135"/>
  <c r="EK105" i="135"/>
  <c r="DF105" i="135"/>
  <c r="FW105" i="135"/>
  <c r="FZ105" i="135"/>
  <c r="EN105" i="135"/>
  <c r="DB105" i="135"/>
  <c r="DD105" i="135"/>
  <c r="FV105" i="135"/>
  <c r="FY105" i="135"/>
  <c r="FQ105" i="135"/>
  <c r="DA105" i="135"/>
  <c r="EP105" i="135"/>
  <c r="BX105" i="135"/>
  <c r="BC105" i="135"/>
  <c r="BH105" i="135"/>
  <c r="AV105" i="135"/>
  <c r="EP59" i="135"/>
  <c r="EP51" i="135"/>
  <c r="EP56" i="135"/>
  <c r="EP52" i="135"/>
  <c r="EP54" i="135"/>
  <c r="EP53" i="135"/>
  <c r="EP58" i="135"/>
  <c r="EP57" i="135"/>
  <c r="EP50" i="135"/>
  <c r="EP55" i="135"/>
  <c r="FZ51" i="135"/>
  <c r="FZ59" i="135"/>
  <c r="FZ56" i="135"/>
  <c r="FZ50" i="135"/>
  <c r="FZ55" i="135"/>
  <c r="FZ58" i="135"/>
  <c r="FZ54" i="135"/>
  <c r="FZ57" i="135"/>
  <c r="FZ53" i="135"/>
  <c r="FZ52" i="135"/>
  <c r="DF56" i="135"/>
  <c r="DF51" i="135"/>
  <c r="DF59" i="135"/>
  <c r="DF57" i="135"/>
  <c r="DF55" i="135"/>
  <c r="DF52" i="135"/>
  <c r="DF54" i="135"/>
  <c r="DF53" i="135"/>
  <c r="DF50" i="135"/>
  <c r="DF58" i="135"/>
  <c r="DF49" i="135"/>
  <c r="EP49" i="135"/>
  <c r="GA8" i="135"/>
  <c r="FZ49" i="135"/>
  <c r="EO21" i="135"/>
  <c r="EO14" i="135"/>
  <c r="FY21" i="135"/>
  <c r="FY14" i="135"/>
  <c r="DE21" i="135"/>
  <c r="DE14" i="135"/>
  <c r="EQ8" i="135"/>
  <c r="DG8" i="135"/>
  <c r="EP25" i="135" l="1"/>
  <c r="BH177" i="135"/>
  <c r="BC177" i="135"/>
  <c r="BX177" i="135"/>
  <c r="Z178" i="135"/>
  <c r="EX178" i="135" s="1"/>
  <c r="Y178" i="135"/>
  <c r="DL178" i="135" s="1"/>
  <c r="AG178" i="135"/>
  <c r="AF178" i="135"/>
  <c r="AM178" i="135" s="1"/>
  <c r="AH178" i="135"/>
  <c r="AB178" i="135"/>
  <c r="V179" i="135"/>
  <c r="AL179" i="135"/>
  <c r="U179" i="135"/>
  <c r="AF179" i="135"/>
  <c r="AM179" i="135" s="1"/>
  <c r="AK179" i="135"/>
  <c r="ED179" i="135" s="1"/>
  <c r="AD178" i="135"/>
  <c r="X178" i="135"/>
  <c r="CI178" i="135" s="1"/>
  <c r="AJ29" i="135"/>
  <c r="AC178" i="135"/>
  <c r="O13" i="131"/>
  <c r="AF29" i="135"/>
  <c r="AJ178" i="135"/>
  <c r="FK105" i="135"/>
  <c r="CX105" i="135"/>
  <c r="CT105" i="135"/>
  <c r="EA105" i="135"/>
  <c r="EF105" i="135"/>
  <c r="CS105" i="135"/>
  <c r="CU105" i="135"/>
  <c r="CQ105" i="135"/>
  <c r="FS105" i="135"/>
  <c r="FO105" i="135"/>
  <c r="EI105" i="135"/>
  <c r="EB105" i="135"/>
  <c r="EC105" i="135"/>
  <c r="EG105" i="135"/>
  <c r="EE105" i="135"/>
  <c r="FN105" i="135"/>
  <c r="CY105" i="135"/>
  <c r="FR105" i="135"/>
  <c r="CV105" i="135"/>
  <c r="FM105" i="135"/>
  <c r="FP105" i="135"/>
  <c r="ED105" i="135"/>
  <c r="CR105" i="135"/>
  <c r="EH105" i="135"/>
  <c r="FL105" i="135"/>
  <c r="CW105" i="135"/>
  <c r="AN177" i="135"/>
  <c r="Q177" i="135" s="1"/>
  <c r="BP177" i="135"/>
  <c r="FF177" i="135"/>
  <c r="FA177" i="135"/>
  <c r="FB177" i="135"/>
  <c r="EV177" i="135"/>
  <c r="FC177" i="135"/>
  <c r="FH177" i="135"/>
  <c r="FG177" i="135"/>
  <c r="DF178" i="135"/>
  <c r="FZ178" i="135"/>
  <c r="EY177" i="135"/>
  <c r="FD177" i="135"/>
  <c r="BY177" i="135"/>
  <c r="AW177" i="135"/>
  <c r="FE177" i="135"/>
  <c r="EW177" i="135"/>
  <c r="EZ177" i="135"/>
  <c r="EX177" i="135"/>
  <c r="FJ177" i="135"/>
  <c r="FK177" i="135"/>
  <c r="DL177" i="135"/>
  <c r="EP34" i="135"/>
  <c r="DG253" i="135"/>
  <c r="DG236" i="135"/>
  <c r="DG228" i="135"/>
  <c r="DG227" i="135"/>
  <c r="DG222" i="135"/>
  <c r="DG226" i="135"/>
  <c r="DG216" i="135"/>
  <c r="DG217" i="135"/>
  <c r="DG238" i="135"/>
  <c r="DG232" i="135"/>
  <c r="DG235" i="135"/>
  <c r="DG230" i="135"/>
  <c r="DG245" i="135"/>
  <c r="DG250" i="135"/>
  <c r="DG214" i="135"/>
  <c r="DG215" i="135"/>
  <c r="DG223" i="135"/>
  <c r="DG231" i="135"/>
  <c r="DG240" i="135"/>
  <c r="DG242" i="135"/>
  <c r="DG229" i="135"/>
  <c r="DG233" i="135"/>
  <c r="DG237" i="135"/>
  <c r="DG241" i="135"/>
  <c r="DG247" i="135"/>
  <c r="DG257" i="135"/>
  <c r="DG248" i="135"/>
  <c r="DG254" i="135"/>
  <c r="DG225" i="135"/>
  <c r="DG221" i="135"/>
  <c r="DG224" i="135"/>
  <c r="DG251" i="135"/>
  <c r="DG252" i="135"/>
  <c r="DG255" i="135"/>
  <c r="DG219" i="135"/>
  <c r="DG234" i="135"/>
  <c r="DG218" i="135"/>
  <c r="DG244" i="135"/>
  <c r="DG256" i="135"/>
  <c r="DG260" i="135"/>
  <c r="DG262" i="135"/>
  <c r="DG220" i="135"/>
  <c r="DG243" i="135"/>
  <c r="DG249" i="135"/>
  <c r="DG258" i="135"/>
  <c r="DG259" i="135"/>
  <c r="DG261" i="135"/>
  <c r="DG270" i="135"/>
  <c r="DG272" i="135"/>
  <c r="DG273" i="135"/>
  <c r="DG266" i="135"/>
  <c r="DG268" i="135"/>
  <c r="DG263" i="135"/>
  <c r="DG271" i="135"/>
  <c r="DG239" i="135"/>
  <c r="DG246" i="135"/>
  <c r="DG269" i="135"/>
  <c r="DG274" i="135"/>
  <c r="DG264" i="135"/>
  <c r="DG265" i="135"/>
  <c r="DG267" i="135"/>
  <c r="DG275" i="135"/>
  <c r="EQ272" i="135"/>
  <c r="EQ268" i="135"/>
  <c r="EQ267" i="135"/>
  <c r="EQ264" i="135"/>
  <c r="EQ260" i="135"/>
  <c r="EQ263" i="135"/>
  <c r="EQ262" i="135"/>
  <c r="EQ255" i="135"/>
  <c r="EQ261" i="135"/>
  <c r="EQ248" i="135"/>
  <c r="EQ253" i="135"/>
  <c r="EQ245" i="135"/>
  <c r="EQ258" i="135"/>
  <c r="EQ219" i="135"/>
  <c r="EQ227" i="135"/>
  <c r="EQ224" i="135"/>
  <c r="EQ221" i="135"/>
  <c r="EQ223" i="135"/>
  <c r="EQ220" i="135"/>
  <c r="EQ249" i="135"/>
  <c r="EQ217" i="135"/>
  <c r="EQ226" i="135"/>
  <c r="EQ228" i="135"/>
  <c r="EQ236" i="135"/>
  <c r="EQ242" i="135"/>
  <c r="EQ244" i="135"/>
  <c r="EQ229" i="135"/>
  <c r="EQ233" i="135"/>
  <c r="EQ239" i="135"/>
  <c r="EQ243" i="135"/>
  <c r="EQ250" i="135"/>
  <c r="EQ214" i="135"/>
  <c r="EQ218" i="135"/>
  <c r="EQ238" i="135"/>
  <c r="EQ222" i="135"/>
  <c r="EQ232" i="135"/>
  <c r="EQ235" i="135"/>
  <c r="EQ247" i="135"/>
  <c r="EQ215" i="135"/>
  <c r="EQ225" i="135"/>
  <c r="EQ231" i="135"/>
  <c r="EQ240" i="135"/>
  <c r="EQ257" i="135"/>
  <c r="EQ234" i="135"/>
  <c r="EQ237" i="135"/>
  <c r="EQ241" i="135"/>
  <c r="EQ251" i="135"/>
  <c r="EQ216" i="135"/>
  <c r="EQ252" i="135"/>
  <c r="EQ230" i="135"/>
  <c r="EQ256" i="135"/>
  <c r="EQ259" i="135"/>
  <c r="EQ271" i="135"/>
  <c r="EQ273" i="135"/>
  <c r="EQ270" i="135"/>
  <c r="EQ274" i="135"/>
  <c r="EQ254" i="135"/>
  <c r="EQ275" i="135"/>
  <c r="EQ266" i="135"/>
  <c r="EQ246" i="135"/>
  <c r="EQ265" i="135"/>
  <c r="EQ269" i="135"/>
  <c r="GA270" i="135"/>
  <c r="GA271" i="135"/>
  <c r="GA269" i="135"/>
  <c r="GA266" i="135"/>
  <c r="GA252" i="135"/>
  <c r="GA235" i="135"/>
  <c r="GA231" i="135"/>
  <c r="GA221" i="135"/>
  <c r="GA215" i="135"/>
  <c r="GA214" i="135"/>
  <c r="GA234" i="135"/>
  <c r="GA220" i="135"/>
  <c r="GA216" i="135"/>
  <c r="GA230" i="135"/>
  <c r="GA218" i="135"/>
  <c r="GA217" i="135"/>
  <c r="GA228" i="135"/>
  <c r="GA223" i="135"/>
  <c r="GA232" i="135"/>
  <c r="GA236" i="135"/>
  <c r="GA242" i="135"/>
  <c r="GA244" i="135"/>
  <c r="GA257" i="135"/>
  <c r="GA233" i="135"/>
  <c r="GA239" i="135"/>
  <c r="GA243" i="135"/>
  <c r="GA246" i="135"/>
  <c r="GA248" i="135"/>
  <c r="GA226" i="135"/>
  <c r="GA222" i="135"/>
  <c r="GA238" i="135"/>
  <c r="GA224" i="135"/>
  <c r="GA229" i="135"/>
  <c r="GA250" i="135"/>
  <c r="GA253" i="135"/>
  <c r="GA254" i="135"/>
  <c r="GA255" i="135"/>
  <c r="GA227" i="135"/>
  <c r="GA240" i="135"/>
  <c r="GA237" i="135"/>
  <c r="GA241" i="135"/>
  <c r="GA247" i="135"/>
  <c r="GA249" i="135"/>
  <c r="GA219" i="135"/>
  <c r="GA225" i="135"/>
  <c r="GA251" i="135"/>
  <c r="GA245" i="135"/>
  <c r="GA264" i="135"/>
  <c r="GA259" i="135"/>
  <c r="GA272" i="135"/>
  <c r="GA275" i="135"/>
  <c r="GA274" i="135"/>
  <c r="GA261" i="135"/>
  <c r="GA267" i="135"/>
  <c r="GA258" i="135"/>
  <c r="GA262" i="135"/>
  <c r="GA260" i="135"/>
  <c r="GA263" i="135"/>
  <c r="GA265" i="135"/>
  <c r="GA268" i="135"/>
  <c r="GA273" i="135"/>
  <c r="GA256" i="135"/>
  <c r="EE177" i="135"/>
  <c r="EK177" i="135"/>
  <c r="EI177" i="135"/>
  <c r="EF177" i="135"/>
  <c r="EG177" i="135"/>
  <c r="DP177" i="135"/>
  <c r="EC177" i="135"/>
  <c r="EH177" i="135"/>
  <c r="EJ177" i="135"/>
  <c r="CE177" i="135"/>
  <c r="CT177" i="135"/>
  <c r="CS177" i="135"/>
  <c r="CF177" i="135"/>
  <c r="CJ177" i="135"/>
  <c r="CO177" i="135"/>
  <c r="CD177" i="135"/>
  <c r="CL177" i="135"/>
  <c r="CG177" i="135"/>
  <c r="CM177" i="135"/>
  <c r="CC177" i="135"/>
  <c r="CH177" i="135"/>
  <c r="CN177" i="135"/>
  <c r="CQ177" i="135"/>
  <c r="CK177" i="135"/>
  <c r="CI177" i="135"/>
  <c r="CR177" i="135"/>
  <c r="CP177" i="135"/>
  <c r="FX178" i="135"/>
  <c r="DD178" i="135"/>
  <c r="EN178" i="135"/>
  <c r="CA178" i="135"/>
  <c r="EM178" i="135"/>
  <c r="DE178" i="135"/>
  <c r="EU178" i="135"/>
  <c r="FV178" i="135"/>
  <c r="FW178" i="135"/>
  <c r="DB178" i="135"/>
  <c r="DC178" i="135"/>
  <c r="EO178" i="135"/>
  <c r="DK178" i="135"/>
  <c r="EL178" i="135"/>
  <c r="FY178" i="135"/>
  <c r="C180" i="135"/>
  <c r="T180" i="135" s="1"/>
  <c r="DQ177" i="135"/>
  <c r="DM177" i="135"/>
  <c r="DT177" i="135"/>
  <c r="DX177" i="135"/>
  <c r="DU177" i="135"/>
  <c r="DZ177" i="135"/>
  <c r="DR177" i="135"/>
  <c r="EA177" i="135"/>
  <c r="EB177" i="135"/>
  <c r="DS177" i="135"/>
  <c r="DN177" i="135"/>
  <c r="DV177" i="135"/>
  <c r="DO177" i="135"/>
  <c r="DW177" i="135"/>
  <c r="DY177" i="135"/>
  <c r="BI177" i="135"/>
  <c r="AX177" i="135"/>
  <c r="BQ177" i="135"/>
  <c r="AU177" i="135"/>
  <c r="BN177" i="135"/>
  <c r="CZ178" i="135"/>
  <c r="FL178" i="135"/>
  <c r="FZ15" i="135"/>
  <c r="DF15" i="135"/>
  <c r="EP15" i="135"/>
  <c r="FZ30" i="135"/>
  <c r="FZ34" i="135"/>
  <c r="DG126" i="135"/>
  <c r="DG127" i="135"/>
  <c r="EQ127" i="135"/>
  <c r="EQ126" i="135"/>
  <c r="GA127" i="135"/>
  <c r="GA126" i="135"/>
  <c r="DF34" i="135"/>
  <c r="EP30" i="135"/>
  <c r="GA69" i="135"/>
  <c r="GA72" i="135"/>
  <c r="GA70" i="135"/>
  <c r="GA71" i="135"/>
  <c r="DF25" i="135"/>
  <c r="EQ71" i="135"/>
  <c r="EQ69" i="135"/>
  <c r="EQ72" i="135"/>
  <c r="EQ70" i="135"/>
  <c r="DG71" i="135"/>
  <c r="DG70" i="135"/>
  <c r="DG72" i="135"/>
  <c r="DG69" i="135"/>
  <c r="FZ25" i="135"/>
  <c r="EP32" i="135"/>
  <c r="DF37" i="135"/>
  <c r="DF32" i="135"/>
  <c r="DF36" i="135"/>
  <c r="DG125" i="135"/>
  <c r="DG151" i="135"/>
  <c r="DG121" i="135"/>
  <c r="DG124" i="135"/>
  <c r="DG171" i="135"/>
  <c r="DG122" i="135"/>
  <c r="DG174" i="135"/>
  <c r="DG123" i="135"/>
  <c r="DG128" i="135"/>
  <c r="DG129" i="135"/>
  <c r="DG141" i="135"/>
  <c r="DG165" i="135"/>
  <c r="DG147" i="135"/>
  <c r="DG177" i="135"/>
  <c r="DG148" i="135"/>
  <c r="DG144" i="135"/>
  <c r="DG116" i="135"/>
  <c r="DG139" i="135"/>
  <c r="DG108" i="135"/>
  <c r="DG163" i="135"/>
  <c r="DG159" i="135"/>
  <c r="DG115" i="135"/>
  <c r="DG164" i="135"/>
  <c r="DG135" i="135"/>
  <c r="DG150" i="135"/>
  <c r="DG118" i="135"/>
  <c r="DG178" i="135"/>
  <c r="DG132" i="135"/>
  <c r="DG169" i="135"/>
  <c r="DG111" i="135"/>
  <c r="DG136" i="135"/>
  <c r="DG160" i="135"/>
  <c r="DG110" i="135"/>
  <c r="DG134" i="135"/>
  <c r="DG131" i="135"/>
  <c r="DG155" i="135"/>
  <c r="DG175" i="135"/>
  <c r="DG138" i="135"/>
  <c r="DG154" i="135"/>
  <c r="DG152" i="135"/>
  <c r="DG162" i="135"/>
  <c r="DG130" i="135"/>
  <c r="DG153" i="135"/>
  <c r="DG113" i="135"/>
  <c r="DG107" i="135"/>
  <c r="DG112" i="135"/>
  <c r="DG114" i="135"/>
  <c r="DG166" i="135"/>
  <c r="DG133" i="135"/>
  <c r="DG161" i="135"/>
  <c r="DG119" i="135"/>
  <c r="DG145" i="135"/>
  <c r="DG149" i="135"/>
  <c r="DG173" i="135"/>
  <c r="DG143" i="135"/>
  <c r="DG157" i="135"/>
  <c r="DG117" i="135"/>
  <c r="DG137" i="135"/>
  <c r="DG109" i="135"/>
  <c r="DG142" i="135"/>
  <c r="DG158" i="135"/>
  <c r="DG168" i="135"/>
  <c r="DG146" i="135"/>
  <c r="DG106" i="135"/>
  <c r="DG170" i="135"/>
  <c r="DG176" i="135"/>
  <c r="DG167" i="135"/>
  <c r="DG156" i="135"/>
  <c r="DG120" i="135"/>
  <c r="DG172" i="135"/>
  <c r="DG140" i="135"/>
  <c r="EQ125" i="135"/>
  <c r="EQ151" i="135"/>
  <c r="EQ128" i="135"/>
  <c r="EQ129" i="135"/>
  <c r="EQ171" i="135"/>
  <c r="EQ174" i="135"/>
  <c r="EQ124" i="135"/>
  <c r="EQ121" i="135"/>
  <c r="EQ123" i="135"/>
  <c r="EQ122" i="135"/>
  <c r="EQ165" i="135"/>
  <c r="EQ147" i="135"/>
  <c r="EQ144" i="135"/>
  <c r="EQ135" i="135"/>
  <c r="EQ141" i="135"/>
  <c r="EQ177" i="135"/>
  <c r="EQ116" i="135"/>
  <c r="EQ139" i="135"/>
  <c r="EQ108" i="135"/>
  <c r="EQ148" i="135"/>
  <c r="EQ169" i="135"/>
  <c r="EQ115" i="135"/>
  <c r="EQ178" i="135"/>
  <c r="EQ118" i="135"/>
  <c r="EQ111" i="135"/>
  <c r="EQ132" i="135"/>
  <c r="EQ150" i="135"/>
  <c r="EQ163" i="135"/>
  <c r="EQ159" i="135"/>
  <c r="EQ164" i="135"/>
  <c r="EQ110" i="135"/>
  <c r="EQ136" i="135"/>
  <c r="EQ160" i="135"/>
  <c r="EQ162" i="135"/>
  <c r="EQ107" i="135"/>
  <c r="EQ134" i="135"/>
  <c r="EQ175" i="135"/>
  <c r="EQ138" i="135"/>
  <c r="EQ130" i="135"/>
  <c r="EQ112" i="135"/>
  <c r="EQ131" i="135"/>
  <c r="EQ152" i="135"/>
  <c r="EQ153" i="135"/>
  <c r="EQ154" i="135"/>
  <c r="EQ155" i="135"/>
  <c r="EQ166" i="135"/>
  <c r="EQ113" i="135"/>
  <c r="EQ137" i="135"/>
  <c r="EQ133" i="135"/>
  <c r="EQ161" i="135"/>
  <c r="EQ143" i="135"/>
  <c r="EQ167" i="135"/>
  <c r="EQ114" i="135"/>
  <c r="EQ145" i="135"/>
  <c r="EQ157" i="135"/>
  <c r="EQ173" i="135"/>
  <c r="EQ119" i="135"/>
  <c r="EQ149" i="135"/>
  <c r="EQ117" i="135"/>
  <c r="EQ168" i="135"/>
  <c r="EQ146" i="135"/>
  <c r="EQ106" i="135"/>
  <c r="EQ109" i="135"/>
  <c r="EQ176" i="135"/>
  <c r="EQ156" i="135"/>
  <c r="EQ158" i="135"/>
  <c r="EQ142" i="135"/>
  <c r="EQ170" i="135"/>
  <c r="EQ120" i="135"/>
  <c r="EQ140" i="135"/>
  <c r="EQ172" i="135"/>
  <c r="GA174" i="135"/>
  <c r="GA121" i="135"/>
  <c r="GA129" i="135"/>
  <c r="GA124" i="135"/>
  <c r="GA171" i="135"/>
  <c r="GA128" i="135"/>
  <c r="GA122" i="135"/>
  <c r="GA151" i="135"/>
  <c r="GA123" i="135"/>
  <c r="GA125" i="135"/>
  <c r="GA165" i="135"/>
  <c r="GA177" i="135"/>
  <c r="GA139" i="135"/>
  <c r="GA141" i="135"/>
  <c r="GA108" i="135"/>
  <c r="GA148" i="135"/>
  <c r="GA144" i="135"/>
  <c r="GA116" i="135"/>
  <c r="GA132" i="135"/>
  <c r="GA159" i="135"/>
  <c r="GA150" i="135"/>
  <c r="GA163" i="135"/>
  <c r="GA169" i="135"/>
  <c r="GA115" i="135"/>
  <c r="GA147" i="135"/>
  <c r="GA118" i="135"/>
  <c r="GA111" i="135"/>
  <c r="GA135" i="135"/>
  <c r="GA164" i="135"/>
  <c r="GA178" i="135"/>
  <c r="GA136" i="135"/>
  <c r="GA162" i="135"/>
  <c r="GA110" i="135"/>
  <c r="GA160" i="135"/>
  <c r="GA131" i="135"/>
  <c r="GA107" i="135"/>
  <c r="GA134" i="135"/>
  <c r="GA154" i="135"/>
  <c r="GA130" i="135"/>
  <c r="GA155" i="135"/>
  <c r="GA153" i="135"/>
  <c r="GA175" i="135"/>
  <c r="GA114" i="135"/>
  <c r="GA138" i="135"/>
  <c r="GA166" i="135"/>
  <c r="GA137" i="135"/>
  <c r="GA112" i="135"/>
  <c r="GA152" i="135"/>
  <c r="GA113" i="135"/>
  <c r="GA173" i="135"/>
  <c r="GA157" i="135"/>
  <c r="GA133" i="135"/>
  <c r="GA161" i="135"/>
  <c r="GA119" i="135"/>
  <c r="GA149" i="135"/>
  <c r="GA143" i="135"/>
  <c r="GA145" i="135"/>
  <c r="GA117" i="135"/>
  <c r="GA142" i="135"/>
  <c r="GA170" i="135"/>
  <c r="GA146" i="135"/>
  <c r="GA106" i="135"/>
  <c r="GA156" i="135"/>
  <c r="GA167" i="135"/>
  <c r="GA168" i="135"/>
  <c r="GA109" i="135"/>
  <c r="GA158" i="135"/>
  <c r="GA176" i="135"/>
  <c r="GA120" i="135"/>
  <c r="GA140" i="135"/>
  <c r="GA172" i="135"/>
  <c r="FZ32" i="135"/>
  <c r="DF26" i="135"/>
  <c r="DF35" i="135"/>
  <c r="FZ36" i="135"/>
  <c r="EP36" i="135"/>
  <c r="EP31" i="135"/>
  <c r="DF33" i="135"/>
  <c r="FZ28" i="135"/>
  <c r="FZ37" i="135"/>
  <c r="FZ26" i="135"/>
  <c r="FZ35" i="135"/>
  <c r="FZ33" i="135"/>
  <c r="EP28" i="135"/>
  <c r="EP37" i="135"/>
  <c r="EP26" i="135"/>
  <c r="EP35" i="135"/>
  <c r="DF31" i="135"/>
  <c r="DF30" i="135"/>
  <c r="FZ31" i="135"/>
  <c r="EP33" i="135"/>
  <c r="EW105" i="135"/>
  <c r="EU105" i="135"/>
  <c r="DK105" i="135"/>
  <c r="CA105" i="135"/>
  <c r="AU105" i="135"/>
  <c r="FZ23" i="135"/>
  <c r="FZ22" i="135"/>
  <c r="FZ27" i="135"/>
  <c r="EP27" i="135"/>
  <c r="DF27" i="135"/>
  <c r="FZ24" i="135"/>
  <c r="DF23" i="135"/>
  <c r="EP23" i="135"/>
  <c r="DZ105" i="135"/>
  <c r="DF28" i="135"/>
  <c r="EP24" i="135"/>
  <c r="EP22" i="135"/>
  <c r="DF22" i="135"/>
  <c r="DF24" i="135"/>
  <c r="DS105" i="135"/>
  <c r="AF14" i="135"/>
  <c r="EX105" i="135"/>
  <c r="FJ105" i="135"/>
  <c r="EV105" i="135"/>
  <c r="FF105" i="135"/>
  <c r="DG63" i="135"/>
  <c r="DG61" i="135"/>
  <c r="DG60" i="135"/>
  <c r="DG62" i="135"/>
  <c r="DG64" i="135"/>
  <c r="DG65" i="135"/>
  <c r="DG66" i="135"/>
  <c r="DG67" i="135"/>
  <c r="DG68" i="135"/>
  <c r="DG73" i="135"/>
  <c r="DG74" i="135"/>
  <c r="DG75" i="135"/>
  <c r="DG76" i="135"/>
  <c r="DG77" i="135"/>
  <c r="DG78" i="135"/>
  <c r="DG79" i="135"/>
  <c r="DG80" i="135"/>
  <c r="DG81" i="135"/>
  <c r="DG82" i="135"/>
  <c r="DG83" i="135"/>
  <c r="DG84" i="135"/>
  <c r="DG85" i="135"/>
  <c r="DG86" i="135"/>
  <c r="DG87" i="135"/>
  <c r="DG88" i="135"/>
  <c r="DG89" i="135"/>
  <c r="DG90" i="135"/>
  <c r="DG91" i="135"/>
  <c r="DG92" i="135"/>
  <c r="DG93" i="135"/>
  <c r="DG94" i="135"/>
  <c r="DG95" i="135"/>
  <c r="DG96" i="135"/>
  <c r="DG97" i="135"/>
  <c r="DG98" i="135"/>
  <c r="DG99" i="135"/>
  <c r="DG100" i="135"/>
  <c r="DG101" i="135"/>
  <c r="DG102" i="135"/>
  <c r="DG103" i="135"/>
  <c r="DG104" i="135"/>
  <c r="EQ63" i="135"/>
  <c r="EQ61" i="135"/>
  <c r="EQ60" i="135"/>
  <c r="EQ62" i="135"/>
  <c r="EQ64" i="135"/>
  <c r="EQ65" i="135"/>
  <c r="EQ66" i="135"/>
  <c r="EQ67" i="135"/>
  <c r="EQ68" i="135"/>
  <c r="EQ73" i="135"/>
  <c r="EQ74" i="135"/>
  <c r="EQ75" i="135"/>
  <c r="EQ76" i="135"/>
  <c r="EQ77" i="135"/>
  <c r="EQ78" i="135"/>
  <c r="EQ79" i="135"/>
  <c r="EQ80" i="135"/>
  <c r="EQ81" i="135"/>
  <c r="EQ82" i="135"/>
  <c r="EQ83" i="135"/>
  <c r="EQ84" i="135"/>
  <c r="EQ85" i="135"/>
  <c r="EQ86" i="135"/>
  <c r="EQ87" i="135"/>
  <c r="EQ88" i="135"/>
  <c r="EQ89" i="135"/>
  <c r="EQ90" i="135"/>
  <c r="EQ91" i="135"/>
  <c r="EQ92" i="135"/>
  <c r="EQ93" i="135"/>
  <c r="EQ94" i="135"/>
  <c r="EQ95" i="135"/>
  <c r="EQ96" i="135"/>
  <c r="EQ97" i="135"/>
  <c r="EQ98" i="135"/>
  <c r="EQ99" i="135"/>
  <c r="EQ100" i="135"/>
  <c r="EQ101" i="135"/>
  <c r="EQ102" i="135"/>
  <c r="EQ103" i="135"/>
  <c r="EQ104" i="135"/>
  <c r="EQ105" i="135"/>
  <c r="FH105" i="135"/>
  <c r="GA63" i="135"/>
  <c r="GA60" i="135"/>
  <c r="GA62" i="135"/>
  <c r="GA61" i="135"/>
  <c r="GA64" i="135"/>
  <c r="GA65" i="135"/>
  <c r="GA66" i="135"/>
  <c r="GA67" i="135"/>
  <c r="GA68" i="135"/>
  <c r="GA73" i="135"/>
  <c r="GA74" i="135"/>
  <c r="GA75" i="135"/>
  <c r="GA76" i="135"/>
  <c r="GA77" i="135"/>
  <c r="GA78" i="135"/>
  <c r="GA79" i="135"/>
  <c r="GA80" i="135"/>
  <c r="GA81" i="135"/>
  <c r="GA82" i="135"/>
  <c r="GA83" i="135"/>
  <c r="GA84" i="135"/>
  <c r="GA85" i="135"/>
  <c r="GA86" i="135"/>
  <c r="GA87" i="135"/>
  <c r="GA88" i="135"/>
  <c r="GA89" i="135"/>
  <c r="GA90" i="135"/>
  <c r="GA91" i="135"/>
  <c r="GA92" i="135"/>
  <c r="GA93" i="135"/>
  <c r="GA94" i="135"/>
  <c r="GA95" i="135"/>
  <c r="GA96" i="135"/>
  <c r="GA97" i="135"/>
  <c r="GA98" i="135"/>
  <c r="GA99" i="135"/>
  <c r="GA100" i="135"/>
  <c r="GA101" i="135"/>
  <c r="GA102" i="135"/>
  <c r="GA103" i="135"/>
  <c r="GA104" i="135"/>
  <c r="DO105" i="135"/>
  <c r="DG105" i="135"/>
  <c r="DY105" i="135"/>
  <c r="GA105" i="135"/>
  <c r="FG105" i="135"/>
  <c r="FB105" i="135"/>
  <c r="DW105" i="135"/>
  <c r="DL105" i="135"/>
  <c r="DR105" i="135"/>
  <c r="FD105" i="135"/>
  <c r="DQ105" i="135"/>
  <c r="FC105" i="135"/>
  <c r="DV105" i="135"/>
  <c r="DP105" i="135"/>
  <c r="DX105" i="135"/>
  <c r="EZ105" i="135"/>
  <c r="FE105" i="135"/>
  <c r="DN105" i="135"/>
  <c r="DM105" i="135"/>
  <c r="DU105" i="135"/>
  <c r="FI105" i="135"/>
  <c r="FA105" i="135"/>
  <c r="CO105" i="135"/>
  <c r="CP105" i="135"/>
  <c r="CE105" i="135"/>
  <c r="CF105" i="135"/>
  <c r="CI105" i="135"/>
  <c r="CH105" i="135"/>
  <c r="CL105" i="135"/>
  <c r="CG105" i="135"/>
  <c r="CJ105" i="135"/>
  <c r="CM105" i="135"/>
  <c r="CC105" i="135"/>
  <c r="CK105" i="135"/>
  <c r="CD105" i="135"/>
  <c r="CN105" i="135"/>
  <c r="DF29" i="135"/>
  <c r="BD105" i="135"/>
  <c r="AW105" i="135"/>
  <c r="BY105" i="135"/>
  <c r="BP105" i="135"/>
  <c r="AN105" i="135"/>
  <c r="Q105" i="135" s="1"/>
  <c r="FY29" i="135"/>
  <c r="EP29" i="135"/>
  <c r="BQ105" i="135"/>
  <c r="AX105" i="135"/>
  <c r="BI105" i="135"/>
  <c r="EQ51" i="135"/>
  <c r="EQ59" i="135"/>
  <c r="EQ56" i="135"/>
  <c r="EQ58" i="135"/>
  <c r="EQ57" i="135"/>
  <c r="EQ53" i="135"/>
  <c r="EQ54" i="135"/>
  <c r="EQ50" i="135"/>
  <c r="EQ52" i="135"/>
  <c r="EQ55" i="135"/>
  <c r="GA59" i="135"/>
  <c r="GA56" i="135"/>
  <c r="GA51" i="135"/>
  <c r="GA57" i="135"/>
  <c r="GA58" i="135"/>
  <c r="GA52" i="135"/>
  <c r="GA53" i="135"/>
  <c r="GA55" i="135"/>
  <c r="GA54" i="135"/>
  <c r="GA50" i="135"/>
  <c r="DG56" i="135"/>
  <c r="DG59" i="135"/>
  <c r="DG51" i="135"/>
  <c r="DG52" i="135"/>
  <c r="DG54" i="135"/>
  <c r="DG50" i="135"/>
  <c r="DG55" i="135"/>
  <c r="DG58" i="135"/>
  <c r="DG57" i="135"/>
  <c r="DG53" i="135"/>
  <c r="DH8" i="135"/>
  <c r="DG49" i="135"/>
  <c r="ER8" i="135"/>
  <c r="EQ49" i="135"/>
  <c r="GB8" i="135"/>
  <c r="GA49" i="135"/>
  <c r="EP21" i="135"/>
  <c r="EP14" i="135"/>
  <c r="DF21" i="135"/>
  <c r="DF14" i="135"/>
  <c r="FZ21" i="135"/>
  <c r="FZ14" i="135"/>
  <c r="R15" i="131" l="1"/>
  <c r="R14" i="131"/>
  <c r="N14" i="131" s="1"/>
  <c r="J13" i="131"/>
  <c r="M13" i="131"/>
  <c r="K13" i="131"/>
  <c r="EQ25" i="135"/>
  <c r="AI179" i="135"/>
  <c r="AG179" i="135"/>
  <c r="AD179" i="135"/>
  <c r="V180" i="135"/>
  <c r="AJ180" i="135"/>
  <c r="AL180" i="135"/>
  <c r="AK180" i="135"/>
  <c r="CR180" i="135" s="1"/>
  <c r="U180" i="135"/>
  <c r="Y179" i="135"/>
  <c r="AC179" i="135"/>
  <c r="Z179" i="135"/>
  <c r="FA179" i="135" s="1"/>
  <c r="AJ179" i="135"/>
  <c r="AB179" i="135"/>
  <c r="X179" i="135"/>
  <c r="CB179" i="135" s="1"/>
  <c r="AH179" i="135"/>
  <c r="DU178" i="135"/>
  <c r="CS10" i="135"/>
  <c r="CV17" i="135"/>
  <c r="DG10" i="135"/>
  <c r="DC10" i="135"/>
  <c r="DA17" i="135"/>
  <c r="CT17" i="135"/>
  <c r="DD29" i="135"/>
  <c r="CR29" i="135"/>
  <c r="CY17" i="135"/>
  <c r="CU29" i="135"/>
  <c r="CZ10" i="135"/>
  <c r="EN29" i="135"/>
  <c r="EQ29" i="135"/>
  <c r="EJ17" i="135"/>
  <c r="CB178" i="135"/>
  <c r="AQ177" i="135"/>
  <c r="GA179" i="135"/>
  <c r="EQ179" i="135"/>
  <c r="DG179" i="135"/>
  <c r="EQ34" i="135"/>
  <c r="EV178" i="135"/>
  <c r="DE29" i="135"/>
  <c r="EO29" i="135"/>
  <c r="FZ29" i="135"/>
  <c r="GA34" i="135"/>
  <c r="FX29" i="135"/>
  <c r="ER259" i="135"/>
  <c r="ER249" i="135"/>
  <c r="ER255" i="135"/>
  <c r="ER254" i="135"/>
  <c r="ER234" i="135"/>
  <c r="ER230" i="135"/>
  <c r="ER243" i="135"/>
  <c r="ER256" i="135"/>
  <c r="ER233" i="135"/>
  <c r="ER232" i="135"/>
  <c r="ER229" i="135"/>
  <c r="ER251" i="135"/>
  <c r="ER248" i="135"/>
  <c r="ER241" i="135"/>
  <c r="ER239" i="135"/>
  <c r="ER237" i="135"/>
  <c r="ER226" i="135"/>
  <c r="ER223" i="135"/>
  <c r="ER222" i="135"/>
  <c r="ER247" i="135"/>
  <c r="ER216" i="135"/>
  <c r="ER218" i="135"/>
  <c r="ER220" i="135"/>
  <c r="ER224" i="135"/>
  <c r="ER231" i="135"/>
  <c r="ER242" i="135"/>
  <c r="ER225" i="135"/>
  <c r="ER217" i="135"/>
  <c r="ER219" i="135"/>
  <c r="ER227" i="135"/>
  <c r="ER238" i="135"/>
  <c r="ER215" i="135"/>
  <c r="ER228" i="135"/>
  <c r="ER240" i="135"/>
  <c r="ER257" i="135"/>
  <c r="ER244" i="135"/>
  <c r="ER245" i="135"/>
  <c r="ER246" i="135"/>
  <c r="ER253" i="135"/>
  <c r="ER214" i="135"/>
  <c r="ER221" i="135"/>
  <c r="ER250" i="135"/>
  <c r="ER252" i="135"/>
  <c r="ER263" i="135"/>
  <c r="ER235" i="135"/>
  <c r="ER236" i="135"/>
  <c r="ER260" i="135"/>
  <c r="ER267" i="135"/>
  <c r="ER269" i="135"/>
  <c r="ER271" i="135"/>
  <c r="ER274" i="135"/>
  <c r="ER266" i="135"/>
  <c r="ER272" i="135"/>
  <c r="ER273" i="135"/>
  <c r="ER275" i="135"/>
  <c r="ER261" i="135"/>
  <c r="ER268" i="135"/>
  <c r="ER258" i="135"/>
  <c r="ER264" i="135"/>
  <c r="ER270" i="135"/>
  <c r="ER265" i="135"/>
  <c r="ER262" i="135"/>
  <c r="GB272" i="135"/>
  <c r="GB267" i="135"/>
  <c r="GB264" i="135"/>
  <c r="GB262" i="135"/>
  <c r="GB268" i="135"/>
  <c r="GB263" i="135"/>
  <c r="GB261" i="135"/>
  <c r="GB258" i="135"/>
  <c r="GB259" i="135"/>
  <c r="GB255" i="135"/>
  <c r="GB250" i="135"/>
  <c r="GB246" i="135"/>
  <c r="GB254" i="135"/>
  <c r="GB249" i="135"/>
  <c r="GB245" i="135"/>
  <c r="GB224" i="135"/>
  <c r="GB220" i="135"/>
  <c r="GB225" i="135"/>
  <c r="GB221" i="135"/>
  <c r="GB216" i="135"/>
  <c r="GB226" i="135"/>
  <c r="GB219" i="135"/>
  <c r="GB238" i="135"/>
  <c r="GB223" i="135"/>
  <c r="GB232" i="135"/>
  <c r="GB235" i="135"/>
  <c r="GB217" i="135"/>
  <c r="GB231" i="135"/>
  <c r="GB240" i="135"/>
  <c r="GB234" i="135"/>
  <c r="GB237" i="135"/>
  <c r="GB241" i="135"/>
  <c r="GB247" i="135"/>
  <c r="GB256" i="135"/>
  <c r="GB248" i="135"/>
  <c r="GB214" i="135"/>
  <c r="GB218" i="135"/>
  <c r="GB228" i="135"/>
  <c r="GB230" i="135"/>
  <c r="GB251" i="135"/>
  <c r="GB215" i="135"/>
  <c r="GB229" i="135"/>
  <c r="GB252" i="135"/>
  <c r="GB253" i="135"/>
  <c r="GB227" i="135"/>
  <c r="GB242" i="135"/>
  <c r="GB244" i="135"/>
  <c r="GB233" i="135"/>
  <c r="GB265" i="135"/>
  <c r="GB236" i="135"/>
  <c r="GB222" i="135"/>
  <c r="GB243" i="135"/>
  <c r="GB260" i="135"/>
  <c r="GB266" i="135"/>
  <c r="GB270" i="135"/>
  <c r="GB271" i="135"/>
  <c r="GB275" i="135"/>
  <c r="GB269" i="135"/>
  <c r="GB274" i="135"/>
  <c r="GB273" i="135"/>
  <c r="GB239" i="135"/>
  <c r="GB257" i="135"/>
  <c r="DH267" i="135"/>
  <c r="DH268" i="135"/>
  <c r="DH266" i="135"/>
  <c r="DH249" i="135"/>
  <c r="DH258" i="135"/>
  <c r="DH243" i="135"/>
  <c r="DH237" i="135"/>
  <c r="DH235" i="135"/>
  <c r="DH231" i="135"/>
  <c r="DH246" i="135"/>
  <c r="DH245" i="135"/>
  <c r="DH234" i="135"/>
  <c r="DH230" i="135"/>
  <c r="DH241" i="135"/>
  <c r="DH225" i="135"/>
  <c r="DH224" i="135"/>
  <c r="DH250" i="135"/>
  <c r="DH239" i="135"/>
  <c r="DH217" i="135"/>
  <c r="DH221" i="135"/>
  <c r="DH240" i="135"/>
  <c r="DH229" i="135"/>
  <c r="DH252" i="135"/>
  <c r="DH226" i="135"/>
  <c r="DH214" i="135"/>
  <c r="DH218" i="135"/>
  <c r="DH228" i="135"/>
  <c r="DH232" i="135"/>
  <c r="DH257" i="135"/>
  <c r="DH244" i="135"/>
  <c r="DH253" i="135"/>
  <c r="DH215" i="135"/>
  <c r="DH222" i="135"/>
  <c r="DH236" i="135"/>
  <c r="DH242" i="135"/>
  <c r="DH247" i="135"/>
  <c r="DH254" i="135"/>
  <c r="DH255" i="135"/>
  <c r="DH227" i="135"/>
  <c r="DH251" i="135"/>
  <c r="DH220" i="135"/>
  <c r="DH223" i="135"/>
  <c r="DH256" i="135"/>
  <c r="DH262" i="135"/>
  <c r="DH264" i="135"/>
  <c r="DH219" i="135"/>
  <c r="DH216" i="135"/>
  <c r="DH238" i="135"/>
  <c r="DH233" i="135"/>
  <c r="DH259" i="135"/>
  <c r="DH270" i="135"/>
  <c r="DH269" i="135"/>
  <c r="DH274" i="135"/>
  <c r="DH263" i="135"/>
  <c r="DH273" i="135"/>
  <c r="DH248" i="135"/>
  <c r="DH271" i="135"/>
  <c r="DH272" i="135"/>
  <c r="DH260" i="135"/>
  <c r="DH261" i="135"/>
  <c r="DH265" i="135"/>
  <c r="DH275" i="135"/>
  <c r="FR178" i="135"/>
  <c r="CO178" i="135"/>
  <c r="CX178" i="135"/>
  <c r="FG178" i="135"/>
  <c r="FT178" i="135"/>
  <c r="CU178" i="135"/>
  <c r="EI178" i="135"/>
  <c r="FJ178" i="135"/>
  <c r="CP178" i="135"/>
  <c r="CM178" i="135"/>
  <c r="FK178" i="135"/>
  <c r="EB178" i="135"/>
  <c r="FQ178" i="135"/>
  <c r="CW178" i="135"/>
  <c r="FS178" i="135"/>
  <c r="CS178" i="135"/>
  <c r="EG178" i="135"/>
  <c r="EA178" i="135"/>
  <c r="CN178" i="135"/>
  <c r="CR178" i="135"/>
  <c r="FM178" i="135"/>
  <c r="FI178" i="135"/>
  <c r="FU178" i="135"/>
  <c r="FP178" i="135"/>
  <c r="EK178" i="135"/>
  <c r="FO178" i="135"/>
  <c r="EH178" i="135"/>
  <c r="FF178" i="135"/>
  <c r="DA178" i="135"/>
  <c r="CV178" i="135"/>
  <c r="FH178" i="135"/>
  <c r="CQ178" i="135"/>
  <c r="DV178" i="135"/>
  <c r="CL178" i="135"/>
  <c r="DW178" i="135"/>
  <c r="DY178" i="135"/>
  <c r="EJ178" i="135"/>
  <c r="FN178" i="135"/>
  <c r="CY178" i="135"/>
  <c r="CT178" i="135"/>
  <c r="EF178" i="135"/>
  <c r="EE178" i="135"/>
  <c r="ED178" i="135"/>
  <c r="DZ178" i="135"/>
  <c r="DX178" i="135"/>
  <c r="FE178" i="135"/>
  <c r="EC178" i="135"/>
  <c r="EC179" i="135"/>
  <c r="BY179" i="135"/>
  <c r="BP179" i="135"/>
  <c r="BD179" i="135"/>
  <c r="AW179" i="135"/>
  <c r="DM178" i="135"/>
  <c r="DR178" i="135"/>
  <c r="DS178" i="135"/>
  <c r="DQ178" i="135"/>
  <c r="BN178" i="135"/>
  <c r="AU178" i="135"/>
  <c r="BC178" i="135"/>
  <c r="BH178" i="135"/>
  <c r="BX178" i="135"/>
  <c r="AV178" i="135"/>
  <c r="EW178" i="135"/>
  <c r="CC178" i="135"/>
  <c r="CK178" i="135"/>
  <c r="CG178" i="135"/>
  <c r="CE178" i="135"/>
  <c r="AN178" i="135"/>
  <c r="Q178" i="135" s="1"/>
  <c r="BD178" i="135"/>
  <c r="BY178" i="135"/>
  <c r="AW178" i="135"/>
  <c r="BP178" i="135"/>
  <c r="CF178" i="135"/>
  <c r="FY179" i="135"/>
  <c r="DE179" i="135"/>
  <c r="EO179" i="135"/>
  <c r="CA179" i="135"/>
  <c r="FL179" i="135"/>
  <c r="CT179" i="135"/>
  <c r="EE179" i="135"/>
  <c r="CW179" i="135"/>
  <c r="CX179" i="135"/>
  <c r="CY179" i="135"/>
  <c r="DA179" i="135"/>
  <c r="EL179" i="135"/>
  <c r="FW179" i="135"/>
  <c r="EU179" i="135"/>
  <c r="EB179" i="135"/>
  <c r="FN179" i="135"/>
  <c r="EF179" i="135"/>
  <c r="EG179" i="135"/>
  <c r="EH179" i="135"/>
  <c r="CZ179" i="135"/>
  <c r="EK179" i="135"/>
  <c r="DB179" i="135"/>
  <c r="EN179" i="135"/>
  <c r="CS179" i="135"/>
  <c r="FO179" i="135"/>
  <c r="CV179" i="135"/>
  <c r="FQ179" i="135"/>
  <c r="FS179" i="135"/>
  <c r="EJ179" i="135"/>
  <c r="FU179" i="135"/>
  <c r="DC179" i="135"/>
  <c r="FX179" i="135"/>
  <c r="EP179" i="135"/>
  <c r="DK179" i="135"/>
  <c r="CR179" i="135"/>
  <c r="FM179" i="135"/>
  <c r="CU179" i="135"/>
  <c r="FP179" i="135"/>
  <c r="FR179" i="135"/>
  <c r="EI179" i="135"/>
  <c r="FT179" i="135"/>
  <c r="FV179" i="135"/>
  <c r="EM179" i="135"/>
  <c r="DD179" i="135"/>
  <c r="FZ179" i="135"/>
  <c r="DF179" i="135"/>
  <c r="DP178" i="135"/>
  <c r="CD178" i="135"/>
  <c r="BQ178" i="135"/>
  <c r="BI178" i="135"/>
  <c r="AX178" i="135"/>
  <c r="DT178" i="135"/>
  <c r="DW179" i="135"/>
  <c r="DN178" i="135"/>
  <c r="CH178" i="135"/>
  <c r="EZ178" i="135"/>
  <c r="FC178" i="135"/>
  <c r="FD178" i="135"/>
  <c r="FB178" i="135"/>
  <c r="EY178" i="135"/>
  <c r="DO178" i="135"/>
  <c r="CJ178" i="135"/>
  <c r="FA178" i="135"/>
  <c r="AB15" i="135"/>
  <c r="GA15" i="135"/>
  <c r="DG15" i="135"/>
  <c r="AJ15" i="135"/>
  <c r="AC15" i="135"/>
  <c r="AF15" i="135"/>
  <c r="EQ15" i="135"/>
  <c r="AI15" i="135"/>
  <c r="X15" i="135"/>
  <c r="AG15" i="135"/>
  <c r="Z15" i="135"/>
  <c r="Y15" i="135"/>
  <c r="AD15" i="135"/>
  <c r="AH15" i="135"/>
  <c r="GA30" i="135"/>
  <c r="DG37" i="135"/>
  <c r="GB126" i="135"/>
  <c r="GB127" i="135"/>
  <c r="DH126" i="135"/>
  <c r="DH127" i="135"/>
  <c r="ER126" i="135"/>
  <c r="ER127" i="135"/>
  <c r="DG34" i="135"/>
  <c r="GA25" i="135"/>
  <c r="ER71" i="135"/>
  <c r="ER70" i="135"/>
  <c r="ER69" i="135"/>
  <c r="ER72" i="135"/>
  <c r="DG25" i="135"/>
  <c r="GB69" i="135"/>
  <c r="GB72" i="135"/>
  <c r="GB71" i="135"/>
  <c r="GB70" i="135"/>
  <c r="DH70" i="135"/>
  <c r="DH71" i="135"/>
  <c r="DH69" i="135"/>
  <c r="DH72" i="135"/>
  <c r="DG30" i="135"/>
  <c r="EQ32" i="135"/>
  <c r="DG36" i="135"/>
  <c r="EQ30" i="135"/>
  <c r="DG32" i="135"/>
  <c r="AI33" i="135"/>
  <c r="AI36" i="135"/>
  <c r="X33" i="135"/>
  <c r="D33" i="235" s="1"/>
  <c r="X21" i="235" s="1"/>
  <c r="AG33" i="135"/>
  <c r="AG36" i="135"/>
  <c r="Z33" i="135"/>
  <c r="Z36" i="135"/>
  <c r="ER129" i="135"/>
  <c r="ER174" i="135"/>
  <c r="ER122" i="135"/>
  <c r="ER123" i="135"/>
  <c r="ER121" i="135"/>
  <c r="ER125" i="135"/>
  <c r="ER128" i="135"/>
  <c r="ER171" i="135"/>
  <c r="ER124" i="135"/>
  <c r="ER151" i="135"/>
  <c r="ER165" i="135"/>
  <c r="ER108" i="135"/>
  <c r="ER111" i="135"/>
  <c r="ER147" i="135"/>
  <c r="ER141" i="135"/>
  <c r="ER148" i="135"/>
  <c r="ER116" i="135"/>
  <c r="ER139" i="135"/>
  <c r="ER135" i="135"/>
  <c r="ER132" i="135"/>
  <c r="ER115" i="135"/>
  <c r="ER110" i="135"/>
  <c r="ER163" i="135"/>
  <c r="ER177" i="135"/>
  <c r="ER159" i="135"/>
  <c r="ER169" i="135"/>
  <c r="ER164" i="135"/>
  <c r="ER144" i="135"/>
  <c r="ER179" i="135"/>
  <c r="ER150" i="135"/>
  <c r="ER118" i="135"/>
  <c r="ER178" i="135"/>
  <c r="ER160" i="135"/>
  <c r="ER130" i="135"/>
  <c r="ER112" i="135"/>
  <c r="ER131" i="135"/>
  <c r="ER114" i="135"/>
  <c r="ER136" i="135"/>
  <c r="ER134" i="135"/>
  <c r="ER152" i="135"/>
  <c r="ER153" i="135"/>
  <c r="ER162" i="135"/>
  <c r="ER107" i="135"/>
  <c r="ER166" i="135"/>
  <c r="ER154" i="135"/>
  <c r="ER155" i="135"/>
  <c r="ER138" i="135"/>
  <c r="ER113" i="135"/>
  <c r="ER137" i="135"/>
  <c r="ER145" i="135"/>
  <c r="ER157" i="135"/>
  <c r="ER117" i="135"/>
  <c r="ER175" i="135"/>
  <c r="ER133" i="135"/>
  <c r="ER161" i="135"/>
  <c r="ER173" i="135"/>
  <c r="ER143" i="135"/>
  <c r="ER119" i="135"/>
  <c r="ER149" i="135"/>
  <c r="ER167" i="135"/>
  <c r="ER146" i="135"/>
  <c r="ER170" i="135"/>
  <c r="ER158" i="135"/>
  <c r="ER106" i="135"/>
  <c r="ER142" i="135"/>
  <c r="ER156" i="135"/>
  <c r="ER168" i="135"/>
  <c r="ER109" i="135"/>
  <c r="ER176" i="135"/>
  <c r="ER120" i="135"/>
  <c r="ER140" i="135"/>
  <c r="ER172" i="135"/>
  <c r="DG31" i="135"/>
  <c r="GA32" i="135"/>
  <c r="GA31" i="135"/>
  <c r="DK10" i="135"/>
  <c r="Y33" i="135"/>
  <c r="E33" i="235" s="1"/>
  <c r="AA21" i="235" s="1"/>
  <c r="Y36" i="135"/>
  <c r="E36" i="235" s="1"/>
  <c r="AA24" i="235" s="1"/>
  <c r="AD33" i="135"/>
  <c r="AD36" i="135"/>
  <c r="AH33" i="135"/>
  <c r="AH36" i="135"/>
  <c r="GA36" i="135"/>
  <c r="EQ36" i="135"/>
  <c r="EQ33" i="135"/>
  <c r="AB33" i="135"/>
  <c r="AB36" i="135"/>
  <c r="GA28" i="135"/>
  <c r="GA37" i="135"/>
  <c r="GA26" i="135"/>
  <c r="GA35" i="135"/>
  <c r="GA33" i="135"/>
  <c r="EQ28" i="135"/>
  <c r="EQ37" i="135"/>
  <c r="EQ26" i="135"/>
  <c r="EQ35" i="135"/>
  <c r="GB129" i="135"/>
  <c r="GB128" i="135"/>
  <c r="GB125" i="135"/>
  <c r="GB121" i="135"/>
  <c r="GB124" i="135"/>
  <c r="GB174" i="135"/>
  <c r="GB122" i="135"/>
  <c r="GB151" i="135"/>
  <c r="GB171" i="135"/>
  <c r="GB123" i="135"/>
  <c r="GB139" i="135"/>
  <c r="GB165" i="135"/>
  <c r="GB163" i="135"/>
  <c r="GB177" i="135"/>
  <c r="GB116" i="135"/>
  <c r="GB108" i="135"/>
  <c r="GB148" i="135"/>
  <c r="GB135" i="135"/>
  <c r="GB141" i="135"/>
  <c r="GB132" i="135"/>
  <c r="GB169" i="135"/>
  <c r="GB111" i="135"/>
  <c r="GB159" i="135"/>
  <c r="GB150" i="135"/>
  <c r="GB147" i="135"/>
  <c r="GB144" i="135"/>
  <c r="GB118" i="135"/>
  <c r="GB179" i="135"/>
  <c r="GB115" i="135"/>
  <c r="GB164" i="135"/>
  <c r="GB178" i="135"/>
  <c r="GB114" i="135"/>
  <c r="GB138" i="135"/>
  <c r="GB166" i="135"/>
  <c r="GB134" i="135"/>
  <c r="GB112" i="135"/>
  <c r="GB155" i="135"/>
  <c r="GB153" i="135"/>
  <c r="GB110" i="135"/>
  <c r="GB136" i="135"/>
  <c r="GB160" i="135"/>
  <c r="GB162" i="135"/>
  <c r="GB113" i="135"/>
  <c r="GB107" i="135"/>
  <c r="GB154" i="135"/>
  <c r="GB130" i="135"/>
  <c r="GB131" i="135"/>
  <c r="GB152" i="135"/>
  <c r="GB175" i="135"/>
  <c r="GB173" i="135"/>
  <c r="GB145" i="135"/>
  <c r="GB157" i="135"/>
  <c r="GB161" i="135"/>
  <c r="GB133" i="135"/>
  <c r="GB119" i="135"/>
  <c r="GB149" i="135"/>
  <c r="GB117" i="135"/>
  <c r="GB137" i="135"/>
  <c r="GB143" i="135"/>
  <c r="GB167" i="135"/>
  <c r="GB168" i="135"/>
  <c r="GB109" i="135"/>
  <c r="GB176" i="135"/>
  <c r="GB156" i="135"/>
  <c r="GB142" i="135"/>
  <c r="GB170" i="135"/>
  <c r="GB146" i="135"/>
  <c r="GB106" i="135"/>
  <c r="GB158" i="135"/>
  <c r="GB120" i="135"/>
  <c r="GB172" i="135"/>
  <c r="GB140" i="135"/>
  <c r="DH129" i="135"/>
  <c r="DH123" i="135"/>
  <c r="DH124" i="135"/>
  <c r="DH125" i="135"/>
  <c r="DH128" i="135"/>
  <c r="DH121" i="135"/>
  <c r="DH122" i="135"/>
  <c r="DH151" i="135"/>
  <c r="DH171" i="135"/>
  <c r="DH174" i="135"/>
  <c r="DH148" i="135"/>
  <c r="DH165" i="135"/>
  <c r="DH177" i="135"/>
  <c r="DH139" i="135"/>
  <c r="DH141" i="135"/>
  <c r="DH108" i="135"/>
  <c r="DH111" i="135"/>
  <c r="DH150" i="135"/>
  <c r="DH115" i="135"/>
  <c r="DH178" i="135"/>
  <c r="DH147" i="135"/>
  <c r="DH144" i="135"/>
  <c r="DH135" i="135"/>
  <c r="DH169" i="135"/>
  <c r="DH116" i="135"/>
  <c r="DH179" i="135"/>
  <c r="DH163" i="135"/>
  <c r="DH132" i="135"/>
  <c r="DH159" i="135"/>
  <c r="DH118" i="135"/>
  <c r="DH164" i="135"/>
  <c r="DH110" i="135"/>
  <c r="DH160" i="135"/>
  <c r="DH175" i="135"/>
  <c r="DH154" i="135"/>
  <c r="DH130" i="135"/>
  <c r="DH131" i="135"/>
  <c r="DH152" i="135"/>
  <c r="DH153" i="135"/>
  <c r="DH136" i="135"/>
  <c r="DH107" i="135"/>
  <c r="DH112" i="135"/>
  <c r="DH166" i="135"/>
  <c r="DH137" i="135"/>
  <c r="DH162" i="135"/>
  <c r="DH134" i="135"/>
  <c r="DH155" i="135"/>
  <c r="DH138" i="135"/>
  <c r="DH113" i="135"/>
  <c r="DH114" i="135"/>
  <c r="DH157" i="135"/>
  <c r="DH149" i="135"/>
  <c r="DH133" i="135"/>
  <c r="DH119" i="135"/>
  <c r="DH143" i="135"/>
  <c r="DH161" i="135"/>
  <c r="DH173" i="135"/>
  <c r="DH145" i="135"/>
  <c r="DH117" i="135"/>
  <c r="DH167" i="135"/>
  <c r="DH106" i="135"/>
  <c r="DH109" i="135"/>
  <c r="DH142" i="135"/>
  <c r="DH170" i="135"/>
  <c r="DH176" i="135"/>
  <c r="DH168" i="135"/>
  <c r="DH146" i="135"/>
  <c r="DH158" i="135"/>
  <c r="DH156" i="135"/>
  <c r="DH120" i="135"/>
  <c r="DH140" i="135"/>
  <c r="DH172" i="135"/>
  <c r="EQ31" i="135"/>
  <c r="AJ33" i="135"/>
  <c r="AC33" i="135"/>
  <c r="AC36" i="135"/>
  <c r="AF36" i="135"/>
  <c r="AM36" i="135" s="1"/>
  <c r="DG26" i="135"/>
  <c r="DG35" i="135"/>
  <c r="DG33" i="135"/>
  <c r="FZ10" i="135"/>
  <c r="CA17" i="135"/>
  <c r="FZ17" i="135"/>
  <c r="CI29" i="135"/>
  <c r="CC29" i="135"/>
  <c r="CG29" i="135"/>
  <c r="CJ29" i="135"/>
  <c r="EP10" i="135"/>
  <c r="DF17" i="135"/>
  <c r="DF10" i="135"/>
  <c r="EQ22" i="135"/>
  <c r="EB29" i="135"/>
  <c r="GA24" i="135"/>
  <c r="DG28" i="135"/>
  <c r="DG24" i="135"/>
  <c r="FL29" i="135"/>
  <c r="FP29" i="135"/>
  <c r="EA29" i="135"/>
  <c r="EC29" i="135"/>
  <c r="FX17" i="135"/>
  <c r="EF29" i="135"/>
  <c r="EE29" i="135"/>
  <c r="FV17" i="135"/>
  <c r="FK29" i="135"/>
  <c r="CX10" i="135"/>
  <c r="CX29" i="135"/>
  <c r="FO29" i="135"/>
  <c r="EL10" i="135"/>
  <c r="AG10" i="135"/>
  <c r="AG27" i="135"/>
  <c r="AG29" i="135"/>
  <c r="AI10" i="135"/>
  <c r="AI29" i="135"/>
  <c r="DG22" i="135"/>
  <c r="FM29" i="135"/>
  <c r="EI29" i="135"/>
  <c r="CQ10" i="135"/>
  <c r="CQ29" i="135"/>
  <c r="EG29" i="135"/>
  <c r="EH29" i="135"/>
  <c r="FR29" i="135"/>
  <c r="Z10" i="135"/>
  <c r="Z27" i="135"/>
  <c r="Z29" i="135"/>
  <c r="X10" i="135"/>
  <c r="D5" i="235" s="1"/>
  <c r="X27" i="135"/>
  <c r="D24" i="235" s="1"/>
  <c r="W24" i="235" s="1"/>
  <c r="X29" i="135"/>
  <c r="EQ27" i="135"/>
  <c r="EQ24" i="135"/>
  <c r="CW10" i="135"/>
  <c r="CW29" i="135"/>
  <c r="EL17" i="135"/>
  <c r="FY10" i="135"/>
  <c r="AB10" i="135"/>
  <c r="AB27" i="135"/>
  <c r="AB29" i="135"/>
  <c r="AH10" i="135"/>
  <c r="AH27" i="135"/>
  <c r="AH29" i="135"/>
  <c r="EP17" i="135"/>
  <c r="DG23" i="135"/>
  <c r="GA23" i="135"/>
  <c r="GA22" i="135"/>
  <c r="EQ23" i="135"/>
  <c r="FN29" i="135"/>
  <c r="FS29" i="135"/>
  <c r="FQ29" i="135"/>
  <c r="ED29" i="135"/>
  <c r="AD10" i="135"/>
  <c r="AD27" i="135"/>
  <c r="AD29" i="135"/>
  <c r="Y27" i="135"/>
  <c r="E24" i="235" s="1"/>
  <c r="Z24" i="235" s="1"/>
  <c r="Y29" i="135"/>
  <c r="AC10" i="135"/>
  <c r="AC27" i="135"/>
  <c r="AC29" i="135"/>
  <c r="GA29" i="135"/>
  <c r="GA27" i="135"/>
  <c r="DG27" i="135"/>
  <c r="EF17" i="135"/>
  <c r="EF10" i="135"/>
  <c r="EE17" i="135"/>
  <c r="EE10" i="135"/>
  <c r="FK17" i="135"/>
  <c r="FK10" i="135"/>
  <c r="FO17" i="135"/>
  <c r="FO10" i="135"/>
  <c r="AJ10" i="135"/>
  <c r="AF10" i="135"/>
  <c r="EG17" i="135"/>
  <c r="EG10" i="135"/>
  <c r="EH17" i="135"/>
  <c r="EH10" i="135"/>
  <c r="FR17" i="135"/>
  <c r="FR10" i="135"/>
  <c r="FW17" i="135"/>
  <c r="EM17" i="135"/>
  <c r="EO10" i="135"/>
  <c r="DB17" i="135"/>
  <c r="DB10" i="135"/>
  <c r="FV10" i="135"/>
  <c r="EI17" i="135"/>
  <c r="EI10" i="135"/>
  <c r="FU17" i="135"/>
  <c r="FU10" i="135"/>
  <c r="FN17" i="135"/>
  <c r="FN10" i="135"/>
  <c r="FS17" i="135"/>
  <c r="FS10" i="135"/>
  <c r="FQ17" i="135"/>
  <c r="FQ10" i="135"/>
  <c r="EK17" i="135"/>
  <c r="EK10" i="135"/>
  <c r="ED17" i="135"/>
  <c r="ED10" i="135"/>
  <c r="FT17" i="135"/>
  <c r="FT10" i="135"/>
  <c r="DE10" i="135"/>
  <c r="Y10" i="135"/>
  <c r="E5" i="235" s="1"/>
  <c r="EM10" i="135"/>
  <c r="EB17" i="135"/>
  <c r="EB10" i="135"/>
  <c r="FM17" i="135"/>
  <c r="FM10" i="135"/>
  <c r="FL17" i="135"/>
  <c r="FL10" i="135"/>
  <c r="FP17" i="135"/>
  <c r="FP10" i="135"/>
  <c r="EA17" i="135"/>
  <c r="EA10" i="135"/>
  <c r="EC17" i="135"/>
  <c r="EC10" i="135"/>
  <c r="FX10" i="135"/>
  <c r="FW10" i="135"/>
  <c r="CW17" i="135"/>
  <c r="FY17" i="135"/>
  <c r="AB14" i="135"/>
  <c r="AB17" i="135"/>
  <c r="AH14" i="135"/>
  <c r="AH17" i="135"/>
  <c r="AF17" i="135"/>
  <c r="CX17" i="135"/>
  <c r="AG14" i="135"/>
  <c r="AG17" i="135"/>
  <c r="AJ14" i="135"/>
  <c r="AJ17" i="135"/>
  <c r="AI14" i="135"/>
  <c r="AI17" i="135"/>
  <c r="CQ17" i="135"/>
  <c r="Z14" i="135"/>
  <c r="Z17" i="135"/>
  <c r="EO17" i="135"/>
  <c r="X14" i="135"/>
  <c r="X17" i="135"/>
  <c r="DE17" i="135"/>
  <c r="AD14" i="135"/>
  <c r="AD17" i="135"/>
  <c r="Y14" i="135"/>
  <c r="Y17" i="135"/>
  <c r="AC14" i="135"/>
  <c r="AC17" i="135"/>
  <c r="CF29" i="135"/>
  <c r="CM29" i="135"/>
  <c r="CD29" i="135"/>
  <c r="CH29" i="135"/>
  <c r="DT29" i="135"/>
  <c r="FI29" i="135"/>
  <c r="CP29" i="135"/>
  <c r="DS29" i="135"/>
  <c r="FF29" i="135"/>
  <c r="DQ29" i="135"/>
  <c r="DN29" i="135"/>
  <c r="FG29" i="135"/>
  <c r="DM29" i="135"/>
  <c r="EY29" i="135"/>
  <c r="DL29" i="135"/>
  <c r="DP29" i="135"/>
  <c r="DV29" i="135"/>
  <c r="DY29" i="135"/>
  <c r="DX29" i="135"/>
  <c r="FE29" i="135"/>
  <c r="FD29" i="135"/>
  <c r="EZ29" i="135"/>
  <c r="EX29" i="135"/>
  <c r="FA29" i="135"/>
  <c r="CO29" i="135"/>
  <c r="FH29" i="135"/>
  <c r="BC29" i="135"/>
  <c r="ER63" i="135"/>
  <c r="ER61" i="135"/>
  <c r="ER62" i="135"/>
  <c r="ER60" i="135"/>
  <c r="ER64" i="135"/>
  <c r="ER65" i="135"/>
  <c r="ER66" i="135"/>
  <c r="ER67" i="135"/>
  <c r="ER68" i="135"/>
  <c r="ER73" i="135"/>
  <c r="ER74" i="135"/>
  <c r="ER75" i="135"/>
  <c r="ER76" i="135"/>
  <c r="ER77" i="135"/>
  <c r="ER78" i="135"/>
  <c r="ER79" i="135"/>
  <c r="ER80" i="135"/>
  <c r="ER81" i="135"/>
  <c r="ER82" i="135"/>
  <c r="ER83" i="135"/>
  <c r="ER84" i="135"/>
  <c r="ER85" i="135"/>
  <c r="ER86" i="135"/>
  <c r="ER87" i="135"/>
  <c r="ER88" i="135"/>
  <c r="ER89" i="135"/>
  <c r="ER90" i="135"/>
  <c r="ER91" i="135"/>
  <c r="ER92" i="135"/>
  <c r="ER93" i="135"/>
  <c r="ER94" i="135"/>
  <c r="ER95" i="135"/>
  <c r="ER96" i="135"/>
  <c r="ER97" i="135"/>
  <c r="ER98" i="135"/>
  <c r="ER99" i="135"/>
  <c r="ER100" i="135"/>
  <c r="ER101" i="135"/>
  <c r="ER102" i="135"/>
  <c r="ER103" i="135"/>
  <c r="ER104" i="135"/>
  <c r="ER105" i="135"/>
  <c r="GB63" i="135"/>
  <c r="GB61" i="135"/>
  <c r="GB60" i="135"/>
  <c r="GB62" i="135"/>
  <c r="GB64" i="135"/>
  <c r="GB65" i="135"/>
  <c r="GB66" i="135"/>
  <c r="GB67" i="135"/>
  <c r="GB68" i="135"/>
  <c r="GB73" i="135"/>
  <c r="GB74" i="135"/>
  <c r="GB75" i="135"/>
  <c r="GB76" i="135"/>
  <c r="GB77" i="135"/>
  <c r="GB78" i="135"/>
  <c r="GB79" i="135"/>
  <c r="GB80" i="135"/>
  <c r="GB81" i="135"/>
  <c r="GB82" i="135"/>
  <c r="GB83" i="135"/>
  <c r="GB84" i="135"/>
  <c r="GB85" i="135"/>
  <c r="GB86" i="135"/>
  <c r="GB87" i="135"/>
  <c r="GB88" i="135"/>
  <c r="GB89" i="135"/>
  <c r="GB90" i="135"/>
  <c r="GB91" i="135"/>
  <c r="GB92" i="135"/>
  <c r="GB93" i="135"/>
  <c r="GB94" i="135"/>
  <c r="GB95" i="135"/>
  <c r="GB96" i="135"/>
  <c r="GB97" i="135"/>
  <c r="GB98" i="135"/>
  <c r="GB99" i="135"/>
  <c r="GB100" i="135"/>
  <c r="GB101" i="135"/>
  <c r="GB102" i="135"/>
  <c r="GB103" i="135"/>
  <c r="GB104" i="135"/>
  <c r="GB105" i="135"/>
  <c r="DI8" i="135"/>
  <c r="DH63" i="135"/>
  <c r="DH61" i="135"/>
  <c r="DH60" i="135"/>
  <c r="DH62" i="135"/>
  <c r="DH64" i="135"/>
  <c r="DH65" i="135"/>
  <c r="DH66" i="135"/>
  <c r="DH67" i="135"/>
  <c r="DH68" i="135"/>
  <c r="DH73" i="135"/>
  <c r="DH74" i="135"/>
  <c r="DH75" i="135"/>
  <c r="DH76" i="135"/>
  <c r="DH77" i="135"/>
  <c r="DH78" i="135"/>
  <c r="DH79" i="135"/>
  <c r="DH80" i="135"/>
  <c r="DH81" i="135"/>
  <c r="DH82" i="135"/>
  <c r="DH83" i="135"/>
  <c r="DH84" i="135"/>
  <c r="DH85" i="135"/>
  <c r="DH86" i="135"/>
  <c r="DH87" i="135"/>
  <c r="DH88" i="135"/>
  <c r="DH89" i="135"/>
  <c r="DH90" i="135"/>
  <c r="DH91" i="135"/>
  <c r="DH92" i="135"/>
  <c r="DH93" i="135"/>
  <c r="DH94" i="135"/>
  <c r="DH95" i="135"/>
  <c r="DH96" i="135"/>
  <c r="DH97" i="135"/>
  <c r="DH98" i="135"/>
  <c r="DH99" i="135"/>
  <c r="DH100" i="135"/>
  <c r="DH101" i="135"/>
  <c r="DH102" i="135"/>
  <c r="DH103" i="135"/>
  <c r="DH104" i="135"/>
  <c r="DH105" i="135"/>
  <c r="DW29" i="135"/>
  <c r="DO29" i="135"/>
  <c r="DZ29" i="135"/>
  <c r="DR29" i="135"/>
  <c r="DU29" i="135"/>
  <c r="BN29" i="135"/>
  <c r="AQ105" i="135"/>
  <c r="DH51" i="135"/>
  <c r="DH56" i="135"/>
  <c r="DH59" i="135"/>
  <c r="DH50" i="135"/>
  <c r="DH58" i="135"/>
  <c r="DH54" i="135"/>
  <c r="DH52" i="135"/>
  <c r="DH53" i="135"/>
  <c r="DH57" i="135"/>
  <c r="DH55" i="135"/>
  <c r="ER51" i="135"/>
  <c r="ER59" i="135"/>
  <c r="ER56" i="135"/>
  <c r="ER57" i="135"/>
  <c r="ER58" i="135"/>
  <c r="ER53" i="135"/>
  <c r="ER52" i="135"/>
  <c r="ER54" i="135"/>
  <c r="ER50" i="135"/>
  <c r="ER55" i="135"/>
  <c r="GB56" i="135"/>
  <c r="GB51" i="135"/>
  <c r="GB59" i="135"/>
  <c r="GB55" i="135"/>
  <c r="GB57" i="135"/>
  <c r="GB58" i="135"/>
  <c r="GB54" i="135"/>
  <c r="GB53" i="135"/>
  <c r="GB52" i="135"/>
  <c r="GB50" i="135"/>
  <c r="ES8" i="135"/>
  <c r="ER49" i="135"/>
  <c r="GB49" i="135"/>
  <c r="GC8" i="135"/>
  <c r="DH49" i="135"/>
  <c r="GA17" i="135"/>
  <c r="EQ21" i="135"/>
  <c r="EQ14" i="135"/>
  <c r="DG21" i="135"/>
  <c r="DG14" i="135"/>
  <c r="GA21" i="135"/>
  <c r="GA14" i="135"/>
  <c r="GA10" i="135"/>
  <c r="E26" i="235" l="1"/>
  <c r="Z26" i="235" s="1"/>
  <c r="C58" i="235"/>
  <c r="D26" i="235"/>
  <c r="W26" i="235" s="1"/>
  <c r="L13" i="131"/>
  <c r="N13" i="131" s="1"/>
  <c r="ER25" i="135"/>
  <c r="DG17" i="135"/>
  <c r="CY10" i="135"/>
  <c r="CT29" i="135"/>
  <c r="AG180" i="135"/>
  <c r="CU17" i="135"/>
  <c r="CV29" i="135"/>
  <c r="Y180" i="135"/>
  <c r="CR10" i="135"/>
  <c r="EJ10" i="135"/>
  <c r="CV10" i="135"/>
  <c r="CT10" i="135"/>
  <c r="AB180" i="135"/>
  <c r="AF180" i="135"/>
  <c r="AI180" i="135"/>
  <c r="EQ10" i="135"/>
  <c r="EQ17" i="135"/>
  <c r="CS17" i="135"/>
  <c r="DA10" i="135"/>
  <c r="CS29" i="135"/>
  <c r="EN10" i="135"/>
  <c r="Z180" i="135"/>
  <c r="DC17" i="135"/>
  <c r="CR17" i="135"/>
  <c r="AC180" i="135"/>
  <c r="EN17" i="135"/>
  <c r="X180" i="135"/>
  <c r="AD180" i="135"/>
  <c r="AH180" i="135"/>
  <c r="CZ17" i="135"/>
  <c r="DG29" i="135"/>
  <c r="DD17" i="135"/>
  <c r="DD10" i="135"/>
  <c r="DK29" i="135"/>
  <c r="CA29" i="135"/>
  <c r="DH180" i="135"/>
  <c r="ER180" i="135"/>
  <c r="GB180" i="135"/>
  <c r="FJ179" i="135"/>
  <c r="EU17" i="135"/>
  <c r="CE17" i="135"/>
  <c r="GB31" i="135"/>
  <c r="ER32" i="135"/>
  <c r="EU29" i="135"/>
  <c r="DL179" i="135"/>
  <c r="ER34" i="135"/>
  <c r="GB34" i="135"/>
  <c r="EV179" i="135"/>
  <c r="CE29" i="135"/>
  <c r="GC254" i="135"/>
  <c r="BG254" i="135" s="1"/>
  <c r="GC256" i="135"/>
  <c r="GC249" i="135"/>
  <c r="BW249" i="135" s="1"/>
  <c r="GC245" i="135"/>
  <c r="BG245" i="135" s="1"/>
  <c r="GC248" i="135"/>
  <c r="BW248" i="135" s="1"/>
  <c r="GC238" i="135"/>
  <c r="BG238" i="135" s="1"/>
  <c r="GC257" i="135"/>
  <c r="GC234" i="135"/>
  <c r="BG234" i="135" s="1"/>
  <c r="GC230" i="135"/>
  <c r="BW230" i="135" s="1"/>
  <c r="GC229" i="135"/>
  <c r="GC227" i="135"/>
  <c r="GC223" i="135"/>
  <c r="BG223" i="135" s="1"/>
  <c r="GC224" i="135"/>
  <c r="BG224" i="135" s="1"/>
  <c r="GC240" i="135"/>
  <c r="GC228" i="135"/>
  <c r="BG228" i="135" s="1"/>
  <c r="GC233" i="135"/>
  <c r="BW233" i="135" s="1"/>
  <c r="GC219" i="135"/>
  <c r="BW219" i="135" s="1"/>
  <c r="GC214" i="135"/>
  <c r="GC216" i="135"/>
  <c r="BW216" i="135" s="1"/>
  <c r="GC221" i="135"/>
  <c r="GC222" i="135"/>
  <c r="GC242" i="135"/>
  <c r="BW242" i="135" s="1"/>
  <c r="GC244" i="135"/>
  <c r="GC239" i="135"/>
  <c r="BG239" i="135" s="1"/>
  <c r="GC243" i="135"/>
  <c r="GC246" i="135"/>
  <c r="GC226" i="135"/>
  <c r="BG226" i="135" s="1"/>
  <c r="GC218" i="135"/>
  <c r="BW218" i="135" s="1"/>
  <c r="GC220" i="135"/>
  <c r="GC232" i="135"/>
  <c r="BW232" i="135" s="1"/>
  <c r="GC235" i="135"/>
  <c r="BG235" i="135" s="1"/>
  <c r="GC250" i="135"/>
  <c r="BG250" i="135" s="1"/>
  <c r="GC217" i="135"/>
  <c r="GC215" i="135"/>
  <c r="BG215" i="135" s="1"/>
  <c r="GC231" i="135"/>
  <c r="BW231" i="135" s="1"/>
  <c r="GC236" i="135"/>
  <c r="GC237" i="135"/>
  <c r="BW237" i="135" s="1"/>
  <c r="GC241" i="135"/>
  <c r="GC247" i="135"/>
  <c r="BW247" i="135" s="1"/>
  <c r="GC258" i="135"/>
  <c r="GC225" i="135"/>
  <c r="GC252" i="135"/>
  <c r="GC264" i="135"/>
  <c r="BW264" i="135" s="1"/>
  <c r="GC259" i="135"/>
  <c r="BG259" i="135" s="1"/>
  <c r="GC263" i="135"/>
  <c r="BW263" i="135" s="1"/>
  <c r="GC265" i="135"/>
  <c r="BG265" i="135" s="1"/>
  <c r="GC266" i="135"/>
  <c r="GC268" i="135"/>
  <c r="BG268" i="135" s="1"/>
  <c r="GC275" i="135"/>
  <c r="GC270" i="135"/>
  <c r="BW270" i="135" s="1"/>
  <c r="GC272" i="135"/>
  <c r="BW272" i="135" s="1"/>
  <c r="GC274" i="135"/>
  <c r="BG274" i="135" s="1"/>
  <c r="GC260" i="135"/>
  <c r="GC262" i="135"/>
  <c r="BW262" i="135" s="1"/>
  <c r="GC267" i="135"/>
  <c r="BW267" i="135" s="1"/>
  <c r="GC271" i="135"/>
  <c r="BG271" i="135" s="1"/>
  <c r="GC273" i="135"/>
  <c r="GC269" i="135"/>
  <c r="BG269" i="135" s="1"/>
  <c r="GC253" i="135"/>
  <c r="GC255" i="135"/>
  <c r="GC261" i="135"/>
  <c r="BG261" i="135" s="1"/>
  <c r="GC251" i="135"/>
  <c r="BW251" i="135" s="1"/>
  <c r="ES268" i="135"/>
  <c r="ES267" i="135"/>
  <c r="ES265" i="135"/>
  <c r="ES258" i="135"/>
  <c r="ES243" i="135"/>
  <c r="ES241" i="135"/>
  <c r="ES239" i="135"/>
  <c r="ES237" i="135"/>
  <c r="ES251" i="135"/>
  <c r="ES250" i="135"/>
  <c r="ES247" i="135"/>
  <c r="ES246" i="135"/>
  <c r="ES240" i="135"/>
  <c r="ES244" i="135"/>
  <c r="ES236" i="135"/>
  <c r="ES232" i="135"/>
  <c r="ES222" i="135"/>
  <c r="ES231" i="135"/>
  <c r="ES235" i="135"/>
  <c r="ES216" i="135"/>
  <c r="ES228" i="135"/>
  <c r="ES223" i="135"/>
  <c r="ES220" i="135"/>
  <c r="ES257" i="135"/>
  <c r="ES229" i="135"/>
  <c r="ES233" i="135"/>
  <c r="ES245" i="135"/>
  <c r="ES248" i="135"/>
  <c r="ES217" i="135"/>
  <c r="ES221" i="135"/>
  <c r="ES224" i="135"/>
  <c r="ES254" i="135"/>
  <c r="ES255" i="135"/>
  <c r="ES219" i="135"/>
  <c r="ES214" i="135"/>
  <c r="ES218" i="135"/>
  <c r="ES225" i="135"/>
  <c r="ES226" i="135"/>
  <c r="ES227" i="135"/>
  <c r="ES238" i="135"/>
  <c r="ES242" i="135"/>
  <c r="ES234" i="135"/>
  <c r="ES249" i="135"/>
  <c r="ES256" i="135"/>
  <c r="ES260" i="135"/>
  <c r="ES215" i="135"/>
  <c r="ES230" i="135"/>
  <c r="ES264" i="135"/>
  <c r="ES269" i="135"/>
  <c r="ES270" i="135"/>
  <c r="ES271" i="135"/>
  <c r="ES262" i="135"/>
  <c r="ES259" i="135"/>
  <c r="ES261" i="135"/>
  <c r="ES274" i="135"/>
  <c r="ES273" i="135"/>
  <c r="ES275" i="135"/>
  <c r="ES266" i="135"/>
  <c r="ES253" i="135"/>
  <c r="ES263" i="135"/>
  <c r="ES272" i="135"/>
  <c r="ES252" i="135"/>
  <c r="DI274" i="135"/>
  <c r="DI271" i="135"/>
  <c r="BV271" i="135" s="1"/>
  <c r="DI267" i="135"/>
  <c r="DI270" i="135"/>
  <c r="DI259" i="135"/>
  <c r="DI234" i="135"/>
  <c r="BF234" i="135" s="1"/>
  <c r="DI230" i="135"/>
  <c r="DI233" i="135"/>
  <c r="DI229" i="135"/>
  <c r="BV229" i="135" s="1"/>
  <c r="DI220" i="135"/>
  <c r="DI217" i="135"/>
  <c r="DI216" i="135"/>
  <c r="DI215" i="135"/>
  <c r="BV215" i="135" s="1"/>
  <c r="DI214" i="135"/>
  <c r="BF214" i="135" s="1"/>
  <c r="DI221" i="135"/>
  <c r="BV221" i="135" s="1"/>
  <c r="DI218" i="135"/>
  <c r="DI225" i="135"/>
  <c r="BV225" i="135" s="1"/>
  <c r="DI251" i="135"/>
  <c r="BF251" i="135" s="1"/>
  <c r="DI228" i="135"/>
  <c r="BF228" i="135" s="1"/>
  <c r="DI223" i="135"/>
  <c r="DI236" i="135"/>
  <c r="BV236" i="135" s="1"/>
  <c r="DI242" i="135"/>
  <c r="BF242" i="135" s="1"/>
  <c r="DI244" i="135"/>
  <c r="DI257" i="135"/>
  <c r="BV257" i="135" s="1"/>
  <c r="DI239" i="135"/>
  <c r="BV239" i="135" s="1"/>
  <c r="DI243" i="135"/>
  <c r="DI246" i="135"/>
  <c r="DI248" i="135"/>
  <c r="BV248" i="135" s="1"/>
  <c r="DI252" i="135"/>
  <c r="DI226" i="135"/>
  <c r="BV226" i="135" s="1"/>
  <c r="DI222" i="135"/>
  <c r="DI238" i="135"/>
  <c r="BF238" i="135" s="1"/>
  <c r="DI224" i="135"/>
  <c r="DI232" i="135"/>
  <c r="BV232" i="135" s="1"/>
  <c r="DI235" i="135"/>
  <c r="BV235" i="135" s="1"/>
  <c r="DI245" i="135"/>
  <c r="DI250" i="135"/>
  <c r="DI253" i="135"/>
  <c r="BF253" i="135" s="1"/>
  <c r="DI254" i="135"/>
  <c r="DI255" i="135"/>
  <c r="BF255" i="135" s="1"/>
  <c r="DI258" i="135"/>
  <c r="DI241" i="135"/>
  <c r="DI227" i="135"/>
  <c r="BF227" i="135" s="1"/>
  <c r="DI247" i="135"/>
  <c r="DI231" i="135"/>
  <c r="BV231" i="135" s="1"/>
  <c r="DI240" i="135"/>
  <c r="BF240" i="135" s="1"/>
  <c r="DI219" i="135"/>
  <c r="DI237" i="135"/>
  <c r="BV237" i="135" s="1"/>
  <c r="DI256" i="135"/>
  <c r="BF256" i="135" s="1"/>
  <c r="DI249" i="135"/>
  <c r="BV249" i="135" s="1"/>
  <c r="DI264" i="135"/>
  <c r="DI273" i="135"/>
  <c r="DI269" i="135"/>
  <c r="DI268" i="135"/>
  <c r="DI260" i="135"/>
  <c r="BV260" i="135" s="1"/>
  <c r="DI265" i="135"/>
  <c r="BF265" i="135" s="1"/>
  <c r="DI261" i="135"/>
  <c r="BF261" i="135" s="1"/>
  <c r="DI272" i="135"/>
  <c r="BV272" i="135" s="1"/>
  <c r="DI275" i="135"/>
  <c r="BV275" i="135" s="1"/>
  <c r="DI263" i="135"/>
  <c r="DI266" i="135"/>
  <c r="BF266" i="135" s="1"/>
  <c r="DI262" i="135"/>
  <c r="BV262" i="135" s="1"/>
  <c r="FI179" i="135"/>
  <c r="DZ179" i="135"/>
  <c r="DV179" i="135"/>
  <c r="FF179" i="135"/>
  <c r="FE179" i="135"/>
  <c r="CJ179" i="135"/>
  <c r="CM179" i="135"/>
  <c r="CK179" i="135"/>
  <c r="CP179" i="135"/>
  <c r="AQ178" i="135"/>
  <c r="CO179" i="135"/>
  <c r="FH179" i="135"/>
  <c r="FK179" i="135"/>
  <c r="FG179" i="135"/>
  <c r="CN179" i="135"/>
  <c r="CL179" i="135"/>
  <c r="DP179" i="135"/>
  <c r="DY179" i="135"/>
  <c r="CQ179" i="135"/>
  <c r="DX179" i="135"/>
  <c r="EA179" i="135"/>
  <c r="DU179" i="135"/>
  <c r="EB180" i="135"/>
  <c r="FL180" i="135"/>
  <c r="CS180" i="135"/>
  <c r="FN180" i="135"/>
  <c r="ED180" i="135"/>
  <c r="DQ179" i="135"/>
  <c r="DR179" i="135"/>
  <c r="DN179" i="135"/>
  <c r="DM179" i="135"/>
  <c r="DT179" i="135"/>
  <c r="BN179" i="135"/>
  <c r="AU179" i="135"/>
  <c r="FD179" i="135"/>
  <c r="EY179" i="135"/>
  <c r="DS179" i="135"/>
  <c r="C181" i="135"/>
  <c r="T181" i="135" s="1"/>
  <c r="CE179" i="135"/>
  <c r="CI179" i="135"/>
  <c r="CG179" i="135"/>
  <c r="CC179" i="135"/>
  <c r="BI179" i="135"/>
  <c r="AX179" i="135"/>
  <c r="AQ179" i="135" s="1"/>
  <c r="BQ179" i="135"/>
  <c r="FB179" i="135"/>
  <c r="CH179" i="135"/>
  <c r="EW179" i="135"/>
  <c r="EP180" i="135"/>
  <c r="FZ180" i="135"/>
  <c r="DF180" i="135"/>
  <c r="EE180" i="135"/>
  <c r="FQ180" i="135"/>
  <c r="FR180" i="135"/>
  <c r="CY180" i="135"/>
  <c r="EK180" i="135"/>
  <c r="EL180" i="135"/>
  <c r="EM180" i="135"/>
  <c r="FY180" i="135"/>
  <c r="DG180" i="135"/>
  <c r="GA180" i="135"/>
  <c r="CA180" i="135"/>
  <c r="EC180" i="135"/>
  <c r="CV180" i="135"/>
  <c r="EG180" i="135"/>
  <c r="EH180" i="135"/>
  <c r="CZ180" i="135"/>
  <c r="FU180" i="135"/>
  <c r="DB180" i="135"/>
  <c r="EN180" i="135"/>
  <c r="EO180" i="135"/>
  <c r="EQ180" i="135"/>
  <c r="DK180" i="135"/>
  <c r="FO180" i="135"/>
  <c r="FP180" i="135"/>
  <c r="CW180" i="135"/>
  <c r="EI180" i="135"/>
  <c r="FT180" i="135"/>
  <c r="DA180" i="135"/>
  <c r="DC180" i="135"/>
  <c r="FX180" i="135"/>
  <c r="DE180" i="135"/>
  <c r="EU180" i="135"/>
  <c r="CU180" i="135"/>
  <c r="EF180" i="135"/>
  <c r="CX180" i="135"/>
  <c r="FS180" i="135"/>
  <c r="EJ180" i="135"/>
  <c r="FV180" i="135"/>
  <c r="FW180" i="135"/>
  <c r="DD180" i="135"/>
  <c r="EZ179" i="135"/>
  <c r="CF179" i="135"/>
  <c r="FC179" i="135"/>
  <c r="DO179" i="135"/>
  <c r="FM180" i="135"/>
  <c r="CT180" i="135"/>
  <c r="BH179" i="135"/>
  <c r="AV179" i="135"/>
  <c r="BX179" i="135"/>
  <c r="BC179" i="135"/>
  <c r="CD179" i="135"/>
  <c r="EX179" i="135"/>
  <c r="AN179" i="135"/>
  <c r="Q179" i="135" s="1"/>
  <c r="CA10" i="135"/>
  <c r="EU10" i="135"/>
  <c r="DK17" i="135"/>
  <c r="DH15" i="135"/>
  <c r="BQ15" i="135"/>
  <c r="BH15" i="135"/>
  <c r="BC15" i="135"/>
  <c r="AX15" i="135"/>
  <c r="AV15" i="135"/>
  <c r="ER15" i="135"/>
  <c r="BI15" i="135"/>
  <c r="AU15" i="135"/>
  <c r="BX15" i="135"/>
  <c r="GB15" i="135"/>
  <c r="BN15" i="135"/>
  <c r="ER30" i="135"/>
  <c r="DH37" i="135"/>
  <c r="GB32" i="135"/>
  <c r="DH32" i="135"/>
  <c r="DH36" i="135"/>
  <c r="DH33" i="135"/>
  <c r="ES126" i="135"/>
  <c r="ES127" i="135"/>
  <c r="DI127" i="135"/>
  <c r="BV127" i="135" s="1"/>
  <c r="DI126" i="135"/>
  <c r="BF126" i="135" s="1"/>
  <c r="DH34" i="135"/>
  <c r="GC126" i="135"/>
  <c r="GC127" i="135"/>
  <c r="BW127" i="135" s="1"/>
  <c r="GC71" i="135"/>
  <c r="BG71" i="135" s="1"/>
  <c r="GC69" i="135"/>
  <c r="BW69" i="135" s="1"/>
  <c r="GC70" i="135"/>
  <c r="BG70" i="135" s="1"/>
  <c r="GC72" i="135"/>
  <c r="BW72" i="135" s="1"/>
  <c r="DH25" i="135"/>
  <c r="ES71" i="135"/>
  <c r="ES69" i="135"/>
  <c r="ES72" i="135"/>
  <c r="ES70" i="135"/>
  <c r="DI70" i="135"/>
  <c r="BV70" i="135" s="1"/>
  <c r="DI71" i="135"/>
  <c r="DI69" i="135"/>
  <c r="BV69" i="135" s="1"/>
  <c r="DI72" i="135"/>
  <c r="BF72" i="135" s="1"/>
  <c r="GB25" i="135"/>
  <c r="GB26" i="135"/>
  <c r="GB35" i="135"/>
  <c r="BX33" i="135"/>
  <c r="ER36" i="135"/>
  <c r="BI33" i="135"/>
  <c r="BI36" i="135"/>
  <c r="GB28" i="135"/>
  <c r="GB37" i="135"/>
  <c r="GC124" i="135"/>
  <c r="BW124" i="135" s="1"/>
  <c r="GC171" i="135"/>
  <c r="BW171" i="135" s="1"/>
  <c r="GC121" i="135"/>
  <c r="BW121" i="135" s="1"/>
  <c r="GC174" i="135"/>
  <c r="GC122" i="135"/>
  <c r="GC128" i="135"/>
  <c r="BG128" i="135" s="1"/>
  <c r="GC151" i="135"/>
  <c r="BG151" i="135" s="1"/>
  <c r="GC129" i="135"/>
  <c r="BG129" i="135" s="1"/>
  <c r="GC123" i="135"/>
  <c r="BW123" i="135" s="1"/>
  <c r="GC125" i="135"/>
  <c r="GC139" i="135"/>
  <c r="BW139" i="135" s="1"/>
  <c r="GC108" i="135"/>
  <c r="GC141" i="135"/>
  <c r="BG141" i="135" s="1"/>
  <c r="GC135" i="135"/>
  <c r="BW135" i="135" s="1"/>
  <c r="GC148" i="135"/>
  <c r="BW148" i="135" s="1"/>
  <c r="GC111" i="135"/>
  <c r="BW111" i="135" s="1"/>
  <c r="GC147" i="135"/>
  <c r="BW147" i="135" s="1"/>
  <c r="GC163" i="135"/>
  <c r="BG163" i="135" s="1"/>
  <c r="GC116" i="135"/>
  <c r="GC132" i="135"/>
  <c r="GC165" i="135"/>
  <c r="BG165" i="135" s="1"/>
  <c r="GC179" i="135"/>
  <c r="GC150" i="135"/>
  <c r="BG150" i="135" s="1"/>
  <c r="GC169" i="135"/>
  <c r="GC164" i="135"/>
  <c r="BW164" i="135" s="1"/>
  <c r="GC178" i="135"/>
  <c r="BW178" i="135" s="1"/>
  <c r="GC177" i="135"/>
  <c r="BW177" i="135" s="1"/>
  <c r="GC159" i="135"/>
  <c r="BG159" i="135" s="1"/>
  <c r="GC115" i="135"/>
  <c r="BW115" i="135" s="1"/>
  <c r="GC144" i="135"/>
  <c r="BW144" i="135" s="1"/>
  <c r="GC118" i="135"/>
  <c r="GC110" i="135"/>
  <c r="GC162" i="135"/>
  <c r="BW162" i="135" s="1"/>
  <c r="GC155" i="135"/>
  <c r="BW155" i="135" s="1"/>
  <c r="GC153" i="135"/>
  <c r="GC114" i="135"/>
  <c r="BG114" i="135" s="1"/>
  <c r="GC180" i="135"/>
  <c r="GC107" i="135"/>
  <c r="BW107" i="135" s="1"/>
  <c r="GC175" i="135"/>
  <c r="BW175" i="135" s="1"/>
  <c r="GC134" i="135"/>
  <c r="BG134" i="135" s="1"/>
  <c r="GC154" i="135"/>
  <c r="GC130" i="135"/>
  <c r="BW130" i="135" s="1"/>
  <c r="GC131" i="135"/>
  <c r="BG131" i="135" s="1"/>
  <c r="GC152" i="135"/>
  <c r="BG152" i="135" s="1"/>
  <c r="GC138" i="135"/>
  <c r="GC136" i="135"/>
  <c r="BG136" i="135" s="1"/>
  <c r="GC160" i="135"/>
  <c r="BG160" i="135" s="1"/>
  <c r="GC112" i="135"/>
  <c r="BW112" i="135" s="1"/>
  <c r="GC166" i="135"/>
  <c r="BW166" i="135" s="1"/>
  <c r="GC113" i="135"/>
  <c r="BW113" i="135" s="1"/>
  <c r="GC133" i="135"/>
  <c r="BG133" i="135" s="1"/>
  <c r="GC137" i="135"/>
  <c r="BW137" i="135" s="1"/>
  <c r="GC161" i="135"/>
  <c r="GC145" i="135"/>
  <c r="BG145" i="135" s="1"/>
  <c r="GC149" i="135"/>
  <c r="BW149" i="135" s="1"/>
  <c r="GC173" i="135"/>
  <c r="BG173" i="135" s="1"/>
  <c r="GC143" i="135"/>
  <c r="BW143" i="135" s="1"/>
  <c r="GC117" i="135"/>
  <c r="BG117" i="135" s="1"/>
  <c r="GC119" i="135"/>
  <c r="GC157" i="135"/>
  <c r="BG157" i="135" s="1"/>
  <c r="GC167" i="135"/>
  <c r="GC156" i="135"/>
  <c r="GC106" i="135"/>
  <c r="BW106" i="135" s="1"/>
  <c r="GC142" i="135"/>
  <c r="BW142" i="135" s="1"/>
  <c r="GC109" i="135"/>
  <c r="BG109" i="135" s="1"/>
  <c r="GC176" i="135"/>
  <c r="GC168" i="135"/>
  <c r="BG168" i="135" s="1"/>
  <c r="GC146" i="135"/>
  <c r="GC158" i="135"/>
  <c r="GC170" i="135"/>
  <c r="GC120" i="135"/>
  <c r="BG120" i="135" s="1"/>
  <c r="GC140" i="135"/>
  <c r="BG140" i="135" s="1"/>
  <c r="GC172" i="135"/>
  <c r="BW172" i="135" s="1"/>
  <c r="GB30" i="135"/>
  <c r="BN33" i="135"/>
  <c r="GB36" i="135"/>
  <c r="GB33" i="135"/>
  <c r="ER28" i="135"/>
  <c r="ER37" i="135"/>
  <c r="ER26" i="135"/>
  <c r="ER35" i="135"/>
  <c r="ER33" i="135"/>
  <c r="DH30" i="135"/>
  <c r="ES121" i="135"/>
  <c r="ES124" i="135"/>
  <c r="ES128" i="135"/>
  <c r="ES151" i="135"/>
  <c r="ES122" i="135"/>
  <c r="ES174" i="135"/>
  <c r="ES171" i="135"/>
  <c r="ES125" i="135"/>
  <c r="ES129" i="135"/>
  <c r="ES123" i="135"/>
  <c r="ES165" i="135"/>
  <c r="ES163" i="135"/>
  <c r="ES141" i="135"/>
  <c r="ES108" i="135"/>
  <c r="ES148" i="135"/>
  <c r="ES111" i="135"/>
  <c r="ES135" i="135"/>
  <c r="ES139" i="135"/>
  <c r="ES159" i="135"/>
  <c r="ES144" i="135"/>
  <c r="ES179" i="135"/>
  <c r="ES147" i="135"/>
  <c r="ES118" i="135"/>
  <c r="ES169" i="135"/>
  <c r="ES164" i="135"/>
  <c r="ES177" i="135"/>
  <c r="ES116" i="135"/>
  <c r="ES132" i="135"/>
  <c r="ES150" i="135"/>
  <c r="ES115" i="135"/>
  <c r="ES178" i="135"/>
  <c r="ES110" i="135"/>
  <c r="ES162" i="135"/>
  <c r="ES154" i="135"/>
  <c r="ES153" i="135"/>
  <c r="ES114" i="135"/>
  <c r="ES107" i="135"/>
  <c r="ES112" i="135"/>
  <c r="ES160" i="135"/>
  <c r="ES155" i="135"/>
  <c r="ES113" i="135"/>
  <c r="ES136" i="135"/>
  <c r="ES180" i="135"/>
  <c r="ES134" i="135"/>
  <c r="ES130" i="135"/>
  <c r="ES131" i="135"/>
  <c r="ES152" i="135"/>
  <c r="ES175" i="135"/>
  <c r="ES138" i="135"/>
  <c r="ES133" i="135"/>
  <c r="ES149" i="135"/>
  <c r="ES166" i="135"/>
  <c r="ES161" i="135"/>
  <c r="ES173" i="135"/>
  <c r="ES145" i="135"/>
  <c r="ES119" i="135"/>
  <c r="ES143" i="135"/>
  <c r="ES117" i="135"/>
  <c r="ES137" i="135"/>
  <c r="ES157" i="135"/>
  <c r="ES167" i="135"/>
  <c r="ES168" i="135"/>
  <c r="ES109" i="135"/>
  <c r="ES142" i="135"/>
  <c r="ES156" i="135"/>
  <c r="ES170" i="135"/>
  <c r="ES176" i="135"/>
  <c r="ES146" i="135"/>
  <c r="ES158" i="135"/>
  <c r="ES106" i="135"/>
  <c r="ES120" i="135"/>
  <c r="ES140" i="135"/>
  <c r="ES172" i="135"/>
  <c r="ER31" i="135"/>
  <c r="DH31" i="135"/>
  <c r="BQ33" i="135"/>
  <c r="BQ36" i="135"/>
  <c r="DH26" i="135"/>
  <c r="DH35" i="135"/>
  <c r="DI56" i="135"/>
  <c r="AZ56" i="135" s="1"/>
  <c r="DI121" i="135"/>
  <c r="BV121" i="135" s="1"/>
  <c r="DI171" i="135"/>
  <c r="DI151" i="135"/>
  <c r="DI174" i="135"/>
  <c r="BF174" i="135" s="1"/>
  <c r="DI124" i="135"/>
  <c r="DI122" i="135"/>
  <c r="BV122" i="135" s="1"/>
  <c r="DI129" i="135"/>
  <c r="DI123" i="135"/>
  <c r="DI128" i="135"/>
  <c r="BV128" i="135" s="1"/>
  <c r="DI125" i="135"/>
  <c r="BV125" i="135" s="1"/>
  <c r="DI139" i="135"/>
  <c r="DI141" i="135"/>
  <c r="BF141" i="135" s="1"/>
  <c r="DI148" i="135"/>
  <c r="DI177" i="135"/>
  <c r="BV177" i="135" s="1"/>
  <c r="DI135" i="135"/>
  <c r="DI108" i="135"/>
  <c r="DI165" i="135"/>
  <c r="DI159" i="135"/>
  <c r="DI147" i="135"/>
  <c r="DI163" i="135"/>
  <c r="BV163" i="135" s="1"/>
  <c r="DI132" i="135"/>
  <c r="BF132" i="135" s="1"/>
  <c r="DI169" i="135"/>
  <c r="BF169" i="135" s="1"/>
  <c r="DI111" i="135"/>
  <c r="BF111" i="135" s="1"/>
  <c r="DI179" i="135"/>
  <c r="DI115" i="135"/>
  <c r="DI164" i="135"/>
  <c r="BV164" i="135" s="1"/>
  <c r="DI144" i="135"/>
  <c r="BV144" i="135" s="1"/>
  <c r="DI116" i="135"/>
  <c r="DI150" i="135"/>
  <c r="BF150" i="135" s="1"/>
  <c r="DI118" i="135"/>
  <c r="BF118" i="135" s="1"/>
  <c r="DI178" i="135"/>
  <c r="DI110" i="135"/>
  <c r="DI136" i="135"/>
  <c r="BV136" i="135" s="1"/>
  <c r="DI180" i="135"/>
  <c r="DI112" i="135"/>
  <c r="DI152" i="135"/>
  <c r="BF152" i="135" s="1"/>
  <c r="DI134" i="135"/>
  <c r="BV134" i="135" s="1"/>
  <c r="DI131" i="135"/>
  <c r="BV131" i="135" s="1"/>
  <c r="DI162" i="135"/>
  <c r="DI107" i="135"/>
  <c r="DI154" i="135"/>
  <c r="BF154" i="135" s="1"/>
  <c r="DI130" i="135"/>
  <c r="DI155" i="135"/>
  <c r="BF155" i="135" s="1"/>
  <c r="DI153" i="135"/>
  <c r="BV153" i="135" s="1"/>
  <c r="DI175" i="135"/>
  <c r="BV175" i="135" s="1"/>
  <c r="DI160" i="135"/>
  <c r="BV160" i="135" s="1"/>
  <c r="DI114" i="135"/>
  <c r="DI138" i="135"/>
  <c r="BV138" i="135" s="1"/>
  <c r="DI137" i="135"/>
  <c r="BV137" i="135" s="1"/>
  <c r="DI143" i="135"/>
  <c r="BV143" i="135" s="1"/>
  <c r="DI167" i="135"/>
  <c r="DI113" i="135"/>
  <c r="BF113" i="135" s="1"/>
  <c r="DI173" i="135"/>
  <c r="BF173" i="135" s="1"/>
  <c r="DI157" i="135"/>
  <c r="DI133" i="135"/>
  <c r="BV133" i="135" s="1"/>
  <c r="DI145" i="135"/>
  <c r="BV145" i="135" s="1"/>
  <c r="DI149" i="135"/>
  <c r="DI166" i="135"/>
  <c r="BF166" i="135" s="1"/>
  <c r="DI161" i="135"/>
  <c r="DI119" i="135"/>
  <c r="DI117" i="135"/>
  <c r="DI168" i="135"/>
  <c r="BF168" i="135" s="1"/>
  <c r="DI170" i="135"/>
  <c r="BF170" i="135" s="1"/>
  <c r="DI142" i="135"/>
  <c r="DI146" i="135"/>
  <c r="BF146" i="135" s="1"/>
  <c r="DI106" i="135"/>
  <c r="DI156" i="135"/>
  <c r="DI109" i="135"/>
  <c r="BV109" i="135" s="1"/>
  <c r="DI158" i="135"/>
  <c r="BV158" i="135" s="1"/>
  <c r="DI176" i="135"/>
  <c r="BF176" i="135" s="1"/>
  <c r="DI120" i="135"/>
  <c r="DI140" i="135"/>
  <c r="DI172" i="135"/>
  <c r="BV172" i="135" s="1"/>
  <c r="BH36" i="135"/>
  <c r="BC33" i="135"/>
  <c r="BC36" i="135"/>
  <c r="AX33" i="135"/>
  <c r="AX36" i="135"/>
  <c r="BY36" i="135"/>
  <c r="BP36" i="135"/>
  <c r="BD36" i="135"/>
  <c r="AW36" i="135"/>
  <c r="AN36" i="135"/>
  <c r="AV33" i="135"/>
  <c r="AV36" i="135"/>
  <c r="DI53" i="135"/>
  <c r="BS53" i="135" s="1"/>
  <c r="DI49" i="135"/>
  <c r="BF49" i="135" s="1"/>
  <c r="DI55" i="135"/>
  <c r="R55" i="135" s="1"/>
  <c r="DI50" i="135"/>
  <c r="BS50" i="135" s="1"/>
  <c r="DI51" i="135"/>
  <c r="BS51" i="135" s="1"/>
  <c r="DI59" i="135"/>
  <c r="BS59" i="135" s="1"/>
  <c r="DI54" i="135"/>
  <c r="BS54" i="135" s="1"/>
  <c r="DI57" i="135"/>
  <c r="BF57" i="135" s="1"/>
  <c r="DI52" i="135"/>
  <c r="P52" i="135" s="1"/>
  <c r="DI58" i="135"/>
  <c r="AZ58" i="135" s="1"/>
  <c r="ER22" i="135"/>
  <c r="ER24" i="135"/>
  <c r="AX10" i="135"/>
  <c r="AX29" i="135"/>
  <c r="EV29" i="135"/>
  <c r="GB29" i="135"/>
  <c r="GB27" i="135"/>
  <c r="GB24" i="135"/>
  <c r="BX10" i="135"/>
  <c r="BX29" i="135"/>
  <c r="BH10" i="135"/>
  <c r="BH27" i="135"/>
  <c r="BH29" i="135"/>
  <c r="CK10" i="135"/>
  <c r="CK29" i="135"/>
  <c r="CH17" i="135"/>
  <c r="DH22" i="135"/>
  <c r="BQ10" i="135"/>
  <c r="BQ29" i="135"/>
  <c r="FC29" i="135"/>
  <c r="DH27" i="135"/>
  <c r="DH24" i="135"/>
  <c r="GB23" i="135"/>
  <c r="GB22" i="135"/>
  <c r="FB29" i="135"/>
  <c r="DH29" i="135"/>
  <c r="ER23" i="135"/>
  <c r="DH23" i="135"/>
  <c r="BI10" i="135"/>
  <c r="BI29" i="135"/>
  <c r="DH28" i="135"/>
  <c r="ER29" i="135"/>
  <c r="ER27" i="135"/>
  <c r="AU10" i="135"/>
  <c r="AU29" i="135"/>
  <c r="CB10" i="135"/>
  <c r="CB29" i="135"/>
  <c r="EW10" i="135"/>
  <c r="EW29" i="135"/>
  <c r="CN10" i="135"/>
  <c r="CN29" i="135"/>
  <c r="AV10" i="135"/>
  <c r="AV27" i="135"/>
  <c r="AV29" i="135"/>
  <c r="CL10" i="135"/>
  <c r="CL29" i="135"/>
  <c r="FJ29" i="135"/>
  <c r="EV17" i="135"/>
  <c r="EV10" i="135"/>
  <c r="EZ17" i="135"/>
  <c r="EZ10" i="135"/>
  <c r="FG17" i="135"/>
  <c r="FG10" i="135"/>
  <c r="FB17" i="135"/>
  <c r="FB10" i="135"/>
  <c r="FH10" i="135"/>
  <c r="FC10" i="135"/>
  <c r="EY17" i="135"/>
  <c r="EY10" i="135"/>
  <c r="BC10" i="135"/>
  <c r="FJ10" i="135"/>
  <c r="DQ10" i="135"/>
  <c r="DV10" i="135"/>
  <c r="DX10" i="135"/>
  <c r="DY10" i="135"/>
  <c r="FD17" i="135"/>
  <c r="FD10" i="135"/>
  <c r="FF17" i="135"/>
  <c r="FF10" i="135"/>
  <c r="FA17" i="135"/>
  <c r="FA10" i="135"/>
  <c r="DR10" i="135"/>
  <c r="DP10" i="135"/>
  <c r="CM10" i="135"/>
  <c r="DT10" i="135"/>
  <c r="FE17" i="135"/>
  <c r="FE10" i="135"/>
  <c r="FI17" i="135"/>
  <c r="FI10" i="135"/>
  <c r="EX10" i="135"/>
  <c r="CO10" i="135"/>
  <c r="BN10" i="135"/>
  <c r="DN10" i="135"/>
  <c r="DZ10" i="135"/>
  <c r="DM10" i="135"/>
  <c r="CH10" i="135"/>
  <c r="DW10" i="135"/>
  <c r="DS10" i="135"/>
  <c r="DL10" i="135"/>
  <c r="DO10" i="135"/>
  <c r="DU10" i="135"/>
  <c r="BI14" i="135"/>
  <c r="BI17" i="135"/>
  <c r="AU14" i="135"/>
  <c r="AU17" i="135"/>
  <c r="CD17" i="135"/>
  <c r="CB17" i="135"/>
  <c r="EW17" i="135"/>
  <c r="CL17" i="135"/>
  <c r="FJ17" i="135"/>
  <c r="DX17" i="135"/>
  <c r="AV14" i="135"/>
  <c r="AV17" i="135"/>
  <c r="DY17" i="135"/>
  <c r="BQ14" i="135"/>
  <c r="BQ17" i="135"/>
  <c r="EX17" i="135"/>
  <c r="CO17" i="135"/>
  <c r="CK17" i="135"/>
  <c r="DS17" i="135"/>
  <c r="DP17" i="135"/>
  <c r="DT17" i="135"/>
  <c r="DU17" i="135"/>
  <c r="CJ17" i="135"/>
  <c r="BX14" i="135"/>
  <c r="BX17" i="135"/>
  <c r="BH14" i="135"/>
  <c r="BH17" i="135"/>
  <c r="CP17" i="135"/>
  <c r="CF17" i="135"/>
  <c r="DW17" i="135"/>
  <c r="DV17" i="135"/>
  <c r="DM17" i="135"/>
  <c r="CM17" i="135"/>
  <c r="DQ17" i="135"/>
  <c r="DZ17" i="135"/>
  <c r="AX14" i="135"/>
  <c r="AX17" i="135"/>
  <c r="FH17" i="135"/>
  <c r="FC17" i="135"/>
  <c r="CI17" i="135"/>
  <c r="CC17" i="135"/>
  <c r="BC14" i="135"/>
  <c r="BC17" i="135"/>
  <c r="CG17" i="135"/>
  <c r="CN17" i="135"/>
  <c r="DN17" i="135"/>
  <c r="BN14" i="135"/>
  <c r="BN17" i="135"/>
  <c r="DL17" i="135"/>
  <c r="DO17" i="135"/>
  <c r="DR17" i="135"/>
  <c r="DI63" i="135"/>
  <c r="BF63" i="135" s="1"/>
  <c r="DI61" i="135"/>
  <c r="BF61" i="135" s="1"/>
  <c r="DI62" i="135"/>
  <c r="DI60" i="135"/>
  <c r="BV60" i="135" s="1"/>
  <c r="DI64" i="135"/>
  <c r="BF64" i="135" s="1"/>
  <c r="DI65" i="135"/>
  <c r="BF65" i="135" s="1"/>
  <c r="DI66" i="135"/>
  <c r="DI67" i="135"/>
  <c r="BV67" i="135" s="1"/>
  <c r="DI68" i="135"/>
  <c r="BV68" i="135" s="1"/>
  <c r="DI73" i="135"/>
  <c r="DI74" i="135"/>
  <c r="DI75" i="135"/>
  <c r="BF75" i="135" s="1"/>
  <c r="DI76" i="135"/>
  <c r="BF76" i="135" s="1"/>
  <c r="DI77" i="135"/>
  <c r="BV77" i="135" s="1"/>
  <c r="DI78" i="135"/>
  <c r="DI79" i="135"/>
  <c r="BV79" i="135" s="1"/>
  <c r="DI80" i="135"/>
  <c r="BF80" i="135" s="1"/>
  <c r="DI81" i="135"/>
  <c r="DI82" i="135"/>
  <c r="DI83" i="135"/>
  <c r="BV83" i="135" s="1"/>
  <c r="DI84" i="135"/>
  <c r="BF84" i="135" s="1"/>
  <c r="DI85" i="135"/>
  <c r="BV85" i="135" s="1"/>
  <c r="DI86" i="135"/>
  <c r="BF86" i="135" s="1"/>
  <c r="DI87" i="135"/>
  <c r="BF87" i="135" s="1"/>
  <c r="DI88" i="135"/>
  <c r="BV88" i="135" s="1"/>
  <c r="DI89" i="135"/>
  <c r="BF89" i="135" s="1"/>
  <c r="DI90" i="135"/>
  <c r="BV90" i="135" s="1"/>
  <c r="DI91" i="135"/>
  <c r="BV91" i="135" s="1"/>
  <c r="DI92" i="135"/>
  <c r="BF92" i="135" s="1"/>
  <c r="DI93" i="135"/>
  <c r="BV93" i="135" s="1"/>
  <c r="DI94" i="135"/>
  <c r="BV94" i="135" s="1"/>
  <c r="DI95" i="135"/>
  <c r="BF95" i="135" s="1"/>
  <c r="DI96" i="135"/>
  <c r="BV96" i="135" s="1"/>
  <c r="DI97" i="135"/>
  <c r="BF97" i="135" s="1"/>
  <c r="DI98" i="135"/>
  <c r="BS98" i="135" s="1"/>
  <c r="DI99" i="135"/>
  <c r="BV99" i="135" s="1"/>
  <c r="DI100" i="135"/>
  <c r="BV100" i="135" s="1"/>
  <c r="DI101" i="135"/>
  <c r="BV101" i="135" s="1"/>
  <c r="DI102" i="135"/>
  <c r="BF102" i="135" s="1"/>
  <c r="DI103" i="135"/>
  <c r="DI104" i="135"/>
  <c r="BF104" i="135" s="1"/>
  <c r="DI105" i="135"/>
  <c r="AZ105" i="135" s="1"/>
  <c r="GC63" i="135"/>
  <c r="BG63" i="135" s="1"/>
  <c r="GC60" i="135"/>
  <c r="GC62" i="135"/>
  <c r="GC61" i="135"/>
  <c r="BW61" i="135" s="1"/>
  <c r="GC64" i="135"/>
  <c r="BG64" i="135" s="1"/>
  <c r="GC65" i="135"/>
  <c r="BW65" i="135" s="1"/>
  <c r="GC66" i="135"/>
  <c r="GC67" i="135"/>
  <c r="GC68" i="135"/>
  <c r="GC73" i="135"/>
  <c r="GC74" i="135"/>
  <c r="GC75" i="135"/>
  <c r="BG75" i="135" s="1"/>
  <c r="GC76" i="135"/>
  <c r="BW76" i="135" s="1"/>
  <c r="GC77" i="135"/>
  <c r="BW77" i="135" s="1"/>
  <c r="GC78" i="135"/>
  <c r="GC79" i="135"/>
  <c r="BW79" i="135" s="1"/>
  <c r="GC80" i="135"/>
  <c r="GC81" i="135"/>
  <c r="GC82" i="135"/>
  <c r="GC83" i="135"/>
  <c r="BG83" i="135" s="1"/>
  <c r="GC84" i="135"/>
  <c r="BG84" i="135" s="1"/>
  <c r="GC85" i="135"/>
  <c r="BG85" i="135" s="1"/>
  <c r="GC86" i="135"/>
  <c r="BW86" i="135" s="1"/>
  <c r="GC87" i="135"/>
  <c r="BW87" i="135" s="1"/>
  <c r="GC88" i="135"/>
  <c r="BW88" i="135" s="1"/>
  <c r="GC89" i="135"/>
  <c r="BG89" i="135" s="1"/>
  <c r="GC90" i="135"/>
  <c r="BW90" i="135" s="1"/>
  <c r="GC91" i="135"/>
  <c r="BW91" i="135" s="1"/>
  <c r="GC92" i="135"/>
  <c r="BW92" i="135" s="1"/>
  <c r="GC93" i="135"/>
  <c r="BG93" i="135" s="1"/>
  <c r="GC94" i="135"/>
  <c r="BW94" i="135" s="1"/>
  <c r="GC95" i="135"/>
  <c r="BW95" i="135" s="1"/>
  <c r="GC96" i="135"/>
  <c r="BG96" i="135" s="1"/>
  <c r="GC97" i="135"/>
  <c r="BW97" i="135" s="1"/>
  <c r="GC98" i="135"/>
  <c r="BW98" i="135" s="1"/>
  <c r="GC99" i="135"/>
  <c r="BW99" i="135" s="1"/>
  <c r="GC100" i="135"/>
  <c r="BG100" i="135" s="1"/>
  <c r="GC101" i="135"/>
  <c r="BU101" i="135" s="1"/>
  <c r="GC102" i="135"/>
  <c r="BW102" i="135" s="1"/>
  <c r="GC103" i="135"/>
  <c r="GC104" i="135"/>
  <c r="AT104" i="135" s="1"/>
  <c r="GC105" i="135"/>
  <c r="BB105" i="135" s="1"/>
  <c r="ES63" i="135"/>
  <c r="ES60" i="135"/>
  <c r="ES62" i="135"/>
  <c r="ES61" i="135"/>
  <c r="ES64" i="135"/>
  <c r="ES65" i="135"/>
  <c r="ES66" i="135"/>
  <c r="ES67" i="135"/>
  <c r="ES68" i="135"/>
  <c r="ES73" i="135"/>
  <c r="ES74" i="135"/>
  <c r="ES75" i="135"/>
  <c r="ES76" i="135"/>
  <c r="ES77" i="135"/>
  <c r="ES78" i="135"/>
  <c r="ES79" i="135"/>
  <c r="ES80" i="135"/>
  <c r="ES81" i="135"/>
  <c r="ES82" i="135"/>
  <c r="ES83" i="135"/>
  <c r="ES84" i="135"/>
  <c r="ES85" i="135"/>
  <c r="ES86" i="135"/>
  <c r="ES87" i="135"/>
  <c r="ES88" i="135"/>
  <c r="ES89" i="135"/>
  <c r="ES90" i="135"/>
  <c r="ES91" i="135"/>
  <c r="ES92" i="135"/>
  <c r="ES93" i="135"/>
  <c r="ES94" i="135"/>
  <c r="ES95" i="135"/>
  <c r="ES96" i="135"/>
  <c r="ES97" i="135"/>
  <c r="ES98" i="135"/>
  <c r="ES99" i="135"/>
  <c r="BT99" i="135" s="1"/>
  <c r="ES100" i="135"/>
  <c r="ES101" i="135"/>
  <c r="BA101" i="135" s="1"/>
  <c r="ES102" i="135"/>
  <c r="BL102" i="135" s="1"/>
  <c r="ES103" i="135"/>
  <c r="ES104" i="135"/>
  <c r="AS104" i="135" s="1"/>
  <c r="ES105" i="135"/>
  <c r="AS105" i="135" s="1"/>
  <c r="GC59" i="135"/>
  <c r="BG59" i="135" s="1"/>
  <c r="GC51" i="135"/>
  <c r="GC56" i="135"/>
  <c r="BW56" i="135" s="1"/>
  <c r="GC52" i="135"/>
  <c r="GC53" i="135"/>
  <c r="GC57" i="135"/>
  <c r="BW57" i="135" s="1"/>
  <c r="GC54" i="135"/>
  <c r="GC55" i="135"/>
  <c r="GC50" i="135"/>
  <c r="BG50" i="135" s="1"/>
  <c r="GC58" i="135"/>
  <c r="BW58" i="135" s="1"/>
  <c r="ES59" i="135"/>
  <c r="ES51" i="135"/>
  <c r="ES56" i="135"/>
  <c r="ES58" i="135"/>
  <c r="ES57" i="135"/>
  <c r="ES52" i="135"/>
  <c r="ES54" i="135"/>
  <c r="ES53" i="135"/>
  <c r="ES50" i="135"/>
  <c r="ES55" i="135"/>
  <c r="ES49" i="135"/>
  <c r="DH17" i="135"/>
  <c r="ER17" i="135"/>
  <c r="DH14" i="135"/>
  <c r="DH10" i="135"/>
  <c r="ER10" i="135"/>
  <c r="DH21" i="135"/>
  <c r="ER21" i="135"/>
  <c r="ER14" i="135"/>
  <c r="GB21" i="135"/>
  <c r="GB14" i="135"/>
  <c r="GB10" i="135"/>
  <c r="GB17" i="135"/>
  <c r="GC49" i="135"/>
  <c r="V181" i="135" l="1"/>
  <c r="AF181" i="135"/>
  <c r="AK181" i="135"/>
  <c r="AL181" i="135"/>
  <c r="U181" i="135"/>
  <c r="R59" i="135"/>
  <c r="BW261" i="135"/>
  <c r="BO57" i="135"/>
  <c r="BF221" i="135"/>
  <c r="BG216" i="135"/>
  <c r="BW224" i="135"/>
  <c r="BW235" i="135"/>
  <c r="BW239" i="135"/>
  <c r="BW228" i="135"/>
  <c r="BV242" i="135"/>
  <c r="BW215" i="135"/>
  <c r="BV214" i="135"/>
  <c r="L261" i="135"/>
  <c r="AM180" i="135"/>
  <c r="AW180" i="135" s="1"/>
  <c r="BF231" i="135"/>
  <c r="R244" i="135"/>
  <c r="P244" i="135"/>
  <c r="AR244" i="135"/>
  <c r="BS244" i="135"/>
  <c r="BO244" i="135"/>
  <c r="BK244" i="135"/>
  <c r="AZ244" i="135"/>
  <c r="BA244" i="135"/>
  <c r="AS244" i="135"/>
  <c r="BT244" i="135"/>
  <c r="BL244" i="135"/>
  <c r="BM244" i="135"/>
  <c r="AT244" i="135"/>
  <c r="BU244" i="135"/>
  <c r="BB244" i="135"/>
  <c r="BB245" i="135"/>
  <c r="BU245" i="135"/>
  <c r="BM245" i="135"/>
  <c r="AT245" i="135"/>
  <c r="BV244" i="135"/>
  <c r="BW245" i="135"/>
  <c r="FA180" i="135"/>
  <c r="BF271" i="135"/>
  <c r="L271" i="135" s="1"/>
  <c r="DV180" i="135"/>
  <c r="P245" i="135"/>
  <c r="R245" i="135"/>
  <c r="BS245" i="135"/>
  <c r="BO245" i="135"/>
  <c r="BK245" i="135"/>
  <c r="AZ245" i="135"/>
  <c r="AR245" i="135"/>
  <c r="BL245" i="135"/>
  <c r="AS245" i="135"/>
  <c r="BT245" i="135"/>
  <c r="BA245" i="135"/>
  <c r="BW244" i="135"/>
  <c r="BF245" i="135"/>
  <c r="L245" i="135" s="1"/>
  <c r="BG244" i="135"/>
  <c r="CF180" i="135"/>
  <c r="BF244" i="135"/>
  <c r="BV245" i="135"/>
  <c r="BF260" i="135"/>
  <c r="L265" i="135"/>
  <c r="L238" i="135"/>
  <c r="EV180" i="135"/>
  <c r="CB180" i="135"/>
  <c r="DL180" i="135"/>
  <c r="BF215" i="135"/>
  <c r="L215" i="135" s="1"/>
  <c r="BF257" i="135"/>
  <c r="L228" i="135"/>
  <c r="BW223" i="135"/>
  <c r="BW234" i="135"/>
  <c r="L234" i="135"/>
  <c r="P272" i="135"/>
  <c r="BO272" i="135"/>
  <c r="AR272" i="135"/>
  <c r="R272" i="135"/>
  <c r="BS272" i="135"/>
  <c r="BK272" i="135"/>
  <c r="AZ272" i="135"/>
  <c r="P268" i="135"/>
  <c r="AZ268" i="135"/>
  <c r="BO268" i="135"/>
  <c r="BK268" i="135"/>
  <c r="BS268" i="135"/>
  <c r="R268" i="135"/>
  <c r="AR268" i="135"/>
  <c r="P219" i="135"/>
  <c r="R219" i="135"/>
  <c r="AR219" i="135"/>
  <c r="BS219" i="135"/>
  <c r="BK219" i="135"/>
  <c r="BO219" i="135"/>
  <c r="AZ219" i="135"/>
  <c r="BF219" i="135"/>
  <c r="BV219" i="135"/>
  <c r="P247" i="135"/>
  <c r="R247" i="135"/>
  <c r="BS247" i="135"/>
  <c r="AZ247" i="135"/>
  <c r="BO247" i="135"/>
  <c r="BK247" i="135"/>
  <c r="AR247" i="135"/>
  <c r="P258" i="135"/>
  <c r="R258" i="135"/>
  <c r="BS258" i="135"/>
  <c r="AR258" i="135"/>
  <c r="AZ258" i="135"/>
  <c r="BO258" i="135"/>
  <c r="BK258" i="135"/>
  <c r="P253" i="135"/>
  <c r="AZ253" i="135"/>
  <c r="R253" i="135"/>
  <c r="BO253" i="135"/>
  <c r="BS253" i="135"/>
  <c r="AR253" i="135"/>
  <c r="BK253" i="135"/>
  <c r="P232" i="135"/>
  <c r="BS232" i="135"/>
  <c r="AR232" i="135"/>
  <c r="BK232" i="135"/>
  <c r="BO232" i="135"/>
  <c r="R232" i="135"/>
  <c r="AZ232" i="135"/>
  <c r="P226" i="135"/>
  <c r="AZ226" i="135"/>
  <c r="BS226" i="135"/>
  <c r="BK226" i="135"/>
  <c r="R226" i="135"/>
  <c r="BO226" i="135"/>
  <c r="AR226" i="135"/>
  <c r="P246" i="135"/>
  <c r="BO246" i="135"/>
  <c r="R246" i="135"/>
  <c r="BK246" i="135"/>
  <c r="AZ246" i="135"/>
  <c r="AR246" i="135"/>
  <c r="BS246" i="135"/>
  <c r="P223" i="135"/>
  <c r="R223" i="135"/>
  <c r="AZ223" i="135"/>
  <c r="AR223" i="135"/>
  <c r="BO223" i="135"/>
  <c r="BK223" i="135"/>
  <c r="BS223" i="135"/>
  <c r="BV223" i="135"/>
  <c r="BF223" i="135"/>
  <c r="L223" i="135" s="1"/>
  <c r="P218" i="135"/>
  <c r="R218" i="135"/>
  <c r="AZ218" i="135"/>
  <c r="BK218" i="135"/>
  <c r="BO218" i="135"/>
  <c r="AR218" i="135"/>
  <c r="BS218" i="135"/>
  <c r="P216" i="135"/>
  <c r="AZ216" i="135"/>
  <c r="BS216" i="135"/>
  <c r="BK216" i="135"/>
  <c r="BO216" i="135"/>
  <c r="R216" i="135"/>
  <c r="AR216" i="135"/>
  <c r="P233" i="135"/>
  <c r="BK233" i="135"/>
  <c r="AR233" i="135"/>
  <c r="BS233" i="135"/>
  <c r="BO233" i="135"/>
  <c r="R233" i="135"/>
  <c r="AZ233" i="135"/>
  <c r="P270" i="135"/>
  <c r="AZ270" i="135"/>
  <c r="BS270" i="135"/>
  <c r="R270" i="135"/>
  <c r="AR270" i="135"/>
  <c r="BO270" i="135"/>
  <c r="BK270" i="135"/>
  <c r="BA253" i="135"/>
  <c r="BT253" i="135"/>
  <c r="AS253" i="135"/>
  <c r="BL253" i="135"/>
  <c r="BA274" i="135"/>
  <c r="BT274" i="135"/>
  <c r="AS274" i="135"/>
  <c r="BL274" i="135"/>
  <c r="BT271" i="135"/>
  <c r="AS271" i="135"/>
  <c r="BL271" i="135"/>
  <c r="BA271" i="135"/>
  <c r="BA256" i="135"/>
  <c r="AS256" i="135"/>
  <c r="BL256" i="135"/>
  <c r="BT256" i="135"/>
  <c r="BT242" i="135"/>
  <c r="AS242" i="135"/>
  <c r="BL242" i="135"/>
  <c r="BA242" i="135"/>
  <c r="AS225" i="135"/>
  <c r="BL225" i="135"/>
  <c r="BA225" i="135"/>
  <c r="BT225" i="135"/>
  <c r="BL255" i="135"/>
  <c r="AS255" i="135"/>
  <c r="BA255" i="135"/>
  <c r="BT255" i="135"/>
  <c r="BA217" i="135"/>
  <c r="BT217" i="135"/>
  <c r="AS217" i="135"/>
  <c r="BL217" i="135"/>
  <c r="BA229" i="135"/>
  <c r="BT229" i="135"/>
  <c r="AS229" i="135"/>
  <c r="BL229" i="135"/>
  <c r="BA223" i="135"/>
  <c r="BL223" i="135"/>
  <c r="AS223" i="135"/>
  <c r="BT223" i="135"/>
  <c r="BA231" i="135"/>
  <c r="BT231" i="135"/>
  <c r="BL231" i="135"/>
  <c r="AS231" i="135"/>
  <c r="BT250" i="135"/>
  <c r="AS250" i="135"/>
  <c r="BL250" i="135"/>
  <c r="BA250" i="135"/>
  <c r="BL241" i="135"/>
  <c r="BT241" i="135"/>
  <c r="AS241" i="135"/>
  <c r="BA241" i="135"/>
  <c r="AS268" i="135"/>
  <c r="BT268" i="135"/>
  <c r="BA268" i="135"/>
  <c r="BL268" i="135"/>
  <c r="BF237" i="135"/>
  <c r="BV270" i="135"/>
  <c r="BV246" i="135"/>
  <c r="BF270" i="135"/>
  <c r="BF235" i="135"/>
  <c r="L235" i="135" s="1"/>
  <c r="BB273" i="135"/>
  <c r="BU273" i="135"/>
  <c r="BM273" i="135"/>
  <c r="AT273" i="135"/>
  <c r="BG273" i="135"/>
  <c r="BW273" i="135"/>
  <c r="AT260" i="135"/>
  <c r="BU260" i="135"/>
  <c r="BM260" i="135"/>
  <c r="BB260" i="135"/>
  <c r="BW260" i="135"/>
  <c r="BG260" i="135"/>
  <c r="BB275" i="135"/>
  <c r="BU275" i="135"/>
  <c r="AT275" i="135"/>
  <c r="BM275" i="135"/>
  <c r="BG275" i="135"/>
  <c r="BW275" i="135"/>
  <c r="BU263" i="135"/>
  <c r="AT263" i="135"/>
  <c r="BM263" i="135"/>
  <c r="BB263" i="135"/>
  <c r="AT252" i="135"/>
  <c r="BB252" i="135"/>
  <c r="BM252" i="135"/>
  <c r="BU252" i="135"/>
  <c r="BU247" i="135"/>
  <c r="BB247" i="135"/>
  <c r="BM247" i="135"/>
  <c r="AT247" i="135"/>
  <c r="BM217" i="135"/>
  <c r="AT217" i="135"/>
  <c r="BB217" i="135"/>
  <c r="BU217" i="135"/>
  <c r="BW217" i="135"/>
  <c r="BU232" i="135"/>
  <c r="BB232" i="135"/>
  <c r="BM232" i="135"/>
  <c r="AT232" i="135"/>
  <c r="AT246" i="135"/>
  <c r="BM246" i="135"/>
  <c r="BU246" i="135"/>
  <c r="BB246" i="135"/>
  <c r="BW246" i="135"/>
  <c r="BG246" i="135"/>
  <c r="BM242" i="135"/>
  <c r="BU242" i="135"/>
  <c r="AT242" i="135"/>
  <c r="BB242" i="135"/>
  <c r="BM214" i="135"/>
  <c r="BU214" i="135"/>
  <c r="BB214" i="135"/>
  <c r="AT214" i="135"/>
  <c r="BB240" i="135"/>
  <c r="BM240" i="135"/>
  <c r="BU240" i="135"/>
  <c r="AT240" i="135"/>
  <c r="BM229" i="135"/>
  <c r="BU229" i="135"/>
  <c r="BB229" i="135"/>
  <c r="AT229" i="135"/>
  <c r="BG229" i="135"/>
  <c r="BM257" i="135"/>
  <c r="BU257" i="135"/>
  <c r="BB257" i="135"/>
  <c r="AT257" i="135"/>
  <c r="BG257" i="135"/>
  <c r="BW257" i="135"/>
  <c r="BU249" i="135"/>
  <c r="BM249" i="135"/>
  <c r="AT249" i="135"/>
  <c r="BB249" i="135"/>
  <c r="BV253" i="135"/>
  <c r="BG214" i="135"/>
  <c r="L214" i="135" s="1"/>
  <c r="BG264" i="135"/>
  <c r="BG232" i="135"/>
  <c r="BW252" i="135"/>
  <c r="BF247" i="135"/>
  <c r="BG247" i="135"/>
  <c r="BG217" i="135"/>
  <c r="BW265" i="135"/>
  <c r="P266" i="135"/>
  <c r="BK266" i="135"/>
  <c r="AZ266" i="135"/>
  <c r="BO266" i="135"/>
  <c r="R266" i="135"/>
  <c r="AR266" i="135"/>
  <c r="BS266" i="135"/>
  <c r="P261" i="135"/>
  <c r="BO261" i="135"/>
  <c r="BK261" i="135"/>
  <c r="R261" i="135"/>
  <c r="BS261" i="135"/>
  <c r="AZ261" i="135"/>
  <c r="AR261" i="135"/>
  <c r="P269" i="135"/>
  <c r="BK269" i="135"/>
  <c r="R269" i="135"/>
  <c r="AR269" i="135"/>
  <c r="AZ269" i="135"/>
  <c r="BS269" i="135"/>
  <c r="BO269" i="135"/>
  <c r="BV269" i="135"/>
  <c r="BF269" i="135"/>
  <c r="L269" i="135" s="1"/>
  <c r="P249" i="135"/>
  <c r="AZ249" i="135"/>
  <c r="BK249" i="135"/>
  <c r="R249" i="135"/>
  <c r="AR249" i="135"/>
  <c r="BS249" i="135"/>
  <c r="BO249" i="135"/>
  <c r="P240" i="135"/>
  <c r="BS240" i="135"/>
  <c r="R240" i="135"/>
  <c r="AR240" i="135"/>
  <c r="BK240" i="135"/>
  <c r="AZ240" i="135"/>
  <c r="BO240" i="135"/>
  <c r="P250" i="135"/>
  <c r="BO250" i="135"/>
  <c r="R250" i="135"/>
  <c r="BS250" i="135"/>
  <c r="AR250" i="135"/>
  <c r="BK250" i="135"/>
  <c r="AZ250" i="135"/>
  <c r="P224" i="135"/>
  <c r="AZ224" i="135"/>
  <c r="BO224" i="135"/>
  <c r="AR224" i="135"/>
  <c r="BK224" i="135"/>
  <c r="BS224" i="135"/>
  <c r="R224" i="135"/>
  <c r="BV224" i="135"/>
  <c r="BF224" i="135"/>
  <c r="L224" i="135" s="1"/>
  <c r="P243" i="135"/>
  <c r="BS243" i="135"/>
  <c r="BO243" i="135"/>
  <c r="AR243" i="135"/>
  <c r="AZ243" i="135"/>
  <c r="BK243" i="135"/>
  <c r="R243" i="135"/>
  <c r="P228" i="135"/>
  <c r="AR228" i="135"/>
  <c r="BK228" i="135"/>
  <c r="R228" i="135"/>
  <c r="BO228" i="135"/>
  <c r="BS228" i="135"/>
  <c r="AZ228" i="135"/>
  <c r="P221" i="135"/>
  <c r="BK221" i="135"/>
  <c r="AR221" i="135"/>
  <c r="AZ221" i="135"/>
  <c r="BO221" i="135"/>
  <c r="R221" i="135"/>
  <c r="BS221" i="135"/>
  <c r="P217" i="135"/>
  <c r="AR217" i="135"/>
  <c r="AZ217" i="135"/>
  <c r="BK217" i="135"/>
  <c r="R217" i="135"/>
  <c r="BS217" i="135"/>
  <c r="BO217" i="135"/>
  <c r="P230" i="135"/>
  <c r="BK230" i="135"/>
  <c r="R230" i="135"/>
  <c r="AZ230" i="135"/>
  <c r="AR230" i="135"/>
  <c r="BS230" i="135"/>
  <c r="BO230" i="135"/>
  <c r="P267" i="135"/>
  <c r="BO267" i="135"/>
  <c r="R267" i="135"/>
  <c r="BS267" i="135"/>
  <c r="AR267" i="135"/>
  <c r="BK267" i="135"/>
  <c r="AZ267" i="135"/>
  <c r="BA252" i="135"/>
  <c r="BT252" i="135"/>
  <c r="BL252" i="135"/>
  <c r="AS252" i="135"/>
  <c r="BL266" i="135"/>
  <c r="BA266" i="135"/>
  <c r="AS266" i="135"/>
  <c r="BT266" i="135"/>
  <c r="BA261" i="135"/>
  <c r="BT261" i="135"/>
  <c r="AS261" i="135"/>
  <c r="BL261" i="135"/>
  <c r="AS270" i="135"/>
  <c r="BL270" i="135"/>
  <c r="BA270" i="135"/>
  <c r="BT270" i="135"/>
  <c r="BT230" i="135"/>
  <c r="AS230" i="135"/>
  <c r="BL230" i="135"/>
  <c r="BA230" i="135"/>
  <c r="AS249" i="135"/>
  <c r="BT249" i="135"/>
  <c r="BA249" i="135"/>
  <c r="BL249" i="135"/>
  <c r="BA238" i="135"/>
  <c r="BT238" i="135"/>
  <c r="AS238" i="135"/>
  <c r="BL238" i="135"/>
  <c r="BA218" i="135"/>
  <c r="BL218" i="135"/>
  <c r="AS218" i="135"/>
  <c r="BT218" i="135"/>
  <c r="BL254" i="135"/>
  <c r="BT254" i="135"/>
  <c r="AS254" i="135"/>
  <c r="BA254" i="135"/>
  <c r="BL248" i="135"/>
  <c r="AS248" i="135"/>
  <c r="BT248" i="135"/>
  <c r="BA248" i="135"/>
  <c r="BA257" i="135"/>
  <c r="BT257" i="135"/>
  <c r="BL257" i="135"/>
  <c r="AS257" i="135"/>
  <c r="BT228" i="135"/>
  <c r="BA228" i="135"/>
  <c r="BL228" i="135"/>
  <c r="AS228" i="135"/>
  <c r="BT222" i="135"/>
  <c r="BA222" i="135"/>
  <c r="BL222" i="135"/>
  <c r="AS222" i="135"/>
  <c r="AS240" i="135"/>
  <c r="BL240" i="135"/>
  <c r="BT240" i="135"/>
  <c r="BA240" i="135"/>
  <c r="BT251" i="135"/>
  <c r="AS251" i="135"/>
  <c r="BL251" i="135"/>
  <c r="BA251" i="135"/>
  <c r="BT243" i="135"/>
  <c r="BA243" i="135"/>
  <c r="AS243" i="135"/>
  <c r="BL243" i="135"/>
  <c r="BT258" i="135"/>
  <c r="BL258" i="135"/>
  <c r="BA258" i="135"/>
  <c r="AS258" i="135"/>
  <c r="BF249" i="135"/>
  <c r="BF216" i="135"/>
  <c r="BF243" i="135"/>
  <c r="BF250" i="135"/>
  <c r="L250" i="135" s="1"/>
  <c r="BF258" i="135"/>
  <c r="BF230" i="135"/>
  <c r="BF218" i="135"/>
  <c r="BV216" i="135"/>
  <c r="BV243" i="135"/>
  <c r="BU255" i="135"/>
  <c r="BM255" i="135"/>
  <c r="AT255" i="135"/>
  <c r="BB255" i="135"/>
  <c r="BM271" i="135"/>
  <c r="BB271" i="135"/>
  <c r="BU271" i="135"/>
  <c r="AT271" i="135"/>
  <c r="BU274" i="135"/>
  <c r="AT274" i="135"/>
  <c r="BM274" i="135"/>
  <c r="BB274" i="135"/>
  <c r="AT268" i="135"/>
  <c r="BM268" i="135"/>
  <c r="BU268" i="135"/>
  <c r="BB268" i="135"/>
  <c r="BU259" i="135"/>
  <c r="AT259" i="135"/>
  <c r="BM259" i="135"/>
  <c r="BB259" i="135"/>
  <c r="BB225" i="135"/>
  <c r="BM225" i="135"/>
  <c r="BU225" i="135"/>
  <c r="AT225" i="135"/>
  <c r="BW225" i="135"/>
  <c r="BG225" i="135"/>
  <c r="AT241" i="135"/>
  <c r="BB241" i="135"/>
  <c r="BU241" i="135"/>
  <c r="BM241" i="135"/>
  <c r="BG241" i="135"/>
  <c r="BW241" i="135"/>
  <c r="BB236" i="135"/>
  <c r="BM236" i="135"/>
  <c r="AT236" i="135"/>
  <c r="BU236" i="135"/>
  <c r="BW236" i="135"/>
  <c r="BG236" i="135"/>
  <c r="BU250" i="135"/>
  <c r="AT250" i="135"/>
  <c r="BB250" i="135"/>
  <c r="BM250" i="135"/>
  <c r="AT220" i="135"/>
  <c r="BM220" i="135"/>
  <c r="BU220" i="135"/>
  <c r="BB220" i="135"/>
  <c r="BG220" i="135"/>
  <c r="BW220" i="135"/>
  <c r="AT243" i="135"/>
  <c r="BU243" i="135"/>
  <c r="BB243" i="135"/>
  <c r="BM243" i="135"/>
  <c r="BU222" i="135"/>
  <c r="BM222" i="135"/>
  <c r="BB222" i="135"/>
  <c r="AT222" i="135"/>
  <c r="BW222" i="135"/>
  <c r="AT219" i="135"/>
  <c r="BM219" i="135"/>
  <c r="BB219" i="135"/>
  <c r="BU219" i="135"/>
  <c r="AT224" i="135"/>
  <c r="BU224" i="135"/>
  <c r="BB224" i="135"/>
  <c r="BM224" i="135"/>
  <c r="BU230" i="135"/>
  <c r="AT230" i="135"/>
  <c r="BM230" i="135"/>
  <c r="BB230" i="135"/>
  <c r="BB238" i="135"/>
  <c r="BU238" i="135"/>
  <c r="AT238" i="135"/>
  <c r="BM238" i="135"/>
  <c r="BU256" i="135"/>
  <c r="BM256" i="135"/>
  <c r="AT256" i="135"/>
  <c r="BB256" i="135"/>
  <c r="BG256" i="135"/>
  <c r="L256" i="135" s="1"/>
  <c r="BW250" i="135"/>
  <c r="BF246" i="135"/>
  <c r="BW271" i="135"/>
  <c r="BV218" i="135"/>
  <c r="BG240" i="135"/>
  <c r="L240" i="135" s="1"/>
  <c r="BV266" i="135"/>
  <c r="BG270" i="135"/>
  <c r="BG243" i="135"/>
  <c r="BW268" i="135"/>
  <c r="BV250" i="135"/>
  <c r="BW255" i="135"/>
  <c r="BW240" i="135"/>
  <c r="BG222" i="135"/>
  <c r="BG249" i="135"/>
  <c r="P263" i="135"/>
  <c r="BK263" i="135"/>
  <c r="R263" i="135"/>
  <c r="BO263" i="135"/>
  <c r="AZ263" i="135"/>
  <c r="BS263" i="135"/>
  <c r="AR263" i="135"/>
  <c r="BV263" i="135"/>
  <c r="BF263" i="135"/>
  <c r="P265" i="135"/>
  <c r="BO265" i="135"/>
  <c r="BK265" i="135"/>
  <c r="R265" i="135"/>
  <c r="AZ265" i="135"/>
  <c r="AR265" i="135"/>
  <c r="BS265" i="135"/>
  <c r="P273" i="135"/>
  <c r="R273" i="135"/>
  <c r="BS273" i="135"/>
  <c r="AR273" i="135"/>
  <c r="BK273" i="135"/>
  <c r="AZ273" i="135"/>
  <c r="BO273" i="135"/>
  <c r="BV273" i="135"/>
  <c r="BF273" i="135"/>
  <c r="P256" i="135"/>
  <c r="R256" i="135"/>
  <c r="BO256" i="135"/>
  <c r="BS256" i="135"/>
  <c r="AZ256" i="135"/>
  <c r="AR256" i="135"/>
  <c r="BK256" i="135"/>
  <c r="BV256" i="135"/>
  <c r="P231" i="135"/>
  <c r="AZ231" i="135"/>
  <c r="BK231" i="135"/>
  <c r="BO231" i="135"/>
  <c r="BS231" i="135"/>
  <c r="R231" i="135"/>
  <c r="AR231" i="135"/>
  <c r="P227" i="135"/>
  <c r="BK227" i="135"/>
  <c r="AR227" i="135"/>
  <c r="BS227" i="135"/>
  <c r="AZ227" i="135"/>
  <c r="R227" i="135"/>
  <c r="BO227" i="135"/>
  <c r="P255" i="135"/>
  <c r="BS255" i="135"/>
  <c r="BO255" i="135"/>
  <c r="R255" i="135"/>
  <c r="BK255" i="135"/>
  <c r="AR255" i="135"/>
  <c r="AZ255" i="135"/>
  <c r="P238" i="135"/>
  <c r="BS238" i="135"/>
  <c r="AZ238" i="135"/>
  <c r="AR238" i="135"/>
  <c r="BO238" i="135"/>
  <c r="BK238" i="135"/>
  <c r="R238" i="135"/>
  <c r="P252" i="135"/>
  <c r="BK252" i="135"/>
  <c r="BO252" i="135"/>
  <c r="AZ252" i="135"/>
  <c r="AR252" i="135"/>
  <c r="R252" i="135"/>
  <c r="BS252" i="135"/>
  <c r="P239" i="135"/>
  <c r="BS239" i="135"/>
  <c r="BK239" i="135"/>
  <c r="AR239" i="135"/>
  <c r="AZ239" i="135"/>
  <c r="BO239" i="135"/>
  <c r="R239" i="135"/>
  <c r="P242" i="135"/>
  <c r="AZ242" i="135"/>
  <c r="AR242" i="135"/>
  <c r="R242" i="135"/>
  <c r="BO242" i="135"/>
  <c r="BS242" i="135"/>
  <c r="BK242" i="135"/>
  <c r="P251" i="135"/>
  <c r="BS251" i="135"/>
  <c r="AR251" i="135"/>
  <c r="BK251" i="135"/>
  <c r="BO251" i="135"/>
  <c r="AZ251" i="135"/>
  <c r="R251" i="135"/>
  <c r="P214" i="135"/>
  <c r="AR214" i="135"/>
  <c r="BK214" i="135"/>
  <c r="BO214" i="135"/>
  <c r="R214" i="135"/>
  <c r="AZ214" i="135"/>
  <c r="BS214" i="135"/>
  <c r="P220" i="135"/>
  <c r="R220" i="135"/>
  <c r="BO220" i="135"/>
  <c r="AZ220" i="135"/>
  <c r="BS220" i="135"/>
  <c r="AR220" i="135"/>
  <c r="BK220" i="135"/>
  <c r="BF220" i="135"/>
  <c r="BV220" i="135"/>
  <c r="P234" i="135"/>
  <c r="AZ234" i="135"/>
  <c r="BO234" i="135"/>
  <c r="BK234" i="135"/>
  <c r="R234" i="135"/>
  <c r="BS234" i="135"/>
  <c r="AR234" i="135"/>
  <c r="P271" i="135"/>
  <c r="R271" i="135"/>
  <c r="BK271" i="135"/>
  <c r="BS271" i="135"/>
  <c r="AZ271" i="135"/>
  <c r="AR271" i="135"/>
  <c r="BO271" i="135"/>
  <c r="BL272" i="135"/>
  <c r="BT272" i="135"/>
  <c r="BA272" i="135"/>
  <c r="AS272" i="135"/>
  <c r="BL275" i="135"/>
  <c r="BA275" i="135"/>
  <c r="BT275" i="135"/>
  <c r="AS275" i="135"/>
  <c r="AS259" i="135"/>
  <c r="BL259" i="135"/>
  <c r="BT259" i="135"/>
  <c r="BA259" i="135"/>
  <c r="AS269" i="135"/>
  <c r="BL269" i="135"/>
  <c r="BA269" i="135"/>
  <c r="BT269" i="135"/>
  <c r="BT215" i="135"/>
  <c r="BL215" i="135"/>
  <c r="BA215" i="135"/>
  <c r="AS215" i="135"/>
  <c r="BA234" i="135"/>
  <c r="BT234" i="135"/>
  <c r="BL234" i="135"/>
  <c r="AS234" i="135"/>
  <c r="BA227" i="135"/>
  <c r="BL227" i="135"/>
  <c r="BT227" i="135"/>
  <c r="AS227" i="135"/>
  <c r="BT214" i="135"/>
  <c r="BA214" i="135"/>
  <c r="BL214" i="135"/>
  <c r="AS214" i="135"/>
  <c r="BL224" i="135"/>
  <c r="BA224" i="135"/>
  <c r="BT224" i="135"/>
  <c r="AS224" i="135"/>
  <c r="BL216" i="135"/>
  <c r="AS216" i="135"/>
  <c r="BA216" i="135"/>
  <c r="BT216" i="135"/>
  <c r="AS232" i="135"/>
  <c r="BL232" i="135"/>
  <c r="BT232" i="135"/>
  <c r="BA232" i="135"/>
  <c r="BA246" i="135"/>
  <c r="BT246" i="135"/>
  <c r="BL246" i="135"/>
  <c r="AS246" i="135"/>
  <c r="BT237" i="135"/>
  <c r="AS237" i="135"/>
  <c r="BL237" i="135"/>
  <c r="BA237" i="135"/>
  <c r="AS265" i="135"/>
  <c r="BL265" i="135"/>
  <c r="BA265" i="135"/>
  <c r="BT265" i="135"/>
  <c r="BF262" i="135"/>
  <c r="BV217" i="135"/>
  <c r="BV267" i="135"/>
  <c r="BV252" i="135"/>
  <c r="BV228" i="135"/>
  <c r="BF217" i="135"/>
  <c r="BF267" i="135"/>
  <c r="BF252" i="135"/>
  <c r="BV265" i="135"/>
  <c r="BV251" i="135"/>
  <c r="BV247" i="135"/>
  <c r="BB251" i="135"/>
  <c r="AT251" i="135"/>
  <c r="BU251" i="135"/>
  <c r="BM251" i="135"/>
  <c r="BM253" i="135"/>
  <c r="BU253" i="135"/>
  <c r="AT253" i="135"/>
  <c r="BB253" i="135"/>
  <c r="BG253" i="135"/>
  <c r="L253" i="135" s="1"/>
  <c r="BW253" i="135"/>
  <c r="BU267" i="135"/>
  <c r="BB267" i="135"/>
  <c r="BM267" i="135"/>
  <c r="AT267" i="135"/>
  <c r="AT272" i="135"/>
  <c r="BB272" i="135"/>
  <c r="BM272" i="135"/>
  <c r="BU272" i="135"/>
  <c r="BM266" i="135"/>
  <c r="BB266" i="135"/>
  <c r="BU266" i="135"/>
  <c r="AT266" i="135"/>
  <c r="BW266" i="135"/>
  <c r="BG266" i="135"/>
  <c r="L266" i="135" s="1"/>
  <c r="BU264" i="135"/>
  <c r="AT264" i="135"/>
  <c r="BB264" i="135"/>
  <c r="BM264" i="135"/>
  <c r="BM258" i="135"/>
  <c r="BB258" i="135"/>
  <c r="AT258" i="135"/>
  <c r="BU258" i="135"/>
  <c r="BB237" i="135"/>
  <c r="AT237" i="135"/>
  <c r="BM237" i="135"/>
  <c r="BU237" i="135"/>
  <c r="BU231" i="135"/>
  <c r="AT231" i="135"/>
  <c r="BM231" i="135"/>
  <c r="BB231" i="135"/>
  <c r="AT218" i="135"/>
  <c r="BU218" i="135"/>
  <c r="BB218" i="135"/>
  <c r="BM218" i="135"/>
  <c r="BU239" i="135"/>
  <c r="BB239" i="135"/>
  <c r="BM239" i="135"/>
  <c r="AT239" i="135"/>
  <c r="BM221" i="135"/>
  <c r="AT221" i="135"/>
  <c r="BB221" i="135"/>
  <c r="BU221" i="135"/>
  <c r="BG221" i="135"/>
  <c r="BW221" i="135"/>
  <c r="AT233" i="135"/>
  <c r="BB233" i="135"/>
  <c r="BU233" i="135"/>
  <c r="BM233" i="135"/>
  <c r="BU223" i="135"/>
  <c r="AT223" i="135"/>
  <c r="BM223" i="135"/>
  <c r="BB223" i="135"/>
  <c r="BB234" i="135"/>
  <c r="BM234" i="135"/>
  <c r="AT234" i="135"/>
  <c r="BU234" i="135"/>
  <c r="BB248" i="135"/>
  <c r="BU248" i="135"/>
  <c r="BM248" i="135"/>
  <c r="AT248" i="135"/>
  <c r="BB254" i="135"/>
  <c r="AT254" i="135"/>
  <c r="BM254" i="135"/>
  <c r="BU254" i="135"/>
  <c r="BG218" i="135"/>
  <c r="BF272" i="135"/>
  <c r="BW259" i="135"/>
  <c r="BF239" i="135"/>
  <c r="L239" i="135" s="1"/>
  <c r="BG272" i="135"/>
  <c r="BG248" i="135"/>
  <c r="BV261" i="135"/>
  <c r="BW243" i="135"/>
  <c r="BV238" i="135"/>
  <c r="BG231" i="135"/>
  <c r="BW229" i="135"/>
  <c r="BG267" i="135"/>
  <c r="BW254" i="135"/>
  <c r="BW214" i="135"/>
  <c r="BG251" i="135"/>
  <c r="L251" i="135" s="1"/>
  <c r="BG258" i="135"/>
  <c r="BW256" i="135"/>
  <c r="BF226" i="135"/>
  <c r="L226" i="135" s="1"/>
  <c r="P262" i="135"/>
  <c r="AR262" i="135"/>
  <c r="BO262" i="135"/>
  <c r="R262" i="135"/>
  <c r="BS262" i="135"/>
  <c r="AZ262" i="135"/>
  <c r="BK262" i="135"/>
  <c r="P275" i="135"/>
  <c r="BK275" i="135"/>
  <c r="AZ275" i="135"/>
  <c r="BS275" i="135"/>
  <c r="AR275" i="135"/>
  <c r="R275" i="135"/>
  <c r="BO275" i="135"/>
  <c r="P260" i="135"/>
  <c r="BK260" i="135"/>
  <c r="BS260" i="135"/>
  <c r="BO260" i="135"/>
  <c r="R260" i="135"/>
  <c r="AZ260" i="135"/>
  <c r="AR260" i="135"/>
  <c r="P264" i="135"/>
  <c r="AR264" i="135"/>
  <c r="R264" i="135"/>
  <c r="AZ264" i="135"/>
  <c r="BK264" i="135"/>
  <c r="BS264" i="135"/>
  <c r="BO264" i="135"/>
  <c r="BV264" i="135"/>
  <c r="BF264" i="135"/>
  <c r="P237" i="135"/>
  <c r="BK237" i="135"/>
  <c r="AZ237" i="135"/>
  <c r="AR237" i="135"/>
  <c r="BO237" i="135"/>
  <c r="R237" i="135"/>
  <c r="BS237" i="135"/>
  <c r="P241" i="135"/>
  <c r="BO241" i="135"/>
  <c r="BS241" i="135"/>
  <c r="BK241" i="135"/>
  <c r="AR241" i="135"/>
  <c r="AZ241" i="135"/>
  <c r="R241" i="135"/>
  <c r="BV241" i="135"/>
  <c r="BF241" i="135"/>
  <c r="P254" i="135"/>
  <c r="BK254" i="135"/>
  <c r="AR254" i="135"/>
  <c r="BO254" i="135"/>
  <c r="R254" i="135"/>
  <c r="AZ254" i="135"/>
  <c r="BS254" i="135"/>
  <c r="BF254" i="135"/>
  <c r="L254" i="135" s="1"/>
  <c r="BV254" i="135"/>
  <c r="P235" i="135"/>
  <c r="AR235" i="135"/>
  <c r="BS235" i="135"/>
  <c r="BK235" i="135"/>
  <c r="AZ235" i="135"/>
  <c r="R235" i="135"/>
  <c r="BO235" i="135"/>
  <c r="P222" i="135"/>
  <c r="R222" i="135"/>
  <c r="AZ222" i="135"/>
  <c r="AR222" i="135"/>
  <c r="BO222" i="135"/>
  <c r="BS222" i="135"/>
  <c r="BK222" i="135"/>
  <c r="BF222" i="135"/>
  <c r="P248" i="135"/>
  <c r="R248" i="135"/>
  <c r="BK248" i="135"/>
  <c r="BO248" i="135"/>
  <c r="AZ248" i="135"/>
  <c r="BS248" i="135"/>
  <c r="AR248" i="135"/>
  <c r="P257" i="135"/>
  <c r="BK257" i="135"/>
  <c r="AZ257" i="135"/>
  <c r="R257" i="135"/>
  <c r="AR257" i="135"/>
  <c r="BS257" i="135"/>
  <c r="BO257" i="135"/>
  <c r="P236" i="135"/>
  <c r="BK236" i="135"/>
  <c r="BS236" i="135"/>
  <c r="AZ236" i="135"/>
  <c r="R236" i="135"/>
  <c r="BO236" i="135"/>
  <c r="AR236" i="135"/>
  <c r="BF236" i="135"/>
  <c r="P225" i="135"/>
  <c r="BO225" i="135"/>
  <c r="AZ225" i="135"/>
  <c r="R225" i="135"/>
  <c r="BS225" i="135"/>
  <c r="AR225" i="135"/>
  <c r="BK225" i="135"/>
  <c r="P215" i="135"/>
  <c r="BS215" i="135"/>
  <c r="AR215" i="135"/>
  <c r="AZ215" i="135"/>
  <c r="R215" i="135"/>
  <c r="BO215" i="135"/>
  <c r="BK215" i="135"/>
  <c r="P229" i="135"/>
  <c r="BS229" i="135"/>
  <c r="BK229" i="135"/>
  <c r="AZ229" i="135"/>
  <c r="BO229" i="135"/>
  <c r="R229" i="135"/>
  <c r="AR229" i="135"/>
  <c r="P259" i="135"/>
  <c r="AR259" i="135"/>
  <c r="BS259" i="135"/>
  <c r="R259" i="135"/>
  <c r="BO259" i="135"/>
  <c r="BK259" i="135"/>
  <c r="AZ259" i="135"/>
  <c r="BF259" i="135"/>
  <c r="L259" i="135" s="1"/>
  <c r="BV259" i="135"/>
  <c r="P274" i="135"/>
  <c r="R274" i="135"/>
  <c r="AR274" i="135"/>
  <c r="AZ274" i="135"/>
  <c r="BK274" i="135"/>
  <c r="BS274" i="135"/>
  <c r="BO274" i="135"/>
  <c r="BT263" i="135"/>
  <c r="BL263" i="135"/>
  <c r="AS263" i="135"/>
  <c r="BA263" i="135"/>
  <c r="BT273" i="135"/>
  <c r="BA273" i="135"/>
  <c r="AS273" i="135"/>
  <c r="BL273" i="135"/>
  <c r="BT262" i="135"/>
  <c r="BA262" i="135"/>
  <c r="BL262" i="135"/>
  <c r="AS262" i="135"/>
  <c r="BA264" i="135"/>
  <c r="BL264" i="135"/>
  <c r="BT264" i="135"/>
  <c r="AS264" i="135"/>
  <c r="BA260" i="135"/>
  <c r="AS260" i="135"/>
  <c r="BT260" i="135"/>
  <c r="BL260" i="135"/>
  <c r="BL226" i="135"/>
  <c r="BA226" i="135"/>
  <c r="BT226" i="135"/>
  <c r="AS226" i="135"/>
  <c r="AS219" i="135"/>
  <c r="BL219" i="135"/>
  <c r="BA219" i="135"/>
  <c r="BT219" i="135"/>
  <c r="BA221" i="135"/>
  <c r="BT221" i="135"/>
  <c r="BL221" i="135"/>
  <c r="AS221" i="135"/>
  <c r="BA233" i="135"/>
  <c r="AS233" i="135"/>
  <c r="BL233" i="135"/>
  <c r="BT233" i="135"/>
  <c r="BT220" i="135"/>
  <c r="AS220" i="135"/>
  <c r="BL220" i="135"/>
  <c r="BA220" i="135"/>
  <c r="AS235" i="135"/>
  <c r="BT235" i="135"/>
  <c r="BL235" i="135"/>
  <c r="BA235" i="135"/>
  <c r="BA236" i="135"/>
  <c r="BT236" i="135"/>
  <c r="BL236" i="135"/>
  <c r="AS236" i="135"/>
  <c r="BA247" i="135"/>
  <c r="BL247" i="135"/>
  <c r="AS247" i="135"/>
  <c r="BT247" i="135"/>
  <c r="BL239" i="135"/>
  <c r="AS239" i="135"/>
  <c r="BT239" i="135"/>
  <c r="BA239" i="135"/>
  <c r="BA267" i="135"/>
  <c r="AS267" i="135"/>
  <c r="BL267" i="135"/>
  <c r="BT267" i="135"/>
  <c r="BV255" i="135"/>
  <c r="BV227" i="135"/>
  <c r="BF225" i="135"/>
  <c r="BF274" i="135"/>
  <c r="L274" i="135" s="1"/>
  <c r="BV240" i="135"/>
  <c r="BF275" i="135"/>
  <c r="BF248" i="135"/>
  <c r="BV268" i="135"/>
  <c r="BV233" i="135"/>
  <c r="BV274" i="135"/>
  <c r="BF229" i="135"/>
  <c r="BM261" i="135"/>
  <c r="BB261" i="135"/>
  <c r="AT261" i="135"/>
  <c r="BU261" i="135"/>
  <c r="BU269" i="135"/>
  <c r="BM269" i="135"/>
  <c r="BB269" i="135"/>
  <c r="AT269" i="135"/>
  <c r="BM262" i="135"/>
  <c r="BU262" i="135"/>
  <c r="AT262" i="135"/>
  <c r="BB262" i="135"/>
  <c r="BB270" i="135"/>
  <c r="BM270" i="135"/>
  <c r="BU270" i="135"/>
  <c r="AT270" i="135"/>
  <c r="BB265" i="135"/>
  <c r="BM265" i="135"/>
  <c r="AT265" i="135"/>
  <c r="BU265" i="135"/>
  <c r="BB215" i="135"/>
  <c r="BM215" i="135"/>
  <c r="AT215" i="135"/>
  <c r="BU215" i="135"/>
  <c r="BM235" i="135"/>
  <c r="BB235" i="135"/>
  <c r="AT235" i="135"/>
  <c r="BU235" i="135"/>
  <c r="AT226" i="135"/>
  <c r="BB226" i="135"/>
  <c r="BU226" i="135"/>
  <c r="BM226" i="135"/>
  <c r="BM216" i="135"/>
  <c r="BB216" i="135"/>
  <c r="BU216" i="135"/>
  <c r="AT216" i="135"/>
  <c r="BU228" i="135"/>
  <c r="BM228" i="135"/>
  <c r="AT228" i="135"/>
  <c r="BB228" i="135"/>
  <c r="AT227" i="135"/>
  <c r="BB227" i="135"/>
  <c r="BU227" i="135"/>
  <c r="BM227" i="135"/>
  <c r="BG227" i="135"/>
  <c r="L227" i="135" s="1"/>
  <c r="BG262" i="135"/>
  <c r="BW269" i="135"/>
  <c r="BV258" i="135"/>
  <c r="BV230" i="135"/>
  <c r="BG255" i="135"/>
  <c r="L255" i="135" s="1"/>
  <c r="BF268" i="135"/>
  <c r="L268" i="135" s="1"/>
  <c r="BF233" i="135"/>
  <c r="BW258" i="135"/>
  <c r="BG252" i="135"/>
  <c r="BV234" i="135"/>
  <c r="BG219" i="135"/>
  <c r="BV222" i="135"/>
  <c r="BG237" i="135"/>
  <c r="BG242" i="135"/>
  <c r="L242" i="135" s="1"/>
  <c r="BG263" i="135"/>
  <c r="BW226" i="135"/>
  <c r="BG230" i="135"/>
  <c r="BW274" i="135"/>
  <c r="BG233" i="135"/>
  <c r="BW238" i="135"/>
  <c r="BW227" i="135"/>
  <c r="BF232" i="135"/>
  <c r="DW180" i="135"/>
  <c r="FK180" i="135"/>
  <c r="FH180" i="135"/>
  <c r="DU180" i="135"/>
  <c r="EA180" i="135"/>
  <c r="CM180" i="135"/>
  <c r="CP180" i="135"/>
  <c r="DX180" i="135"/>
  <c r="CN180" i="135"/>
  <c r="CQ180" i="135"/>
  <c r="FI180" i="135"/>
  <c r="CK180" i="135"/>
  <c r="DZ180" i="135"/>
  <c r="FF180" i="135"/>
  <c r="CL180" i="135"/>
  <c r="FJ180" i="135"/>
  <c r="FG180" i="135"/>
  <c r="DY180" i="135"/>
  <c r="CO180" i="135"/>
  <c r="BW179" i="135"/>
  <c r="BS52" i="135"/>
  <c r="BS22" i="135" s="1"/>
  <c r="BO56" i="135"/>
  <c r="BK52" i="135"/>
  <c r="DM180" i="135"/>
  <c r="DR180" i="135"/>
  <c r="DP180" i="135"/>
  <c r="DQ180" i="135"/>
  <c r="DS180" i="135"/>
  <c r="DT180" i="135"/>
  <c r="EW180" i="135"/>
  <c r="CE180" i="135"/>
  <c r="CH180" i="135"/>
  <c r="CJ180" i="135"/>
  <c r="CG180" i="135"/>
  <c r="CC180" i="135"/>
  <c r="CI180" i="135"/>
  <c r="BH180" i="135"/>
  <c r="BC180" i="135"/>
  <c r="AV180" i="135"/>
  <c r="BX180" i="135"/>
  <c r="DN180" i="135"/>
  <c r="AU180" i="135"/>
  <c r="BN180" i="135"/>
  <c r="EZ180" i="135"/>
  <c r="DO180" i="135"/>
  <c r="CD180" i="135"/>
  <c r="FE180" i="135"/>
  <c r="EY180" i="135"/>
  <c r="FD180" i="135"/>
  <c r="FB180" i="135"/>
  <c r="FC180" i="135"/>
  <c r="EX180" i="135"/>
  <c r="BQ180" i="135"/>
  <c r="AX180" i="135"/>
  <c r="BI180" i="135"/>
  <c r="AZ53" i="135"/>
  <c r="BO53" i="135"/>
  <c r="GC33" i="135"/>
  <c r="BF53" i="135"/>
  <c r="R53" i="135"/>
  <c r="P53" i="135"/>
  <c r="BV53" i="135"/>
  <c r="GC31" i="135"/>
  <c r="BK53" i="135"/>
  <c r="AR53" i="135"/>
  <c r="AR58" i="135"/>
  <c r="BV55" i="135"/>
  <c r="GC15" i="135"/>
  <c r="DI15" i="135"/>
  <c r="ES15" i="135"/>
  <c r="BW173" i="135"/>
  <c r="P49" i="135"/>
  <c r="BO54" i="135"/>
  <c r="BF54" i="135"/>
  <c r="BG121" i="135"/>
  <c r="BG106" i="135"/>
  <c r="BG155" i="135"/>
  <c r="L155" i="135" s="1"/>
  <c r="BG130" i="135"/>
  <c r="AR51" i="135"/>
  <c r="AR57" i="135"/>
  <c r="BV51" i="135"/>
  <c r="BW114" i="135"/>
  <c r="BF69" i="135"/>
  <c r="BG72" i="135"/>
  <c r="L72" i="135" s="1"/>
  <c r="BW160" i="135"/>
  <c r="BG144" i="135"/>
  <c r="BG69" i="135"/>
  <c r="BW131" i="135"/>
  <c r="BW159" i="135"/>
  <c r="BW157" i="135"/>
  <c r="BO49" i="135"/>
  <c r="BW70" i="135"/>
  <c r="GC34" i="135"/>
  <c r="BB126" i="135"/>
  <c r="BM126" i="135"/>
  <c r="AT126" i="135"/>
  <c r="BU126" i="135"/>
  <c r="BG126" i="135"/>
  <c r="BW126" i="135"/>
  <c r="P127" i="135"/>
  <c r="R127" i="135"/>
  <c r="BO127" i="135"/>
  <c r="AZ127" i="135"/>
  <c r="BK127" i="135"/>
  <c r="AR127" i="135"/>
  <c r="BS127" i="135"/>
  <c r="AS127" i="135"/>
  <c r="BL127" i="135"/>
  <c r="BT127" i="135"/>
  <c r="BA127" i="135"/>
  <c r="BF127" i="135"/>
  <c r="ES34" i="135"/>
  <c r="BL126" i="135"/>
  <c r="AS126" i="135"/>
  <c r="BA126" i="135"/>
  <c r="BT126" i="135"/>
  <c r="BB127" i="135"/>
  <c r="BM127" i="135"/>
  <c r="AT127" i="135"/>
  <c r="BU127" i="135"/>
  <c r="BG127" i="135"/>
  <c r="DI34" i="135"/>
  <c r="BO126" i="135"/>
  <c r="P126" i="135"/>
  <c r="AR126" i="135"/>
  <c r="BK126" i="135"/>
  <c r="R126" i="135"/>
  <c r="BS126" i="135"/>
  <c r="AZ126" i="135"/>
  <c r="BV126" i="135"/>
  <c r="P71" i="135"/>
  <c r="BO71" i="135"/>
  <c r="BK71" i="135"/>
  <c r="BS71" i="135"/>
  <c r="AZ71" i="135"/>
  <c r="R71" i="135"/>
  <c r="AR71" i="135"/>
  <c r="ES25" i="135"/>
  <c r="BL69" i="135"/>
  <c r="AS69" i="135"/>
  <c r="BT69" i="135"/>
  <c r="BA69" i="135"/>
  <c r="BV71" i="135"/>
  <c r="BB70" i="135"/>
  <c r="AT70" i="135"/>
  <c r="BU70" i="135"/>
  <c r="BM70" i="135"/>
  <c r="P70" i="135"/>
  <c r="R70" i="135"/>
  <c r="BO70" i="135"/>
  <c r="AR70" i="135"/>
  <c r="BK70" i="135"/>
  <c r="BS70" i="135"/>
  <c r="AZ70" i="135"/>
  <c r="BF70" i="135"/>
  <c r="AS71" i="135"/>
  <c r="BT71" i="135"/>
  <c r="BL71" i="135"/>
  <c r="BA71" i="135"/>
  <c r="GC25" i="135"/>
  <c r="BM69" i="135"/>
  <c r="AT69" i="135"/>
  <c r="BB69" i="135"/>
  <c r="BU69" i="135"/>
  <c r="AZ72" i="135"/>
  <c r="P72" i="135"/>
  <c r="BS72" i="135"/>
  <c r="BO72" i="135"/>
  <c r="AR72" i="135"/>
  <c r="BK72" i="135"/>
  <c r="R72" i="135"/>
  <c r="BA70" i="135"/>
  <c r="AS70" i="135"/>
  <c r="BT70" i="135"/>
  <c r="BL70" i="135"/>
  <c r="BF71" i="135"/>
  <c r="L71" i="135" s="1"/>
  <c r="BV72" i="135"/>
  <c r="BM71" i="135"/>
  <c r="BU71" i="135"/>
  <c r="BB71" i="135"/>
  <c r="AT71" i="135"/>
  <c r="DI25" i="135"/>
  <c r="P69" i="135"/>
  <c r="AR69" i="135"/>
  <c r="R69" i="135"/>
  <c r="BO69" i="135"/>
  <c r="AZ69" i="135"/>
  <c r="BK69" i="135"/>
  <c r="BS69" i="135"/>
  <c r="BT72" i="135"/>
  <c r="BA72" i="135"/>
  <c r="BL72" i="135"/>
  <c r="AS72" i="135"/>
  <c r="BB72" i="135"/>
  <c r="BM72" i="135"/>
  <c r="AT72" i="135"/>
  <c r="BU72" i="135"/>
  <c r="BW71" i="135"/>
  <c r="BW133" i="135"/>
  <c r="BK57" i="135"/>
  <c r="R51" i="135"/>
  <c r="P57" i="135"/>
  <c r="P51" i="135"/>
  <c r="BW109" i="135"/>
  <c r="BW151" i="135"/>
  <c r="BG111" i="135"/>
  <c r="L111" i="135" s="1"/>
  <c r="BG147" i="135"/>
  <c r="BG137" i="135"/>
  <c r="BW141" i="135"/>
  <c r="BW152" i="135"/>
  <c r="BW140" i="135"/>
  <c r="L152" i="135"/>
  <c r="BV176" i="135"/>
  <c r="BF128" i="135"/>
  <c r="L128" i="135" s="1"/>
  <c r="BW120" i="135"/>
  <c r="BG179" i="135"/>
  <c r="BG172" i="135"/>
  <c r="L168" i="135"/>
  <c r="BW136" i="135"/>
  <c r="BW145" i="135"/>
  <c r="BW129" i="135"/>
  <c r="BG135" i="135"/>
  <c r="BS55" i="135"/>
  <c r="BS56" i="135"/>
  <c r="P56" i="135"/>
  <c r="BV56" i="135"/>
  <c r="BK55" i="135"/>
  <c r="ES32" i="135"/>
  <c r="AR56" i="135"/>
  <c r="BK56" i="135"/>
  <c r="BF55" i="135"/>
  <c r="BV111" i="135"/>
  <c r="BF56" i="135"/>
  <c r="BO55" i="135"/>
  <c r="R56" i="135"/>
  <c r="ES36" i="135"/>
  <c r="BS57" i="135"/>
  <c r="R57" i="135"/>
  <c r="BO51" i="135"/>
  <c r="BK51" i="135"/>
  <c r="BF51" i="135"/>
  <c r="BV57" i="135"/>
  <c r="AZ57" i="135"/>
  <c r="AZ51" i="135"/>
  <c r="BG115" i="135"/>
  <c r="BG124" i="135"/>
  <c r="BG143" i="135"/>
  <c r="BS49" i="135"/>
  <c r="R52" i="135"/>
  <c r="P59" i="135"/>
  <c r="BF172" i="135"/>
  <c r="AR49" i="135"/>
  <c r="R49" i="135"/>
  <c r="BF163" i="135"/>
  <c r="L163" i="135" s="1"/>
  <c r="BF175" i="135"/>
  <c r="BF52" i="135"/>
  <c r="AZ52" i="135"/>
  <c r="BO59" i="135"/>
  <c r="AZ49" i="135"/>
  <c r="BV52" i="135"/>
  <c r="AR52" i="135"/>
  <c r="BV59" i="135"/>
  <c r="AR59" i="135"/>
  <c r="AZ59" i="135"/>
  <c r="BK49" i="135"/>
  <c r="BV49" i="135"/>
  <c r="BO52" i="135"/>
  <c r="BF59" i="135"/>
  <c r="L59" i="135" s="1"/>
  <c r="BK59" i="135"/>
  <c r="BV146" i="135"/>
  <c r="BF133" i="135"/>
  <c r="L133" i="135" s="1"/>
  <c r="BW119" i="135"/>
  <c r="BG108" i="135"/>
  <c r="BV119" i="135"/>
  <c r="BF108" i="135"/>
  <c r="L150" i="135"/>
  <c r="DI32" i="135"/>
  <c r="P140" i="135"/>
  <c r="BK140" i="135"/>
  <c r="AZ140" i="135"/>
  <c r="BO140" i="135"/>
  <c r="BS140" i="135"/>
  <c r="R140" i="135"/>
  <c r="AR140" i="135"/>
  <c r="P176" i="135"/>
  <c r="BK176" i="135"/>
  <c r="BS176" i="135"/>
  <c r="BO176" i="135"/>
  <c r="R176" i="135"/>
  <c r="AZ176" i="135"/>
  <c r="AR176" i="135"/>
  <c r="BK142" i="135"/>
  <c r="AR142" i="135"/>
  <c r="BS142" i="135"/>
  <c r="AZ142" i="135"/>
  <c r="BO142" i="135"/>
  <c r="P142" i="135"/>
  <c r="R142" i="135"/>
  <c r="AR161" i="135"/>
  <c r="AZ161" i="135"/>
  <c r="BO161" i="135"/>
  <c r="BK161" i="135"/>
  <c r="BS161" i="135"/>
  <c r="R161" i="135"/>
  <c r="P161" i="135"/>
  <c r="BF161" i="135"/>
  <c r="BS145" i="135"/>
  <c r="AZ145" i="135"/>
  <c r="AR145" i="135"/>
  <c r="R145" i="135"/>
  <c r="BK145" i="135"/>
  <c r="BO145" i="135"/>
  <c r="P145" i="135"/>
  <c r="P173" i="135"/>
  <c r="BK173" i="135"/>
  <c r="BS173" i="135"/>
  <c r="BO173" i="135"/>
  <c r="AR173" i="135"/>
  <c r="AZ173" i="135"/>
  <c r="R173" i="135"/>
  <c r="P143" i="135"/>
  <c r="BK143" i="135"/>
  <c r="AR143" i="135"/>
  <c r="R143" i="135"/>
  <c r="BS143" i="135"/>
  <c r="AZ143" i="135"/>
  <c r="BO143" i="135"/>
  <c r="BS153" i="135"/>
  <c r="AZ153" i="135"/>
  <c r="P153" i="135"/>
  <c r="AR153" i="135"/>
  <c r="BO153" i="135"/>
  <c r="BK153" i="135"/>
  <c r="R153" i="135"/>
  <c r="AR107" i="135"/>
  <c r="AZ107" i="135"/>
  <c r="BS107" i="135"/>
  <c r="P107" i="135"/>
  <c r="BO107" i="135"/>
  <c r="BK107" i="135"/>
  <c r="R107" i="135"/>
  <c r="BV107" i="135"/>
  <c r="P112" i="135"/>
  <c r="AZ112" i="135"/>
  <c r="BK112" i="135"/>
  <c r="BO112" i="135"/>
  <c r="R112" i="135"/>
  <c r="AR112" i="135"/>
  <c r="BS112" i="135"/>
  <c r="BF112" i="135"/>
  <c r="BV112" i="135"/>
  <c r="AZ178" i="135"/>
  <c r="R178" i="135"/>
  <c r="BS178" i="135"/>
  <c r="AR178" i="135"/>
  <c r="BO178" i="135"/>
  <c r="P178" i="135"/>
  <c r="BK178" i="135"/>
  <c r="R179" i="135"/>
  <c r="AR179" i="135"/>
  <c r="BS179" i="135"/>
  <c r="BO179" i="135"/>
  <c r="BK179" i="135"/>
  <c r="P179" i="135"/>
  <c r="AZ179" i="135"/>
  <c r="BK147" i="135"/>
  <c r="BO147" i="135"/>
  <c r="AR147" i="135"/>
  <c r="BS147" i="135"/>
  <c r="P147" i="135"/>
  <c r="R147" i="135"/>
  <c r="AZ147" i="135"/>
  <c r="R135" i="135"/>
  <c r="AZ135" i="135"/>
  <c r="BS135" i="135"/>
  <c r="P135" i="135"/>
  <c r="BO135" i="135"/>
  <c r="BK135" i="135"/>
  <c r="AR135" i="135"/>
  <c r="AR128" i="135"/>
  <c r="AZ128" i="135"/>
  <c r="BO128" i="135"/>
  <c r="BS128" i="135"/>
  <c r="R128" i="135"/>
  <c r="P128" i="135"/>
  <c r="BK128" i="135"/>
  <c r="AR129" i="135"/>
  <c r="P129" i="135"/>
  <c r="BK129" i="135"/>
  <c r="BS129" i="135"/>
  <c r="BO129" i="135"/>
  <c r="R129" i="135"/>
  <c r="AZ129" i="135"/>
  <c r="BK151" i="135"/>
  <c r="AZ151" i="135"/>
  <c r="P151" i="135"/>
  <c r="BO151" i="135"/>
  <c r="BS151" i="135"/>
  <c r="AR151" i="135"/>
  <c r="R151" i="135"/>
  <c r="BV151" i="135"/>
  <c r="BF151" i="135"/>
  <c r="L151" i="135" s="1"/>
  <c r="BT156" i="135"/>
  <c r="BL156" i="135"/>
  <c r="AS156" i="135"/>
  <c r="BA156" i="135"/>
  <c r="BA143" i="135"/>
  <c r="AS143" i="135"/>
  <c r="BL143" i="135"/>
  <c r="BT143" i="135"/>
  <c r="BL166" i="135"/>
  <c r="BA166" i="135"/>
  <c r="AS166" i="135"/>
  <c r="BT166" i="135"/>
  <c r="BA175" i="135"/>
  <c r="AS175" i="135"/>
  <c r="BL175" i="135"/>
  <c r="BT175" i="135"/>
  <c r="BT134" i="135"/>
  <c r="BL134" i="135"/>
  <c r="AS134" i="135"/>
  <c r="BA134" i="135"/>
  <c r="BT112" i="135"/>
  <c r="BA112" i="135"/>
  <c r="BL112" i="135"/>
  <c r="AS112" i="135"/>
  <c r="BL107" i="135"/>
  <c r="BT107" i="135"/>
  <c r="AS107" i="135"/>
  <c r="BA107" i="135"/>
  <c r="BL162" i="135"/>
  <c r="AS162" i="135"/>
  <c r="BT162" i="135"/>
  <c r="BA162" i="135"/>
  <c r="BL116" i="135"/>
  <c r="AS116" i="135"/>
  <c r="BA116" i="135"/>
  <c r="BT116" i="135"/>
  <c r="BA169" i="135"/>
  <c r="AS169" i="135"/>
  <c r="BT169" i="135"/>
  <c r="BL169" i="135"/>
  <c r="BT179" i="135"/>
  <c r="AS179" i="135"/>
  <c r="BA179" i="135"/>
  <c r="BL179" i="135"/>
  <c r="BL139" i="135"/>
  <c r="AS139" i="135"/>
  <c r="BA139" i="135"/>
  <c r="BT139" i="135"/>
  <c r="BL148" i="135"/>
  <c r="BT148" i="135"/>
  <c r="AS148" i="135"/>
  <c r="BA148" i="135"/>
  <c r="BA165" i="135"/>
  <c r="BL165" i="135"/>
  <c r="AS165" i="135"/>
  <c r="BT165" i="135"/>
  <c r="BL123" i="135"/>
  <c r="AS123" i="135"/>
  <c r="BT123" i="135"/>
  <c r="BA123" i="135"/>
  <c r="AS151" i="135"/>
  <c r="BT151" i="135"/>
  <c r="BA151" i="135"/>
  <c r="BL151" i="135"/>
  <c r="BF135" i="135"/>
  <c r="BF138" i="135"/>
  <c r="BV174" i="135"/>
  <c r="L141" i="135"/>
  <c r="BV129" i="135"/>
  <c r="BU172" i="135"/>
  <c r="AT172" i="135"/>
  <c r="BB172" i="135"/>
  <c r="BM172" i="135"/>
  <c r="BB170" i="135"/>
  <c r="BM170" i="135"/>
  <c r="AT170" i="135"/>
  <c r="BU170" i="135"/>
  <c r="BM109" i="135"/>
  <c r="BU109" i="135"/>
  <c r="BB109" i="135"/>
  <c r="AT109" i="135"/>
  <c r="BM142" i="135"/>
  <c r="BB142" i="135"/>
  <c r="BU142" i="135"/>
  <c r="AT142" i="135"/>
  <c r="BU156" i="135"/>
  <c r="BM156" i="135"/>
  <c r="BB156" i="135"/>
  <c r="AT156" i="135"/>
  <c r="BB157" i="135"/>
  <c r="AT157" i="135"/>
  <c r="BM157" i="135"/>
  <c r="BU157" i="135"/>
  <c r="AT149" i="135"/>
  <c r="BM149" i="135"/>
  <c r="BU149" i="135"/>
  <c r="BB149" i="135"/>
  <c r="BM161" i="135"/>
  <c r="BU161" i="135"/>
  <c r="BB161" i="135"/>
  <c r="AT161" i="135"/>
  <c r="BM133" i="135"/>
  <c r="AT133" i="135"/>
  <c r="BB133" i="135"/>
  <c r="BU133" i="135"/>
  <c r="BB138" i="135"/>
  <c r="BM138" i="135"/>
  <c r="BU138" i="135"/>
  <c r="AT138" i="135"/>
  <c r="BU175" i="135"/>
  <c r="BM175" i="135"/>
  <c r="AT175" i="135"/>
  <c r="BB175" i="135"/>
  <c r="BB153" i="135"/>
  <c r="BM153" i="135"/>
  <c r="AT153" i="135"/>
  <c r="BU153" i="135"/>
  <c r="BB110" i="135"/>
  <c r="AT110" i="135"/>
  <c r="BM110" i="135"/>
  <c r="BU110" i="135"/>
  <c r="BM178" i="135"/>
  <c r="AT178" i="135"/>
  <c r="BB178" i="135"/>
  <c r="BU178" i="135"/>
  <c r="BB132" i="135"/>
  <c r="AT132" i="135"/>
  <c r="BM132" i="135"/>
  <c r="BU132" i="135"/>
  <c r="BM111" i="135"/>
  <c r="AT111" i="135"/>
  <c r="BU111" i="135"/>
  <c r="BB111" i="135"/>
  <c r="BB125" i="135"/>
  <c r="AT125" i="135"/>
  <c r="BU125" i="135"/>
  <c r="BM125" i="135"/>
  <c r="BG125" i="135"/>
  <c r="BW125" i="135"/>
  <c r="BU151" i="135"/>
  <c r="BM151" i="135"/>
  <c r="AT151" i="135"/>
  <c r="BB151" i="135"/>
  <c r="BU128" i="135"/>
  <c r="BB128" i="135"/>
  <c r="AT128" i="135"/>
  <c r="BM128" i="135"/>
  <c r="BG166" i="135"/>
  <c r="L166" i="135" s="1"/>
  <c r="BG177" i="135"/>
  <c r="BF140" i="135"/>
  <c r="L140" i="135" s="1"/>
  <c r="BG153" i="135"/>
  <c r="BG156" i="135"/>
  <c r="BF136" i="135"/>
  <c r="L136" i="135" s="1"/>
  <c r="BV140" i="135"/>
  <c r="BG178" i="135"/>
  <c r="BG170" i="135"/>
  <c r="L170" i="135" s="1"/>
  <c r="BW128" i="135"/>
  <c r="BW110" i="135"/>
  <c r="GC28" i="135"/>
  <c r="GC37" i="135"/>
  <c r="GC26" i="135"/>
  <c r="GC35" i="135"/>
  <c r="GC30" i="135"/>
  <c r="BV82" i="135"/>
  <c r="DI36" i="135"/>
  <c r="P36" i="135" s="1"/>
  <c r="ES31" i="135"/>
  <c r="BG82" i="135"/>
  <c r="GC36" i="135"/>
  <c r="DI28" i="135"/>
  <c r="R28" i="135" s="1"/>
  <c r="DI37" i="135"/>
  <c r="DI26" i="135"/>
  <c r="P26" i="135" s="1"/>
  <c r="DI35" i="135"/>
  <c r="DI33" i="135"/>
  <c r="AR120" i="135"/>
  <c r="BS120" i="135"/>
  <c r="P120" i="135"/>
  <c r="BK120" i="135"/>
  <c r="BO120" i="135"/>
  <c r="R120" i="135"/>
  <c r="AZ120" i="135"/>
  <c r="BF120" i="135"/>
  <c r="L120" i="135" s="1"/>
  <c r="BV120" i="135"/>
  <c r="BS158" i="135"/>
  <c r="AR158" i="135"/>
  <c r="BK158" i="135"/>
  <c r="AZ158" i="135"/>
  <c r="P158" i="135"/>
  <c r="R158" i="135"/>
  <c r="BO158" i="135"/>
  <c r="BF158" i="135"/>
  <c r="BK156" i="135"/>
  <c r="BS156" i="135"/>
  <c r="R156" i="135"/>
  <c r="AR156" i="135"/>
  <c r="P156" i="135"/>
  <c r="BO156" i="135"/>
  <c r="AZ156" i="135"/>
  <c r="P117" i="135"/>
  <c r="R117" i="135"/>
  <c r="AR117" i="135"/>
  <c r="BO117" i="135"/>
  <c r="AZ117" i="135"/>
  <c r="BS117" i="135"/>
  <c r="BK117" i="135"/>
  <c r="BF117" i="135"/>
  <c r="L117" i="135" s="1"/>
  <c r="BV117" i="135"/>
  <c r="AZ133" i="135"/>
  <c r="BK133" i="135"/>
  <c r="R133" i="135"/>
  <c r="P133" i="135"/>
  <c r="AR133" i="135"/>
  <c r="BS133" i="135"/>
  <c r="BO133" i="135"/>
  <c r="AZ113" i="135"/>
  <c r="AR113" i="135"/>
  <c r="BK113" i="135"/>
  <c r="P113" i="135"/>
  <c r="BS113" i="135"/>
  <c r="R113" i="135"/>
  <c r="BO113" i="135"/>
  <c r="BV113" i="135"/>
  <c r="BO137" i="135"/>
  <c r="AZ137" i="135"/>
  <c r="AR137" i="135"/>
  <c r="BK137" i="135"/>
  <c r="P137" i="135"/>
  <c r="R137" i="135"/>
  <c r="BS137" i="135"/>
  <c r="P160" i="135"/>
  <c r="BO160" i="135"/>
  <c r="AR160" i="135"/>
  <c r="R160" i="135"/>
  <c r="BK160" i="135"/>
  <c r="BS160" i="135"/>
  <c r="AZ160" i="135"/>
  <c r="BO155" i="135"/>
  <c r="BS155" i="135"/>
  <c r="AZ155" i="135"/>
  <c r="BK155" i="135"/>
  <c r="AR155" i="135"/>
  <c r="P155" i="135"/>
  <c r="R155" i="135"/>
  <c r="P162" i="135"/>
  <c r="BO162" i="135"/>
  <c r="AZ162" i="135"/>
  <c r="BS162" i="135"/>
  <c r="BK162" i="135"/>
  <c r="R162" i="135"/>
  <c r="AR162" i="135"/>
  <c r="AR116" i="135"/>
  <c r="R116" i="135"/>
  <c r="AZ116" i="135"/>
  <c r="BO116" i="135"/>
  <c r="BS116" i="135"/>
  <c r="P116" i="135"/>
  <c r="BK116" i="135"/>
  <c r="AZ115" i="135"/>
  <c r="BS115" i="135"/>
  <c r="BO115" i="135"/>
  <c r="R115" i="135"/>
  <c r="AR115" i="135"/>
  <c r="BK115" i="135"/>
  <c r="P115" i="135"/>
  <c r="BS111" i="135"/>
  <c r="P111" i="135"/>
  <c r="BO111" i="135"/>
  <c r="R111" i="135"/>
  <c r="AZ111" i="135"/>
  <c r="BK111" i="135"/>
  <c r="AR111" i="135"/>
  <c r="R159" i="135"/>
  <c r="AZ159" i="135"/>
  <c r="P159" i="135"/>
  <c r="BO159" i="135"/>
  <c r="BS159" i="135"/>
  <c r="AR159" i="135"/>
  <c r="BK159" i="135"/>
  <c r="P177" i="135"/>
  <c r="AZ177" i="135"/>
  <c r="BS177" i="135"/>
  <c r="R177" i="135"/>
  <c r="BO177" i="135"/>
  <c r="BK177" i="135"/>
  <c r="AR177" i="135"/>
  <c r="BF177" i="135"/>
  <c r="BS141" i="135"/>
  <c r="AZ141" i="135"/>
  <c r="BO141" i="135"/>
  <c r="R141" i="135"/>
  <c r="AR141" i="135"/>
  <c r="P141" i="135"/>
  <c r="BK141" i="135"/>
  <c r="BO123" i="135"/>
  <c r="AR123" i="135"/>
  <c r="P123" i="135"/>
  <c r="BS123" i="135"/>
  <c r="R123" i="135"/>
  <c r="AZ123" i="135"/>
  <c r="BK123" i="135"/>
  <c r="AZ171" i="135"/>
  <c r="R171" i="135"/>
  <c r="BO171" i="135"/>
  <c r="P171" i="135"/>
  <c r="AR171" i="135"/>
  <c r="BK171" i="135"/>
  <c r="BS171" i="135"/>
  <c r="BT120" i="135"/>
  <c r="BA120" i="135"/>
  <c r="BL120" i="135"/>
  <c r="AS120" i="135"/>
  <c r="AS168" i="135"/>
  <c r="BL168" i="135"/>
  <c r="BT168" i="135"/>
  <c r="BA168" i="135"/>
  <c r="BA117" i="135"/>
  <c r="AS117" i="135"/>
  <c r="BT117" i="135"/>
  <c r="BL117" i="135"/>
  <c r="BL119" i="135"/>
  <c r="AS119" i="135"/>
  <c r="BT119" i="135"/>
  <c r="BA119" i="135"/>
  <c r="BA145" i="135"/>
  <c r="BL145" i="135"/>
  <c r="BT145" i="135"/>
  <c r="AS145" i="135"/>
  <c r="BL149" i="135"/>
  <c r="BA149" i="135"/>
  <c r="BT149" i="135"/>
  <c r="AS149" i="135"/>
  <c r="AS152" i="135"/>
  <c r="BT152" i="135"/>
  <c r="BA152" i="135"/>
  <c r="BL152" i="135"/>
  <c r="BA155" i="135"/>
  <c r="BL155" i="135"/>
  <c r="AS155" i="135"/>
  <c r="BT155" i="135"/>
  <c r="BL114" i="135"/>
  <c r="AS114" i="135"/>
  <c r="BT114" i="135"/>
  <c r="BA114" i="135"/>
  <c r="BL110" i="135"/>
  <c r="AS110" i="135"/>
  <c r="BT110" i="135"/>
  <c r="BA110" i="135"/>
  <c r="BA150" i="135"/>
  <c r="AS150" i="135"/>
  <c r="BL150" i="135"/>
  <c r="BT150" i="135"/>
  <c r="BT177" i="135"/>
  <c r="BA177" i="135"/>
  <c r="BL177" i="135"/>
  <c r="AS177" i="135"/>
  <c r="BA144" i="135"/>
  <c r="BT144" i="135"/>
  <c r="AS144" i="135"/>
  <c r="BL144" i="135"/>
  <c r="BA135" i="135"/>
  <c r="BL135" i="135"/>
  <c r="AS135" i="135"/>
  <c r="BT135" i="135"/>
  <c r="AS108" i="135"/>
  <c r="BA108" i="135"/>
  <c r="BT108" i="135"/>
  <c r="BL108" i="135"/>
  <c r="BL129" i="135"/>
  <c r="BT129" i="135"/>
  <c r="BA129" i="135"/>
  <c r="AS129" i="135"/>
  <c r="BA125" i="135"/>
  <c r="BL125" i="135"/>
  <c r="AS125" i="135"/>
  <c r="BT125" i="135"/>
  <c r="BL174" i="135"/>
  <c r="BA174" i="135"/>
  <c r="AS174" i="135"/>
  <c r="BT174" i="135"/>
  <c r="BA128" i="135"/>
  <c r="BL128" i="135"/>
  <c r="AS128" i="135"/>
  <c r="BT128" i="135"/>
  <c r="AS124" i="135"/>
  <c r="BL124" i="135"/>
  <c r="BA124" i="135"/>
  <c r="BT124" i="135"/>
  <c r="BF137" i="135"/>
  <c r="BF159" i="135"/>
  <c r="L159" i="135" s="1"/>
  <c r="BV142" i="135"/>
  <c r="BF115" i="135"/>
  <c r="BF109" i="135"/>
  <c r="L109" i="135" s="1"/>
  <c r="BV108" i="135"/>
  <c r="BF129" i="135"/>
  <c r="BV141" i="135"/>
  <c r="BF178" i="135"/>
  <c r="BF143" i="135"/>
  <c r="BB140" i="135"/>
  <c r="BM140" i="135"/>
  <c r="BU140" i="135"/>
  <c r="AT140" i="135"/>
  <c r="BM158" i="135"/>
  <c r="AT158" i="135"/>
  <c r="BU158" i="135"/>
  <c r="BB158" i="135"/>
  <c r="BW158" i="135"/>
  <c r="BM106" i="135"/>
  <c r="AT106" i="135"/>
  <c r="BU106" i="135"/>
  <c r="BB106" i="135"/>
  <c r="BU167" i="135"/>
  <c r="BB167" i="135"/>
  <c r="BM167" i="135"/>
  <c r="AT167" i="135"/>
  <c r="BB119" i="135"/>
  <c r="AT119" i="135"/>
  <c r="BU119" i="135"/>
  <c r="BM119" i="135"/>
  <c r="BM143" i="135"/>
  <c r="AT143" i="135"/>
  <c r="BU143" i="135"/>
  <c r="BB143" i="135"/>
  <c r="BM137" i="135"/>
  <c r="BU137" i="135"/>
  <c r="AT137" i="135"/>
  <c r="BB137" i="135"/>
  <c r="BM113" i="135"/>
  <c r="BB113" i="135"/>
  <c r="AT113" i="135"/>
  <c r="BU113" i="135"/>
  <c r="AT112" i="135"/>
  <c r="BM112" i="135"/>
  <c r="BU112" i="135"/>
  <c r="BB112" i="135"/>
  <c r="BB152" i="135"/>
  <c r="AT152" i="135"/>
  <c r="BM152" i="135"/>
  <c r="BU152" i="135"/>
  <c r="AT154" i="135"/>
  <c r="BB154" i="135"/>
  <c r="BM154" i="135"/>
  <c r="BU154" i="135"/>
  <c r="AT107" i="135"/>
  <c r="BM107" i="135"/>
  <c r="BB107" i="135"/>
  <c r="BU107" i="135"/>
  <c r="BM155" i="135"/>
  <c r="BU155" i="135"/>
  <c r="BB155" i="135"/>
  <c r="AT155" i="135"/>
  <c r="BB115" i="135"/>
  <c r="BU115" i="135"/>
  <c r="BM115" i="135"/>
  <c r="AT115" i="135"/>
  <c r="BM164" i="135"/>
  <c r="BU164" i="135"/>
  <c r="BB164" i="135"/>
  <c r="AT164" i="135"/>
  <c r="BB116" i="135"/>
  <c r="BU116" i="135"/>
  <c r="BM116" i="135"/>
  <c r="AT116" i="135"/>
  <c r="BG116" i="135"/>
  <c r="BW116" i="135"/>
  <c r="AT141" i="135"/>
  <c r="BB141" i="135"/>
  <c r="BU141" i="135"/>
  <c r="BM141" i="135"/>
  <c r="BB122" i="135"/>
  <c r="AT122" i="135"/>
  <c r="BU122" i="135"/>
  <c r="BM122" i="135"/>
  <c r="BB124" i="135"/>
  <c r="BM124" i="135"/>
  <c r="BU124" i="135"/>
  <c r="AT124" i="135"/>
  <c r="BW170" i="135"/>
  <c r="BV155" i="135"/>
  <c r="BW122" i="135"/>
  <c r="BF145" i="135"/>
  <c r="L145" i="135" s="1"/>
  <c r="BW132" i="135"/>
  <c r="BW150" i="135"/>
  <c r="BW153" i="135"/>
  <c r="BW156" i="135"/>
  <c r="BF147" i="135"/>
  <c r="BW167" i="135"/>
  <c r="BG158" i="135"/>
  <c r="BG122" i="135"/>
  <c r="BF156" i="135"/>
  <c r="BG113" i="135"/>
  <c r="L113" i="135" s="1"/>
  <c r="BG149" i="135"/>
  <c r="BG138" i="135"/>
  <c r="AS49" i="135"/>
  <c r="ES30" i="135"/>
  <c r="DI30" i="135"/>
  <c r="L173" i="135"/>
  <c r="AZ109" i="135"/>
  <c r="P109" i="135"/>
  <c r="BK109" i="135"/>
  <c r="AR109" i="135"/>
  <c r="R109" i="135"/>
  <c r="BO109" i="135"/>
  <c r="BS109" i="135"/>
  <c r="P106" i="135"/>
  <c r="BO106" i="135"/>
  <c r="BK106" i="135"/>
  <c r="BS106" i="135"/>
  <c r="AZ106" i="135"/>
  <c r="AR106" i="135"/>
  <c r="R106" i="135"/>
  <c r="BV106" i="135"/>
  <c r="BF106" i="135"/>
  <c r="AZ170" i="135"/>
  <c r="BS170" i="135"/>
  <c r="P170" i="135"/>
  <c r="BK170" i="135"/>
  <c r="BO170" i="135"/>
  <c r="AR170" i="135"/>
  <c r="R170" i="135"/>
  <c r="AZ166" i="135"/>
  <c r="BS166" i="135"/>
  <c r="AR166" i="135"/>
  <c r="R166" i="135"/>
  <c r="BO166" i="135"/>
  <c r="BK166" i="135"/>
  <c r="P166" i="135"/>
  <c r="BO167" i="135"/>
  <c r="AZ167" i="135"/>
  <c r="AR167" i="135"/>
  <c r="BK167" i="135"/>
  <c r="P167" i="135"/>
  <c r="BS167" i="135"/>
  <c r="R167" i="135"/>
  <c r="BF167" i="135"/>
  <c r="BK138" i="135"/>
  <c r="BO138" i="135"/>
  <c r="R138" i="135"/>
  <c r="AR138" i="135"/>
  <c r="BS138" i="135"/>
  <c r="P138" i="135"/>
  <c r="AZ138" i="135"/>
  <c r="BS130" i="135"/>
  <c r="BO130" i="135"/>
  <c r="BK130" i="135"/>
  <c r="AZ130" i="135"/>
  <c r="P130" i="135"/>
  <c r="R130" i="135"/>
  <c r="AR130" i="135"/>
  <c r="BF130" i="135"/>
  <c r="BV130" i="135"/>
  <c r="AR131" i="135"/>
  <c r="P131" i="135"/>
  <c r="AZ131" i="135"/>
  <c r="BS131" i="135"/>
  <c r="R131" i="135"/>
  <c r="BO131" i="135"/>
  <c r="BK131" i="135"/>
  <c r="BK134" i="135"/>
  <c r="BS134" i="135"/>
  <c r="P134" i="135"/>
  <c r="AR134" i="135"/>
  <c r="BO134" i="135"/>
  <c r="R134" i="135"/>
  <c r="AZ134" i="135"/>
  <c r="P136" i="135"/>
  <c r="BK136" i="135"/>
  <c r="BO136" i="135"/>
  <c r="AR136" i="135"/>
  <c r="BS136" i="135"/>
  <c r="AZ136" i="135"/>
  <c r="R136" i="135"/>
  <c r="P118" i="135"/>
  <c r="BK118" i="135"/>
  <c r="BO118" i="135"/>
  <c r="AR118" i="135"/>
  <c r="AZ118" i="135"/>
  <c r="R118" i="135"/>
  <c r="BS118" i="135"/>
  <c r="BV118" i="135"/>
  <c r="R144" i="135"/>
  <c r="AR144" i="135"/>
  <c r="P144" i="135"/>
  <c r="BO144" i="135"/>
  <c r="AZ144" i="135"/>
  <c r="BK144" i="135"/>
  <c r="BS144" i="135"/>
  <c r="BS132" i="135"/>
  <c r="AZ132" i="135"/>
  <c r="BK132" i="135"/>
  <c r="P132" i="135"/>
  <c r="BO132" i="135"/>
  <c r="AR132" i="135"/>
  <c r="R132" i="135"/>
  <c r="AZ165" i="135"/>
  <c r="BO165" i="135"/>
  <c r="AR165" i="135"/>
  <c r="BK165" i="135"/>
  <c r="R165" i="135"/>
  <c r="BS165" i="135"/>
  <c r="P165" i="135"/>
  <c r="BV165" i="135"/>
  <c r="BF165" i="135"/>
  <c r="L165" i="135" s="1"/>
  <c r="BK139" i="135"/>
  <c r="P139" i="135"/>
  <c r="BO139" i="135"/>
  <c r="AR139" i="135"/>
  <c r="BS139" i="135"/>
  <c r="R139" i="135"/>
  <c r="AZ139" i="135"/>
  <c r="BV139" i="135"/>
  <c r="BF139" i="135"/>
  <c r="BK122" i="135"/>
  <c r="AR122" i="135"/>
  <c r="BO122" i="135"/>
  <c r="BS122" i="135"/>
  <c r="P122" i="135"/>
  <c r="R122" i="135"/>
  <c r="AZ122" i="135"/>
  <c r="BF122" i="135"/>
  <c r="BO124" i="135"/>
  <c r="BK124" i="135"/>
  <c r="P124" i="135"/>
  <c r="AR124" i="135"/>
  <c r="AZ124" i="135"/>
  <c r="R124" i="135"/>
  <c r="BS124" i="135"/>
  <c r="P121" i="135"/>
  <c r="BK121" i="135"/>
  <c r="AZ121" i="135"/>
  <c r="R121" i="135"/>
  <c r="BO121" i="135"/>
  <c r="AR121" i="135"/>
  <c r="BS121" i="135"/>
  <c r="BL172" i="135"/>
  <c r="BT172" i="135"/>
  <c r="AS172" i="135"/>
  <c r="BA172" i="135"/>
  <c r="BT140" i="135"/>
  <c r="BA140" i="135"/>
  <c r="BL140" i="135"/>
  <c r="AS140" i="135"/>
  <c r="BT146" i="135"/>
  <c r="AS146" i="135"/>
  <c r="BL146" i="135"/>
  <c r="BA146" i="135"/>
  <c r="BL176" i="135"/>
  <c r="BA176" i="135"/>
  <c r="AS176" i="135"/>
  <c r="BT176" i="135"/>
  <c r="BT142" i="135"/>
  <c r="BA142" i="135"/>
  <c r="BL142" i="135"/>
  <c r="AS142" i="135"/>
  <c r="BT167" i="135"/>
  <c r="BA167" i="135"/>
  <c r="BL167" i="135"/>
  <c r="AS167" i="135"/>
  <c r="BL157" i="135"/>
  <c r="AS157" i="135"/>
  <c r="BA157" i="135"/>
  <c r="BT157" i="135"/>
  <c r="BT173" i="135"/>
  <c r="BA173" i="135"/>
  <c r="BL173" i="135"/>
  <c r="AS173" i="135"/>
  <c r="BL133" i="135"/>
  <c r="AS133" i="135"/>
  <c r="BT133" i="135"/>
  <c r="BA133" i="135"/>
  <c r="BL131" i="135"/>
  <c r="AS131" i="135"/>
  <c r="BT131" i="135"/>
  <c r="BA131" i="135"/>
  <c r="BT136" i="135"/>
  <c r="BL136" i="135"/>
  <c r="BA136" i="135"/>
  <c r="AS136" i="135"/>
  <c r="BT160" i="135"/>
  <c r="BL160" i="135"/>
  <c r="BA160" i="135"/>
  <c r="AS160" i="135"/>
  <c r="BA153" i="135"/>
  <c r="BL153" i="135"/>
  <c r="AS153" i="135"/>
  <c r="BT153" i="135"/>
  <c r="BT178" i="135"/>
  <c r="AS178" i="135"/>
  <c r="BA178" i="135"/>
  <c r="BL178" i="135"/>
  <c r="BA164" i="135"/>
  <c r="BT164" i="135"/>
  <c r="BL164" i="135"/>
  <c r="AS164" i="135"/>
  <c r="BT118" i="135"/>
  <c r="BA118" i="135"/>
  <c r="BL118" i="135"/>
  <c r="AS118" i="135"/>
  <c r="BT147" i="135"/>
  <c r="AS147" i="135"/>
  <c r="BL147" i="135"/>
  <c r="BA147" i="135"/>
  <c r="BL159" i="135"/>
  <c r="BA159" i="135"/>
  <c r="BT159" i="135"/>
  <c r="AS159" i="135"/>
  <c r="BA111" i="135"/>
  <c r="BT111" i="135"/>
  <c r="BL111" i="135"/>
  <c r="AS111" i="135"/>
  <c r="BL141" i="135"/>
  <c r="BT141" i="135"/>
  <c r="AS141" i="135"/>
  <c r="BA141" i="135"/>
  <c r="AS171" i="135"/>
  <c r="BL171" i="135"/>
  <c r="BT171" i="135"/>
  <c r="BA171" i="135"/>
  <c r="AS121" i="135"/>
  <c r="BL121" i="135"/>
  <c r="BT121" i="135"/>
  <c r="BA121" i="135"/>
  <c r="BV132" i="135"/>
  <c r="BF153" i="135"/>
  <c r="BV123" i="135"/>
  <c r="BF171" i="135"/>
  <c r="BF116" i="135"/>
  <c r="BV162" i="135"/>
  <c r="BF142" i="135"/>
  <c r="BV156" i="135"/>
  <c r="BF107" i="135"/>
  <c r="BV124" i="135"/>
  <c r="BV178" i="135"/>
  <c r="BF179" i="135"/>
  <c r="BM120" i="135"/>
  <c r="BU120" i="135"/>
  <c r="BB120" i="135"/>
  <c r="AT120" i="135"/>
  <c r="BU146" i="135"/>
  <c r="AT146" i="135"/>
  <c r="BB146" i="135"/>
  <c r="BM146" i="135"/>
  <c r="AT117" i="135"/>
  <c r="BM117" i="135"/>
  <c r="BB117" i="135"/>
  <c r="BU117" i="135"/>
  <c r="BB173" i="135"/>
  <c r="BM173" i="135"/>
  <c r="BU173" i="135"/>
  <c r="AT173" i="135"/>
  <c r="BU160" i="135"/>
  <c r="BB160" i="135"/>
  <c r="BM160" i="135"/>
  <c r="AT160" i="135"/>
  <c r="BM131" i="135"/>
  <c r="BU131" i="135"/>
  <c r="AT131" i="135"/>
  <c r="BB131" i="135"/>
  <c r="BB118" i="135"/>
  <c r="BM118" i="135"/>
  <c r="AT118" i="135"/>
  <c r="BU118" i="135"/>
  <c r="BW118" i="135"/>
  <c r="BG118" i="135"/>
  <c r="L118" i="135" s="1"/>
  <c r="BM144" i="135"/>
  <c r="BU144" i="135"/>
  <c r="BB144" i="135"/>
  <c r="AT144" i="135"/>
  <c r="BB159" i="135"/>
  <c r="AT159" i="135"/>
  <c r="BU159" i="135"/>
  <c r="BM159" i="135"/>
  <c r="BM169" i="135"/>
  <c r="BU169" i="135"/>
  <c r="AT169" i="135"/>
  <c r="BB169" i="135"/>
  <c r="BB179" i="135"/>
  <c r="BM179" i="135"/>
  <c r="BU179" i="135"/>
  <c r="AT179" i="135"/>
  <c r="BU163" i="135"/>
  <c r="BB163" i="135"/>
  <c r="BM163" i="135"/>
  <c r="AT163" i="135"/>
  <c r="BB148" i="135"/>
  <c r="BM148" i="135"/>
  <c r="AT148" i="135"/>
  <c r="BU148" i="135"/>
  <c r="BM108" i="135"/>
  <c r="BU108" i="135"/>
  <c r="BB108" i="135"/>
  <c r="AT108" i="135"/>
  <c r="BW108" i="135"/>
  <c r="BU123" i="135"/>
  <c r="AT123" i="135"/>
  <c r="BM123" i="135"/>
  <c r="BB123" i="135"/>
  <c r="BU174" i="135"/>
  <c r="BM174" i="135"/>
  <c r="BB174" i="135"/>
  <c r="AT174" i="135"/>
  <c r="BM121" i="135"/>
  <c r="AT121" i="135"/>
  <c r="BB121" i="135"/>
  <c r="BU121" i="135"/>
  <c r="BM171" i="135"/>
  <c r="BU171" i="135"/>
  <c r="BB171" i="135"/>
  <c r="AT171" i="135"/>
  <c r="BG146" i="135"/>
  <c r="L146" i="135" s="1"/>
  <c r="BG171" i="135"/>
  <c r="BV115" i="135"/>
  <c r="BG169" i="135"/>
  <c r="L169" i="135" s="1"/>
  <c r="BW161" i="135"/>
  <c r="BW138" i="135"/>
  <c r="BG167" i="135"/>
  <c r="BW163" i="135"/>
  <c r="BG132" i="135"/>
  <c r="L132" i="135" s="1"/>
  <c r="BG142" i="135"/>
  <c r="BF121" i="135"/>
  <c r="BV161" i="135"/>
  <c r="BW174" i="135"/>
  <c r="BG123" i="135"/>
  <c r="BG154" i="135"/>
  <c r="L154" i="135" s="1"/>
  <c r="BF160" i="135"/>
  <c r="BG161" i="135"/>
  <c r="BV135" i="135"/>
  <c r="BW146" i="135"/>
  <c r="BV103" i="135"/>
  <c r="GC32" i="135"/>
  <c r="ES28" i="135"/>
  <c r="ES37" i="135"/>
  <c r="ES26" i="135"/>
  <c r="ES35" i="135"/>
  <c r="ES33" i="135"/>
  <c r="BU103" i="135"/>
  <c r="DI31" i="135"/>
  <c r="AQ36" i="135"/>
  <c r="BO172" i="135"/>
  <c r="BK172" i="135"/>
  <c r="BS172" i="135"/>
  <c r="P172" i="135"/>
  <c r="R172" i="135"/>
  <c r="AZ172" i="135"/>
  <c r="AR172" i="135"/>
  <c r="BK146" i="135"/>
  <c r="BO146" i="135"/>
  <c r="AZ146" i="135"/>
  <c r="BS146" i="135"/>
  <c r="P146" i="135"/>
  <c r="AR146" i="135"/>
  <c r="R146" i="135"/>
  <c r="AR168" i="135"/>
  <c r="BS168" i="135"/>
  <c r="BK168" i="135"/>
  <c r="P168" i="135"/>
  <c r="AZ168" i="135"/>
  <c r="R168" i="135"/>
  <c r="BO168" i="135"/>
  <c r="BV168" i="135"/>
  <c r="P119" i="135"/>
  <c r="AR119" i="135"/>
  <c r="BO119" i="135"/>
  <c r="R119" i="135"/>
  <c r="AZ119" i="135"/>
  <c r="BS119" i="135"/>
  <c r="BK119" i="135"/>
  <c r="BO149" i="135"/>
  <c r="BK149" i="135"/>
  <c r="P149" i="135"/>
  <c r="BS149" i="135"/>
  <c r="AR149" i="135"/>
  <c r="AZ149" i="135"/>
  <c r="R149" i="135"/>
  <c r="BV149" i="135"/>
  <c r="BF149" i="135"/>
  <c r="AR157" i="135"/>
  <c r="BS157" i="135"/>
  <c r="AZ157" i="135"/>
  <c r="P157" i="135"/>
  <c r="R157" i="135"/>
  <c r="BO157" i="135"/>
  <c r="BK157" i="135"/>
  <c r="BV157" i="135"/>
  <c r="BF157" i="135"/>
  <c r="L157" i="135" s="1"/>
  <c r="P114" i="135"/>
  <c r="AR114" i="135"/>
  <c r="BO114" i="135"/>
  <c r="BS114" i="135"/>
  <c r="AZ114" i="135"/>
  <c r="R114" i="135"/>
  <c r="BK114" i="135"/>
  <c r="BF114" i="135"/>
  <c r="L114" i="135" s="1"/>
  <c r="P175" i="135"/>
  <c r="AZ175" i="135"/>
  <c r="BK175" i="135"/>
  <c r="BS175" i="135"/>
  <c r="R175" i="135"/>
  <c r="AR175" i="135"/>
  <c r="BO175" i="135"/>
  <c r="BS154" i="135"/>
  <c r="BK154" i="135"/>
  <c r="AZ154" i="135"/>
  <c r="BO154" i="135"/>
  <c r="P154" i="135"/>
  <c r="AR154" i="135"/>
  <c r="R154" i="135"/>
  <c r="BS152" i="135"/>
  <c r="AZ152" i="135"/>
  <c r="P152" i="135"/>
  <c r="R152" i="135"/>
  <c r="AR152" i="135"/>
  <c r="BK152" i="135"/>
  <c r="BO152" i="135"/>
  <c r="BV152" i="135"/>
  <c r="AR110" i="135"/>
  <c r="BK110" i="135"/>
  <c r="R110" i="135"/>
  <c r="P110" i="135"/>
  <c r="BO110" i="135"/>
  <c r="AZ110" i="135"/>
  <c r="BS110" i="135"/>
  <c r="BF110" i="135"/>
  <c r="BV110" i="135"/>
  <c r="P150" i="135"/>
  <c r="AZ150" i="135"/>
  <c r="BK150" i="135"/>
  <c r="BS150" i="135"/>
  <c r="AR150" i="135"/>
  <c r="R150" i="135"/>
  <c r="BO150" i="135"/>
  <c r="P164" i="135"/>
  <c r="AR164" i="135"/>
  <c r="BO164" i="135"/>
  <c r="AZ164" i="135"/>
  <c r="BK164" i="135"/>
  <c r="BS164" i="135"/>
  <c r="R164" i="135"/>
  <c r="BF164" i="135"/>
  <c r="P169" i="135"/>
  <c r="BK169" i="135"/>
  <c r="BS169" i="135"/>
  <c r="AZ169" i="135"/>
  <c r="BO169" i="135"/>
  <c r="R169" i="135"/>
  <c r="AR169" i="135"/>
  <c r="P163" i="135"/>
  <c r="R163" i="135"/>
  <c r="BS163" i="135"/>
  <c r="BK163" i="135"/>
  <c r="BO163" i="135"/>
  <c r="AR163" i="135"/>
  <c r="AZ163" i="135"/>
  <c r="P108" i="135"/>
  <c r="R108" i="135"/>
  <c r="BO108" i="135"/>
  <c r="BK108" i="135"/>
  <c r="AZ108" i="135"/>
  <c r="AR108" i="135"/>
  <c r="BS108" i="135"/>
  <c r="BO148" i="135"/>
  <c r="AR148" i="135"/>
  <c r="R148" i="135"/>
  <c r="BK148" i="135"/>
  <c r="AZ148" i="135"/>
  <c r="P148" i="135"/>
  <c r="BS148" i="135"/>
  <c r="BF148" i="135"/>
  <c r="BS125" i="135"/>
  <c r="AZ125" i="135"/>
  <c r="BO125" i="135"/>
  <c r="P125" i="135"/>
  <c r="BK125" i="135"/>
  <c r="AR125" i="135"/>
  <c r="R125" i="135"/>
  <c r="BS174" i="135"/>
  <c r="BK174" i="135"/>
  <c r="BO174" i="135"/>
  <c r="AR174" i="135"/>
  <c r="P174" i="135"/>
  <c r="AZ174" i="135"/>
  <c r="R174" i="135"/>
  <c r="BL106" i="135"/>
  <c r="AS106" i="135"/>
  <c r="BT106" i="135"/>
  <c r="BA106" i="135"/>
  <c r="AS158" i="135"/>
  <c r="BA158" i="135"/>
  <c r="BT158" i="135"/>
  <c r="BL158" i="135"/>
  <c r="AS170" i="135"/>
  <c r="BT170" i="135"/>
  <c r="BL170" i="135"/>
  <c r="BA170" i="135"/>
  <c r="BT109" i="135"/>
  <c r="BL109" i="135"/>
  <c r="AS109" i="135"/>
  <c r="BA109" i="135"/>
  <c r="BT137" i="135"/>
  <c r="BA137" i="135"/>
  <c r="BL137" i="135"/>
  <c r="AS137" i="135"/>
  <c r="AS161" i="135"/>
  <c r="BA161" i="135"/>
  <c r="BL161" i="135"/>
  <c r="BT161" i="135"/>
  <c r="BL138" i="135"/>
  <c r="BT138" i="135"/>
  <c r="BA138" i="135"/>
  <c r="AS138" i="135"/>
  <c r="BA130" i="135"/>
  <c r="AS130" i="135"/>
  <c r="BL130" i="135"/>
  <c r="BT130" i="135"/>
  <c r="BT113" i="135"/>
  <c r="BA113" i="135"/>
  <c r="BL113" i="135"/>
  <c r="AS113" i="135"/>
  <c r="AS154" i="135"/>
  <c r="BA154" i="135"/>
  <c r="BL154" i="135"/>
  <c r="BT154" i="135"/>
  <c r="BL115" i="135"/>
  <c r="BA115" i="135"/>
  <c r="AS115" i="135"/>
  <c r="BT115" i="135"/>
  <c r="BT132" i="135"/>
  <c r="BA132" i="135"/>
  <c r="BL132" i="135"/>
  <c r="AS132" i="135"/>
  <c r="AS163" i="135"/>
  <c r="BA163" i="135"/>
  <c r="BL163" i="135"/>
  <c r="BT163" i="135"/>
  <c r="BL122" i="135"/>
  <c r="BA122" i="135"/>
  <c r="AS122" i="135"/>
  <c r="BT122" i="135"/>
  <c r="BV159" i="135"/>
  <c r="BV170" i="135"/>
  <c r="BV148" i="135"/>
  <c r="BV166" i="135"/>
  <c r="BF123" i="135"/>
  <c r="BV171" i="135"/>
  <c r="BV116" i="135"/>
  <c r="BF119" i="135"/>
  <c r="BF144" i="135"/>
  <c r="BF134" i="135"/>
  <c r="L134" i="135" s="1"/>
  <c r="BV167" i="135"/>
  <c r="BV179" i="135"/>
  <c r="BV154" i="135"/>
  <c r="BB168" i="135"/>
  <c r="AT168" i="135"/>
  <c r="BM168" i="135"/>
  <c r="BU168" i="135"/>
  <c r="BM176" i="135"/>
  <c r="AT176" i="135"/>
  <c r="BU176" i="135"/>
  <c r="BB176" i="135"/>
  <c r="BW176" i="135"/>
  <c r="BB145" i="135"/>
  <c r="BM145" i="135"/>
  <c r="AT145" i="135"/>
  <c r="BU145" i="135"/>
  <c r="BU166" i="135"/>
  <c r="BB166" i="135"/>
  <c r="BM166" i="135"/>
  <c r="AT166" i="135"/>
  <c r="AT136" i="135"/>
  <c r="BB136" i="135"/>
  <c r="BU136" i="135"/>
  <c r="BM136" i="135"/>
  <c r="AT130" i="135"/>
  <c r="BM130" i="135"/>
  <c r="BU130" i="135"/>
  <c r="BB130" i="135"/>
  <c r="BB134" i="135"/>
  <c r="AT134" i="135"/>
  <c r="BM134" i="135"/>
  <c r="BU134" i="135"/>
  <c r="BB114" i="135"/>
  <c r="BU114" i="135"/>
  <c r="BM114" i="135"/>
  <c r="AT114" i="135"/>
  <c r="BU162" i="135"/>
  <c r="BB162" i="135"/>
  <c r="BM162" i="135"/>
  <c r="AT162" i="135"/>
  <c r="BG162" i="135"/>
  <c r="BB177" i="135"/>
  <c r="AT177" i="135"/>
  <c r="BU177" i="135"/>
  <c r="BM177" i="135"/>
  <c r="BU150" i="135"/>
  <c r="AT150" i="135"/>
  <c r="BB150" i="135"/>
  <c r="BM150" i="135"/>
  <c r="BM165" i="135"/>
  <c r="BU165" i="135"/>
  <c r="AT165" i="135"/>
  <c r="BB165" i="135"/>
  <c r="BM147" i="135"/>
  <c r="BB147" i="135"/>
  <c r="BU147" i="135"/>
  <c r="AT147" i="135"/>
  <c r="BB135" i="135"/>
  <c r="BU135" i="135"/>
  <c r="BM135" i="135"/>
  <c r="AT135" i="135"/>
  <c r="BU139" i="135"/>
  <c r="BB139" i="135"/>
  <c r="AT139" i="135"/>
  <c r="BM139" i="135"/>
  <c r="BG139" i="135"/>
  <c r="BB129" i="135"/>
  <c r="BM129" i="135"/>
  <c r="AT129" i="135"/>
  <c r="BU129" i="135"/>
  <c r="BG110" i="135"/>
  <c r="BG107" i="135"/>
  <c r="BG119" i="135"/>
  <c r="BG174" i="135"/>
  <c r="L174" i="135" s="1"/>
  <c r="BV147" i="135"/>
  <c r="BF131" i="135"/>
  <c r="L131" i="135" s="1"/>
  <c r="BW154" i="135"/>
  <c r="BF124" i="135"/>
  <c r="BG148" i="135"/>
  <c r="BW168" i="135"/>
  <c r="BF125" i="135"/>
  <c r="BV150" i="135"/>
  <c r="BV169" i="135"/>
  <c r="BV114" i="135"/>
  <c r="BW165" i="135"/>
  <c r="BG164" i="135"/>
  <c r="BW134" i="135"/>
  <c r="BG175" i="135"/>
  <c r="BV173" i="135"/>
  <c r="BG176" i="135"/>
  <c r="L176" i="135" s="1"/>
  <c r="BW169" i="135"/>
  <c r="BG112" i="135"/>
  <c r="BW117" i="135"/>
  <c r="BF162" i="135"/>
  <c r="BK50" i="135"/>
  <c r="AR54" i="135"/>
  <c r="AR50" i="135"/>
  <c r="P55" i="135"/>
  <c r="AR55" i="135"/>
  <c r="BO58" i="135"/>
  <c r="BK58" i="135"/>
  <c r="BV58" i="135"/>
  <c r="AZ55" i="135"/>
  <c r="BS58" i="135"/>
  <c r="P58" i="135"/>
  <c r="BF58" i="135"/>
  <c r="R58" i="135"/>
  <c r="L84" i="135"/>
  <c r="BW100" i="135"/>
  <c r="BW83" i="135"/>
  <c r="BG92" i="135"/>
  <c r="L92" i="135" s="1"/>
  <c r="BG105" i="135"/>
  <c r="BW84" i="135"/>
  <c r="BW81" i="135"/>
  <c r="BW96" i="135"/>
  <c r="BG103" i="135"/>
  <c r="BG97" i="135"/>
  <c r="L97" i="135" s="1"/>
  <c r="BW85" i="135"/>
  <c r="BG91" i="135"/>
  <c r="BG81" i="135"/>
  <c r="BG87" i="135"/>
  <c r="L87" i="135" s="1"/>
  <c r="BW101" i="135"/>
  <c r="BG86" i="135"/>
  <c r="BG94" i="135"/>
  <c r="BG104" i="135"/>
  <c r="L104" i="135" s="1"/>
  <c r="BW93" i="135"/>
  <c r="BG102" i="135"/>
  <c r="L102" i="135" s="1"/>
  <c r="BW82" i="135"/>
  <c r="BG88" i="135"/>
  <c r="BW89" i="135"/>
  <c r="BG90" i="135"/>
  <c r="BG95" i="135"/>
  <c r="L95" i="135" s="1"/>
  <c r="BW105" i="135"/>
  <c r="BG99" i="135"/>
  <c r="BG98" i="135"/>
  <c r="BW104" i="135"/>
  <c r="L89" i="135"/>
  <c r="BW103" i="135"/>
  <c r="BG101" i="135"/>
  <c r="BF103" i="135"/>
  <c r="BF96" i="135"/>
  <c r="L96" i="135" s="1"/>
  <c r="BF101" i="135"/>
  <c r="BV92" i="135"/>
  <c r="BV84" i="135"/>
  <c r="BF98" i="135"/>
  <c r="BV102" i="135"/>
  <c r="BF82" i="135"/>
  <c r="BF88" i="135"/>
  <c r="BV104" i="135"/>
  <c r="BF99" i="135"/>
  <c r="BV89" i="135"/>
  <c r="BF105" i="135"/>
  <c r="BF91" i="135"/>
  <c r="BV95" i="135"/>
  <c r="BV86" i="135"/>
  <c r="BF94" i="135"/>
  <c r="BV97" i="135"/>
  <c r="BF81" i="135"/>
  <c r="BV105" i="135"/>
  <c r="BF85" i="135"/>
  <c r="L85" i="135" s="1"/>
  <c r="BF93" i="135"/>
  <c r="L93" i="135" s="1"/>
  <c r="BV81" i="135"/>
  <c r="BF100" i="135"/>
  <c r="L100" i="135" s="1"/>
  <c r="BF83" i="135"/>
  <c r="L83" i="135" s="1"/>
  <c r="BF90" i="135"/>
  <c r="BV87" i="135"/>
  <c r="BV98" i="135"/>
  <c r="R105" i="135"/>
  <c r="P54" i="135"/>
  <c r="P50" i="135"/>
  <c r="DI21" i="135"/>
  <c r="BF50" i="135"/>
  <c r="L50" i="135" s="1"/>
  <c r="BK54" i="135"/>
  <c r="BO50" i="135"/>
  <c r="BV54" i="135"/>
  <c r="AZ54" i="135"/>
  <c r="R50" i="135"/>
  <c r="BV50" i="135"/>
  <c r="R54" i="135"/>
  <c r="AZ50" i="135"/>
  <c r="DI22" i="135"/>
  <c r="R22" i="135" s="1"/>
  <c r="AZ98" i="135"/>
  <c r="BV73" i="135"/>
  <c r="GC29" i="135"/>
  <c r="BV75" i="135"/>
  <c r="DI17" i="135"/>
  <c r="R17" i="135" s="1"/>
  <c r="P100" i="135"/>
  <c r="P102" i="135"/>
  <c r="BW74" i="135"/>
  <c r="GC27" i="135"/>
  <c r="BG66" i="135"/>
  <c r="GC23" i="135"/>
  <c r="BG62" i="135"/>
  <c r="GC24" i="135"/>
  <c r="BG51" i="135"/>
  <c r="GC22" i="135"/>
  <c r="BA103" i="135"/>
  <c r="R103" i="135"/>
  <c r="ES22" i="135"/>
  <c r="BW75" i="135"/>
  <c r="R102" i="135"/>
  <c r="ES29" i="135"/>
  <c r="ES27" i="135"/>
  <c r="BO99" i="135"/>
  <c r="BB103" i="135"/>
  <c r="DI29" i="135"/>
  <c r="BF78" i="135"/>
  <c r="BV74" i="135"/>
  <c r="DI27" i="135"/>
  <c r="BF66" i="135"/>
  <c r="ES23" i="135"/>
  <c r="AR102" i="135"/>
  <c r="ES24" i="135"/>
  <c r="BV76" i="135"/>
  <c r="BV62" i="135"/>
  <c r="DI24" i="135"/>
  <c r="DI23" i="135"/>
  <c r="AZ99" i="135"/>
  <c r="BW62" i="135"/>
  <c r="BF67" i="135"/>
  <c r="BF79" i="135"/>
  <c r="BK98" i="135"/>
  <c r="BO102" i="135"/>
  <c r="BV61" i="135"/>
  <c r="BF68" i="135"/>
  <c r="BV80" i="135"/>
  <c r="DI10" i="135"/>
  <c r="DI14" i="135"/>
  <c r="P98" i="135"/>
  <c r="BK102" i="135"/>
  <c r="BS105" i="135"/>
  <c r="AR103" i="135"/>
  <c r="BB104" i="135"/>
  <c r="BS102" i="135"/>
  <c r="BF62" i="135"/>
  <c r="AR99" i="135"/>
  <c r="AZ103" i="135"/>
  <c r="AR105" i="135"/>
  <c r="L75" i="135"/>
  <c r="BM104" i="135"/>
  <c r="BM105" i="135"/>
  <c r="BU105" i="135"/>
  <c r="AT105" i="135"/>
  <c r="BF60" i="135"/>
  <c r="BV63" i="135"/>
  <c r="BS101" i="135"/>
  <c r="L64" i="135"/>
  <c r="BM103" i="135"/>
  <c r="BF74" i="135"/>
  <c r="AT103" i="135"/>
  <c r="BV66" i="135"/>
  <c r="R101" i="135"/>
  <c r="AS101" i="135"/>
  <c r="BL101" i="135"/>
  <c r="AS92" i="135"/>
  <c r="BT92" i="135"/>
  <c r="BA92" i="135"/>
  <c r="BL92" i="135"/>
  <c r="AS88" i="135"/>
  <c r="BL88" i="135"/>
  <c r="BA88" i="135"/>
  <c r="BT88" i="135"/>
  <c r="BT87" i="135"/>
  <c r="BA87" i="135"/>
  <c r="BL87" i="135"/>
  <c r="AS87" i="135"/>
  <c r="BT86" i="135"/>
  <c r="AS86" i="135"/>
  <c r="BL86" i="135"/>
  <c r="BA86" i="135"/>
  <c r="BA82" i="135"/>
  <c r="BL82" i="135"/>
  <c r="BT82" i="135"/>
  <c r="AS82" i="135"/>
  <c r="BA78" i="135"/>
  <c r="BL78" i="135"/>
  <c r="AS78" i="135"/>
  <c r="BT78" i="135"/>
  <c r="BA74" i="135"/>
  <c r="AS74" i="135"/>
  <c r="BL74" i="135"/>
  <c r="BT74" i="135"/>
  <c r="BA66" i="135"/>
  <c r="BT66" i="135"/>
  <c r="AS66" i="135"/>
  <c r="BL66" i="135"/>
  <c r="BL63" i="135"/>
  <c r="BT63" i="135"/>
  <c r="BA63" i="135"/>
  <c r="AS63" i="135"/>
  <c r="BA102" i="135"/>
  <c r="BL105" i="135"/>
  <c r="BV64" i="135"/>
  <c r="BK99" i="135"/>
  <c r="P99" i="135"/>
  <c r="P103" i="135"/>
  <c r="BK103" i="135"/>
  <c r="BU99" i="135"/>
  <c r="AT99" i="135"/>
  <c r="BB99" i="135"/>
  <c r="BM99" i="135"/>
  <c r="BU97" i="135"/>
  <c r="BB97" i="135"/>
  <c r="BM97" i="135"/>
  <c r="AT97" i="135"/>
  <c r="AT94" i="135"/>
  <c r="BB94" i="135"/>
  <c r="BM94" i="135"/>
  <c r="BU94" i="135"/>
  <c r="BU90" i="135"/>
  <c r="BM90" i="135"/>
  <c r="AT90" i="135"/>
  <c r="BB90" i="135"/>
  <c r="BM84" i="135"/>
  <c r="AT84" i="135"/>
  <c r="BU84" i="135"/>
  <c r="BB84" i="135"/>
  <c r="BU80" i="135"/>
  <c r="BB80" i="135"/>
  <c r="BM80" i="135"/>
  <c r="AT80" i="135"/>
  <c r="BW80" i="135"/>
  <c r="AT76" i="135"/>
  <c r="BB76" i="135"/>
  <c r="BU76" i="135"/>
  <c r="BM76" i="135"/>
  <c r="BB68" i="135"/>
  <c r="BM68" i="135"/>
  <c r="BU68" i="135"/>
  <c r="AT68" i="135"/>
  <c r="AT64" i="135"/>
  <c r="BU64" i="135"/>
  <c r="BM64" i="135"/>
  <c r="BB64" i="135"/>
  <c r="AT60" i="135"/>
  <c r="BM60" i="135"/>
  <c r="BB60" i="135"/>
  <c r="BU60" i="135"/>
  <c r="BW63" i="135"/>
  <c r="AS99" i="135"/>
  <c r="AZ100" i="135"/>
  <c r="BO105" i="135"/>
  <c r="P105" i="135"/>
  <c r="R98" i="135"/>
  <c r="BO98" i="135"/>
  <c r="AR98" i="135"/>
  <c r="P96" i="135"/>
  <c r="BS96" i="135"/>
  <c r="AZ96" i="135"/>
  <c r="BK96" i="135"/>
  <c r="BO96" i="135"/>
  <c r="R96" i="135"/>
  <c r="AR96" i="135"/>
  <c r="BO93" i="135"/>
  <c r="R93" i="135"/>
  <c r="AZ93" i="135"/>
  <c r="BS93" i="135"/>
  <c r="P93" i="135"/>
  <c r="BK93" i="135"/>
  <c r="AR93" i="135"/>
  <c r="BS89" i="135"/>
  <c r="AR89" i="135"/>
  <c r="P89" i="135"/>
  <c r="BK89" i="135"/>
  <c r="AZ89" i="135"/>
  <c r="R89" i="135"/>
  <c r="BO89" i="135"/>
  <c r="AR83" i="135"/>
  <c r="P83" i="135"/>
  <c r="BS83" i="135"/>
  <c r="AZ83" i="135"/>
  <c r="BK83" i="135"/>
  <c r="R83" i="135"/>
  <c r="BO83" i="135"/>
  <c r="AZ79" i="135"/>
  <c r="BK79" i="135"/>
  <c r="AR79" i="135"/>
  <c r="P79" i="135"/>
  <c r="BO79" i="135"/>
  <c r="R79" i="135"/>
  <c r="BS79" i="135"/>
  <c r="R75" i="135"/>
  <c r="BK75" i="135"/>
  <c r="P75" i="135"/>
  <c r="BS75" i="135"/>
  <c r="AZ75" i="135"/>
  <c r="AR75" i="135"/>
  <c r="BO75" i="135"/>
  <c r="BK67" i="135"/>
  <c r="AZ67" i="135"/>
  <c r="P67" i="135"/>
  <c r="R67" i="135"/>
  <c r="AR67" i="135"/>
  <c r="BS67" i="135"/>
  <c r="BO67" i="135"/>
  <c r="P61" i="135"/>
  <c r="AR61" i="135"/>
  <c r="BK61" i="135"/>
  <c r="R61" i="135"/>
  <c r="BS61" i="135"/>
  <c r="BO61" i="135"/>
  <c r="AZ61" i="135"/>
  <c r="BK100" i="135"/>
  <c r="BS104" i="135"/>
  <c r="R104" i="135"/>
  <c r="BU104" i="135"/>
  <c r="BG77" i="135"/>
  <c r="BL104" i="135"/>
  <c r="BG65" i="135"/>
  <c r="L65" i="135" s="1"/>
  <c r="BK101" i="135"/>
  <c r="P101" i="135"/>
  <c r="BG80" i="135"/>
  <c r="L80" i="135" s="1"/>
  <c r="BT100" i="135"/>
  <c r="AS100" i="135"/>
  <c r="BL95" i="135"/>
  <c r="AS95" i="135"/>
  <c r="BT95" i="135"/>
  <c r="BA95" i="135"/>
  <c r="BL91" i="135"/>
  <c r="BT91" i="135"/>
  <c r="AS91" i="135"/>
  <c r="BA91" i="135"/>
  <c r="BL85" i="135"/>
  <c r="BA85" i="135"/>
  <c r="AS85" i="135"/>
  <c r="BT85" i="135"/>
  <c r="BL81" i="135"/>
  <c r="BT81" i="135"/>
  <c r="AS81" i="135"/>
  <c r="BA81" i="135"/>
  <c r="AS77" i="135"/>
  <c r="BL77" i="135"/>
  <c r="BT77" i="135"/>
  <c r="BA77" i="135"/>
  <c r="BL73" i="135"/>
  <c r="BT73" i="135"/>
  <c r="BA73" i="135"/>
  <c r="AS73" i="135"/>
  <c r="BA65" i="135"/>
  <c r="AS65" i="135"/>
  <c r="BT65" i="135"/>
  <c r="BL65" i="135"/>
  <c r="BA62" i="135"/>
  <c r="AS62" i="135"/>
  <c r="BL62" i="135"/>
  <c r="BT62" i="135"/>
  <c r="BW66" i="135"/>
  <c r="BT102" i="135"/>
  <c r="BA105" i="135"/>
  <c r="K105" i="135" s="1"/>
  <c r="BS100" i="135"/>
  <c r="R99" i="135"/>
  <c r="BS99" i="135"/>
  <c r="BS103" i="135"/>
  <c r="BM102" i="135"/>
  <c r="AT102" i="135"/>
  <c r="BU102" i="135"/>
  <c r="BB102" i="135"/>
  <c r="BU98" i="135"/>
  <c r="BM98" i="135"/>
  <c r="AT98" i="135"/>
  <c r="BB98" i="135"/>
  <c r="BB96" i="135"/>
  <c r="BM96" i="135"/>
  <c r="BU96" i="135"/>
  <c r="AT96" i="135"/>
  <c r="BU93" i="135"/>
  <c r="AT93" i="135"/>
  <c r="BB93" i="135"/>
  <c r="BM93" i="135"/>
  <c r="BU89" i="135"/>
  <c r="BB89" i="135"/>
  <c r="BM89" i="135"/>
  <c r="AT89" i="135"/>
  <c r="BU83" i="135"/>
  <c r="BB83" i="135"/>
  <c r="BM83" i="135"/>
  <c r="AT83" i="135"/>
  <c r="BB79" i="135"/>
  <c r="AT79" i="135"/>
  <c r="BM79" i="135"/>
  <c r="BU79" i="135"/>
  <c r="BG79" i="135"/>
  <c r="BU75" i="135"/>
  <c r="BM75" i="135"/>
  <c r="BB75" i="135"/>
  <c r="AT75" i="135"/>
  <c r="BM67" i="135"/>
  <c r="AT67" i="135"/>
  <c r="BB67" i="135"/>
  <c r="BU67" i="135"/>
  <c r="BG67" i="135"/>
  <c r="BL99" i="135"/>
  <c r="BG76" i="135"/>
  <c r="L76" i="135" s="1"/>
  <c r="P92" i="135"/>
  <c r="AR92" i="135"/>
  <c r="BS92" i="135"/>
  <c r="R92" i="135"/>
  <c r="AZ92" i="135"/>
  <c r="BK92" i="135"/>
  <c r="BO92" i="135"/>
  <c r="AR88" i="135"/>
  <c r="BO88" i="135"/>
  <c r="BS88" i="135"/>
  <c r="R88" i="135"/>
  <c r="AZ88" i="135"/>
  <c r="BK88" i="135"/>
  <c r="P88" i="135"/>
  <c r="BO87" i="135"/>
  <c r="BK87" i="135"/>
  <c r="AZ87" i="135"/>
  <c r="BS87" i="135"/>
  <c r="R87" i="135"/>
  <c r="P87" i="135"/>
  <c r="AR87" i="135"/>
  <c r="R86" i="135"/>
  <c r="BO86" i="135"/>
  <c r="BS86" i="135"/>
  <c r="AZ86" i="135"/>
  <c r="AR86" i="135"/>
  <c r="BK86" i="135"/>
  <c r="P86" i="135"/>
  <c r="BO82" i="135"/>
  <c r="AZ82" i="135"/>
  <c r="BK82" i="135"/>
  <c r="P82" i="135"/>
  <c r="AR82" i="135"/>
  <c r="R82" i="135"/>
  <c r="BS82" i="135"/>
  <c r="BS78" i="135"/>
  <c r="BK78" i="135"/>
  <c r="AZ78" i="135"/>
  <c r="R78" i="135"/>
  <c r="P78" i="135"/>
  <c r="BO78" i="135"/>
  <c r="AR78" i="135"/>
  <c r="P74" i="135"/>
  <c r="R74" i="135"/>
  <c r="AR74" i="135"/>
  <c r="BS74" i="135"/>
  <c r="BK74" i="135"/>
  <c r="AZ74" i="135"/>
  <c r="BO74" i="135"/>
  <c r="R66" i="135"/>
  <c r="BK66" i="135"/>
  <c r="AZ66" i="135"/>
  <c r="BO66" i="135"/>
  <c r="P66" i="135"/>
  <c r="BS66" i="135"/>
  <c r="AR66" i="135"/>
  <c r="AR60" i="135"/>
  <c r="BS60" i="135"/>
  <c r="P60" i="135"/>
  <c r="AZ60" i="135"/>
  <c r="BK60" i="135"/>
  <c r="BO60" i="135"/>
  <c r="R60" i="135"/>
  <c r="AR63" i="135"/>
  <c r="P63" i="135"/>
  <c r="R63" i="135"/>
  <c r="BK63" i="135"/>
  <c r="BO63" i="135"/>
  <c r="AZ63" i="135"/>
  <c r="BS63" i="135"/>
  <c r="AZ104" i="135"/>
  <c r="BW68" i="135"/>
  <c r="BA100" i="135"/>
  <c r="BA104" i="135"/>
  <c r="BG60" i="135"/>
  <c r="BV78" i="135"/>
  <c r="AR101" i="135"/>
  <c r="AZ101" i="135"/>
  <c r="BW60" i="135"/>
  <c r="AZ102" i="135"/>
  <c r="BT103" i="135"/>
  <c r="AS103" i="135"/>
  <c r="AS97" i="135"/>
  <c r="BT97" i="135"/>
  <c r="BA97" i="135"/>
  <c r="BL97" i="135"/>
  <c r="BT94" i="135"/>
  <c r="BA94" i="135"/>
  <c r="AS94" i="135"/>
  <c r="BL94" i="135"/>
  <c r="AS90" i="135"/>
  <c r="BL90" i="135"/>
  <c r="BT90" i="135"/>
  <c r="BA90" i="135"/>
  <c r="BT84" i="135"/>
  <c r="AS84" i="135"/>
  <c r="BA84" i="135"/>
  <c r="BL84" i="135"/>
  <c r="AS80" i="135"/>
  <c r="BT80" i="135"/>
  <c r="BA80" i="135"/>
  <c r="BL80" i="135"/>
  <c r="BA76" i="135"/>
  <c r="BL76" i="135"/>
  <c r="AS76" i="135"/>
  <c r="BT76" i="135"/>
  <c r="BT68" i="135"/>
  <c r="BL68" i="135"/>
  <c r="BA68" i="135"/>
  <c r="AS68" i="135"/>
  <c r="BT64" i="135"/>
  <c r="BA64" i="135"/>
  <c r="AS64" i="135"/>
  <c r="BL64" i="135"/>
  <c r="BT60" i="135"/>
  <c r="AS60" i="135"/>
  <c r="BA60" i="135"/>
  <c r="BL60" i="135"/>
  <c r="AS102" i="135"/>
  <c r="BT105" i="135"/>
  <c r="BM101" i="135"/>
  <c r="AT101" i="135"/>
  <c r="BB101" i="135"/>
  <c r="BM92" i="135"/>
  <c r="AT92" i="135"/>
  <c r="BU92" i="135"/>
  <c r="BB92" i="135"/>
  <c r="AT88" i="135"/>
  <c r="BM88" i="135"/>
  <c r="BU88" i="135"/>
  <c r="BB88" i="135"/>
  <c r="AT87" i="135"/>
  <c r="BU87" i="135"/>
  <c r="BB87" i="135"/>
  <c r="BM87" i="135"/>
  <c r="BB86" i="135"/>
  <c r="BM86" i="135"/>
  <c r="AT86" i="135"/>
  <c r="BU86" i="135"/>
  <c r="BB82" i="135"/>
  <c r="BM82" i="135"/>
  <c r="AT82" i="135"/>
  <c r="BU82" i="135"/>
  <c r="AT78" i="135"/>
  <c r="BM78" i="135"/>
  <c r="BB78" i="135"/>
  <c r="BU78" i="135"/>
  <c r="AT74" i="135"/>
  <c r="BU74" i="135"/>
  <c r="BM74" i="135"/>
  <c r="BB74" i="135"/>
  <c r="AT66" i="135"/>
  <c r="BB66" i="135"/>
  <c r="BU66" i="135"/>
  <c r="BM66" i="135"/>
  <c r="BU61" i="135"/>
  <c r="BM61" i="135"/>
  <c r="AT61" i="135"/>
  <c r="BB61" i="135"/>
  <c r="BG61" i="135"/>
  <c r="L61" i="135" s="1"/>
  <c r="BM63" i="135"/>
  <c r="BB63" i="135"/>
  <c r="AT63" i="135"/>
  <c r="BU63" i="135"/>
  <c r="BA99" i="135"/>
  <c r="AR95" i="135"/>
  <c r="AZ95" i="135"/>
  <c r="BO95" i="135"/>
  <c r="BS95" i="135"/>
  <c r="R95" i="135"/>
  <c r="P95" i="135"/>
  <c r="BK95" i="135"/>
  <c r="R91" i="135"/>
  <c r="P91" i="135"/>
  <c r="BO91" i="135"/>
  <c r="AZ91" i="135"/>
  <c r="BS91" i="135"/>
  <c r="BK91" i="135"/>
  <c r="AR91" i="135"/>
  <c r="AZ85" i="135"/>
  <c r="BK85" i="135"/>
  <c r="AR85" i="135"/>
  <c r="BS85" i="135"/>
  <c r="BO85" i="135"/>
  <c r="R85" i="135"/>
  <c r="P85" i="135"/>
  <c r="AR81" i="135"/>
  <c r="R81" i="135"/>
  <c r="P81" i="135"/>
  <c r="BS81" i="135"/>
  <c r="BK81" i="135"/>
  <c r="AZ81" i="135"/>
  <c r="BO81" i="135"/>
  <c r="AR77" i="135"/>
  <c r="BK77" i="135"/>
  <c r="BO77" i="135"/>
  <c r="P77" i="135"/>
  <c r="BS77" i="135"/>
  <c r="AZ77" i="135"/>
  <c r="R77" i="135"/>
  <c r="AR73" i="135"/>
  <c r="BO73" i="135"/>
  <c r="R73" i="135"/>
  <c r="BS73" i="135"/>
  <c r="BK73" i="135"/>
  <c r="P73" i="135"/>
  <c r="AZ73" i="135"/>
  <c r="P65" i="135"/>
  <c r="BO65" i="135"/>
  <c r="R65" i="135"/>
  <c r="AZ65" i="135"/>
  <c r="AR65" i="135"/>
  <c r="BS65" i="135"/>
  <c r="BK65" i="135"/>
  <c r="BO62" i="135"/>
  <c r="BK62" i="135"/>
  <c r="AR62" i="135"/>
  <c r="P62" i="135"/>
  <c r="R62" i="135"/>
  <c r="AZ62" i="135"/>
  <c r="BS62" i="135"/>
  <c r="BK104" i="135"/>
  <c r="BO104" i="135"/>
  <c r="BL100" i="135"/>
  <c r="BT104" i="135"/>
  <c r="L63" i="135"/>
  <c r="BG74" i="135"/>
  <c r="BF77" i="135"/>
  <c r="BW64" i="135"/>
  <c r="BV65" i="135"/>
  <c r="BT98" i="135"/>
  <c r="BA98" i="135"/>
  <c r="AS98" i="135"/>
  <c r="BL98" i="135"/>
  <c r="BL96" i="135"/>
  <c r="AS96" i="135"/>
  <c r="BT96" i="135"/>
  <c r="BA96" i="135"/>
  <c r="BL93" i="135"/>
  <c r="BT93" i="135"/>
  <c r="AS93" i="135"/>
  <c r="BA93" i="135"/>
  <c r="BA89" i="135"/>
  <c r="BL89" i="135"/>
  <c r="BT89" i="135"/>
  <c r="AS89" i="135"/>
  <c r="AS83" i="135"/>
  <c r="BA83" i="135"/>
  <c r="BL83" i="135"/>
  <c r="BT83" i="135"/>
  <c r="BL79" i="135"/>
  <c r="BT79" i="135"/>
  <c r="BA79" i="135"/>
  <c r="AS79" i="135"/>
  <c r="AS75" i="135"/>
  <c r="BA75" i="135"/>
  <c r="BT75" i="135"/>
  <c r="BL75" i="135"/>
  <c r="AS67" i="135"/>
  <c r="BT67" i="135"/>
  <c r="BL67" i="135"/>
  <c r="BA67" i="135"/>
  <c r="BA61" i="135"/>
  <c r="BL61" i="135"/>
  <c r="AS61" i="135"/>
  <c r="BT61" i="135"/>
  <c r="BM100" i="135"/>
  <c r="BB100" i="135"/>
  <c r="BU100" i="135"/>
  <c r="AT100" i="135"/>
  <c r="BM95" i="135"/>
  <c r="AT95" i="135"/>
  <c r="BU95" i="135"/>
  <c r="BB95" i="135"/>
  <c r="BB91" i="135"/>
  <c r="BM91" i="135"/>
  <c r="AT91" i="135"/>
  <c r="BU91" i="135"/>
  <c r="AT85" i="135"/>
  <c r="BM85" i="135"/>
  <c r="BU85" i="135"/>
  <c r="BB85" i="135"/>
  <c r="BM81" i="135"/>
  <c r="AT81" i="135"/>
  <c r="BB81" i="135"/>
  <c r="BU81" i="135"/>
  <c r="BB77" i="135"/>
  <c r="AT77" i="135"/>
  <c r="BU77" i="135"/>
  <c r="BM77" i="135"/>
  <c r="BM73" i="135"/>
  <c r="AT73" i="135"/>
  <c r="BU73" i="135"/>
  <c r="BB73" i="135"/>
  <c r="BW73" i="135"/>
  <c r="BM65" i="135"/>
  <c r="BU65" i="135"/>
  <c r="AT65" i="135"/>
  <c r="BB65" i="135"/>
  <c r="AT62" i="135"/>
  <c r="BB62" i="135"/>
  <c r="BU62" i="135"/>
  <c r="BM62" i="135"/>
  <c r="BL103" i="135"/>
  <c r="BW78" i="135"/>
  <c r="BO103" i="135"/>
  <c r="P97" i="135"/>
  <c r="BS97" i="135"/>
  <c r="BK97" i="135"/>
  <c r="BO97" i="135"/>
  <c r="AR97" i="135"/>
  <c r="AZ97" i="135"/>
  <c r="R97" i="135"/>
  <c r="P94" i="135"/>
  <c r="AR94" i="135"/>
  <c r="R94" i="135"/>
  <c r="BO94" i="135"/>
  <c r="BS94" i="135"/>
  <c r="BK94" i="135"/>
  <c r="AZ94" i="135"/>
  <c r="AR90" i="135"/>
  <c r="BK90" i="135"/>
  <c r="AZ90" i="135"/>
  <c r="R90" i="135"/>
  <c r="BS90" i="135"/>
  <c r="BO90" i="135"/>
  <c r="P90" i="135"/>
  <c r="BK84" i="135"/>
  <c r="BS84" i="135"/>
  <c r="BO84" i="135"/>
  <c r="P84" i="135"/>
  <c r="AZ84" i="135"/>
  <c r="R84" i="135"/>
  <c r="AR84" i="135"/>
  <c r="BS80" i="135"/>
  <c r="AR80" i="135"/>
  <c r="R80" i="135"/>
  <c r="BK80" i="135"/>
  <c r="AZ80" i="135"/>
  <c r="P80" i="135"/>
  <c r="BO80" i="135"/>
  <c r="P76" i="135"/>
  <c r="R76" i="135"/>
  <c r="BK76" i="135"/>
  <c r="AR76" i="135"/>
  <c r="BO76" i="135"/>
  <c r="BS76" i="135"/>
  <c r="AZ76" i="135"/>
  <c r="BO68" i="135"/>
  <c r="P68" i="135"/>
  <c r="BS68" i="135"/>
  <c r="BK68" i="135"/>
  <c r="R68" i="135"/>
  <c r="AR68" i="135"/>
  <c r="AZ68" i="135"/>
  <c r="R64" i="135"/>
  <c r="BS64" i="135"/>
  <c r="BK64" i="135"/>
  <c r="P64" i="135"/>
  <c r="BO64" i="135"/>
  <c r="AZ64" i="135"/>
  <c r="AR64" i="135"/>
  <c r="BF73" i="135"/>
  <c r="BO100" i="135"/>
  <c r="AR104" i="135"/>
  <c r="P104" i="135"/>
  <c r="R100" i="135"/>
  <c r="BO101" i="135"/>
  <c r="BG73" i="135"/>
  <c r="BK105" i="135"/>
  <c r="BG78" i="135"/>
  <c r="BW67" i="135"/>
  <c r="BT101" i="135"/>
  <c r="BG68" i="135"/>
  <c r="AR100" i="135"/>
  <c r="BL49" i="135"/>
  <c r="BA49" i="135"/>
  <c r="BT49" i="135"/>
  <c r="BG58" i="135"/>
  <c r="BW51" i="135"/>
  <c r="BW59" i="135"/>
  <c r="BL52" i="135"/>
  <c r="AS52" i="135"/>
  <c r="BT52" i="135"/>
  <c r="BA52" i="135"/>
  <c r="BT56" i="135"/>
  <c r="BL56" i="135"/>
  <c r="AS56" i="135"/>
  <c r="BA56" i="135"/>
  <c r="AT55" i="135"/>
  <c r="BU55" i="135"/>
  <c r="BM55" i="135"/>
  <c r="BB55" i="135"/>
  <c r="BB56" i="135"/>
  <c r="AT56" i="135"/>
  <c r="BU56" i="135"/>
  <c r="BM56" i="135"/>
  <c r="BG56" i="135"/>
  <c r="BT50" i="135"/>
  <c r="BA50" i="135"/>
  <c r="BL50" i="135"/>
  <c r="AS50" i="135"/>
  <c r="BT57" i="135"/>
  <c r="AS57" i="135"/>
  <c r="BA57" i="135"/>
  <c r="BL57" i="135"/>
  <c r="BT51" i="135"/>
  <c r="BL51" i="135"/>
  <c r="AS51" i="135"/>
  <c r="BA51" i="135"/>
  <c r="AT53" i="135"/>
  <c r="BU53" i="135"/>
  <c r="BB53" i="135"/>
  <c r="BM53" i="135"/>
  <c r="BG53" i="135"/>
  <c r="BM51" i="135"/>
  <c r="AT51" i="135"/>
  <c r="BU51" i="135"/>
  <c r="BB51" i="135"/>
  <c r="BG55" i="135"/>
  <c r="BW55" i="135"/>
  <c r="AS53" i="135"/>
  <c r="BL53" i="135"/>
  <c r="BT53" i="135"/>
  <c r="BA53" i="135"/>
  <c r="BA59" i="135"/>
  <c r="BL59" i="135"/>
  <c r="AS59" i="135"/>
  <c r="BT59" i="135"/>
  <c r="BB58" i="135"/>
  <c r="BU58" i="135"/>
  <c r="AT58" i="135"/>
  <c r="BM58" i="135"/>
  <c r="BM54" i="135"/>
  <c r="BB54" i="135"/>
  <c r="BU54" i="135"/>
  <c r="AT54" i="135"/>
  <c r="BW54" i="135"/>
  <c r="BG54" i="135"/>
  <c r="BB52" i="135"/>
  <c r="AT52" i="135"/>
  <c r="BM52" i="135"/>
  <c r="BU52" i="135"/>
  <c r="BU59" i="135"/>
  <c r="BB59" i="135"/>
  <c r="AT59" i="135"/>
  <c r="BM59" i="135"/>
  <c r="BW52" i="135"/>
  <c r="AS55" i="135"/>
  <c r="BT55" i="135"/>
  <c r="BL55" i="135"/>
  <c r="BA55" i="135"/>
  <c r="BA54" i="135"/>
  <c r="AS54" i="135"/>
  <c r="BL54" i="135"/>
  <c r="BT54" i="135"/>
  <c r="BA58" i="135"/>
  <c r="BL58" i="135"/>
  <c r="AS58" i="135"/>
  <c r="BT58" i="135"/>
  <c r="BU50" i="135"/>
  <c r="AT50" i="135"/>
  <c r="BM50" i="135"/>
  <c r="BB50" i="135"/>
  <c r="AT57" i="135"/>
  <c r="BM57" i="135"/>
  <c r="BB57" i="135"/>
  <c r="BU57" i="135"/>
  <c r="BG57" i="135"/>
  <c r="L57" i="135" s="1"/>
  <c r="BW50" i="135"/>
  <c r="BG52" i="135"/>
  <c r="BW53" i="135"/>
  <c r="ES21" i="135"/>
  <c r="ES10" i="135"/>
  <c r="ES17" i="135"/>
  <c r="ES14" i="135"/>
  <c r="C11" i="230"/>
  <c r="C7" i="230"/>
  <c r="C6" i="230"/>
  <c r="C5" i="230"/>
  <c r="C10" i="230"/>
  <c r="C4" i="230"/>
  <c r="C12" i="230"/>
  <c r="C3" i="230"/>
  <c r="C9" i="230"/>
  <c r="C8" i="230"/>
  <c r="BM49" i="135"/>
  <c r="BU49" i="135"/>
  <c r="AT49" i="135"/>
  <c r="BB49" i="135"/>
  <c r="BW49" i="135"/>
  <c r="BG49" i="135"/>
  <c r="GC17" i="135"/>
  <c r="GC14" i="135"/>
  <c r="GC10" i="135"/>
  <c r="GC21" i="135"/>
  <c r="L257" i="135" l="1"/>
  <c r="L273" i="135"/>
  <c r="BV34" i="135"/>
  <c r="BG34" i="135"/>
  <c r="BW25" i="135"/>
  <c r="BV25" i="135"/>
  <c r="AT25" i="135"/>
  <c r="AS25" i="135"/>
  <c r="BM25" i="135"/>
  <c r="BL25" i="135"/>
  <c r="BG25" i="135"/>
  <c r="BF25" i="135"/>
  <c r="BU25" i="135"/>
  <c r="BA25" i="135"/>
  <c r="BO25" i="135"/>
  <c r="BB25" i="135"/>
  <c r="BT25" i="135"/>
  <c r="AI181" i="135"/>
  <c r="AJ181" i="135"/>
  <c r="AU181" i="135" s="1"/>
  <c r="Z181" i="135"/>
  <c r="Y181" i="135"/>
  <c r="DL181" i="135" s="1"/>
  <c r="DL42" i="135" s="1"/>
  <c r="X181" i="135"/>
  <c r="CQ181" i="135" s="1"/>
  <c r="AG181" i="135"/>
  <c r="AB181" i="135"/>
  <c r="AH181" i="135"/>
  <c r="AD181" i="135"/>
  <c r="AC181" i="135"/>
  <c r="K238" i="135"/>
  <c r="K271" i="135"/>
  <c r="L264" i="135"/>
  <c r="L222" i="135"/>
  <c r="K222" i="135"/>
  <c r="L260" i="135"/>
  <c r="BP180" i="135"/>
  <c r="K274" i="135"/>
  <c r="K229" i="135"/>
  <c r="L54" i="135"/>
  <c r="L232" i="135"/>
  <c r="N257" i="135"/>
  <c r="L220" i="135"/>
  <c r="L216" i="135"/>
  <c r="BT180" i="135"/>
  <c r="L231" i="135"/>
  <c r="L221" i="135"/>
  <c r="BK180" i="135"/>
  <c r="BB180" i="135"/>
  <c r="R180" i="135"/>
  <c r="K248" i="135"/>
  <c r="L217" i="135"/>
  <c r="L246" i="135"/>
  <c r="L275" i="135"/>
  <c r="K257" i="135"/>
  <c r="P180" i="135"/>
  <c r="AT180" i="135"/>
  <c r="AZ180" i="135"/>
  <c r="BL180" i="135"/>
  <c r="BU180" i="135"/>
  <c r="AS180" i="135"/>
  <c r="BO180" i="135"/>
  <c r="BS180" i="135"/>
  <c r="AN180" i="135"/>
  <c r="Q180" i="135" s="1"/>
  <c r="BF180" i="135"/>
  <c r="BA180" i="135"/>
  <c r="AR180" i="135"/>
  <c r="BY180" i="135"/>
  <c r="L175" i="135"/>
  <c r="BM180" i="135"/>
  <c r="BV180" i="135"/>
  <c r="BD180" i="135"/>
  <c r="K259" i="135"/>
  <c r="M245" i="135"/>
  <c r="L272" i="135"/>
  <c r="M238" i="135"/>
  <c r="L225" i="135"/>
  <c r="K237" i="135"/>
  <c r="N242" i="135"/>
  <c r="K242" i="135"/>
  <c r="M252" i="135"/>
  <c r="K241" i="135"/>
  <c r="L244" i="135"/>
  <c r="K252" i="135"/>
  <c r="N245" i="135"/>
  <c r="N229" i="135"/>
  <c r="L247" i="135"/>
  <c r="K245" i="135"/>
  <c r="M244" i="135"/>
  <c r="N271" i="135"/>
  <c r="M256" i="135"/>
  <c r="K217" i="135"/>
  <c r="AQ180" i="135"/>
  <c r="N275" i="135"/>
  <c r="N244" i="135"/>
  <c r="J245" i="135"/>
  <c r="AP245" i="135"/>
  <c r="K244" i="135"/>
  <c r="J244" i="135"/>
  <c r="AP244" i="135"/>
  <c r="BT34" i="135"/>
  <c r="BB34" i="135"/>
  <c r="N225" i="135"/>
  <c r="N248" i="135"/>
  <c r="N237" i="135"/>
  <c r="M242" i="135"/>
  <c r="K255" i="135"/>
  <c r="BA34" i="135"/>
  <c r="BU34" i="135"/>
  <c r="BO34" i="135"/>
  <c r="BF34" i="135"/>
  <c r="AS34" i="135"/>
  <c r="AT34" i="135"/>
  <c r="L229" i="135"/>
  <c r="L248" i="135"/>
  <c r="M274" i="135"/>
  <c r="K225" i="135"/>
  <c r="L236" i="135"/>
  <c r="N254" i="135"/>
  <c r="L241" i="135"/>
  <c r="K275" i="135"/>
  <c r="BL34" i="135"/>
  <c r="BW34" i="135"/>
  <c r="BM34" i="135"/>
  <c r="M259" i="135"/>
  <c r="M248" i="135"/>
  <c r="K254" i="135"/>
  <c r="M254" i="135"/>
  <c r="M241" i="135"/>
  <c r="M275" i="135"/>
  <c r="K256" i="135"/>
  <c r="J274" i="135"/>
  <c r="AP274" i="135"/>
  <c r="M236" i="135"/>
  <c r="M257" i="135"/>
  <c r="M222" i="135"/>
  <c r="N235" i="135"/>
  <c r="N241" i="135"/>
  <c r="M264" i="135"/>
  <c r="J275" i="135"/>
  <c r="AP275" i="135"/>
  <c r="N262" i="135"/>
  <c r="M271" i="135"/>
  <c r="AP234" i="135"/>
  <c r="J234" i="135"/>
  <c r="K192" i="118" s="1"/>
  <c r="N220" i="135"/>
  <c r="K239" i="135"/>
  <c r="J252" i="135"/>
  <c r="AP252" i="135"/>
  <c r="M255" i="135"/>
  <c r="K227" i="135"/>
  <c r="N231" i="135"/>
  <c r="J256" i="135"/>
  <c r="AP256" i="135"/>
  <c r="J273" i="135"/>
  <c r="AP273" i="135"/>
  <c r="N263" i="135"/>
  <c r="M263" i="135"/>
  <c r="L249" i="135"/>
  <c r="AP267" i="135"/>
  <c r="J267" i="135"/>
  <c r="K225" i="118" s="1"/>
  <c r="AP230" i="135"/>
  <c r="J230" i="135"/>
  <c r="M224" i="135"/>
  <c r="AP250" i="135"/>
  <c r="J250" i="135"/>
  <c r="M240" i="135"/>
  <c r="AP249" i="135"/>
  <c r="J249" i="135"/>
  <c r="J261" i="135"/>
  <c r="K219" i="118" s="1"/>
  <c r="AP261" i="135"/>
  <c r="M261" i="135"/>
  <c r="N266" i="135"/>
  <c r="K266" i="135"/>
  <c r="J270" i="135"/>
  <c r="K228" i="118" s="1"/>
  <c r="AP270" i="135"/>
  <c r="N223" i="135"/>
  <c r="K223" i="135"/>
  <c r="N246" i="135"/>
  <c r="J226" i="135"/>
  <c r="AP226" i="135"/>
  <c r="N226" i="135"/>
  <c r="K232" i="135"/>
  <c r="J232" i="135"/>
  <c r="AP232" i="135"/>
  <c r="M253" i="135"/>
  <c r="M258" i="135"/>
  <c r="N258" i="135"/>
  <c r="J247" i="135"/>
  <c r="AP247" i="135"/>
  <c r="N247" i="135"/>
  <c r="M219" i="135"/>
  <c r="N268" i="135"/>
  <c r="N272" i="135"/>
  <c r="N274" i="135"/>
  <c r="K215" i="135"/>
  <c r="J257" i="135"/>
  <c r="AP257" i="135"/>
  <c r="N222" i="135"/>
  <c r="J235" i="135"/>
  <c r="AP235" i="135"/>
  <c r="M237" i="135"/>
  <c r="K264" i="135"/>
  <c r="J271" i="135"/>
  <c r="AP271" i="135"/>
  <c r="N234" i="135"/>
  <c r="K234" i="135"/>
  <c r="K220" i="135"/>
  <c r="M251" i="135"/>
  <c r="AP239" i="135"/>
  <c r="J239" i="135"/>
  <c r="J238" i="135"/>
  <c r="K196" i="118" s="1"/>
  <c r="AP238" i="135"/>
  <c r="N227" i="135"/>
  <c r="N273" i="135"/>
  <c r="N265" i="135"/>
  <c r="M265" i="135"/>
  <c r="L263" i="135"/>
  <c r="K263" i="135"/>
  <c r="L218" i="135"/>
  <c r="N267" i="135"/>
  <c r="K230" i="135"/>
  <c r="M217" i="135"/>
  <c r="K221" i="135"/>
  <c r="M243" i="135"/>
  <c r="N243" i="135"/>
  <c r="AP224" i="135"/>
  <c r="J224" i="135"/>
  <c r="N250" i="135"/>
  <c r="J240" i="135"/>
  <c r="AP240" i="135"/>
  <c r="N269" i="135"/>
  <c r="M269" i="135"/>
  <c r="K261" i="135"/>
  <c r="AP266" i="135"/>
  <c r="J266" i="135"/>
  <c r="K224" i="118" s="1"/>
  <c r="M266" i="135"/>
  <c r="L237" i="135"/>
  <c r="N233" i="135"/>
  <c r="M216" i="135"/>
  <c r="M218" i="135"/>
  <c r="M223" i="135"/>
  <c r="AP246" i="135"/>
  <c r="J246" i="135"/>
  <c r="K204" i="118" s="1"/>
  <c r="K226" i="135"/>
  <c r="N232" i="135"/>
  <c r="J253" i="135"/>
  <c r="AP253" i="135"/>
  <c r="K253" i="135"/>
  <c r="M247" i="135"/>
  <c r="L219" i="135"/>
  <c r="N219" i="135"/>
  <c r="M268" i="135"/>
  <c r="L233" i="135"/>
  <c r="N259" i="135"/>
  <c r="J229" i="135"/>
  <c r="AP229" i="135"/>
  <c r="M229" i="135"/>
  <c r="M215" i="135"/>
  <c r="J215" i="135"/>
  <c r="AP215" i="135"/>
  <c r="M225" i="135"/>
  <c r="K236" i="135"/>
  <c r="K235" i="135"/>
  <c r="J254" i="135"/>
  <c r="AP254" i="135"/>
  <c r="AP241" i="135"/>
  <c r="J241" i="135"/>
  <c r="K199" i="118" s="1"/>
  <c r="J260" i="135"/>
  <c r="K218" i="118" s="1"/>
  <c r="AP260" i="135"/>
  <c r="N260" i="135"/>
  <c r="M262" i="135"/>
  <c r="L252" i="135"/>
  <c r="M220" i="135"/>
  <c r="N214" i="135"/>
  <c r="M214" i="135"/>
  <c r="J251" i="135"/>
  <c r="AP251" i="135"/>
  <c r="J242" i="135"/>
  <c r="AP242" i="135"/>
  <c r="M239" i="135"/>
  <c r="N252" i="135"/>
  <c r="J227" i="135"/>
  <c r="AP227" i="135"/>
  <c r="J231" i="135"/>
  <c r="AP231" i="135"/>
  <c r="M231" i="135"/>
  <c r="N256" i="135"/>
  <c r="K273" i="135"/>
  <c r="AP265" i="135"/>
  <c r="J265" i="135"/>
  <c r="K223" i="118" s="1"/>
  <c r="L230" i="135"/>
  <c r="L243" i="135"/>
  <c r="K267" i="135"/>
  <c r="N221" i="135"/>
  <c r="J221" i="135"/>
  <c r="AP221" i="135"/>
  <c r="K228" i="135"/>
  <c r="M228" i="135"/>
  <c r="K243" i="135"/>
  <c r="K250" i="135"/>
  <c r="M249" i="135"/>
  <c r="K269" i="135"/>
  <c r="N261" i="135"/>
  <c r="L270" i="135"/>
  <c r="M270" i="135"/>
  <c r="N270" i="135"/>
  <c r="K233" i="135"/>
  <c r="J233" i="135"/>
  <c r="AP233" i="135"/>
  <c r="J216" i="135"/>
  <c r="AP216" i="135"/>
  <c r="N216" i="135"/>
  <c r="N218" i="135"/>
  <c r="K218" i="135"/>
  <c r="K246" i="135"/>
  <c r="N253" i="135"/>
  <c r="K258" i="135"/>
  <c r="K219" i="135"/>
  <c r="J219" i="135"/>
  <c r="AP219" i="135"/>
  <c r="AP268" i="135"/>
  <c r="J268" i="135"/>
  <c r="K226" i="118" s="1"/>
  <c r="K272" i="135"/>
  <c r="J272" i="135"/>
  <c r="AP272" i="135"/>
  <c r="AP259" i="135"/>
  <c r="J259" i="135"/>
  <c r="K217" i="118" s="1"/>
  <c r="N215" i="135"/>
  <c r="J225" i="135"/>
  <c r="AP225" i="135"/>
  <c r="J236" i="135"/>
  <c r="AP236" i="135"/>
  <c r="N236" i="135"/>
  <c r="J248" i="135"/>
  <c r="AP248" i="135"/>
  <c r="J222" i="135"/>
  <c r="AP222" i="135"/>
  <c r="M235" i="135"/>
  <c r="AP237" i="135"/>
  <c r="J237" i="135"/>
  <c r="N264" i="135"/>
  <c r="J264" i="135"/>
  <c r="K222" i="118" s="1"/>
  <c r="AP264" i="135"/>
  <c r="K260" i="135"/>
  <c r="M260" i="135"/>
  <c r="K262" i="135"/>
  <c r="J262" i="135"/>
  <c r="K220" i="118" s="1"/>
  <c r="AP262" i="135"/>
  <c r="L267" i="135"/>
  <c r="L262" i="135"/>
  <c r="M234" i="135"/>
  <c r="J220" i="135"/>
  <c r="AP220" i="135"/>
  <c r="K214" i="135"/>
  <c r="J214" i="135"/>
  <c r="AP214" i="135"/>
  <c r="K251" i="135"/>
  <c r="N251" i="135"/>
  <c r="N239" i="135"/>
  <c r="N238" i="135"/>
  <c r="J255" i="135"/>
  <c r="AP255" i="135"/>
  <c r="N255" i="135"/>
  <c r="M227" i="135"/>
  <c r="K231" i="135"/>
  <c r="M273" i="135"/>
  <c r="K265" i="135"/>
  <c r="J263" i="135"/>
  <c r="K221" i="118" s="1"/>
  <c r="AP263" i="135"/>
  <c r="L258" i="135"/>
  <c r="M267" i="135"/>
  <c r="N230" i="135"/>
  <c r="M230" i="135"/>
  <c r="N217" i="135"/>
  <c r="J217" i="135"/>
  <c r="AP217" i="135"/>
  <c r="M221" i="135"/>
  <c r="N228" i="135"/>
  <c r="J228" i="135"/>
  <c r="AP228" i="135"/>
  <c r="AP243" i="135"/>
  <c r="J243" i="135"/>
  <c r="N224" i="135"/>
  <c r="K224" i="135"/>
  <c r="M250" i="135"/>
  <c r="K240" i="135"/>
  <c r="N240" i="135"/>
  <c r="N249" i="135"/>
  <c r="K249" i="135"/>
  <c r="AP269" i="135"/>
  <c r="J269" i="135"/>
  <c r="K227" i="118" s="1"/>
  <c r="K270" i="135"/>
  <c r="M233" i="135"/>
  <c r="K216" i="135"/>
  <c r="J218" i="135"/>
  <c r="AP218" i="135"/>
  <c r="J223" i="135"/>
  <c r="AP223" i="135"/>
  <c r="M246" i="135"/>
  <c r="M226" i="135"/>
  <c r="M232" i="135"/>
  <c r="AP258" i="135"/>
  <c r="J258" i="135"/>
  <c r="K216" i="118" s="1"/>
  <c r="K247" i="135"/>
  <c r="K268" i="135"/>
  <c r="M272" i="135"/>
  <c r="BG180" i="135"/>
  <c r="BW180" i="135"/>
  <c r="X42" i="135"/>
  <c r="Z42" i="135"/>
  <c r="AM181" i="135"/>
  <c r="AH42" i="135"/>
  <c r="AD42" i="135"/>
  <c r="GB181" i="135"/>
  <c r="GB42" i="135" s="1"/>
  <c r="ER181" i="135"/>
  <c r="ER42" i="135" s="1"/>
  <c r="DH181" i="135"/>
  <c r="FM181" i="135"/>
  <c r="ED181" i="135"/>
  <c r="CU181" i="135"/>
  <c r="CW181" i="135"/>
  <c r="CX181" i="135"/>
  <c r="CY181" i="135"/>
  <c r="FU181" i="135"/>
  <c r="EL181" i="135"/>
  <c r="DC181" i="135"/>
  <c r="DE181" i="135"/>
  <c r="FZ181" i="135"/>
  <c r="FZ42" i="135" s="1"/>
  <c r="DG181" i="135"/>
  <c r="GC181" i="135"/>
  <c r="DI181" i="135"/>
  <c r="DK181" i="135"/>
  <c r="EB181" i="135"/>
  <c r="EB42" i="135" s="1"/>
  <c r="CS181" i="135"/>
  <c r="FN181" i="135"/>
  <c r="CV181" i="135"/>
  <c r="EG181" i="135"/>
  <c r="EG42" i="135" s="1"/>
  <c r="FR181" i="135"/>
  <c r="FR42" i="135" s="1"/>
  <c r="CZ181" i="135"/>
  <c r="DA181" i="135"/>
  <c r="DB181" i="135"/>
  <c r="DD181" i="135"/>
  <c r="FY181" i="135"/>
  <c r="FY42" i="135" s="1"/>
  <c r="DF181" i="135"/>
  <c r="CA181" i="135"/>
  <c r="CR181" i="135"/>
  <c r="EC181" i="135"/>
  <c r="FO181" i="135"/>
  <c r="FP181" i="135"/>
  <c r="FP42" i="135" s="1"/>
  <c r="FQ181" i="135"/>
  <c r="EI181" i="135"/>
  <c r="EI42" i="135" s="1"/>
  <c r="EJ181" i="135"/>
  <c r="EK181" i="135"/>
  <c r="EK42" i="135" s="1"/>
  <c r="EM181" i="135"/>
  <c r="EM42" i="135" s="1"/>
  <c r="EN181" i="135"/>
  <c r="EN42" i="135" s="1"/>
  <c r="EO181" i="135"/>
  <c r="EO42" i="135" s="1"/>
  <c r="GA181" i="135"/>
  <c r="GA42" i="135" s="1"/>
  <c r="ES181" i="135"/>
  <c r="EU181" i="135"/>
  <c r="EU42" i="135" s="1"/>
  <c r="FL181" i="135"/>
  <c r="CT181" i="135"/>
  <c r="EE181" i="135"/>
  <c r="EF181" i="135"/>
  <c r="EF42" i="135" s="1"/>
  <c r="EH181" i="135"/>
  <c r="EH42" i="135" s="1"/>
  <c r="FS181" i="135"/>
  <c r="FT181" i="135"/>
  <c r="FT42" i="135" s="1"/>
  <c r="FV181" i="135"/>
  <c r="FV42" i="135" s="1"/>
  <c r="FW181" i="135"/>
  <c r="FX181" i="135"/>
  <c r="EP181" i="135"/>
  <c r="EP42" i="135" s="1"/>
  <c r="EQ181" i="135"/>
  <c r="EQ42" i="135" s="1"/>
  <c r="AJ42" i="135"/>
  <c r="L106" i="135"/>
  <c r="AZ21" i="135"/>
  <c r="L121" i="135"/>
  <c r="BK22" i="135"/>
  <c r="BW15" i="135"/>
  <c r="BM15" i="135"/>
  <c r="AT15" i="135"/>
  <c r="AZ15" i="135"/>
  <c r="BF15" i="135"/>
  <c r="BB15" i="135"/>
  <c r="BG15" i="135"/>
  <c r="BU15" i="135"/>
  <c r="BT15" i="135"/>
  <c r="AS15" i="135"/>
  <c r="BV15" i="135"/>
  <c r="AR15" i="135"/>
  <c r="BS15" i="135"/>
  <c r="BO15" i="135"/>
  <c r="BA15" i="135"/>
  <c r="BK15" i="135"/>
  <c r="BL15" i="135"/>
  <c r="BS21" i="135"/>
  <c r="L137" i="135"/>
  <c r="L130" i="135"/>
  <c r="L69" i="135"/>
  <c r="BO22" i="135"/>
  <c r="L56" i="135"/>
  <c r="L144" i="135"/>
  <c r="BV21" i="135"/>
  <c r="AR21" i="135"/>
  <c r="L179" i="135"/>
  <c r="L147" i="135"/>
  <c r="L55" i="135"/>
  <c r="BV22" i="135"/>
  <c r="L115" i="135"/>
  <c r="L52" i="135"/>
  <c r="L126" i="135"/>
  <c r="N126" i="135"/>
  <c r="BS34" i="135"/>
  <c r="N127" i="135"/>
  <c r="J127" i="135"/>
  <c r="AP127" i="135"/>
  <c r="M126" i="135"/>
  <c r="BK34" i="135"/>
  <c r="R34" i="135"/>
  <c r="L127" i="135"/>
  <c r="M127" i="135"/>
  <c r="K126" i="135"/>
  <c r="AZ34" i="135"/>
  <c r="AP126" i="135"/>
  <c r="J126" i="135"/>
  <c r="AR34" i="135"/>
  <c r="K127" i="135"/>
  <c r="AZ22" i="135"/>
  <c r="L172" i="135"/>
  <c r="K69" i="135"/>
  <c r="AZ25" i="135"/>
  <c r="N72" i="135"/>
  <c r="M70" i="135"/>
  <c r="P25" i="135"/>
  <c r="R25" i="135"/>
  <c r="M72" i="135"/>
  <c r="L70" i="135"/>
  <c r="AP70" i="135"/>
  <c r="J70" i="135"/>
  <c r="K71" i="135"/>
  <c r="N69" i="135"/>
  <c r="BS25" i="135"/>
  <c r="J72" i="135"/>
  <c r="AP72" i="135"/>
  <c r="K72" i="135"/>
  <c r="K70" i="135"/>
  <c r="N71" i="135"/>
  <c r="M69" i="135"/>
  <c r="BK25" i="135"/>
  <c r="AP69" i="135"/>
  <c r="J69" i="135"/>
  <c r="AR25" i="135"/>
  <c r="N70" i="135"/>
  <c r="J71" i="135"/>
  <c r="AP71" i="135"/>
  <c r="M71" i="135"/>
  <c r="BG30" i="135"/>
  <c r="AR22" i="135"/>
  <c r="L124" i="135"/>
  <c r="BK21" i="135"/>
  <c r="L135" i="135"/>
  <c r="BF37" i="135"/>
  <c r="L143" i="135"/>
  <c r="BG36" i="135"/>
  <c r="P28" i="135"/>
  <c r="BO21" i="135"/>
  <c r="L116" i="135"/>
  <c r="BB31" i="135"/>
  <c r="BB30" i="135"/>
  <c r="L177" i="135"/>
  <c r="AS31" i="135"/>
  <c r="N172" i="135"/>
  <c r="K125" i="135"/>
  <c r="AZ31" i="135"/>
  <c r="R26" i="135"/>
  <c r="L125" i="135"/>
  <c r="N125" i="135"/>
  <c r="K175" i="135"/>
  <c r="N164" i="135"/>
  <c r="N175" i="135"/>
  <c r="BF21" i="135"/>
  <c r="BT30" i="135"/>
  <c r="AR30" i="135"/>
  <c r="BM33" i="135"/>
  <c r="AT36" i="135"/>
  <c r="L153" i="135"/>
  <c r="BW30" i="135"/>
  <c r="BM30" i="135"/>
  <c r="BA31" i="135"/>
  <c r="BF31" i="135"/>
  <c r="K154" i="135"/>
  <c r="K149" i="135"/>
  <c r="BM31" i="135"/>
  <c r="AZ30" i="135"/>
  <c r="K152" i="135"/>
  <c r="L149" i="135"/>
  <c r="M172" i="135"/>
  <c r="K164" i="135"/>
  <c r="K110" i="135"/>
  <c r="K172" i="135"/>
  <c r="BL33" i="135"/>
  <c r="K169" i="135"/>
  <c r="L178" i="135"/>
  <c r="N152" i="135"/>
  <c r="N174" i="135"/>
  <c r="N146" i="135"/>
  <c r="AZ32" i="135"/>
  <c r="K146" i="135"/>
  <c r="BF22" i="135"/>
  <c r="BK32" i="135"/>
  <c r="BS32" i="135"/>
  <c r="BO32" i="135"/>
  <c r="BK30" i="135"/>
  <c r="K148" i="135"/>
  <c r="M118" i="135"/>
  <c r="K174" i="135"/>
  <c r="L122" i="135"/>
  <c r="BF32" i="135"/>
  <c r="K157" i="135"/>
  <c r="K124" i="135"/>
  <c r="AR32" i="135"/>
  <c r="K108" i="135"/>
  <c r="BS30" i="135"/>
  <c r="M119" i="135"/>
  <c r="L160" i="135"/>
  <c r="BO31" i="135"/>
  <c r="L156" i="135"/>
  <c r="K156" i="135"/>
  <c r="L108" i="135"/>
  <c r="L123" i="135"/>
  <c r="N108" i="135"/>
  <c r="N119" i="135"/>
  <c r="L129" i="135"/>
  <c r="BV32" i="135"/>
  <c r="M125" i="135"/>
  <c r="K119" i="135"/>
  <c r="N150" i="135"/>
  <c r="M169" i="135"/>
  <c r="M152" i="135"/>
  <c r="M157" i="135"/>
  <c r="BW26" i="135"/>
  <c r="BW35" i="135"/>
  <c r="BM26" i="135"/>
  <c r="BM35" i="135"/>
  <c r="BM28" i="135"/>
  <c r="BM37" i="135"/>
  <c r="BO26" i="135"/>
  <c r="BO35" i="135"/>
  <c r="BS28" i="135"/>
  <c r="BS37" i="135"/>
  <c r="BK36" i="135"/>
  <c r="BA26" i="135"/>
  <c r="BA35" i="135"/>
  <c r="AS28" i="135"/>
  <c r="AS37" i="135"/>
  <c r="AS36" i="135"/>
  <c r="BV28" i="135"/>
  <c r="BV37" i="135"/>
  <c r="BW28" i="135"/>
  <c r="BW37" i="135"/>
  <c r="AP174" i="135"/>
  <c r="J174" i="135"/>
  <c r="J148" i="135"/>
  <c r="AP148" i="135"/>
  <c r="J108" i="135"/>
  <c r="AP108" i="135"/>
  <c r="AP163" i="135"/>
  <c r="J163" i="135"/>
  <c r="M150" i="135"/>
  <c r="J110" i="135"/>
  <c r="AP110" i="135"/>
  <c r="J154" i="135"/>
  <c r="AP154" i="135"/>
  <c r="J175" i="135"/>
  <c r="AP175" i="135"/>
  <c r="M114" i="135"/>
  <c r="J149" i="135"/>
  <c r="AP149" i="135"/>
  <c r="N168" i="135"/>
  <c r="AP172" i="135"/>
  <c r="J172" i="135"/>
  <c r="J124" i="135"/>
  <c r="AP124" i="135"/>
  <c r="M122" i="135"/>
  <c r="K139" i="135"/>
  <c r="K165" i="135"/>
  <c r="M132" i="135"/>
  <c r="N144" i="135"/>
  <c r="J118" i="135"/>
  <c r="AP118" i="135"/>
  <c r="J136" i="135"/>
  <c r="AP136" i="135"/>
  <c r="AP134" i="135"/>
  <c r="J134" i="135"/>
  <c r="N131" i="135"/>
  <c r="J167" i="135"/>
  <c r="AP167" i="135"/>
  <c r="J166" i="135"/>
  <c r="AP166" i="135"/>
  <c r="K106" i="135"/>
  <c r="K109" i="135"/>
  <c r="AP171" i="135"/>
  <c r="J171" i="135"/>
  <c r="K171" i="135"/>
  <c r="K123" i="135"/>
  <c r="AP123" i="135"/>
  <c r="J123" i="135"/>
  <c r="K141" i="135"/>
  <c r="J177" i="135"/>
  <c r="AP177" i="135"/>
  <c r="N177" i="135"/>
  <c r="M159" i="135"/>
  <c r="K111" i="135"/>
  <c r="N111" i="135"/>
  <c r="AP115" i="135"/>
  <c r="J115" i="135"/>
  <c r="K115" i="135"/>
  <c r="N116" i="135"/>
  <c r="J116" i="135"/>
  <c r="AP116" i="135"/>
  <c r="M162" i="135"/>
  <c r="J155" i="135"/>
  <c r="AP155" i="135"/>
  <c r="M160" i="135"/>
  <c r="J113" i="135"/>
  <c r="AP113" i="135"/>
  <c r="N133" i="135"/>
  <c r="M133" i="135"/>
  <c r="N156" i="135"/>
  <c r="M158" i="135"/>
  <c r="AP120" i="135"/>
  <c r="J120" i="135"/>
  <c r="R33" i="135"/>
  <c r="AP151" i="135"/>
  <c r="J151" i="135"/>
  <c r="K151" i="135"/>
  <c r="K128" i="135"/>
  <c r="M135" i="135"/>
  <c r="K135" i="135"/>
  <c r="J179" i="135"/>
  <c r="AP179" i="135"/>
  <c r="M178" i="135"/>
  <c r="N178" i="135"/>
  <c r="M107" i="135"/>
  <c r="K107" i="135"/>
  <c r="M153" i="135"/>
  <c r="K153" i="135"/>
  <c r="J143" i="135"/>
  <c r="AP143" i="135"/>
  <c r="N173" i="135"/>
  <c r="J145" i="135"/>
  <c r="AP145" i="135"/>
  <c r="L161" i="135"/>
  <c r="M161" i="135"/>
  <c r="K142" i="135"/>
  <c r="K176" i="135"/>
  <c r="M176" i="135"/>
  <c r="AP140" i="135"/>
  <c r="J140" i="135"/>
  <c r="K140" i="135"/>
  <c r="BL32" i="135"/>
  <c r="BU32" i="135"/>
  <c r="AS32" i="135"/>
  <c r="BG32" i="135"/>
  <c r="AT32" i="135"/>
  <c r="BA30" i="135"/>
  <c r="BU33" i="135"/>
  <c r="BB26" i="135"/>
  <c r="BB35" i="135"/>
  <c r="BU28" i="135"/>
  <c r="BU37" i="135"/>
  <c r="BS33" i="135"/>
  <c r="AR33" i="135"/>
  <c r="BK26" i="135"/>
  <c r="BK35" i="135"/>
  <c r="AR26" i="135"/>
  <c r="AR35" i="135"/>
  <c r="BO28" i="135"/>
  <c r="BO37" i="135"/>
  <c r="BB36" i="135"/>
  <c r="BS36" i="135"/>
  <c r="AS33" i="135"/>
  <c r="BT26" i="135"/>
  <c r="BT35" i="135"/>
  <c r="BT28" i="135"/>
  <c r="BT37" i="135"/>
  <c r="BA36" i="135"/>
  <c r="BF24" i="135"/>
  <c r="BF33" i="135"/>
  <c r="BW33" i="135"/>
  <c r="BV33" i="135"/>
  <c r="BV36" i="135"/>
  <c r="BG33" i="135"/>
  <c r="BV26" i="135"/>
  <c r="BV35" i="135"/>
  <c r="BG28" i="135"/>
  <c r="BG37" i="135"/>
  <c r="AP164" i="135"/>
  <c r="J164" i="135"/>
  <c r="K150" i="135"/>
  <c r="L110" i="135"/>
  <c r="AP152" i="135"/>
  <c r="J152" i="135"/>
  <c r="AP114" i="135"/>
  <c r="J114" i="135"/>
  <c r="N157" i="135"/>
  <c r="N149" i="135"/>
  <c r="K168" i="135"/>
  <c r="J168" i="135"/>
  <c r="AP168" i="135"/>
  <c r="J146" i="135"/>
  <c r="AP146" i="135"/>
  <c r="L142" i="135"/>
  <c r="N121" i="135"/>
  <c r="K121" i="135"/>
  <c r="N124" i="135"/>
  <c r="N122" i="135"/>
  <c r="M165" i="135"/>
  <c r="AP132" i="135"/>
  <c r="J132" i="135"/>
  <c r="K132" i="135"/>
  <c r="M144" i="135"/>
  <c r="J144" i="135"/>
  <c r="AP144" i="135"/>
  <c r="N118" i="135"/>
  <c r="K134" i="135"/>
  <c r="M131" i="135"/>
  <c r="K131" i="135"/>
  <c r="N130" i="135"/>
  <c r="N138" i="135"/>
  <c r="M138" i="135"/>
  <c r="N167" i="135"/>
  <c r="K167" i="135"/>
  <c r="M166" i="135"/>
  <c r="N166" i="135"/>
  <c r="AP170" i="135"/>
  <c r="J170" i="135"/>
  <c r="N170" i="135"/>
  <c r="N106" i="135"/>
  <c r="J109" i="135"/>
  <c r="AP109" i="135"/>
  <c r="AS30" i="135"/>
  <c r="AP141" i="135"/>
  <c r="N141" i="135"/>
  <c r="M177" i="135"/>
  <c r="K177" i="135"/>
  <c r="J159" i="135"/>
  <c r="AP159" i="135"/>
  <c r="K159" i="135"/>
  <c r="N162" i="135"/>
  <c r="M155" i="135"/>
  <c r="M137" i="135"/>
  <c r="N113" i="135"/>
  <c r="K113" i="135"/>
  <c r="AP133" i="135"/>
  <c r="J133" i="135"/>
  <c r="K133" i="135"/>
  <c r="M117" i="135"/>
  <c r="AP117" i="135"/>
  <c r="J117" i="135"/>
  <c r="M156" i="135"/>
  <c r="J158" i="135"/>
  <c r="K116" i="118" s="1"/>
  <c r="AP158" i="135"/>
  <c r="M120" i="135"/>
  <c r="P35" i="135"/>
  <c r="R35" i="135"/>
  <c r="BV30" i="135"/>
  <c r="L138" i="135"/>
  <c r="N151" i="135"/>
  <c r="M151" i="135"/>
  <c r="J129" i="135"/>
  <c r="AP129" i="135"/>
  <c r="AP128" i="135"/>
  <c r="J128" i="135"/>
  <c r="M147" i="135"/>
  <c r="M179" i="135"/>
  <c r="L112" i="135"/>
  <c r="J107" i="135"/>
  <c r="AP107" i="135"/>
  <c r="N153" i="135"/>
  <c r="K143" i="135"/>
  <c r="M143" i="135"/>
  <c r="K173" i="135"/>
  <c r="M173" i="135"/>
  <c r="K145" i="135"/>
  <c r="N142" i="135"/>
  <c r="M140" i="135"/>
  <c r="AR31" i="135"/>
  <c r="AT30" i="135"/>
  <c r="BA32" i="135"/>
  <c r="BU31" i="135"/>
  <c r="BM32" i="135"/>
  <c r="BL31" i="135"/>
  <c r="BW31" i="135"/>
  <c r="BL30" i="135"/>
  <c r="BG26" i="135"/>
  <c r="BG35" i="135"/>
  <c r="BB33" i="135"/>
  <c r="BU26" i="135"/>
  <c r="BU35" i="135"/>
  <c r="BB28" i="135"/>
  <c r="BB37" i="135"/>
  <c r="AZ33" i="135"/>
  <c r="BK33" i="135"/>
  <c r="BS26" i="135"/>
  <c r="BS35" i="135"/>
  <c r="AZ28" i="135"/>
  <c r="AZ37" i="135"/>
  <c r="BM36" i="135"/>
  <c r="BO36" i="135"/>
  <c r="AR36" i="135"/>
  <c r="BA33" i="135"/>
  <c r="BL26" i="135"/>
  <c r="BL35" i="135"/>
  <c r="BL28" i="135"/>
  <c r="BL37" i="135"/>
  <c r="BT36" i="135"/>
  <c r="BF36" i="135"/>
  <c r="L162" i="135"/>
  <c r="N154" i="135"/>
  <c r="M174" i="135"/>
  <c r="L148" i="135"/>
  <c r="M148" i="135"/>
  <c r="M108" i="135"/>
  <c r="M163" i="135"/>
  <c r="M164" i="135"/>
  <c r="J150" i="135"/>
  <c r="AP150" i="135"/>
  <c r="N110" i="135"/>
  <c r="K114" i="135"/>
  <c r="J157" i="135"/>
  <c r="AP157" i="135"/>
  <c r="M146" i="135"/>
  <c r="L171" i="135"/>
  <c r="J121" i="135"/>
  <c r="AP121" i="135"/>
  <c r="M121" i="135"/>
  <c r="M124" i="135"/>
  <c r="K122" i="135"/>
  <c r="L139" i="135"/>
  <c r="N139" i="135"/>
  <c r="M139" i="135"/>
  <c r="AP165" i="135"/>
  <c r="J165" i="135"/>
  <c r="N132" i="135"/>
  <c r="K144" i="135"/>
  <c r="K136" i="135"/>
  <c r="M136" i="135"/>
  <c r="N134" i="135"/>
  <c r="K130" i="135"/>
  <c r="AP138" i="135"/>
  <c r="J138" i="135"/>
  <c r="K166" i="135"/>
  <c r="K170" i="135"/>
  <c r="M106" i="135"/>
  <c r="N109" i="135"/>
  <c r="M109" i="135"/>
  <c r="BF30" i="135"/>
  <c r="N171" i="135"/>
  <c r="N123" i="135"/>
  <c r="N159" i="135"/>
  <c r="J111" i="135"/>
  <c r="AP111" i="135"/>
  <c r="M116" i="135"/>
  <c r="AP162" i="135"/>
  <c r="J162" i="135"/>
  <c r="K162" i="135"/>
  <c r="K155" i="135"/>
  <c r="K160" i="135"/>
  <c r="AP160" i="135"/>
  <c r="J160" i="135"/>
  <c r="N137" i="135"/>
  <c r="AP137" i="135"/>
  <c r="J137" i="135"/>
  <c r="N117" i="135"/>
  <c r="J156" i="135"/>
  <c r="AP156" i="135"/>
  <c r="N158" i="135"/>
  <c r="K120" i="135"/>
  <c r="BV31" i="135"/>
  <c r="N129" i="135"/>
  <c r="N128" i="135"/>
  <c r="N147" i="135"/>
  <c r="K178" i="135"/>
  <c r="N112" i="135"/>
  <c r="M112" i="135"/>
  <c r="J153" i="135"/>
  <c r="AP153" i="135"/>
  <c r="N143" i="135"/>
  <c r="AP173" i="135"/>
  <c r="J173" i="135"/>
  <c r="M145" i="135"/>
  <c r="N145" i="135"/>
  <c r="K161" i="135"/>
  <c r="J142" i="135"/>
  <c r="AP142" i="135"/>
  <c r="N140" i="135"/>
  <c r="BU30" i="135"/>
  <c r="BW32" i="135"/>
  <c r="BT32" i="135"/>
  <c r="AT31" i="135"/>
  <c r="BB32" i="135"/>
  <c r="BT31" i="135"/>
  <c r="BF26" i="135"/>
  <c r="BF35" i="135"/>
  <c r="AT33" i="135"/>
  <c r="AT26" i="135"/>
  <c r="AT35" i="135"/>
  <c r="AT28" i="135"/>
  <c r="AT37" i="135"/>
  <c r="BO33" i="135"/>
  <c r="AZ26" i="135"/>
  <c r="AZ35" i="135"/>
  <c r="BK28" i="135"/>
  <c r="BK37" i="135"/>
  <c r="AR28" i="135"/>
  <c r="AR37" i="135"/>
  <c r="BU36" i="135"/>
  <c r="AZ36" i="135"/>
  <c r="BT33" i="135"/>
  <c r="AS26" i="135"/>
  <c r="AS35" i="135"/>
  <c r="BA28" i="135"/>
  <c r="BA37" i="135"/>
  <c r="BL36" i="135"/>
  <c r="L51" i="135"/>
  <c r="BG31" i="135"/>
  <c r="BW36" i="135"/>
  <c r="L119" i="135"/>
  <c r="AP125" i="135"/>
  <c r="J125" i="135"/>
  <c r="N148" i="135"/>
  <c r="K163" i="135"/>
  <c r="N163" i="135"/>
  <c r="AP169" i="135"/>
  <c r="J169" i="135"/>
  <c r="N169" i="135"/>
  <c r="L164" i="135"/>
  <c r="M110" i="135"/>
  <c r="M175" i="135"/>
  <c r="N114" i="135"/>
  <c r="M149" i="135"/>
  <c r="AP119" i="135"/>
  <c r="J119" i="135"/>
  <c r="M168" i="135"/>
  <c r="P31" i="135"/>
  <c r="R31" i="135"/>
  <c r="BS31" i="135"/>
  <c r="L107" i="135"/>
  <c r="J122" i="135"/>
  <c r="AP122" i="135"/>
  <c r="J139" i="135"/>
  <c r="AP139" i="135"/>
  <c r="N165" i="135"/>
  <c r="K118" i="135"/>
  <c r="N136" i="135"/>
  <c r="M134" i="135"/>
  <c r="AP131" i="135"/>
  <c r="J131" i="135"/>
  <c r="J130" i="135"/>
  <c r="AP130" i="135"/>
  <c r="M130" i="135"/>
  <c r="K138" i="135"/>
  <c r="L167" i="135"/>
  <c r="M167" i="135"/>
  <c r="M170" i="135"/>
  <c r="AP106" i="135"/>
  <c r="J106" i="135"/>
  <c r="R30" i="135"/>
  <c r="P30" i="135"/>
  <c r="BO30" i="135"/>
  <c r="J141" i="135"/>
  <c r="M154" i="135"/>
  <c r="M171" i="135"/>
  <c r="M123" i="135"/>
  <c r="M141" i="135"/>
  <c r="M111" i="135"/>
  <c r="M115" i="135"/>
  <c r="N115" i="135"/>
  <c r="N155" i="135"/>
  <c r="N160" i="135"/>
  <c r="K137" i="135"/>
  <c r="M113" i="135"/>
  <c r="K117" i="135"/>
  <c r="L158" i="135"/>
  <c r="K158" i="135"/>
  <c r="N120" i="135"/>
  <c r="P37" i="135"/>
  <c r="R37" i="135"/>
  <c r="R36" i="135"/>
  <c r="K116" i="135"/>
  <c r="K129" i="135"/>
  <c r="M129" i="135"/>
  <c r="M128" i="135"/>
  <c r="AP135" i="135"/>
  <c r="J135" i="135"/>
  <c r="N135" i="135"/>
  <c r="K147" i="135"/>
  <c r="J147" i="135"/>
  <c r="AP147" i="135"/>
  <c r="K179" i="135"/>
  <c r="N179" i="135"/>
  <c r="AP178" i="135"/>
  <c r="J178" i="135"/>
  <c r="AP112" i="135"/>
  <c r="J112" i="135"/>
  <c r="K112" i="135"/>
  <c r="N107" i="135"/>
  <c r="N161" i="135"/>
  <c r="J161" i="135"/>
  <c r="AP161" i="135"/>
  <c r="M142" i="135"/>
  <c r="J176" i="135"/>
  <c r="AP176" i="135"/>
  <c r="N176" i="135"/>
  <c r="R32" i="135"/>
  <c r="BK31" i="135"/>
  <c r="L58" i="135"/>
  <c r="P22" i="135"/>
  <c r="M105" i="135"/>
  <c r="BV17" i="135"/>
  <c r="BF17" i="135"/>
  <c r="L68" i="135"/>
  <c r="L79" i="135"/>
  <c r="BF23" i="135"/>
  <c r="AP105" i="135"/>
  <c r="N105" i="135"/>
  <c r="N102" i="135"/>
  <c r="N99" i="135"/>
  <c r="N98" i="135"/>
  <c r="L94" i="135"/>
  <c r="L98" i="135"/>
  <c r="K103" i="135"/>
  <c r="L60" i="135"/>
  <c r="M102" i="135"/>
  <c r="L66" i="135"/>
  <c r="L105" i="135"/>
  <c r="L90" i="135"/>
  <c r="L99" i="135"/>
  <c r="L91" i="135"/>
  <c r="L88" i="135"/>
  <c r="L101" i="135"/>
  <c r="BG29" i="135"/>
  <c r="L86" i="135"/>
  <c r="BW29" i="135"/>
  <c r="BV29" i="135"/>
  <c r="L81" i="135"/>
  <c r="BF28" i="135"/>
  <c r="BF29" i="135"/>
  <c r="L82" i="135"/>
  <c r="L103" i="135"/>
  <c r="AP103" i="135"/>
  <c r="L62" i="135"/>
  <c r="AP68" i="135"/>
  <c r="L67" i="135"/>
  <c r="BF10" i="135"/>
  <c r="M98" i="135"/>
  <c r="K96" i="135"/>
  <c r="N64" i="135"/>
  <c r="N91" i="135"/>
  <c r="AP99" i="135"/>
  <c r="J105" i="135"/>
  <c r="K100" i="135"/>
  <c r="N101" i="135"/>
  <c r="K98" i="135"/>
  <c r="J103" i="135"/>
  <c r="J102" i="135"/>
  <c r="BV10" i="135"/>
  <c r="BV14" i="135"/>
  <c r="K94" i="135"/>
  <c r="K77" i="135"/>
  <c r="K64" i="135"/>
  <c r="N97" i="135"/>
  <c r="J99" i="135"/>
  <c r="N80" i="135"/>
  <c r="K99" i="135"/>
  <c r="BU24" i="135"/>
  <c r="BS17" i="135"/>
  <c r="AR10" i="135"/>
  <c r="N74" i="135"/>
  <c r="BF14" i="135"/>
  <c r="AZ10" i="135"/>
  <c r="AP64" i="135"/>
  <c r="K68" i="135"/>
  <c r="AR17" i="135"/>
  <c r="K90" i="135"/>
  <c r="BO17" i="135"/>
  <c r="N76" i="135"/>
  <c r="K102" i="135"/>
  <c r="BM22" i="135"/>
  <c r="BA22" i="135"/>
  <c r="K80" i="135"/>
  <c r="K84" i="135"/>
  <c r="N90" i="135"/>
  <c r="BK17" i="135"/>
  <c r="BK14" i="135"/>
  <c r="BS14" i="135"/>
  <c r="BO14" i="135"/>
  <c r="BK10" i="135"/>
  <c r="BO10" i="135"/>
  <c r="AT22" i="135"/>
  <c r="BT22" i="135"/>
  <c r="M104" i="135"/>
  <c r="BS10" i="135"/>
  <c r="AR14" i="135"/>
  <c r="AZ17" i="135"/>
  <c r="BB24" i="135"/>
  <c r="M65" i="135"/>
  <c r="BW23" i="135"/>
  <c r="K58" i="135"/>
  <c r="K91" i="135"/>
  <c r="BK23" i="135"/>
  <c r="AZ14" i="135"/>
  <c r="BS23" i="135"/>
  <c r="AZ23" i="135"/>
  <c r="BO23" i="135"/>
  <c r="BV23" i="135"/>
  <c r="AR23" i="135"/>
  <c r="BT23" i="135"/>
  <c r="BB23" i="135"/>
  <c r="L74" i="135"/>
  <c r="BG27" i="135"/>
  <c r="BO24" i="135"/>
  <c r="M66" i="135"/>
  <c r="BB27" i="135"/>
  <c r="BU29" i="135"/>
  <c r="BK27" i="135"/>
  <c r="AR29" i="135"/>
  <c r="BO29" i="135"/>
  <c r="AS24" i="135"/>
  <c r="BT27" i="135"/>
  <c r="AS29" i="135"/>
  <c r="BF27" i="135"/>
  <c r="R27" i="135"/>
  <c r="J58" i="135"/>
  <c r="BL23" i="135"/>
  <c r="BU23" i="135"/>
  <c r="BM27" i="135"/>
  <c r="AT29" i="135"/>
  <c r="BS27" i="135"/>
  <c r="BA24" i="135"/>
  <c r="BL27" i="135"/>
  <c r="BT29" i="135"/>
  <c r="BW24" i="135"/>
  <c r="P23" i="135"/>
  <c r="R23" i="135"/>
  <c r="BV27" i="135"/>
  <c r="BG22" i="135"/>
  <c r="BW27" i="135"/>
  <c r="AS23" i="135"/>
  <c r="BB22" i="135"/>
  <c r="L53" i="135"/>
  <c r="BG23" i="135"/>
  <c r="AT23" i="135"/>
  <c r="AS22" i="135"/>
  <c r="L78" i="135"/>
  <c r="AT24" i="135"/>
  <c r="BS24" i="135"/>
  <c r="AR24" i="135"/>
  <c r="BU27" i="135"/>
  <c r="BM29" i="135"/>
  <c r="BO27" i="135"/>
  <c r="AR27" i="135"/>
  <c r="BS29" i="135"/>
  <c r="BK29" i="135"/>
  <c r="BT24" i="135"/>
  <c r="AS27" i="135"/>
  <c r="BL29" i="135"/>
  <c r="R24" i="135"/>
  <c r="BG24" i="135"/>
  <c r="BA23" i="135"/>
  <c r="BU22" i="135"/>
  <c r="BM23" i="135"/>
  <c r="BL22" i="135"/>
  <c r="BW22" i="135"/>
  <c r="BM24" i="135"/>
  <c r="AZ24" i="135"/>
  <c r="BK24" i="135"/>
  <c r="AT27" i="135"/>
  <c r="BB29" i="135"/>
  <c r="AZ27" i="135"/>
  <c r="AZ29" i="135"/>
  <c r="BL24" i="135"/>
  <c r="BA27" i="135"/>
  <c r="BA29" i="135"/>
  <c r="BV24" i="135"/>
  <c r="N68" i="135"/>
  <c r="K76" i="135"/>
  <c r="N94" i="135"/>
  <c r="M74" i="135"/>
  <c r="M94" i="135"/>
  <c r="M77" i="135"/>
  <c r="AP91" i="135"/>
  <c r="AS21" i="135"/>
  <c r="M97" i="135"/>
  <c r="M76" i="135"/>
  <c r="J84" i="135"/>
  <c r="AP84" i="135"/>
  <c r="K62" i="135"/>
  <c r="M62" i="135"/>
  <c r="N65" i="135"/>
  <c r="K81" i="135"/>
  <c r="M85" i="135"/>
  <c r="M91" i="135"/>
  <c r="K95" i="135"/>
  <c r="J101" i="135"/>
  <c r="AP101" i="135"/>
  <c r="N63" i="135"/>
  <c r="J66" i="135"/>
  <c r="AP66" i="135"/>
  <c r="K66" i="135"/>
  <c r="J74" i="135"/>
  <c r="AP74" i="135"/>
  <c r="AP78" i="135"/>
  <c r="J78" i="135"/>
  <c r="K78" i="135"/>
  <c r="N82" i="135"/>
  <c r="N86" i="135"/>
  <c r="J87" i="135"/>
  <c r="AP87" i="135"/>
  <c r="K87" i="135"/>
  <c r="N92" i="135"/>
  <c r="K83" i="135"/>
  <c r="N66" i="135"/>
  <c r="K65" i="135"/>
  <c r="J61" i="135"/>
  <c r="AP61" i="135"/>
  <c r="N67" i="135"/>
  <c r="K67" i="135"/>
  <c r="AP75" i="135"/>
  <c r="J75" i="135"/>
  <c r="M75" i="135"/>
  <c r="M79" i="135"/>
  <c r="J89" i="135"/>
  <c r="AP89" i="135"/>
  <c r="M93" i="135"/>
  <c r="N96" i="135"/>
  <c r="J64" i="135"/>
  <c r="K97" i="135"/>
  <c r="M103" i="135"/>
  <c r="K88" i="135"/>
  <c r="K92" i="135"/>
  <c r="AP102" i="135"/>
  <c r="AP104" i="135"/>
  <c r="J104" i="135"/>
  <c r="AP80" i="135"/>
  <c r="J80" i="135"/>
  <c r="M90" i="135"/>
  <c r="J94" i="135"/>
  <c r="AP94" i="135"/>
  <c r="AP65" i="135"/>
  <c r="J65" i="135"/>
  <c r="M73" i="135"/>
  <c r="J73" i="135"/>
  <c r="AP73" i="135"/>
  <c r="N77" i="135"/>
  <c r="AP77" i="135"/>
  <c r="J77" i="135"/>
  <c r="M81" i="135"/>
  <c r="J81" i="135"/>
  <c r="AP81" i="135"/>
  <c r="K85" i="135"/>
  <c r="J95" i="135"/>
  <c r="AP95" i="135"/>
  <c r="K63" i="135"/>
  <c r="N60" i="135"/>
  <c r="K74" i="135"/>
  <c r="M78" i="135"/>
  <c r="K82" i="135"/>
  <c r="M86" i="135"/>
  <c r="M87" i="135"/>
  <c r="AP92" i="135"/>
  <c r="J92" i="135"/>
  <c r="N83" i="135"/>
  <c r="N89" i="135"/>
  <c r="N100" i="135"/>
  <c r="N104" i="135"/>
  <c r="N61" i="135"/>
  <c r="J67" i="135"/>
  <c r="AP67" i="135"/>
  <c r="M67" i="135"/>
  <c r="K75" i="135"/>
  <c r="K79" i="135"/>
  <c r="J83" i="135"/>
  <c r="AP83" i="135"/>
  <c r="K89" i="135"/>
  <c r="J68" i="135"/>
  <c r="M88" i="135"/>
  <c r="M84" i="135"/>
  <c r="AP90" i="135"/>
  <c r="J90" i="135"/>
  <c r="AP97" i="135"/>
  <c r="J97" i="135"/>
  <c r="N73" i="135"/>
  <c r="N81" i="135"/>
  <c r="N85" i="135"/>
  <c r="N95" i="135"/>
  <c r="J63" i="135"/>
  <c r="AP63" i="135"/>
  <c r="M60" i="135"/>
  <c r="AP60" i="135"/>
  <c r="J60" i="135"/>
  <c r="K18" i="118" s="1"/>
  <c r="N78" i="135"/>
  <c r="J82" i="135"/>
  <c r="AP82" i="135"/>
  <c r="M82" i="135"/>
  <c r="AP86" i="135"/>
  <c r="J86" i="135"/>
  <c r="J88" i="135"/>
  <c r="N103" i="135"/>
  <c r="L77" i="135"/>
  <c r="M100" i="135"/>
  <c r="N75" i="135"/>
  <c r="N93" i="135"/>
  <c r="M96" i="135"/>
  <c r="M64" i="135"/>
  <c r="AP88" i="135"/>
  <c r="J100" i="135"/>
  <c r="AP100" i="135"/>
  <c r="L73" i="135"/>
  <c r="M68" i="135"/>
  <c r="J76" i="135"/>
  <c r="AP76" i="135"/>
  <c r="M80" i="135"/>
  <c r="N62" i="135"/>
  <c r="J62" i="135"/>
  <c r="AP62" i="135"/>
  <c r="K73" i="135"/>
  <c r="AP85" i="135"/>
  <c r="J85" i="135"/>
  <c r="J91" i="135"/>
  <c r="M95" i="135"/>
  <c r="K101" i="135"/>
  <c r="K104" i="135"/>
  <c r="M63" i="135"/>
  <c r="K60" i="135"/>
  <c r="K86" i="135"/>
  <c r="N87" i="135"/>
  <c r="M83" i="135"/>
  <c r="M89" i="135"/>
  <c r="M101" i="135"/>
  <c r="K61" i="135"/>
  <c r="M61" i="135"/>
  <c r="N79" i="135"/>
  <c r="AP79" i="135"/>
  <c r="J79" i="135"/>
  <c r="AP93" i="135"/>
  <c r="J93" i="135"/>
  <c r="K93" i="135"/>
  <c r="AP96" i="135"/>
  <c r="J96" i="135"/>
  <c r="J98" i="135"/>
  <c r="AP98" i="135"/>
  <c r="N84" i="135"/>
  <c r="M99" i="135"/>
  <c r="N88" i="135"/>
  <c r="M92" i="135"/>
  <c r="BA21" i="135"/>
  <c r="K51" i="135"/>
  <c r="N57" i="135"/>
  <c r="AP52" i="135"/>
  <c r="BL21" i="135"/>
  <c r="N56" i="135"/>
  <c r="K53" i="135"/>
  <c r="M54" i="135"/>
  <c r="AP57" i="135"/>
  <c r="M57" i="135"/>
  <c r="J50" i="135"/>
  <c r="N52" i="135"/>
  <c r="N54" i="135"/>
  <c r="K56" i="135"/>
  <c r="K52" i="135"/>
  <c r="AP55" i="135"/>
  <c r="J56" i="135"/>
  <c r="K50" i="135"/>
  <c r="M55" i="135"/>
  <c r="N59" i="135"/>
  <c r="M56" i="135"/>
  <c r="M52" i="135"/>
  <c r="N50" i="135"/>
  <c r="M58" i="135"/>
  <c r="AP54" i="135"/>
  <c r="K59" i="135"/>
  <c r="J53" i="135"/>
  <c r="J52" i="135"/>
  <c r="K54" i="135"/>
  <c r="AP50" i="135"/>
  <c r="J55" i="135"/>
  <c r="N58" i="135"/>
  <c r="K55" i="135"/>
  <c r="N55" i="135"/>
  <c r="J59" i="135"/>
  <c r="N53" i="135"/>
  <c r="AP58" i="135"/>
  <c r="J54" i="135"/>
  <c r="M59" i="135"/>
  <c r="M51" i="135"/>
  <c r="N51" i="135"/>
  <c r="BT21" i="135"/>
  <c r="J57" i="135"/>
  <c r="AP56" i="135"/>
  <c r="M53" i="135"/>
  <c r="AP51" i="135"/>
  <c r="K57" i="135"/>
  <c r="M50" i="135"/>
  <c r="AP59" i="135"/>
  <c r="AP53" i="135"/>
  <c r="J51" i="135"/>
  <c r="AT21" i="135"/>
  <c r="BL14" i="135"/>
  <c r="BL17" i="135"/>
  <c r="BT14" i="135"/>
  <c r="BT17" i="135"/>
  <c r="BL10" i="135"/>
  <c r="AS17" i="135"/>
  <c r="BT10" i="135"/>
  <c r="AS14" i="135"/>
  <c r="BA17" i="135"/>
  <c r="BA14" i="135"/>
  <c r="AT17" i="135"/>
  <c r="BA10" i="135"/>
  <c r="AS10" i="135"/>
  <c r="AT10" i="135"/>
  <c r="AT14" i="135"/>
  <c r="BB17" i="135"/>
  <c r="BB21" i="135"/>
  <c r="BB14" i="135"/>
  <c r="BB10" i="135"/>
  <c r="BG10" i="135"/>
  <c r="BG21" i="135"/>
  <c r="BG14" i="135"/>
  <c r="BG17" i="135"/>
  <c r="BM17" i="135"/>
  <c r="BM10" i="135"/>
  <c r="BM21" i="135"/>
  <c r="BM14" i="135"/>
  <c r="BU10" i="135"/>
  <c r="BU21" i="135"/>
  <c r="BU14" i="135"/>
  <c r="BU17" i="135"/>
  <c r="BW10" i="135"/>
  <c r="BW21" i="135"/>
  <c r="BW14" i="135"/>
  <c r="BW17" i="135"/>
  <c r="K44" i="118" l="1"/>
  <c r="D45" i="235"/>
  <c r="Y21" i="235" s="1"/>
  <c r="L29" i="135"/>
  <c r="N25" i="135"/>
  <c r="M25" i="135"/>
  <c r="L25" i="135"/>
  <c r="K25" i="135"/>
  <c r="BN181" i="135"/>
  <c r="M180" i="135"/>
  <c r="L180" i="135"/>
  <c r="CM181" i="135"/>
  <c r="CJ181" i="135"/>
  <c r="FI181" i="135"/>
  <c r="FI42" i="135" s="1"/>
  <c r="EX181" i="135"/>
  <c r="EY181" i="135"/>
  <c r="EY42" i="135" s="1"/>
  <c r="K180" i="135"/>
  <c r="AP180" i="135"/>
  <c r="N180" i="135"/>
  <c r="J180" i="135"/>
  <c r="K138" i="118" s="1"/>
  <c r="K172" i="118"/>
  <c r="FJ181" i="135"/>
  <c r="FJ42" i="135" s="1"/>
  <c r="EZ181" i="135"/>
  <c r="FA181" i="135"/>
  <c r="FD181" i="135"/>
  <c r="CN181" i="135"/>
  <c r="CD181" i="135"/>
  <c r="FB181" i="135"/>
  <c r="FF181" i="135"/>
  <c r="FF42" i="135" s="1"/>
  <c r="EV181" i="135"/>
  <c r="EV42" i="135" s="1"/>
  <c r="CG181" i="135"/>
  <c r="CE181" i="135"/>
  <c r="CL181" i="135"/>
  <c r="K173" i="118"/>
  <c r="CI181" i="135"/>
  <c r="CK181" i="135"/>
  <c r="CO181" i="135"/>
  <c r="CB181" i="135"/>
  <c r="K105" i="118"/>
  <c r="FE181" i="135"/>
  <c r="FE42" i="135" s="1"/>
  <c r="EW181" i="135"/>
  <c r="FH181" i="135"/>
  <c r="CF181" i="135"/>
  <c r="CP181" i="135"/>
  <c r="CH181" i="135"/>
  <c r="FG181" i="135"/>
  <c r="FG42" i="135" s="1"/>
  <c r="CC181" i="135"/>
  <c r="K47" i="118"/>
  <c r="K128" i="118"/>
  <c r="K106" i="118"/>
  <c r="K104" i="118"/>
  <c r="FN42" i="135"/>
  <c r="K103" i="118"/>
  <c r="ES42" i="135"/>
  <c r="K52" i="118"/>
  <c r="K120" i="118"/>
  <c r="K123" i="118"/>
  <c r="FK181" i="135"/>
  <c r="FK42" i="135" s="1"/>
  <c r="FC181" i="135"/>
  <c r="CR42" i="135"/>
  <c r="CS42" i="135"/>
  <c r="CD42" i="135"/>
  <c r="GC42" i="135"/>
  <c r="DC42" i="135"/>
  <c r="CX42" i="135"/>
  <c r="CK42" i="135"/>
  <c r="CG42" i="135"/>
  <c r="AU42" i="135"/>
  <c r="CO42" i="135"/>
  <c r="FA42" i="135"/>
  <c r="EZ42" i="135"/>
  <c r="CT42" i="135"/>
  <c r="CM42" i="135"/>
  <c r="CA42" i="135"/>
  <c r="DB42" i="135"/>
  <c r="CJ42" i="135"/>
  <c r="DG42" i="135"/>
  <c r="CB42" i="135"/>
  <c r="BQ181" i="135"/>
  <c r="BQ42" i="135" s="1"/>
  <c r="BI181" i="135"/>
  <c r="BI42" i="135" s="1"/>
  <c r="AG42" i="135"/>
  <c r="AX181" i="135"/>
  <c r="CE42" i="135"/>
  <c r="DO181" i="135"/>
  <c r="DO42" i="135" s="1"/>
  <c r="Y42" i="135"/>
  <c r="E45" i="235" s="1"/>
  <c r="AB21" i="235" s="1"/>
  <c r="DV181" i="135"/>
  <c r="DZ181" i="135"/>
  <c r="DQ181" i="135"/>
  <c r="DU181" i="135"/>
  <c r="DU42" i="135" s="1"/>
  <c r="DT181" i="135"/>
  <c r="DT42" i="135" s="1"/>
  <c r="EA181" i="135"/>
  <c r="DY181" i="135"/>
  <c r="DP181" i="135"/>
  <c r="DP42" i="135" s="1"/>
  <c r="DN181" i="135"/>
  <c r="DS181" i="135"/>
  <c r="DX181" i="135"/>
  <c r="DX42" i="135" s="1"/>
  <c r="DM181" i="135"/>
  <c r="DM42" i="135" s="1"/>
  <c r="DW181" i="135"/>
  <c r="DW42" i="135" s="1"/>
  <c r="DR181" i="135"/>
  <c r="DR42" i="135" s="1"/>
  <c r="BN42" i="135"/>
  <c r="EX42" i="135"/>
  <c r="FB42" i="135"/>
  <c r="CF42" i="135"/>
  <c r="DF42" i="135"/>
  <c r="DA42" i="135"/>
  <c r="CV42" i="135"/>
  <c r="CP42" i="135"/>
  <c r="CH42" i="135"/>
  <c r="DK42" i="135"/>
  <c r="CU42" i="135"/>
  <c r="BC181" i="135"/>
  <c r="BC42" i="135" s="1"/>
  <c r="BX181" i="135"/>
  <c r="BX42" i="135" s="1"/>
  <c r="AV181" i="135"/>
  <c r="AV42" i="135" s="1"/>
  <c r="AI42" i="135"/>
  <c r="O30" i="131"/>
  <c r="L30" i="131" s="1"/>
  <c r="BH181" i="135"/>
  <c r="BP181" i="135"/>
  <c r="BD181" i="135"/>
  <c r="AW181" i="135"/>
  <c r="BY181" i="135"/>
  <c r="AN181" i="135"/>
  <c r="Q181" i="135" s="1"/>
  <c r="DH42" i="135"/>
  <c r="CW42" i="135"/>
  <c r="FD42" i="135"/>
  <c r="DD42" i="135"/>
  <c r="CQ42" i="135"/>
  <c r="CL42" i="135"/>
  <c r="CZ42" i="135"/>
  <c r="CN42" i="135"/>
  <c r="DI42" i="135"/>
  <c r="DE42" i="135"/>
  <c r="CY42" i="135"/>
  <c r="CI42" i="135"/>
  <c r="AF42" i="135"/>
  <c r="CC42" i="135"/>
  <c r="FC42" i="135"/>
  <c r="EW42" i="135"/>
  <c r="K72" i="118"/>
  <c r="K73" i="118"/>
  <c r="K66" i="118"/>
  <c r="K64" i="118"/>
  <c r="K70" i="118"/>
  <c r="K67" i="118"/>
  <c r="K71" i="118"/>
  <c r="K76" i="118"/>
  <c r="K68" i="118"/>
  <c r="K75" i="118"/>
  <c r="K69" i="118"/>
  <c r="K74" i="118"/>
  <c r="K65" i="118"/>
  <c r="K117" i="118"/>
  <c r="K40" i="118"/>
  <c r="K85" i="118"/>
  <c r="K121" i="118"/>
  <c r="L22" i="135"/>
  <c r="L31" i="135"/>
  <c r="L30" i="135"/>
  <c r="L15" i="135"/>
  <c r="AP15" i="135"/>
  <c r="L37" i="135"/>
  <c r="K30" i="135"/>
  <c r="L36" i="135"/>
  <c r="K118" i="118"/>
  <c r="K133" i="118"/>
  <c r="K31" i="135"/>
  <c r="K126" i="118"/>
  <c r="K88" i="118"/>
  <c r="K93" i="118"/>
  <c r="K97" i="118"/>
  <c r="K101" i="118"/>
  <c r="K113" i="118"/>
  <c r="AP25" i="135"/>
  <c r="J25" i="135"/>
  <c r="M31" i="135"/>
  <c r="K28" i="118"/>
  <c r="K27" i="118"/>
  <c r="K29" i="118"/>
  <c r="K30" i="118"/>
  <c r="K135" i="118"/>
  <c r="K108" i="118"/>
  <c r="L28" i="135"/>
  <c r="K112" i="118"/>
  <c r="K115" i="118"/>
  <c r="K28" i="135"/>
  <c r="K90" i="118"/>
  <c r="K129" i="118"/>
  <c r="K111" i="118"/>
  <c r="K107" i="118"/>
  <c r="K89" i="118"/>
  <c r="K110" i="118"/>
  <c r="K130" i="118"/>
  <c r="K132" i="118"/>
  <c r="K95" i="118"/>
  <c r="K92" i="118"/>
  <c r="J26" i="135"/>
  <c r="K36" i="135"/>
  <c r="L26" i="135"/>
  <c r="K99" i="118"/>
  <c r="K26" i="135"/>
  <c r="L35" i="135"/>
  <c r="M26" i="135"/>
  <c r="K100" i="118"/>
  <c r="K137" i="118"/>
  <c r="N26" i="135"/>
  <c r="K114" i="118"/>
  <c r="K91" i="118"/>
  <c r="K96" i="118"/>
  <c r="K125" i="118"/>
  <c r="K109" i="118"/>
  <c r="K102" i="118"/>
  <c r="L23" i="135"/>
  <c r="AP26" i="135"/>
  <c r="AP28" i="135"/>
  <c r="M28" i="135"/>
  <c r="N28" i="135"/>
  <c r="K84" i="118"/>
  <c r="K122" i="118"/>
  <c r="K86" i="118"/>
  <c r="K136" i="118"/>
  <c r="K131" i="118"/>
  <c r="K98" i="118"/>
  <c r="K124" i="118"/>
  <c r="N30" i="135"/>
  <c r="K87" i="118"/>
  <c r="K134" i="118"/>
  <c r="K94" i="118"/>
  <c r="K127" i="118"/>
  <c r="K35" i="135"/>
  <c r="J28" i="135"/>
  <c r="K119" i="118"/>
  <c r="M37" i="135"/>
  <c r="N31" i="135"/>
  <c r="M30" i="135"/>
  <c r="N35" i="135"/>
  <c r="AP30" i="135"/>
  <c r="N37" i="135"/>
  <c r="J30" i="135"/>
  <c r="M35" i="135"/>
  <c r="AP37" i="135"/>
  <c r="J37" i="135"/>
  <c r="K37" i="135"/>
  <c r="J31" i="135"/>
  <c r="AP31" i="135"/>
  <c r="AP35" i="135"/>
  <c r="J35" i="135"/>
  <c r="K82" i="118"/>
  <c r="K23" i="135"/>
  <c r="AP22" i="135"/>
  <c r="J22" i="135"/>
  <c r="K22" i="135"/>
  <c r="M22" i="135"/>
  <c r="AP21" i="135"/>
  <c r="N22" i="135"/>
  <c r="J23" i="135"/>
  <c r="M23" i="135"/>
  <c r="N23" i="135"/>
  <c r="AP27" i="135"/>
  <c r="AP24" i="135"/>
  <c r="AP23" i="135"/>
  <c r="AP29" i="135"/>
  <c r="K34" i="118"/>
  <c r="K42" i="118"/>
  <c r="K38" i="118"/>
  <c r="K35" i="118"/>
  <c r="K48" i="118"/>
  <c r="K46" i="118"/>
  <c r="K37" i="118"/>
  <c r="K31" i="118"/>
  <c r="K77" i="118"/>
  <c r="K57" i="118"/>
  <c r="K55" i="118"/>
  <c r="K58" i="118"/>
  <c r="K50" i="118"/>
  <c r="K54" i="118"/>
  <c r="K25" i="118"/>
  <c r="K19" i="118"/>
  <c r="K43" i="118"/>
  <c r="K81" i="118"/>
  <c r="K56" i="118"/>
  <c r="K61" i="118"/>
  <c r="K45" i="118"/>
  <c r="K36" i="118"/>
  <c r="K33" i="118"/>
  <c r="K20" i="118"/>
  <c r="K39" i="118"/>
  <c r="K41" i="118"/>
  <c r="K24" i="118"/>
  <c r="K23" i="118"/>
  <c r="K51" i="118"/>
  <c r="K60" i="118"/>
  <c r="K62" i="118"/>
  <c r="K53" i="118"/>
  <c r="K79" i="118"/>
  <c r="K78" i="118"/>
  <c r="K22" i="118"/>
  <c r="K32" i="118"/>
  <c r="K26" i="118"/>
  <c r="K21" i="118"/>
  <c r="K63" i="118"/>
  <c r="K59" i="118"/>
  <c r="K80" i="118"/>
  <c r="K49" i="118"/>
  <c r="AP14" i="135"/>
  <c r="AP17" i="135"/>
  <c r="AP10" i="135"/>
  <c r="B17" i="178"/>
  <c r="BW181" i="135" l="1"/>
  <c r="BU181" i="135"/>
  <c r="AR181" i="135"/>
  <c r="BF181" i="135"/>
  <c r="BS181" i="135"/>
  <c r="AZ181" i="135"/>
  <c r="BM181" i="135"/>
  <c r="BO181" i="135"/>
  <c r="BV181" i="135"/>
  <c r="R181" i="135"/>
  <c r="BB181" i="135"/>
  <c r="AT181" i="135"/>
  <c r="BK181" i="135"/>
  <c r="BV42" i="135"/>
  <c r="BO42" i="135"/>
  <c r="AX42" i="135"/>
  <c r="DQ42" i="135"/>
  <c r="DS42" i="135"/>
  <c r="DZ42" i="135"/>
  <c r="BG181" i="135"/>
  <c r="BG42" i="135" s="1"/>
  <c r="DV42" i="135"/>
  <c r="FH42" i="135"/>
  <c r="BW42" i="135"/>
  <c r="BU42" i="135"/>
  <c r="BL181" i="135"/>
  <c r="BL42" i="135" s="1"/>
  <c r="AT42" i="135"/>
  <c r="BS42" i="135"/>
  <c r="AR42" i="135"/>
  <c r="BF42" i="135"/>
  <c r="R42" i="135"/>
  <c r="BB42" i="135"/>
  <c r="BM42" i="135"/>
  <c r="P181" i="135"/>
  <c r="AQ181" i="135"/>
  <c r="BK42" i="135"/>
  <c r="BA181" i="135"/>
  <c r="BA42" i="135" s="1"/>
  <c r="AZ42" i="135"/>
  <c r="BT181" i="135"/>
  <c r="BT42" i="135" s="1"/>
  <c r="AS181" i="135"/>
  <c r="AS42" i="135" s="1"/>
  <c r="AB6" i="118"/>
  <c r="AB5" i="118"/>
  <c r="Z6" i="118"/>
  <c r="Z5" i="118"/>
  <c r="L181" i="135" l="1"/>
  <c r="M181" i="135"/>
  <c r="K174" i="118"/>
  <c r="N181" i="135"/>
  <c r="N30" i="131"/>
  <c r="AP181" i="135"/>
  <c r="AP42" i="135"/>
  <c r="K181" i="135"/>
  <c r="J181" i="135"/>
  <c r="AB42" i="135"/>
  <c r="AC42" i="135"/>
  <c r="DU43" i="135" l="1"/>
  <c r="K175" i="118"/>
  <c r="K139" i="118"/>
  <c r="AD43" i="135"/>
  <c r="Z43" i="135"/>
  <c r="Y43" i="135"/>
  <c r="E46" i="235" s="1"/>
  <c r="AB22" i="235" s="1"/>
  <c r="P30" i="131"/>
  <c r="F45" i="235" s="1"/>
  <c r="AE21" i="235" s="1"/>
  <c r="AM42" i="135"/>
  <c r="FK43" i="135"/>
  <c r="FL43" i="135"/>
  <c r="ED43" i="135"/>
  <c r="FR43" i="135"/>
  <c r="FT43" i="135"/>
  <c r="EN43" i="135"/>
  <c r="FO43" i="135"/>
  <c r="EI43" i="135"/>
  <c r="FU43" i="135"/>
  <c r="EL43" i="135"/>
  <c r="EM43" i="135"/>
  <c r="EP43" i="135"/>
  <c r="GA43" i="135"/>
  <c r="EC43" i="135"/>
  <c r="EF43" i="135"/>
  <c r="EG43" i="135"/>
  <c r="FV43" i="135"/>
  <c r="FX43" i="135"/>
  <c r="FY43" i="135"/>
  <c r="FZ43" i="135"/>
  <c r="EA43" i="135"/>
  <c r="FM43" i="135"/>
  <c r="FP43" i="135"/>
  <c r="FQ43" i="135"/>
  <c r="FS43" i="135"/>
  <c r="EJ43" i="135"/>
  <c r="EK43" i="135"/>
  <c r="FW43" i="135"/>
  <c r="EO43" i="135"/>
  <c r="EQ43" i="135"/>
  <c r="ER43" i="135"/>
  <c r="BH42" i="135"/>
  <c r="L42" i="135" s="1"/>
  <c r="B10" i="178"/>
  <c r="DP43" i="135" l="1"/>
  <c r="DO43" i="135"/>
  <c r="DY43" i="135"/>
  <c r="DM43" i="135"/>
  <c r="DZ43" i="135"/>
  <c r="DN43" i="135"/>
  <c r="DV43" i="135"/>
  <c r="DR43" i="135"/>
  <c r="DT43" i="135"/>
  <c r="EW43" i="135"/>
  <c r="FD43" i="135"/>
  <c r="EV43" i="135"/>
  <c r="FJ43" i="135"/>
  <c r="DW43" i="135"/>
  <c r="DQ43" i="135"/>
  <c r="FC43" i="135"/>
  <c r="FI43" i="135"/>
  <c r="FB43" i="135"/>
  <c r="FH43" i="135"/>
  <c r="FG43" i="135"/>
  <c r="EZ43" i="135"/>
  <c r="FA43" i="135"/>
  <c r="FE43" i="135"/>
  <c r="EY43" i="135"/>
  <c r="EX43" i="135"/>
  <c r="AB43" i="135"/>
  <c r="DX43" i="135"/>
  <c r="DS43" i="135"/>
  <c r="DL43" i="135"/>
  <c r="AH43" i="135"/>
  <c r="AC43" i="135"/>
  <c r="GB43" i="135"/>
  <c r="EB43" i="135"/>
  <c r="FF43" i="135"/>
  <c r="FN43" i="135"/>
  <c r="EH43" i="135"/>
  <c r="ES43" i="135"/>
  <c r="GC43" i="135"/>
  <c r="EE43" i="135"/>
  <c r="K176" i="118"/>
  <c r="DD43" i="135"/>
  <c r="CH43" i="135"/>
  <c r="DA43" i="135"/>
  <c r="CJ43" i="135"/>
  <c r="CE43" i="135"/>
  <c r="CX43" i="135"/>
  <c r="CS43" i="135"/>
  <c r="CB43" i="135"/>
  <c r="DF43" i="135"/>
  <c r="CO43" i="135"/>
  <c r="C182" i="135"/>
  <c r="T182" i="135" s="1"/>
  <c r="AF43" i="135"/>
  <c r="CG43" i="135"/>
  <c r="EU43" i="135"/>
  <c r="CZ43" i="135"/>
  <c r="CI43" i="135"/>
  <c r="CD43" i="135"/>
  <c r="CW43" i="135"/>
  <c r="CQ43" i="135"/>
  <c r="CA43" i="135"/>
  <c r="CY43" i="135"/>
  <c r="CN43" i="135"/>
  <c r="AI43" i="135"/>
  <c r="O31" i="131"/>
  <c r="L31" i="131" s="1"/>
  <c r="BN43" i="135"/>
  <c r="AJ43" i="135"/>
  <c r="AU43" i="135"/>
  <c r="CK43" i="135"/>
  <c r="DI43" i="135"/>
  <c r="DH43" i="135"/>
  <c r="DC43" i="135"/>
  <c r="CL43" i="135"/>
  <c r="AG43" i="135"/>
  <c r="CU43" i="135"/>
  <c r="CR43" i="135"/>
  <c r="DK43" i="135"/>
  <c r="DE43" i="135"/>
  <c r="CT43" i="135"/>
  <c r="CC43" i="135"/>
  <c r="DG43" i="135"/>
  <c r="DB43" i="135"/>
  <c r="CV43" i="135"/>
  <c r="CF43" i="135"/>
  <c r="AW42" i="135"/>
  <c r="BP42" i="135"/>
  <c r="M42" i="135" s="1"/>
  <c r="AN42" i="135"/>
  <c r="Q42" i="135" s="1"/>
  <c r="BD42" i="135"/>
  <c r="K42" i="135" s="1"/>
  <c r="BY42" i="135"/>
  <c r="N42" i="135" s="1"/>
  <c r="X43" i="135"/>
  <c r="D46" i="235" l="1"/>
  <c r="Y22" i="235" s="1"/>
  <c r="V182" i="135"/>
  <c r="U182" i="135"/>
  <c r="AK182" i="135"/>
  <c r="AL182" i="135"/>
  <c r="AI182" i="135"/>
  <c r="BA43" i="135"/>
  <c r="AT43" i="135"/>
  <c r="AS43" i="135"/>
  <c r="BT43" i="135"/>
  <c r="BB43" i="135"/>
  <c r="BG43" i="135"/>
  <c r="BL43" i="135"/>
  <c r="BW43" i="135"/>
  <c r="BU43" i="135"/>
  <c r="BM43" i="135"/>
  <c r="BI43" i="135"/>
  <c r="BX43" i="135"/>
  <c r="BQ43" i="135"/>
  <c r="AV43" i="135"/>
  <c r="BC43" i="135"/>
  <c r="AX43" i="135"/>
  <c r="BH43" i="135"/>
  <c r="K177" i="118"/>
  <c r="K178" i="118"/>
  <c r="CM43" i="135"/>
  <c r="BO43" i="135"/>
  <c r="J42" i="135"/>
  <c r="AQ42" i="135"/>
  <c r="P42" i="135"/>
  <c r="C183" i="135"/>
  <c r="T183" i="135" s="1"/>
  <c r="CP43" i="135"/>
  <c r="B1" i="179"/>
  <c r="A1" i="179"/>
  <c r="AC182" i="135" l="1"/>
  <c r="AJ182" i="135"/>
  <c r="AH182" i="135"/>
  <c r="AF182" i="135"/>
  <c r="AG182" i="135"/>
  <c r="Z182" i="135"/>
  <c r="EX182" i="135" s="1"/>
  <c r="AB182" i="135"/>
  <c r="AD182" i="135"/>
  <c r="U183" i="135"/>
  <c r="V183" i="135"/>
  <c r="AK183" i="135"/>
  <c r="AL183" i="135"/>
  <c r="Y182" i="135"/>
  <c r="X182" i="135"/>
  <c r="CB182" i="135" s="1"/>
  <c r="BV43" i="135"/>
  <c r="R43" i="135"/>
  <c r="N31" i="131"/>
  <c r="BK43" i="135"/>
  <c r="C184" i="135"/>
  <c r="T184" i="135" s="1"/>
  <c r="BS43" i="135"/>
  <c r="BF43" i="135"/>
  <c r="L43" i="135" s="1"/>
  <c r="AZ43" i="135"/>
  <c r="AR43" i="135"/>
  <c r="AP43" i="135" s="1"/>
  <c r="FG182" i="135"/>
  <c r="EA182" i="135"/>
  <c r="FN182" i="135"/>
  <c r="FP182" i="135"/>
  <c r="EJ182" i="135"/>
  <c r="FW182" i="135"/>
  <c r="DF182" i="135"/>
  <c r="DH182" i="135"/>
  <c r="DW182" i="135"/>
  <c r="CO182" i="135"/>
  <c r="DZ182" i="135"/>
  <c r="FK182" i="135"/>
  <c r="FM182" i="135"/>
  <c r="ED182" i="135"/>
  <c r="EE182" i="135"/>
  <c r="EG182" i="135"/>
  <c r="CX182" i="135"/>
  <c r="FS182" i="135"/>
  <c r="FU182" i="135"/>
  <c r="EL182" i="135"/>
  <c r="EM182" i="135"/>
  <c r="EO182" i="135"/>
  <c r="EP182" i="135"/>
  <c r="DG182" i="135"/>
  <c r="ES182" i="135"/>
  <c r="CA182" i="135"/>
  <c r="FH182" i="135"/>
  <c r="DY182" i="135"/>
  <c r="FJ182" i="135"/>
  <c r="CR182" i="135"/>
  <c r="CS182" i="135"/>
  <c r="CT182" i="135"/>
  <c r="CV182" i="135"/>
  <c r="CW182" i="135"/>
  <c r="FR182" i="135"/>
  <c r="CZ182" i="135"/>
  <c r="DA182" i="135"/>
  <c r="DB182" i="135"/>
  <c r="FX182" i="135"/>
  <c r="FY182" i="135"/>
  <c r="FZ182" i="135"/>
  <c r="ER182" i="135"/>
  <c r="DI182" i="135"/>
  <c r="DK182" i="135"/>
  <c r="CM182" i="135"/>
  <c r="DX182" i="135"/>
  <c r="FI182" i="135"/>
  <c r="CQ182" i="135"/>
  <c r="EB182" i="135"/>
  <c r="EC182" i="135"/>
  <c r="CU182" i="135"/>
  <c r="EF182" i="135"/>
  <c r="FQ182" i="135"/>
  <c r="CY182" i="135"/>
  <c r="FT182" i="135"/>
  <c r="EK182" i="135"/>
  <c r="DC182" i="135"/>
  <c r="EN182" i="135"/>
  <c r="DE182" i="135"/>
  <c r="EQ182" i="135"/>
  <c r="GB182" i="135"/>
  <c r="GC182" i="135"/>
  <c r="EU182" i="135"/>
  <c r="CN182" i="135"/>
  <c r="CP182" i="135"/>
  <c r="FL182" i="135"/>
  <c r="FO182" i="135"/>
  <c r="EH182" i="135"/>
  <c r="EI182" i="135"/>
  <c r="FV182" i="135"/>
  <c r="DD182" i="135"/>
  <c r="GA182" i="135"/>
  <c r="B4" i="179"/>
  <c r="B5" i="179"/>
  <c r="B6" i="179"/>
  <c r="B7" i="179"/>
  <c r="B8" i="179"/>
  <c r="B9" i="179"/>
  <c r="B10" i="179"/>
  <c r="B11" i="179"/>
  <c r="B12" i="179"/>
  <c r="B13" i="179"/>
  <c r="B14" i="179"/>
  <c r="B15" i="179"/>
  <c r="B16" i="179"/>
  <c r="B17" i="179"/>
  <c r="B18" i="179"/>
  <c r="B19" i="179"/>
  <c r="B20" i="179"/>
  <c r="B21" i="179"/>
  <c r="B22" i="179"/>
  <c r="B23" i="179"/>
  <c r="B24" i="179"/>
  <c r="B25" i="179"/>
  <c r="B26" i="179"/>
  <c r="B27" i="179"/>
  <c r="B28" i="179"/>
  <c r="B29" i="179"/>
  <c r="B30" i="179"/>
  <c r="B31" i="179"/>
  <c r="B32" i="179"/>
  <c r="B33" i="179"/>
  <c r="B34" i="179"/>
  <c r="B35" i="179"/>
  <c r="B36" i="179"/>
  <c r="B37" i="179"/>
  <c r="B38" i="179"/>
  <c r="B39" i="179"/>
  <c r="B40" i="179"/>
  <c r="B41" i="179"/>
  <c r="B42" i="179"/>
  <c r="B43" i="179"/>
  <c r="B44" i="179"/>
  <c r="B45" i="179"/>
  <c r="B46" i="179"/>
  <c r="B47" i="179"/>
  <c r="B48" i="179"/>
  <c r="B49" i="179"/>
  <c r="B50" i="179"/>
  <c r="B51" i="179"/>
  <c r="B52" i="179"/>
  <c r="B53" i="179"/>
  <c r="B54" i="179"/>
  <c r="B55" i="179"/>
  <c r="B56" i="179"/>
  <c r="B57" i="179"/>
  <c r="B58" i="179"/>
  <c r="B59" i="179"/>
  <c r="B60" i="179"/>
  <c r="B61" i="179"/>
  <c r="B62" i="179"/>
  <c r="B63" i="179"/>
  <c r="B64" i="179"/>
  <c r="B65" i="179"/>
  <c r="B66" i="179"/>
  <c r="B67" i="179"/>
  <c r="B68" i="179"/>
  <c r="B69" i="179"/>
  <c r="B70" i="179"/>
  <c r="B71" i="179"/>
  <c r="B72" i="179"/>
  <c r="B73" i="179"/>
  <c r="B74" i="179"/>
  <c r="B75" i="179"/>
  <c r="B76" i="179"/>
  <c r="B77" i="179"/>
  <c r="B78" i="179"/>
  <c r="B79" i="179"/>
  <c r="B80" i="179"/>
  <c r="B81" i="179"/>
  <c r="B82" i="179"/>
  <c r="B83" i="179"/>
  <c r="B84" i="179"/>
  <c r="B85" i="179"/>
  <c r="B86" i="179"/>
  <c r="B87" i="179"/>
  <c r="B88" i="179"/>
  <c r="B89" i="179"/>
  <c r="B90" i="179"/>
  <c r="B91" i="179"/>
  <c r="B92" i="179"/>
  <c r="B93" i="179"/>
  <c r="B94" i="179"/>
  <c r="B95" i="179"/>
  <c r="B96" i="179"/>
  <c r="B97" i="179"/>
  <c r="B98" i="179"/>
  <c r="B99" i="179"/>
  <c r="B100" i="179"/>
  <c r="B101" i="179"/>
  <c r="B102" i="179"/>
  <c r="B103" i="179"/>
  <c r="B104" i="179"/>
  <c r="B105" i="179"/>
  <c r="B106" i="179"/>
  <c r="B107" i="179"/>
  <c r="B108" i="179"/>
  <c r="B109" i="179"/>
  <c r="B110" i="179"/>
  <c r="B111" i="179"/>
  <c r="B112" i="179"/>
  <c r="B113" i="179"/>
  <c r="B114" i="179"/>
  <c r="B115" i="179"/>
  <c r="B116" i="179"/>
  <c r="B117" i="179"/>
  <c r="B118" i="179"/>
  <c r="B119" i="179"/>
  <c r="B120" i="179"/>
  <c r="B121" i="179"/>
  <c r="B122" i="179"/>
  <c r="B123" i="179"/>
  <c r="B124" i="179"/>
  <c r="B125" i="179"/>
  <c r="B126" i="179"/>
  <c r="B127" i="179"/>
  <c r="B128" i="179"/>
  <c r="B129" i="179"/>
  <c r="B130" i="179"/>
  <c r="B131" i="179"/>
  <c r="B132" i="179"/>
  <c r="B133" i="179"/>
  <c r="B134" i="179"/>
  <c r="B135" i="179"/>
  <c r="B136" i="179"/>
  <c r="B137" i="179"/>
  <c r="B138" i="179"/>
  <c r="B139" i="179"/>
  <c r="B140" i="179"/>
  <c r="B141" i="179"/>
  <c r="B142" i="179"/>
  <c r="B143" i="179"/>
  <c r="B144" i="179"/>
  <c r="B145" i="179"/>
  <c r="B146" i="179"/>
  <c r="B147" i="179"/>
  <c r="B148" i="179"/>
  <c r="B149" i="179"/>
  <c r="B150" i="179"/>
  <c r="B151" i="179"/>
  <c r="B152" i="179"/>
  <c r="B153" i="179"/>
  <c r="B154" i="179"/>
  <c r="B155" i="179"/>
  <c r="B156" i="179"/>
  <c r="B157" i="179"/>
  <c r="B158" i="179"/>
  <c r="B159" i="179"/>
  <c r="B160" i="179"/>
  <c r="B161" i="179"/>
  <c r="B162" i="179"/>
  <c r="B163" i="179"/>
  <c r="B164" i="179"/>
  <c r="B3" i="179"/>
  <c r="P31" i="131" l="1"/>
  <c r="F46" i="235" s="1"/>
  <c r="AE22" i="235" s="1"/>
  <c r="AC183" i="135"/>
  <c r="AJ183" i="135"/>
  <c r="AF183" i="135"/>
  <c r="V184" i="135"/>
  <c r="U184" i="135"/>
  <c r="AJ184" i="135"/>
  <c r="AL184" i="135"/>
  <c r="AK184" i="135"/>
  <c r="X183" i="135"/>
  <c r="AG183" i="135"/>
  <c r="AD183" i="135"/>
  <c r="Y183" i="135"/>
  <c r="AI183" i="135"/>
  <c r="AH183" i="135"/>
  <c r="Z183" i="135"/>
  <c r="AB183" i="135"/>
  <c r="FD182" i="135"/>
  <c r="AM43" i="135"/>
  <c r="AN43" i="135" s="1"/>
  <c r="Q43" i="135" s="1"/>
  <c r="DP182" i="135"/>
  <c r="DV182" i="135"/>
  <c r="EV182" i="135"/>
  <c r="EY182" i="135"/>
  <c r="CD182" i="135"/>
  <c r="CC182" i="135"/>
  <c r="CJ182" i="135"/>
  <c r="CH182" i="135"/>
  <c r="CI182" i="135"/>
  <c r="CF182" i="135"/>
  <c r="CE182" i="135"/>
  <c r="CL182" i="135"/>
  <c r="CK182" i="135"/>
  <c r="CG182" i="135"/>
  <c r="DU182" i="135"/>
  <c r="DO182" i="135"/>
  <c r="DL182" i="135"/>
  <c r="DT182" i="135"/>
  <c r="DM182" i="135"/>
  <c r="DQ182" i="135"/>
  <c r="DR182" i="135"/>
  <c r="DS182" i="135"/>
  <c r="DN182" i="135"/>
  <c r="AD44" i="135"/>
  <c r="FE182" i="135"/>
  <c r="FF182" i="135"/>
  <c r="K180" i="118"/>
  <c r="K179" i="118"/>
  <c r="CR183" i="135"/>
  <c r="FM183" i="135"/>
  <c r="FM44" i="135" s="1"/>
  <c r="ED183" i="135"/>
  <c r="ED44" i="135" s="1"/>
  <c r="CV183" i="135"/>
  <c r="CW183" i="135"/>
  <c r="EH183" i="135"/>
  <c r="EH44" i="135" s="1"/>
  <c r="EJ183" i="135"/>
  <c r="EJ44" i="135" s="1"/>
  <c r="FU183" i="135"/>
  <c r="FU44" i="135" s="1"/>
  <c r="DB183" i="135"/>
  <c r="DD183" i="135"/>
  <c r="FY183" i="135"/>
  <c r="FY44" i="135" s="1"/>
  <c r="DF183" i="135"/>
  <c r="DH183" i="135"/>
  <c r="GC183" i="135"/>
  <c r="GC44" i="135" s="1"/>
  <c r="CA183" i="135"/>
  <c r="EB183" i="135"/>
  <c r="EB44" i="135" s="1"/>
  <c r="EC183" i="135"/>
  <c r="EC44" i="135" s="1"/>
  <c r="CU183" i="135"/>
  <c r="FP183" i="135"/>
  <c r="FP44" i="135" s="1"/>
  <c r="FQ183" i="135"/>
  <c r="FQ44" i="135" s="1"/>
  <c r="EI183" i="135"/>
  <c r="EI44" i="135" s="1"/>
  <c r="CZ183" i="135"/>
  <c r="DA183" i="135"/>
  <c r="FW183" i="135"/>
  <c r="FW44" i="135" s="1"/>
  <c r="FX183" i="135"/>
  <c r="FX44" i="135" s="1"/>
  <c r="DE183" i="135"/>
  <c r="GA183" i="135"/>
  <c r="GA44" i="135" s="1"/>
  <c r="ER183" i="135"/>
  <c r="ER44" i="135" s="1"/>
  <c r="DI183" i="135"/>
  <c r="FL183" i="135"/>
  <c r="FL44" i="135" s="1"/>
  <c r="CT183" i="135"/>
  <c r="EE183" i="135"/>
  <c r="EE44" i="135" s="1"/>
  <c r="EF183" i="135"/>
  <c r="EF44" i="135" s="1"/>
  <c r="FR183" i="135"/>
  <c r="FR44" i="135" s="1"/>
  <c r="CY183" i="135"/>
  <c r="FT183" i="135"/>
  <c r="FT44" i="135" s="1"/>
  <c r="FV183" i="135"/>
  <c r="FV44" i="135" s="1"/>
  <c r="EM183" i="135"/>
  <c r="EM44" i="135" s="1"/>
  <c r="EN183" i="135"/>
  <c r="EN44" i="135" s="1"/>
  <c r="FZ183" i="135"/>
  <c r="FZ44" i="135" s="1"/>
  <c r="DG183" i="135"/>
  <c r="GB183" i="135"/>
  <c r="GB44" i="135" s="1"/>
  <c r="DK183" i="135"/>
  <c r="DK44" i="135" s="1"/>
  <c r="EU183" i="135"/>
  <c r="EU44" i="135" s="1"/>
  <c r="CS183" i="135"/>
  <c r="FN183" i="135"/>
  <c r="FN44" i="135" s="1"/>
  <c r="FO183" i="135"/>
  <c r="FO44" i="135" s="1"/>
  <c r="EG183" i="135"/>
  <c r="EG44" i="135" s="1"/>
  <c r="CX183" i="135"/>
  <c r="FS183" i="135"/>
  <c r="FS44" i="135" s="1"/>
  <c r="EK183" i="135"/>
  <c r="EK44" i="135" s="1"/>
  <c r="EL183" i="135"/>
  <c r="EL44" i="135" s="1"/>
  <c r="DC183" i="135"/>
  <c r="EO183" i="135"/>
  <c r="EO44" i="135" s="1"/>
  <c r="EP183" i="135"/>
  <c r="EP44" i="135" s="1"/>
  <c r="EQ183" i="135"/>
  <c r="EQ44" i="135" s="1"/>
  <c r="ES183" i="135"/>
  <c r="ES44" i="135" s="1"/>
  <c r="AM182" i="135"/>
  <c r="AX182" i="135"/>
  <c r="BI182" i="135"/>
  <c r="BQ182" i="135"/>
  <c r="FB182" i="135"/>
  <c r="EW182" i="135"/>
  <c r="FA182" i="135"/>
  <c r="EZ182" i="135"/>
  <c r="FC182" i="135"/>
  <c r="C185" i="135"/>
  <c r="T185" i="135" s="1"/>
  <c r="AV182" i="135"/>
  <c r="BC182" i="135"/>
  <c r="BX182" i="135"/>
  <c r="BH182" i="135"/>
  <c r="AU182" i="135"/>
  <c r="BN182" i="135"/>
  <c r="CM183" i="135"/>
  <c r="AC44" i="135"/>
  <c r="AB44" i="135"/>
  <c r="DW183" i="135"/>
  <c r="DW44" i="135" s="1"/>
  <c r="FG183" i="135"/>
  <c r="FG44" i="135" s="1"/>
  <c r="AH44" i="135"/>
  <c r="C27" i="109"/>
  <c r="D27" i="109"/>
  <c r="AH184" i="135" l="1"/>
  <c r="X184" i="135"/>
  <c r="AI184" i="135"/>
  <c r="AG184" i="135"/>
  <c r="AF184" i="135"/>
  <c r="AM184" i="135" s="1"/>
  <c r="BY184" i="135" s="1"/>
  <c r="AD184" i="135"/>
  <c r="Z184" i="135"/>
  <c r="EZ184" i="135" s="1"/>
  <c r="Y184" i="135"/>
  <c r="DN184" i="135" s="1"/>
  <c r="AB184" i="135"/>
  <c r="AI185" i="135"/>
  <c r="AK185" i="135"/>
  <c r="AL185" i="135"/>
  <c r="U185" i="135"/>
  <c r="V185" i="135"/>
  <c r="AC184" i="135"/>
  <c r="AW43" i="135"/>
  <c r="J43" i="135" s="1"/>
  <c r="BY43" i="135"/>
  <c r="N43" i="135" s="1"/>
  <c r="BD43" i="135"/>
  <c r="K43" i="135" s="1"/>
  <c r="BP43" i="135"/>
  <c r="M43" i="135" s="1"/>
  <c r="BV182" i="135"/>
  <c r="AZ182" i="135"/>
  <c r="AR182" i="135"/>
  <c r="BS182" i="135"/>
  <c r="BF182" i="135"/>
  <c r="BK182" i="135"/>
  <c r="R182" i="135"/>
  <c r="BO182" i="135"/>
  <c r="AS182" i="135"/>
  <c r="FJ183" i="135"/>
  <c r="FJ44" i="135" s="1"/>
  <c r="FH183" i="135"/>
  <c r="FH44" i="135" s="1"/>
  <c r="DZ183" i="135"/>
  <c r="DZ44" i="135" s="1"/>
  <c r="DY183" i="135"/>
  <c r="DY44" i="135" s="1"/>
  <c r="FK183" i="135"/>
  <c r="FK44" i="135" s="1"/>
  <c r="CO183" i="135"/>
  <c r="CP183" i="135"/>
  <c r="CQ183" i="135"/>
  <c r="DX183" i="135"/>
  <c r="DX44" i="135" s="1"/>
  <c r="EA183" i="135"/>
  <c r="EA44" i="135" s="1"/>
  <c r="CN183" i="135"/>
  <c r="FI183" i="135"/>
  <c r="FI44" i="135" s="1"/>
  <c r="BT182" i="135"/>
  <c r="BL182" i="135"/>
  <c r="BA182" i="135"/>
  <c r="EV183" i="135"/>
  <c r="EV44" i="135" s="1"/>
  <c r="CB183" i="135"/>
  <c r="DL183" i="135"/>
  <c r="DL44" i="135" s="1"/>
  <c r="FA183" i="135"/>
  <c r="FA44" i="135" s="1"/>
  <c r="EY183" i="135"/>
  <c r="EY44" i="135" s="1"/>
  <c r="Z44" i="135"/>
  <c r="FC183" i="135"/>
  <c r="FC44" i="135" s="1"/>
  <c r="FE183" i="135"/>
  <c r="FE44" i="135" s="1"/>
  <c r="EX183" i="135"/>
  <c r="EX44" i="135" s="1"/>
  <c r="EW183" i="135"/>
  <c r="FB183" i="135"/>
  <c r="FB44" i="135" s="1"/>
  <c r="FD183" i="135"/>
  <c r="FD44" i="135" s="1"/>
  <c r="EZ183" i="135"/>
  <c r="EZ44" i="135" s="1"/>
  <c r="FF183" i="135"/>
  <c r="FF44" i="135" s="1"/>
  <c r="BN183" i="135"/>
  <c r="BN44" i="135" s="1"/>
  <c r="AJ44" i="135"/>
  <c r="AU183" i="135"/>
  <c r="AU44" i="135" s="1"/>
  <c r="BW182" i="135"/>
  <c r="CY44" i="135"/>
  <c r="CT44" i="135"/>
  <c r="CN44" i="135"/>
  <c r="CM44" i="135"/>
  <c r="DF44" i="135"/>
  <c r="CV44" i="135"/>
  <c r="DO183" i="135"/>
  <c r="DO44" i="135" s="1"/>
  <c r="DV183" i="135"/>
  <c r="DV44" i="135" s="1"/>
  <c r="DS183" i="135"/>
  <c r="DS44" i="135" s="1"/>
  <c r="DP183" i="135"/>
  <c r="DP44" i="135" s="1"/>
  <c r="DM183" i="135"/>
  <c r="DQ183" i="135"/>
  <c r="DQ44" i="135" s="1"/>
  <c r="DT183" i="135"/>
  <c r="Y44" i="135"/>
  <c r="E47" i="235" s="1"/>
  <c r="AB23" i="235" s="1"/>
  <c r="DR183" i="135"/>
  <c r="DR44" i="135" s="1"/>
  <c r="DN183" i="135"/>
  <c r="DN44" i="135" s="1"/>
  <c r="DU183" i="135"/>
  <c r="X44" i="135"/>
  <c r="D47" i="235" s="1"/>
  <c r="Y23" i="235" s="1"/>
  <c r="CI183" i="135"/>
  <c r="CK183" i="135"/>
  <c r="CH183" i="135"/>
  <c r="CL183" i="135"/>
  <c r="CF183" i="135"/>
  <c r="CJ183" i="135"/>
  <c r="CD183" i="135"/>
  <c r="CG183" i="135"/>
  <c r="CC183" i="135"/>
  <c r="CE183" i="135"/>
  <c r="AF44" i="135"/>
  <c r="AM183" i="135"/>
  <c r="BG182" i="135"/>
  <c r="AT182" i="135"/>
  <c r="DA44" i="135"/>
  <c r="CQ44" i="135"/>
  <c r="CA44" i="135"/>
  <c r="CO44" i="135"/>
  <c r="AX183" i="135"/>
  <c r="AX44" i="135" s="1"/>
  <c r="BI183" i="135"/>
  <c r="BI44" i="135" s="1"/>
  <c r="BQ183" i="135"/>
  <c r="BQ44" i="135" s="1"/>
  <c r="AG44" i="135"/>
  <c r="BU182" i="135"/>
  <c r="AW182" i="135"/>
  <c r="BD182" i="135"/>
  <c r="BY182" i="135"/>
  <c r="AN182" i="135"/>
  <c r="Q182" i="135" s="1"/>
  <c r="BP182" i="135"/>
  <c r="DC44" i="135"/>
  <c r="CX44" i="135"/>
  <c r="CS44" i="135"/>
  <c r="DG44" i="135"/>
  <c r="DE44" i="135"/>
  <c r="CZ44" i="135"/>
  <c r="CU44" i="135"/>
  <c r="DD44" i="135"/>
  <c r="CA184" i="135"/>
  <c r="CR184" i="135"/>
  <c r="EC184" i="135"/>
  <c r="EE184" i="135"/>
  <c r="FP184" i="135"/>
  <c r="FQ184" i="135"/>
  <c r="EI184" i="135"/>
  <c r="FT184" i="135"/>
  <c r="EK184" i="135"/>
  <c r="EM184" i="135"/>
  <c r="DD184" i="135"/>
  <c r="FY184" i="135"/>
  <c r="DG184" i="135"/>
  <c r="GB184" i="135"/>
  <c r="DI184" i="135"/>
  <c r="EU184" i="135"/>
  <c r="FL184" i="135"/>
  <c r="CT184" i="135"/>
  <c r="FO184" i="135"/>
  <c r="EF184" i="135"/>
  <c r="CX184" i="135"/>
  <c r="FS184" i="135"/>
  <c r="CZ184" i="135"/>
  <c r="EL184" i="135"/>
  <c r="DC184" i="135"/>
  <c r="FX184" i="135"/>
  <c r="EP184" i="135"/>
  <c r="EQ184" i="135"/>
  <c r="DH184" i="135"/>
  <c r="DK184" i="135"/>
  <c r="CS184" i="135"/>
  <c r="ED184" i="135"/>
  <c r="CU184" i="135"/>
  <c r="CW184" i="135"/>
  <c r="FR184" i="135"/>
  <c r="CY184" i="135"/>
  <c r="DA184" i="135"/>
  <c r="FV184" i="135"/>
  <c r="FW184" i="135"/>
  <c r="DE184" i="135"/>
  <c r="DF184" i="135"/>
  <c r="GA184" i="135"/>
  <c r="GC184" i="135"/>
  <c r="EB184" i="135"/>
  <c r="FM184" i="135"/>
  <c r="FN184" i="135"/>
  <c r="CV184" i="135"/>
  <c r="EG184" i="135"/>
  <c r="EH184" i="135"/>
  <c r="EJ184" i="135"/>
  <c r="FU184" i="135"/>
  <c r="DB184" i="135"/>
  <c r="EN184" i="135"/>
  <c r="EO184" i="135"/>
  <c r="FZ184" i="135"/>
  <c r="ER184" i="135"/>
  <c r="ES184" i="135"/>
  <c r="AI44" i="135"/>
  <c r="O32" i="131"/>
  <c r="BH183" i="135"/>
  <c r="BH44" i="135" s="1"/>
  <c r="BC183" i="135"/>
  <c r="BC44" i="135" s="1"/>
  <c r="BX183" i="135"/>
  <c r="BX44" i="135" s="1"/>
  <c r="AV183" i="135"/>
  <c r="AV44" i="135" s="1"/>
  <c r="C186" i="135"/>
  <c r="T186" i="135" s="1"/>
  <c r="BB182" i="135"/>
  <c r="BM182" i="135"/>
  <c r="CP44" i="135"/>
  <c r="DI44" i="135"/>
  <c r="DH44" i="135"/>
  <c r="DB44" i="135"/>
  <c r="CW44" i="135"/>
  <c r="CR44" i="135"/>
  <c r="CB44" i="135"/>
  <c r="CM184" i="135"/>
  <c r="AF185" i="135" l="1"/>
  <c r="AM185" i="135" s="1"/>
  <c r="AJ185" i="135"/>
  <c r="AH185" i="135"/>
  <c r="X185" i="135"/>
  <c r="CF185" i="135" s="1"/>
  <c r="P43" i="135"/>
  <c r="AQ43" i="135"/>
  <c r="AG185" i="135"/>
  <c r="AC185" i="135"/>
  <c r="AD185" i="135"/>
  <c r="Y185" i="135"/>
  <c r="DS185" i="135" s="1"/>
  <c r="AB185" i="135"/>
  <c r="Z185" i="135"/>
  <c r="FC185" i="135" s="1"/>
  <c r="AF186" i="135"/>
  <c r="AL186" i="135"/>
  <c r="V186" i="135"/>
  <c r="U186" i="135"/>
  <c r="AK186" i="135"/>
  <c r="L182" i="135"/>
  <c r="EV184" i="135"/>
  <c r="CB184" i="135"/>
  <c r="DL184" i="135"/>
  <c r="DU44" i="135"/>
  <c r="DT44" i="135"/>
  <c r="K181" i="118"/>
  <c r="M182" i="135"/>
  <c r="CN184" i="135"/>
  <c r="CP184" i="135"/>
  <c r="CQ184" i="135"/>
  <c r="FI184" i="135"/>
  <c r="EA184" i="135"/>
  <c r="CO184" i="135"/>
  <c r="FJ184" i="135"/>
  <c r="DZ184" i="135"/>
  <c r="DX184" i="135"/>
  <c r="DY184" i="135"/>
  <c r="FK184" i="135"/>
  <c r="FH184" i="135"/>
  <c r="FG184" i="135"/>
  <c r="DW184" i="135"/>
  <c r="BP184" i="135"/>
  <c r="BD184" i="135"/>
  <c r="AW184" i="135"/>
  <c r="AN184" i="135"/>
  <c r="Q184" i="135" s="1"/>
  <c r="N182" i="135"/>
  <c r="J182" i="135"/>
  <c r="CK184" i="135"/>
  <c r="CE184" i="135"/>
  <c r="CF184" i="135"/>
  <c r="CJ184" i="135"/>
  <c r="CD184" i="135"/>
  <c r="CH184" i="135"/>
  <c r="CI184" i="135"/>
  <c r="CL184" i="135"/>
  <c r="CC184" i="135"/>
  <c r="CG184" i="135"/>
  <c r="BX184" i="135"/>
  <c r="BC184" i="135"/>
  <c r="BH184" i="135"/>
  <c r="AV184" i="135"/>
  <c r="DV184" i="135"/>
  <c r="DM184" i="135"/>
  <c r="DT184" i="135"/>
  <c r="DQ184" i="135"/>
  <c r="EW184" i="135"/>
  <c r="FC184" i="135"/>
  <c r="DK185" i="135"/>
  <c r="CR185" i="135"/>
  <c r="CS185" i="135"/>
  <c r="ED185" i="135"/>
  <c r="EF185" i="135"/>
  <c r="EG185" i="135"/>
  <c r="FR185" i="135"/>
  <c r="EJ185" i="135"/>
  <c r="DA185" i="135"/>
  <c r="DB185" i="135"/>
  <c r="DD185" i="135"/>
  <c r="DE185" i="135"/>
  <c r="DF185" i="135"/>
  <c r="ER185" i="135"/>
  <c r="DI185" i="135"/>
  <c r="CA185" i="135"/>
  <c r="EB185" i="135"/>
  <c r="EC185" i="135"/>
  <c r="EE185" i="135"/>
  <c r="FP185" i="135"/>
  <c r="CW185" i="135"/>
  <c r="EI185" i="135"/>
  <c r="FT185" i="135"/>
  <c r="FU185" i="135"/>
  <c r="FW185" i="135"/>
  <c r="EN185" i="135"/>
  <c r="FY185" i="135"/>
  <c r="EQ185" i="135"/>
  <c r="DH185" i="135"/>
  <c r="GC185" i="135"/>
  <c r="CT185" i="135"/>
  <c r="CV185" i="135"/>
  <c r="FS185" i="135"/>
  <c r="FV185" i="135"/>
  <c r="FX185" i="135"/>
  <c r="GA185" i="135"/>
  <c r="FN185" i="135"/>
  <c r="FQ185" i="135"/>
  <c r="CY185" i="135"/>
  <c r="EL185" i="135"/>
  <c r="EO185" i="135"/>
  <c r="DG185" i="135"/>
  <c r="FL185" i="135"/>
  <c r="FO185" i="135"/>
  <c r="CX185" i="135"/>
  <c r="CZ185" i="135"/>
  <c r="DC185" i="135"/>
  <c r="EP185" i="135"/>
  <c r="GB185" i="135"/>
  <c r="EU185" i="135"/>
  <c r="FM185" i="135"/>
  <c r="CU185" i="135"/>
  <c r="EH185" i="135"/>
  <c r="EK185" i="135"/>
  <c r="EM185" i="135"/>
  <c r="FZ185" i="135"/>
  <c r="ES185" i="135"/>
  <c r="CE44" i="135"/>
  <c r="CJ44" i="135"/>
  <c r="CK44" i="135"/>
  <c r="AX184" i="135"/>
  <c r="BQ184" i="135"/>
  <c r="BI184" i="135"/>
  <c r="BN184" i="135"/>
  <c r="AU184" i="135"/>
  <c r="K32" i="131"/>
  <c r="FD184" i="135"/>
  <c r="DR184" i="135"/>
  <c r="DO184" i="135"/>
  <c r="EY184" i="135"/>
  <c r="K182" i="135"/>
  <c r="AW183" i="135"/>
  <c r="AN183" i="135"/>
  <c r="Q183" i="135" s="1"/>
  <c r="BD183" i="135"/>
  <c r="BY183" i="135"/>
  <c r="BP183" i="135"/>
  <c r="AZ183" i="135"/>
  <c r="AZ44" i="135" s="1"/>
  <c r="BS183" i="135"/>
  <c r="AR183" i="135"/>
  <c r="BV183" i="135"/>
  <c r="BV44" i="135" s="1"/>
  <c r="CC44" i="135"/>
  <c r="BO183" i="135"/>
  <c r="BO44" i="135" s="1"/>
  <c r="BK183" i="135"/>
  <c r="R183" i="135"/>
  <c r="BF183" i="135"/>
  <c r="CF44" i="135"/>
  <c r="CI44" i="135"/>
  <c r="BL183" i="135"/>
  <c r="BL44" i="135" s="1"/>
  <c r="BA183" i="135"/>
  <c r="BA44" i="135" s="1"/>
  <c r="BT183" i="135"/>
  <c r="BT44" i="135" s="1"/>
  <c r="AS183" i="135"/>
  <c r="AS44" i="135" s="1"/>
  <c r="DM44" i="135"/>
  <c r="AT183" i="135"/>
  <c r="AT44" i="135" s="1"/>
  <c r="EW44" i="135"/>
  <c r="BG183" i="135"/>
  <c r="BG44" i="135" s="1"/>
  <c r="BU183" i="135"/>
  <c r="BU44" i="135" s="1"/>
  <c r="BB183" i="135"/>
  <c r="BW183" i="135"/>
  <c r="BW44" i="135" s="1"/>
  <c r="BM183" i="135"/>
  <c r="BM44" i="135" s="1"/>
  <c r="FB184" i="135"/>
  <c r="EX184" i="135"/>
  <c r="FE184" i="135"/>
  <c r="DP184" i="135"/>
  <c r="AQ182" i="135"/>
  <c r="P182" i="135"/>
  <c r="CG44" i="135"/>
  <c r="CL44" i="135"/>
  <c r="AP182" i="135"/>
  <c r="C187" i="135"/>
  <c r="T187" i="135" s="1"/>
  <c r="FA184" i="135"/>
  <c r="FF184" i="135"/>
  <c r="DS184" i="135"/>
  <c r="DU184" i="135"/>
  <c r="CD44" i="135"/>
  <c r="CH44" i="135"/>
  <c r="CU10" i="135"/>
  <c r="CU21" i="135"/>
  <c r="CU14" i="135"/>
  <c r="CP14" i="135"/>
  <c r="CP21" i="135"/>
  <c r="CP10" i="135"/>
  <c r="AH186" i="135" l="1"/>
  <c r="AB186" i="135"/>
  <c r="X186" i="135"/>
  <c r="CE186" i="135" s="1"/>
  <c r="AG186" i="135"/>
  <c r="Y186" i="135"/>
  <c r="DM186" i="135" s="1"/>
  <c r="Z186" i="135"/>
  <c r="AD186" i="135"/>
  <c r="AC186" i="135"/>
  <c r="AI186" i="135"/>
  <c r="AL187" i="135"/>
  <c r="AI187" i="135"/>
  <c r="V187" i="135"/>
  <c r="U187" i="135"/>
  <c r="AK187" i="135"/>
  <c r="AJ186" i="135"/>
  <c r="AQ184" i="135"/>
  <c r="P184" i="135"/>
  <c r="EV185" i="135"/>
  <c r="CB185" i="135"/>
  <c r="DL185" i="135"/>
  <c r="K182" i="118"/>
  <c r="K140" i="118"/>
  <c r="BB184" i="135"/>
  <c r="FE185" i="135"/>
  <c r="FI185" i="135"/>
  <c r="EA185" i="135"/>
  <c r="DW185" i="135"/>
  <c r="CN185" i="135"/>
  <c r="CP185" i="135"/>
  <c r="FF185" i="135"/>
  <c r="FH185" i="135"/>
  <c r="CQ185" i="135"/>
  <c r="DU185" i="135"/>
  <c r="CL185" i="135"/>
  <c r="DZ185" i="135"/>
  <c r="CM185" i="135"/>
  <c r="DV185" i="135"/>
  <c r="CO185" i="135"/>
  <c r="FJ185" i="135"/>
  <c r="CK185" i="135"/>
  <c r="FG185" i="135"/>
  <c r="FK185" i="135"/>
  <c r="DX185" i="135"/>
  <c r="DY185" i="135"/>
  <c r="AZ184" i="135"/>
  <c r="BT184" i="135"/>
  <c r="AT184" i="135"/>
  <c r="BO184" i="135"/>
  <c r="AN185" i="135"/>
  <c r="Q185" i="135" s="1"/>
  <c r="BY185" i="135"/>
  <c r="BP185" i="135"/>
  <c r="AW185" i="135"/>
  <c r="BD185" i="135"/>
  <c r="BU184" i="135"/>
  <c r="BW184" i="135"/>
  <c r="CC185" i="135"/>
  <c r="DN185" i="135"/>
  <c r="CG185" i="135"/>
  <c r="CE185" i="135"/>
  <c r="DP185" i="135"/>
  <c r="FD185" i="135"/>
  <c r="FA185" i="135"/>
  <c r="CR186" i="135"/>
  <c r="EC186" i="135"/>
  <c r="CT186" i="135"/>
  <c r="FP186" i="135"/>
  <c r="FQ186" i="135"/>
  <c r="EH186" i="135"/>
  <c r="EJ186" i="135"/>
  <c r="DA186" i="135"/>
  <c r="DB186" i="135"/>
  <c r="DD186" i="135"/>
  <c r="EO186" i="135"/>
  <c r="DF186" i="135"/>
  <c r="DH186" i="135"/>
  <c r="DI186" i="135"/>
  <c r="DK186" i="135"/>
  <c r="FL186" i="135"/>
  <c r="FM186" i="135"/>
  <c r="CU186" i="135"/>
  <c r="CV186" i="135"/>
  <c r="EG186" i="135"/>
  <c r="EI186" i="135"/>
  <c r="FT186" i="135"/>
  <c r="FU186" i="135"/>
  <c r="FW186" i="135"/>
  <c r="FX186" i="135"/>
  <c r="DE186" i="135"/>
  <c r="GA186" i="135"/>
  <c r="ER186" i="135"/>
  <c r="GC186" i="135"/>
  <c r="EU186" i="135"/>
  <c r="EB186" i="135"/>
  <c r="ED186" i="135"/>
  <c r="EE186" i="135"/>
  <c r="EF186" i="135"/>
  <c r="FR186" i="135"/>
  <c r="FS186" i="135"/>
  <c r="CZ186" i="135"/>
  <c r="EL186" i="135"/>
  <c r="EM186" i="135"/>
  <c r="EN186" i="135"/>
  <c r="FZ186" i="135"/>
  <c r="DG186" i="135"/>
  <c r="GB186" i="135"/>
  <c r="CA186" i="135"/>
  <c r="CS186" i="135"/>
  <c r="FN186" i="135"/>
  <c r="FO186" i="135"/>
  <c r="CW186" i="135"/>
  <c r="CX186" i="135"/>
  <c r="CY186" i="135"/>
  <c r="EK186" i="135"/>
  <c r="FV186" i="135"/>
  <c r="DC186" i="135"/>
  <c r="FY186" i="135"/>
  <c r="EP186" i="135"/>
  <c r="EQ186" i="135"/>
  <c r="ES186" i="135"/>
  <c r="BI185" i="135"/>
  <c r="BQ185" i="135"/>
  <c r="AX185" i="135"/>
  <c r="BG184" i="135"/>
  <c r="K183" i="135"/>
  <c r="BB44" i="135"/>
  <c r="M183" i="135"/>
  <c r="BK44" i="135"/>
  <c r="AR44" i="135"/>
  <c r="AP44" i="135" s="1"/>
  <c r="AP183" i="135"/>
  <c r="J183" i="135"/>
  <c r="AQ183" i="135"/>
  <c r="P183" i="135"/>
  <c r="L32" i="131"/>
  <c r="N32" i="131" s="1"/>
  <c r="DQ185" i="135"/>
  <c r="CD185" i="135"/>
  <c r="DT185" i="135"/>
  <c r="DM185" i="135"/>
  <c r="BA184" i="135"/>
  <c r="AS184" i="135"/>
  <c r="BL184" i="135"/>
  <c r="AM186" i="135"/>
  <c r="FK186" i="135"/>
  <c r="BF184" i="135"/>
  <c r="C188" i="135"/>
  <c r="T188" i="135" s="1"/>
  <c r="BM184" i="135"/>
  <c r="N183" i="135"/>
  <c r="BS44" i="135"/>
  <c r="DO185" i="135"/>
  <c r="CJ185" i="135"/>
  <c r="DR185" i="135"/>
  <c r="R184" i="135"/>
  <c r="BS184" i="135"/>
  <c r="BK184" i="135"/>
  <c r="BV184" i="135"/>
  <c r="AR184" i="135"/>
  <c r="AU185" i="135"/>
  <c r="BN185" i="135"/>
  <c r="EY185" i="135"/>
  <c r="EX185" i="135"/>
  <c r="EZ185" i="135"/>
  <c r="BH185" i="135"/>
  <c r="BX185" i="135"/>
  <c r="BC185" i="135"/>
  <c r="AV185" i="135"/>
  <c r="L183" i="135"/>
  <c r="BF44" i="135"/>
  <c r="L44" i="135" s="1"/>
  <c r="R44" i="135"/>
  <c r="CH185" i="135"/>
  <c r="CI185" i="135"/>
  <c r="FB185" i="135"/>
  <c r="EW185" i="135"/>
  <c r="Y187" i="135" l="1"/>
  <c r="AD187" i="135"/>
  <c r="AC187" i="135"/>
  <c r="AJ187" i="135"/>
  <c r="AF187" i="135"/>
  <c r="AG187" i="135"/>
  <c r="X187" i="135"/>
  <c r="Z187" i="135"/>
  <c r="FH187" i="135" s="1"/>
  <c r="U188" i="135"/>
  <c r="AL188" i="135"/>
  <c r="V188" i="135"/>
  <c r="AK188" i="135"/>
  <c r="AJ188" i="135"/>
  <c r="AB187" i="135"/>
  <c r="AH187" i="135"/>
  <c r="K184" i="135"/>
  <c r="EV186" i="135"/>
  <c r="L184" i="135"/>
  <c r="CB186" i="135"/>
  <c r="DL186" i="135"/>
  <c r="K183" i="118"/>
  <c r="K141" i="118"/>
  <c r="DW186" i="135"/>
  <c r="CQ186" i="135"/>
  <c r="FI186" i="135"/>
  <c r="CP186" i="135"/>
  <c r="DZ186" i="135"/>
  <c r="EA186" i="135"/>
  <c r="CO186" i="135"/>
  <c r="M184" i="135"/>
  <c r="DY186" i="135"/>
  <c r="FJ186" i="135"/>
  <c r="AS185" i="135"/>
  <c r="BA185" i="135"/>
  <c r="CM186" i="135"/>
  <c r="CN186" i="135"/>
  <c r="CG186" i="135"/>
  <c r="CH186" i="135"/>
  <c r="CK186" i="135"/>
  <c r="CI186" i="135"/>
  <c r="CJ186" i="135"/>
  <c r="BI186" i="135"/>
  <c r="BQ186" i="135"/>
  <c r="AX186" i="135"/>
  <c r="FG186" i="135"/>
  <c r="FC186" i="135"/>
  <c r="FH186" i="135"/>
  <c r="FE186" i="135"/>
  <c r="FA186" i="135"/>
  <c r="FF186" i="135"/>
  <c r="FB186" i="135"/>
  <c r="FD186" i="135"/>
  <c r="AU186" i="135"/>
  <c r="BN186" i="135"/>
  <c r="BT185" i="135"/>
  <c r="R185" i="135"/>
  <c r="BV185" i="135"/>
  <c r="DO186" i="135"/>
  <c r="DT186" i="135"/>
  <c r="DV186" i="135"/>
  <c r="BU185" i="135"/>
  <c r="BB185" i="135"/>
  <c r="BM185" i="135"/>
  <c r="BW185" i="135"/>
  <c r="BG185" i="135"/>
  <c r="AT185" i="135"/>
  <c r="N184" i="135"/>
  <c r="EW186" i="135"/>
  <c r="EY186" i="135"/>
  <c r="EZ186" i="135"/>
  <c r="EX186" i="135"/>
  <c r="BL185" i="135"/>
  <c r="BF185" i="135"/>
  <c r="L185" i="135" s="1"/>
  <c r="BO185" i="135"/>
  <c r="CQ187" i="135"/>
  <c r="FL187" i="135"/>
  <c r="FL45" i="135" s="1"/>
  <c r="FN187" i="135"/>
  <c r="EE187" i="135"/>
  <c r="FP187" i="135"/>
  <c r="FP45" i="135" s="1"/>
  <c r="FR187" i="135"/>
  <c r="FR45" i="135" s="1"/>
  <c r="FS187" i="135"/>
  <c r="CZ187" i="135"/>
  <c r="DB187" i="135"/>
  <c r="EM187" i="135"/>
  <c r="EN187" i="135"/>
  <c r="FZ187" i="135"/>
  <c r="GA187" i="135"/>
  <c r="GA45" i="135" s="1"/>
  <c r="ER187" i="135"/>
  <c r="EU187" i="135"/>
  <c r="CA187" i="135"/>
  <c r="EA187" i="135"/>
  <c r="CS187" i="135"/>
  <c r="ED187" i="135"/>
  <c r="FO187" i="135"/>
  <c r="FQ187" i="135"/>
  <c r="FQ45" i="135" s="1"/>
  <c r="EH187" i="135"/>
  <c r="EH45" i="135" s="1"/>
  <c r="CY187" i="135"/>
  <c r="EK187" i="135"/>
  <c r="EL187" i="135"/>
  <c r="EL45" i="135" s="1"/>
  <c r="FW187" i="135"/>
  <c r="FW45" i="135" s="1"/>
  <c r="EO187" i="135"/>
  <c r="EO45" i="135" s="1"/>
  <c r="DF187" i="135"/>
  <c r="DG187" i="135"/>
  <c r="DI187" i="135"/>
  <c r="CR187" i="135"/>
  <c r="EC187" i="135"/>
  <c r="CT187" i="135"/>
  <c r="EF187" i="135"/>
  <c r="CW187" i="135"/>
  <c r="CX187" i="135"/>
  <c r="EJ187" i="135"/>
  <c r="EJ45" i="135" s="1"/>
  <c r="DA187" i="135"/>
  <c r="FV187" i="135"/>
  <c r="FV45" i="135" s="1"/>
  <c r="DD187" i="135"/>
  <c r="FY187" i="135"/>
  <c r="EP187" i="135"/>
  <c r="GB187" i="135"/>
  <c r="ES187" i="135"/>
  <c r="DK187" i="135"/>
  <c r="DK45" i="135" s="1"/>
  <c r="FK187" i="135"/>
  <c r="FK45" i="135" s="1"/>
  <c r="EB187" i="135"/>
  <c r="FM187" i="135"/>
  <c r="FM45" i="135" s="1"/>
  <c r="CU187" i="135"/>
  <c r="CV187" i="135"/>
  <c r="EG187" i="135"/>
  <c r="EI187" i="135"/>
  <c r="FT187" i="135"/>
  <c r="FU187" i="135"/>
  <c r="DC187" i="135"/>
  <c r="FX187" i="135"/>
  <c r="FX45" i="135" s="1"/>
  <c r="DE187" i="135"/>
  <c r="EQ187" i="135"/>
  <c r="EQ45" i="135" s="1"/>
  <c r="DH187" i="135"/>
  <c r="GC187" i="135"/>
  <c r="GC45" i="135" s="1"/>
  <c r="DX186" i="135"/>
  <c r="DS186" i="135"/>
  <c r="DN186" i="135"/>
  <c r="AP184" i="135"/>
  <c r="J184" i="135"/>
  <c r="BH186" i="135"/>
  <c r="BC186" i="135"/>
  <c r="BX186" i="135"/>
  <c r="AV186" i="135"/>
  <c r="AW186" i="135"/>
  <c r="BP186" i="135"/>
  <c r="BY186" i="135"/>
  <c r="BD186" i="135"/>
  <c r="AN186" i="135"/>
  <c r="Q186" i="135" s="1"/>
  <c r="AZ185" i="135"/>
  <c r="BK185" i="135"/>
  <c r="P32" i="131"/>
  <c r="F47" i="235" s="1"/>
  <c r="AE23" i="235" s="1"/>
  <c r="AM44" i="135"/>
  <c r="AH45" i="135"/>
  <c r="AD45" i="135"/>
  <c r="DZ187" i="135"/>
  <c r="DZ45" i="135" s="1"/>
  <c r="X45" i="135"/>
  <c r="AB45" i="135"/>
  <c r="AC45" i="135"/>
  <c r="CL186" i="135"/>
  <c r="DU186" i="135"/>
  <c r="DQ186" i="135"/>
  <c r="DR186" i="135"/>
  <c r="DF45" i="135"/>
  <c r="DA45" i="135"/>
  <c r="C189" i="135"/>
  <c r="T189" i="135" s="1"/>
  <c r="CC186" i="135"/>
  <c r="CD186" i="135"/>
  <c r="CF186" i="135"/>
  <c r="BS185" i="135"/>
  <c r="AR185" i="135"/>
  <c r="DP186" i="135"/>
  <c r="P185" i="135"/>
  <c r="AQ185" i="135"/>
  <c r="A3" i="135"/>
  <c r="A2" i="109"/>
  <c r="A2" i="131"/>
  <c r="A2" i="118"/>
  <c r="B14" i="178" s="1"/>
  <c r="D48" i="235" l="1"/>
  <c r="Y24" i="235" s="1"/>
  <c r="Y188" i="135"/>
  <c r="DL188" i="135" s="1"/>
  <c r="AG188" i="135"/>
  <c r="AI188" i="135"/>
  <c r="AB188" i="135"/>
  <c r="AD188" i="135"/>
  <c r="Z188" i="135"/>
  <c r="FC188" i="135" s="1"/>
  <c r="X188" i="135"/>
  <c r="CF188" i="135" s="1"/>
  <c r="AF188" i="135"/>
  <c r="AM188" i="135" s="1"/>
  <c r="BD188" i="135" s="1"/>
  <c r="AL189" i="135"/>
  <c r="V189" i="135"/>
  <c r="U189" i="135"/>
  <c r="AJ189" i="135"/>
  <c r="AK189" i="135"/>
  <c r="AH188" i="135"/>
  <c r="AC188" i="135"/>
  <c r="AQ186" i="135"/>
  <c r="N185" i="135"/>
  <c r="M185" i="135"/>
  <c r="EV187" i="135"/>
  <c r="CB187" i="135"/>
  <c r="DL187" i="135"/>
  <c r="K184" i="118"/>
  <c r="K142" i="118"/>
  <c r="FI187" i="135"/>
  <c r="FI45" i="135" s="1"/>
  <c r="BU186" i="135"/>
  <c r="BA186" i="135"/>
  <c r="CK187" i="135"/>
  <c r="CL187" i="135"/>
  <c r="FG187" i="135"/>
  <c r="DY187" i="135"/>
  <c r="CN187" i="135"/>
  <c r="DV187" i="135"/>
  <c r="DV45" i="135" s="1"/>
  <c r="DU187" i="135"/>
  <c r="DU45" i="135" s="1"/>
  <c r="CP187" i="135"/>
  <c r="DX187" i="135"/>
  <c r="FE187" i="135"/>
  <c r="FE45" i="135" s="1"/>
  <c r="FF187" i="135"/>
  <c r="CM187" i="135"/>
  <c r="FJ187" i="135"/>
  <c r="CO187" i="135"/>
  <c r="DW187" i="135"/>
  <c r="BL186" i="135"/>
  <c r="R186" i="135"/>
  <c r="AZ186" i="135"/>
  <c r="AR186" i="135"/>
  <c r="BF186" i="135"/>
  <c r="BK186" i="135"/>
  <c r="BV186" i="135"/>
  <c r="BO186" i="135"/>
  <c r="BS186" i="135"/>
  <c r="AS186" i="135"/>
  <c r="AP185" i="135"/>
  <c r="J185" i="135"/>
  <c r="P186" i="135"/>
  <c r="CD45" i="135"/>
  <c r="CH187" i="135"/>
  <c r="CD187" i="135"/>
  <c r="CE187" i="135"/>
  <c r="CG187" i="135"/>
  <c r="CJ187" i="135"/>
  <c r="CI187" i="135"/>
  <c r="CF187" i="135"/>
  <c r="CC187" i="135"/>
  <c r="AG45" i="135"/>
  <c r="AX187" i="135"/>
  <c r="AX45" i="135" s="1"/>
  <c r="BQ187" i="135"/>
  <c r="BQ45" i="135" s="1"/>
  <c r="BI187" i="135"/>
  <c r="BI45" i="135" s="1"/>
  <c r="DH45" i="135"/>
  <c r="DC45" i="135"/>
  <c r="CY45" i="135"/>
  <c r="CO45" i="135"/>
  <c r="BM186" i="135"/>
  <c r="BG186" i="135"/>
  <c r="CK45" i="135"/>
  <c r="CM45" i="135"/>
  <c r="BX187" i="135"/>
  <c r="BX45" i="135" s="1"/>
  <c r="O33" i="131"/>
  <c r="L33" i="131" s="1"/>
  <c r="BC187" i="135"/>
  <c r="BC45" i="135" s="1"/>
  <c r="AI45" i="135"/>
  <c r="BH187" i="135"/>
  <c r="BH45" i="135" s="1"/>
  <c r="AV187" i="135"/>
  <c r="AV45" i="135" s="1"/>
  <c r="CV45" i="135"/>
  <c r="CT45" i="135"/>
  <c r="DI45" i="135"/>
  <c r="CS45" i="135"/>
  <c r="DB45" i="135"/>
  <c r="CQ45" i="135"/>
  <c r="CB45" i="135"/>
  <c r="BW186" i="135"/>
  <c r="CH45" i="135"/>
  <c r="CF45" i="135"/>
  <c r="CL45" i="135"/>
  <c r="DP187" i="135"/>
  <c r="DP45" i="135" s="1"/>
  <c r="DQ187" i="135"/>
  <c r="DQ45" i="135" s="1"/>
  <c r="DM187" i="135"/>
  <c r="Y45" i="135"/>
  <c r="E48" i="235" s="1"/>
  <c r="AB24" i="235" s="1"/>
  <c r="DR187" i="135"/>
  <c r="DO187" i="135"/>
  <c r="DO45" i="135" s="1"/>
  <c r="DN187" i="135"/>
  <c r="DN45" i="135" s="1"/>
  <c r="DT187" i="135"/>
  <c r="DS187" i="135"/>
  <c r="DS45" i="135" s="1"/>
  <c r="AW44" i="135"/>
  <c r="BD44" i="135"/>
  <c r="K44" i="135" s="1"/>
  <c r="BP44" i="135"/>
  <c r="M44" i="135" s="1"/>
  <c r="BY44" i="135"/>
  <c r="N44" i="135" s="1"/>
  <c r="AN44" i="135"/>
  <c r="Q44" i="135" s="1"/>
  <c r="DE45" i="135"/>
  <c r="CU45" i="135"/>
  <c r="DD45" i="135"/>
  <c r="CX45" i="135"/>
  <c r="DG45" i="135"/>
  <c r="CZ45" i="135"/>
  <c r="K185" i="135"/>
  <c r="AT186" i="135"/>
  <c r="CJ45" i="135"/>
  <c r="CG45" i="135"/>
  <c r="BT186" i="135"/>
  <c r="C190" i="135"/>
  <c r="T190" i="135" s="1"/>
  <c r="BN187" i="135"/>
  <c r="BN45" i="135" s="1"/>
  <c r="AU187" i="135"/>
  <c r="AU45" i="135" s="1"/>
  <c r="AJ45" i="135"/>
  <c r="AM187" i="135"/>
  <c r="AF45" i="135"/>
  <c r="FA187" i="135"/>
  <c r="FA45" i="135" s="1"/>
  <c r="Z45" i="135"/>
  <c r="FD187" i="135"/>
  <c r="FD45" i="135" s="1"/>
  <c r="EW187" i="135"/>
  <c r="EZ187" i="135"/>
  <c r="EZ45" i="135" s="1"/>
  <c r="FC187" i="135"/>
  <c r="EY187" i="135"/>
  <c r="EY45" i="135" s="1"/>
  <c r="EX187" i="135"/>
  <c r="FB187" i="135"/>
  <c r="EU188" i="135"/>
  <c r="FJ188" i="135"/>
  <c r="FK188" i="135"/>
  <c r="CR188" i="135"/>
  <c r="CT188" i="135"/>
  <c r="EE188" i="135"/>
  <c r="CV188" i="135"/>
  <c r="FR188" i="135"/>
  <c r="EI188" i="135"/>
  <c r="EJ188" i="135"/>
  <c r="FV188" i="135"/>
  <c r="DC188" i="135"/>
  <c r="DD188" i="135"/>
  <c r="DF188" i="135"/>
  <c r="GA188" i="135"/>
  <c r="DH188" i="135"/>
  <c r="DZ188" i="135"/>
  <c r="EA188" i="135"/>
  <c r="CS188" i="135"/>
  <c r="ED188" i="135"/>
  <c r="CU188" i="135"/>
  <c r="EG188" i="135"/>
  <c r="CX188" i="135"/>
  <c r="FS188" i="135"/>
  <c r="FU188" i="135"/>
  <c r="EL188" i="135"/>
  <c r="EM188" i="135"/>
  <c r="FY188" i="135"/>
  <c r="EP188" i="135"/>
  <c r="DG188" i="135"/>
  <c r="ES188" i="135"/>
  <c r="CP188" i="135"/>
  <c r="EB188" i="135"/>
  <c r="EC188" i="135"/>
  <c r="FN188" i="135"/>
  <c r="FP188" i="135"/>
  <c r="CW188" i="135"/>
  <c r="EH188" i="135"/>
  <c r="CZ188" i="135"/>
  <c r="EK188" i="135"/>
  <c r="DB188" i="135"/>
  <c r="EN188" i="135"/>
  <c r="DE188" i="135"/>
  <c r="FZ188" i="135"/>
  <c r="ER188" i="135"/>
  <c r="GC188" i="135"/>
  <c r="DK188" i="135"/>
  <c r="CA188" i="135"/>
  <c r="CQ188" i="135"/>
  <c r="FL188" i="135"/>
  <c r="FM188" i="135"/>
  <c r="FO188" i="135"/>
  <c r="EF188" i="135"/>
  <c r="FQ188" i="135"/>
  <c r="CY188" i="135"/>
  <c r="FT188" i="135"/>
  <c r="DA188" i="135"/>
  <c r="FW188" i="135"/>
  <c r="FX188" i="135"/>
  <c r="EO188" i="135"/>
  <c r="EQ188" i="135"/>
  <c r="GB188" i="135"/>
  <c r="DI188" i="135"/>
  <c r="CW45" i="135"/>
  <c r="CR45" i="135"/>
  <c r="CP45" i="135"/>
  <c r="EU45" i="135"/>
  <c r="BB186" i="135"/>
  <c r="CN45" i="135"/>
  <c r="A1" i="109"/>
  <c r="AG189" i="135" l="1"/>
  <c r="AL190" i="135"/>
  <c r="U190" i="135"/>
  <c r="AI190" i="135"/>
  <c r="V190" i="135"/>
  <c r="AK190" i="135"/>
  <c r="Y189" i="135"/>
  <c r="DO189" i="135" s="1"/>
  <c r="AH189" i="135"/>
  <c r="AI189" i="135"/>
  <c r="BC189" i="135" s="1"/>
  <c r="AF189" i="135"/>
  <c r="AM189" i="135" s="1"/>
  <c r="AD189" i="135"/>
  <c r="X189" i="135"/>
  <c r="AB189" i="135"/>
  <c r="Z189" i="135"/>
  <c r="FC189" i="135" s="1"/>
  <c r="AC189" i="135"/>
  <c r="EV188" i="135"/>
  <c r="FA188" i="135"/>
  <c r="FE188" i="135"/>
  <c r="EX188" i="135"/>
  <c r="FG188" i="135"/>
  <c r="FB188" i="135"/>
  <c r="FI188" i="135"/>
  <c r="EW188" i="135"/>
  <c r="FD188" i="135"/>
  <c r="FF188" i="135"/>
  <c r="EZ188" i="135"/>
  <c r="EY188" i="135"/>
  <c r="FH188" i="135"/>
  <c r="BY188" i="135"/>
  <c r="AW188" i="135"/>
  <c r="AN188" i="135"/>
  <c r="Q188" i="135" s="1"/>
  <c r="BS187" i="135"/>
  <c r="BS45" i="135" s="1"/>
  <c r="BP188" i="135"/>
  <c r="AZ187" i="135"/>
  <c r="BO187" i="135"/>
  <c r="DW188" i="135"/>
  <c r="AR187" i="135"/>
  <c r="DY188" i="135"/>
  <c r="DX188" i="135"/>
  <c r="BV187" i="135"/>
  <c r="BV45" i="135" s="1"/>
  <c r="R187" i="135"/>
  <c r="BF187" i="135"/>
  <c r="BF45" i="135" s="1"/>
  <c r="CI188" i="135"/>
  <c r="CK188" i="135"/>
  <c r="BK187" i="135"/>
  <c r="CO188" i="135"/>
  <c r="CG188" i="135"/>
  <c r="CN188" i="135"/>
  <c r="CB188" i="135"/>
  <c r="CM188" i="135"/>
  <c r="CC188" i="135"/>
  <c r="CH188" i="135"/>
  <c r="K185" i="118"/>
  <c r="K143" i="118"/>
  <c r="CD188" i="135"/>
  <c r="CJ188" i="135"/>
  <c r="BB187" i="135"/>
  <c r="BB45" i="135" s="1"/>
  <c r="CE188" i="135"/>
  <c r="CL188" i="135"/>
  <c r="EW45" i="135"/>
  <c r="BG187" i="135"/>
  <c r="BM187" i="135"/>
  <c r="BM45" i="135" s="1"/>
  <c r="DM45" i="135"/>
  <c r="BT187" i="135"/>
  <c r="BA187" i="135"/>
  <c r="AS187" i="135"/>
  <c r="BL187" i="135"/>
  <c r="BX188" i="135"/>
  <c r="BH188" i="135"/>
  <c r="AV188" i="135"/>
  <c r="BC188" i="135"/>
  <c r="CI45" i="135"/>
  <c r="M186" i="135"/>
  <c r="BK45" i="135"/>
  <c r="K186" i="135"/>
  <c r="AT187" i="135"/>
  <c r="AT45" i="135" s="1"/>
  <c r="AQ44" i="135"/>
  <c r="J44" i="135"/>
  <c r="P44" i="135"/>
  <c r="CJ189" i="135"/>
  <c r="AU188" i="135"/>
  <c r="BN188" i="135"/>
  <c r="N186" i="135"/>
  <c r="L186" i="135"/>
  <c r="BU187" i="135"/>
  <c r="BU45" i="135" s="1"/>
  <c r="BP187" i="135"/>
  <c r="AN187" i="135"/>
  <c r="Q187" i="135" s="1"/>
  <c r="BD187" i="135"/>
  <c r="AW187" i="135"/>
  <c r="BY187" i="135"/>
  <c r="BI188" i="135"/>
  <c r="BQ188" i="135"/>
  <c r="AX188" i="135"/>
  <c r="CC45" i="135"/>
  <c r="BW187" i="135"/>
  <c r="BW45" i="135" s="1"/>
  <c r="C191" i="135"/>
  <c r="T191" i="135" s="1"/>
  <c r="DK189" i="135"/>
  <c r="FO189" i="135"/>
  <c r="CW189" i="135"/>
  <c r="CX189" i="135"/>
  <c r="CY189" i="135"/>
  <c r="DA189" i="135"/>
  <c r="DB189" i="135"/>
  <c r="DC189" i="135"/>
  <c r="FY189" i="135"/>
  <c r="FZ189" i="135"/>
  <c r="EQ189" i="135"/>
  <c r="GC189" i="135"/>
  <c r="EF189" i="135"/>
  <c r="EH189" i="135"/>
  <c r="EK189" i="135"/>
  <c r="EN189" i="135"/>
  <c r="DF189" i="135"/>
  <c r="ES189" i="135"/>
  <c r="EI189" i="135"/>
  <c r="EM189" i="135"/>
  <c r="DG189" i="135"/>
  <c r="CA189" i="135"/>
  <c r="EU189" i="135"/>
  <c r="FN189" i="135"/>
  <c r="FQ189" i="135"/>
  <c r="EJ189" i="135"/>
  <c r="EL189" i="135"/>
  <c r="DE189" i="135"/>
  <c r="ER189" i="135"/>
  <c r="EB189" i="135"/>
  <c r="CV189" i="135"/>
  <c r="CZ189" i="135"/>
  <c r="DD189" i="135"/>
  <c r="DH189" i="135"/>
  <c r="CR189" i="135"/>
  <c r="CU189" i="135"/>
  <c r="FP189" i="135"/>
  <c r="FR189" i="135"/>
  <c r="FS189" i="135"/>
  <c r="FT189" i="135"/>
  <c r="FV189" i="135"/>
  <c r="FW189" i="135"/>
  <c r="FX189" i="135"/>
  <c r="EP189" i="135"/>
  <c r="GA189" i="135"/>
  <c r="GB189" i="135"/>
  <c r="EE189" i="135"/>
  <c r="EG189" i="135"/>
  <c r="FU189" i="135"/>
  <c r="EO189" i="135"/>
  <c r="DI189" i="135"/>
  <c r="DM188" i="135"/>
  <c r="DT188" i="135"/>
  <c r="DQ188" i="135"/>
  <c r="DR188" i="135"/>
  <c r="DO188" i="135"/>
  <c r="DP188" i="135"/>
  <c r="DN188" i="135"/>
  <c r="DU188" i="135"/>
  <c r="DV188" i="135"/>
  <c r="DS188" i="135"/>
  <c r="CE45" i="135"/>
  <c r="AP186" i="135"/>
  <c r="J186" i="135"/>
  <c r="AR45" i="135"/>
  <c r="F31" i="109"/>
  <c r="AV189" i="135" l="1"/>
  <c r="DT189" i="135"/>
  <c r="DU189" i="135"/>
  <c r="AH190" i="135"/>
  <c r="V191" i="135"/>
  <c r="AL191" i="135"/>
  <c r="U191" i="135"/>
  <c r="AF191" i="135"/>
  <c r="AK191" i="135"/>
  <c r="BX189" i="135"/>
  <c r="AJ190" i="135"/>
  <c r="Y190" i="135"/>
  <c r="DU190" i="135" s="1"/>
  <c r="AG190" i="135"/>
  <c r="AD190" i="135"/>
  <c r="BH189" i="135"/>
  <c r="AB190" i="135"/>
  <c r="X190" i="135"/>
  <c r="CK190" i="135" s="1"/>
  <c r="Z190" i="135"/>
  <c r="EZ190" i="135" s="1"/>
  <c r="AC190" i="135"/>
  <c r="AF190" i="135"/>
  <c r="BM188" i="135"/>
  <c r="AT188" i="135"/>
  <c r="BG188" i="135"/>
  <c r="BB188" i="135"/>
  <c r="BW188" i="135"/>
  <c r="BU188" i="135"/>
  <c r="AQ188" i="135"/>
  <c r="DP189" i="135"/>
  <c r="DM189" i="135"/>
  <c r="CL189" i="135"/>
  <c r="CB189" i="135"/>
  <c r="CP189" i="135"/>
  <c r="R188" i="135"/>
  <c r="EY189" i="135"/>
  <c r="EW189" i="135"/>
  <c r="EV189" i="135"/>
  <c r="FF189" i="135"/>
  <c r="BO188" i="135"/>
  <c r="P188" i="135"/>
  <c r="FA189" i="135"/>
  <c r="N33" i="131"/>
  <c r="CO189" i="135"/>
  <c r="BF188" i="135"/>
  <c r="L188" i="135" s="1"/>
  <c r="AR188" i="135"/>
  <c r="BK188" i="135"/>
  <c r="AZ188" i="135"/>
  <c r="BS188" i="135"/>
  <c r="CQ189" i="135"/>
  <c r="CN189" i="135"/>
  <c r="EX189" i="135"/>
  <c r="BV188" i="135"/>
  <c r="DS189" i="135"/>
  <c r="DW189" i="135"/>
  <c r="DQ189" i="135"/>
  <c r="DY189" i="135"/>
  <c r="DL189" i="135"/>
  <c r="DV189" i="135"/>
  <c r="FK189" i="135"/>
  <c r="EZ189" i="135"/>
  <c r="FE189" i="135"/>
  <c r="K186" i="118"/>
  <c r="K144" i="118"/>
  <c r="CK189" i="135"/>
  <c r="CH189" i="135"/>
  <c r="CM189" i="135"/>
  <c r="EA189" i="135"/>
  <c r="CF189" i="135"/>
  <c r="CE189" i="135"/>
  <c r="DZ189" i="135"/>
  <c r="CI189" i="135"/>
  <c r="ED189" i="135"/>
  <c r="FB189" i="135"/>
  <c r="DX189" i="135"/>
  <c r="EC189" i="135"/>
  <c r="FH189" i="135"/>
  <c r="CT189" i="135"/>
  <c r="DR189" i="135"/>
  <c r="CG189" i="135"/>
  <c r="FG189" i="135"/>
  <c r="CC189" i="135"/>
  <c r="FD189" i="135"/>
  <c r="FM189" i="135"/>
  <c r="FJ189" i="135"/>
  <c r="CS189" i="135"/>
  <c r="CD189" i="135"/>
  <c r="BQ189" i="135"/>
  <c r="AX189" i="135"/>
  <c r="BI189" i="135"/>
  <c r="AU189" i="135"/>
  <c r="BN189" i="135"/>
  <c r="BA45" i="135"/>
  <c r="K187" i="135"/>
  <c r="BG45" i="135"/>
  <c r="L45" i="135" s="1"/>
  <c r="L187" i="135"/>
  <c r="BP189" i="135"/>
  <c r="AW189" i="135"/>
  <c r="BD189" i="135"/>
  <c r="BY189" i="135"/>
  <c r="AN189" i="135"/>
  <c r="Q189" i="135" s="1"/>
  <c r="BT188" i="135"/>
  <c r="BA188" i="135"/>
  <c r="AS188" i="135"/>
  <c r="N187" i="135"/>
  <c r="C192" i="135"/>
  <c r="T192" i="135" s="1"/>
  <c r="AQ187" i="135"/>
  <c r="P187" i="135"/>
  <c r="M187" i="135"/>
  <c r="BL45" i="135"/>
  <c r="BL188" i="135"/>
  <c r="FL190" i="135"/>
  <c r="DN189" i="135"/>
  <c r="FI189" i="135"/>
  <c r="FL189" i="135"/>
  <c r="EE190" i="135"/>
  <c r="FP190" i="135"/>
  <c r="CW190" i="135"/>
  <c r="EI190" i="135"/>
  <c r="FT190" i="135"/>
  <c r="DA190" i="135"/>
  <c r="DC190" i="135"/>
  <c r="DD190" i="135"/>
  <c r="EO190" i="135"/>
  <c r="EQ190" i="135"/>
  <c r="GB190" i="135"/>
  <c r="DI190" i="135"/>
  <c r="CA190" i="135"/>
  <c r="FO190" i="135"/>
  <c r="CV190" i="135"/>
  <c r="FR190" i="135"/>
  <c r="FS190" i="135"/>
  <c r="CZ190" i="135"/>
  <c r="FV190" i="135"/>
  <c r="FW190" i="135"/>
  <c r="EN190" i="135"/>
  <c r="FZ190" i="135"/>
  <c r="GA190" i="135"/>
  <c r="DH190" i="135"/>
  <c r="DK190" i="135"/>
  <c r="EU190" i="135"/>
  <c r="EF190" i="135"/>
  <c r="EG190" i="135"/>
  <c r="CX190" i="135"/>
  <c r="EJ190" i="135"/>
  <c r="EK190" i="135"/>
  <c r="DB190" i="135"/>
  <c r="FX190" i="135"/>
  <c r="DE190" i="135"/>
  <c r="DF190" i="135"/>
  <c r="ER190" i="135"/>
  <c r="ES190" i="135"/>
  <c r="CU190" i="135"/>
  <c r="FQ190" i="135"/>
  <c r="EH190" i="135"/>
  <c r="CY190" i="135"/>
  <c r="FU190" i="135"/>
  <c r="EL190" i="135"/>
  <c r="EM190" i="135"/>
  <c r="FY190" i="135"/>
  <c r="EP190" i="135"/>
  <c r="DG190" i="135"/>
  <c r="GC190" i="135"/>
  <c r="AS45" i="135"/>
  <c r="AP45" i="135" s="1"/>
  <c r="AP187" i="135"/>
  <c r="J187" i="135"/>
  <c r="F39" i="109"/>
  <c r="AM45" i="135" l="1"/>
  <c r="X191" i="135"/>
  <c r="CG191" i="135" s="1"/>
  <c r="AH191" i="135"/>
  <c r="Z191" i="135"/>
  <c r="Y191" i="135"/>
  <c r="DR191" i="135" s="1"/>
  <c r="DR46" i="135" s="1"/>
  <c r="AB191" i="135"/>
  <c r="V192" i="135"/>
  <c r="AJ192" i="135"/>
  <c r="AL192" i="135"/>
  <c r="U192" i="135"/>
  <c r="AK192" i="135"/>
  <c r="AJ191" i="135"/>
  <c r="AI191" i="135"/>
  <c r="AD191" i="135"/>
  <c r="AG191" i="135"/>
  <c r="AC191" i="135"/>
  <c r="K188" i="135"/>
  <c r="EV190" i="135"/>
  <c r="FE190" i="135"/>
  <c r="FC190" i="135"/>
  <c r="N188" i="135"/>
  <c r="BL189" i="135"/>
  <c r="DW190" i="135"/>
  <c r="P33" i="131"/>
  <c r="F48" i="235" s="1"/>
  <c r="AE24" i="235" s="1"/>
  <c r="AZ189" i="135"/>
  <c r="AR189" i="135"/>
  <c r="CB190" i="135"/>
  <c r="DL190" i="135"/>
  <c r="R189" i="135"/>
  <c r="BO189" i="135"/>
  <c r="BS189" i="135"/>
  <c r="BV189" i="135"/>
  <c r="BK189" i="135"/>
  <c r="BF189" i="135"/>
  <c r="M188" i="135"/>
  <c r="FK190" i="135"/>
  <c r="K187" i="118"/>
  <c r="K145" i="118"/>
  <c r="AT189" i="135"/>
  <c r="CP190" i="135"/>
  <c r="BA189" i="135"/>
  <c r="BC190" i="135"/>
  <c r="BX190" i="135"/>
  <c r="BH190" i="135"/>
  <c r="AV190" i="135"/>
  <c r="CI190" i="135"/>
  <c r="C193" i="135"/>
  <c r="T193" i="135" s="1"/>
  <c r="AS189" i="135"/>
  <c r="BG189" i="135"/>
  <c r="DP190" i="135"/>
  <c r="DZ190" i="135"/>
  <c r="DS190" i="135"/>
  <c r="DT190" i="135"/>
  <c r="DR190" i="135"/>
  <c r="DY190" i="135"/>
  <c r="DM190" i="135"/>
  <c r="DN190" i="135"/>
  <c r="DO190" i="135"/>
  <c r="DQ190" i="135"/>
  <c r="DK191" i="135"/>
  <c r="DK46" i="135" s="1"/>
  <c r="EU191" i="135"/>
  <c r="EE191" i="135"/>
  <c r="EE46" i="135" s="1"/>
  <c r="CV191" i="135"/>
  <c r="FQ191" i="135"/>
  <c r="FQ46" i="135" s="1"/>
  <c r="CY191" i="135"/>
  <c r="FT191" i="135"/>
  <c r="FT46" i="135" s="1"/>
  <c r="FU191" i="135"/>
  <c r="FU46" i="135" s="1"/>
  <c r="FW191" i="135"/>
  <c r="FW46" i="135" s="1"/>
  <c r="EN191" i="135"/>
  <c r="EN46" i="135" s="1"/>
  <c r="DE191" i="135"/>
  <c r="GA191" i="135"/>
  <c r="GA46" i="135" s="1"/>
  <c r="ER191" i="135"/>
  <c r="ER46" i="135" s="1"/>
  <c r="ES191" i="135"/>
  <c r="ES46" i="135" s="1"/>
  <c r="CA191" i="135"/>
  <c r="FO191" i="135"/>
  <c r="FO46" i="135" s="1"/>
  <c r="FP191" i="135"/>
  <c r="FP46" i="135" s="1"/>
  <c r="EH191" i="135"/>
  <c r="EH46" i="135" s="1"/>
  <c r="FS191" i="135"/>
  <c r="FS46" i="135" s="1"/>
  <c r="CZ191" i="135"/>
  <c r="FV191" i="135"/>
  <c r="FV46" i="135" s="1"/>
  <c r="DC191" i="135"/>
  <c r="FX191" i="135"/>
  <c r="FX46" i="135" s="1"/>
  <c r="EP191" i="135"/>
  <c r="EP46" i="135" s="1"/>
  <c r="DG191" i="135"/>
  <c r="GB191" i="135"/>
  <c r="GB46" i="135" s="1"/>
  <c r="CU191" i="135"/>
  <c r="EG191" i="135"/>
  <c r="EG46" i="135" s="1"/>
  <c r="CX191" i="135"/>
  <c r="EI191" i="135"/>
  <c r="EI46" i="135" s="1"/>
  <c r="EK191" i="135"/>
  <c r="EK46" i="135" s="1"/>
  <c r="DB191" i="135"/>
  <c r="EM191" i="135"/>
  <c r="EM46" i="135" s="1"/>
  <c r="EO191" i="135"/>
  <c r="EO46" i="135" s="1"/>
  <c r="FZ191" i="135"/>
  <c r="FZ46" i="135" s="1"/>
  <c r="EQ191" i="135"/>
  <c r="EQ46" i="135" s="1"/>
  <c r="GC191" i="135"/>
  <c r="GC46" i="135" s="1"/>
  <c r="EF191" i="135"/>
  <c r="EF46" i="135" s="1"/>
  <c r="CW191" i="135"/>
  <c r="FR191" i="135"/>
  <c r="FR46" i="135" s="1"/>
  <c r="EJ191" i="135"/>
  <c r="EJ46" i="135" s="1"/>
  <c r="DA191" i="135"/>
  <c r="EL191" i="135"/>
  <c r="EL46" i="135" s="1"/>
  <c r="DD191" i="135"/>
  <c r="FY191" i="135"/>
  <c r="FY46" i="135" s="1"/>
  <c r="DF191" i="135"/>
  <c r="DH191" i="135"/>
  <c r="DI191" i="135"/>
  <c r="AH46" i="135"/>
  <c r="AC46" i="135"/>
  <c r="AB46" i="135"/>
  <c r="FM190" i="135"/>
  <c r="CR190" i="135"/>
  <c r="FG190" i="135"/>
  <c r="AD46" i="135"/>
  <c r="BW189" i="135"/>
  <c r="BB189" i="135"/>
  <c r="CE190" i="135"/>
  <c r="CC190" i="135"/>
  <c r="CT190" i="135"/>
  <c r="CO190" i="135"/>
  <c r="CG190" i="135"/>
  <c r="CN190" i="135"/>
  <c r="CM190" i="135"/>
  <c r="CH190" i="135"/>
  <c r="CD190" i="135"/>
  <c r="CF190" i="135"/>
  <c r="P189" i="135"/>
  <c r="AQ189" i="135"/>
  <c r="DV190" i="135"/>
  <c r="Z46" i="135"/>
  <c r="BT189" i="135"/>
  <c r="BM189" i="135"/>
  <c r="BU189" i="135"/>
  <c r="EW190" i="135"/>
  <c r="EX190" i="135"/>
  <c r="FN190" i="135"/>
  <c r="FD190" i="135"/>
  <c r="FI190" i="135"/>
  <c r="FB190" i="135"/>
  <c r="FJ190" i="135"/>
  <c r="FH190" i="135"/>
  <c r="FF190" i="135"/>
  <c r="FA190" i="135"/>
  <c r="EY190" i="135"/>
  <c r="BQ190" i="135"/>
  <c r="AX190" i="135"/>
  <c r="BI190" i="135"/>
  <c r="BN190" i="135"/>
  <c r="AU190" i="135"/>
  <c r="CJ190" i="135"/>
  <c r="DX190" i="135"/>
  <c r="CS190" i="135"/>
  <c r="CQ190" i="135"/>
  <c r="AM190" i="135"/>
  <c r="AP188" i="135"/>
  <c r="J188" i="135"/>
  <c r="EB190" i="135"/>
  <c r="EC190" i="135"/>
  <c r="CL190" i="135"/>
  <c r="EA190" i="135"/>
  <c r="ED190" i="135"/>
  <c r="AQ49" i="135"/>
  <c r="G31" i="109"/>
  <c r="L189" i="135" l="1"/>
  <c r="BY45" i="135"/>
  <c r="BP45" i="135"/>
  <c r="AN45" i="135"/>
  <c r="Q45" i="135" s="1"/>
  <c r="AW45" i="135"/>
  <c r="J45" i="135" s="1"/>
  <c r="BD45" i="135"/>
  <c r="Z192" i="135"/>
  <c r="FA192" i="135" s="1"/>
  <c r="AI192" i="135"/>
  <c r="AC192" i="135"/>
  <c r="X192" i="135"/>
  <c r="CE192" i="135" s="1"/>
  <c r="Y192" i="135"/>
  <c r="DY192" i="135" s="1"/>
  <c r="AB192" i="135"/>
  <c r="AG192" i="135"/>
  <c r="AD192" i="135"/>
  <c r="AH192" i="135"/>
  <c r="V193" i="135"/>
  <c r="AK193" i="135"/>
  <c r="AJ193" i="135"/>
  <c r="AL193" i="135"/>
  <c r="U193" i="135"/>
  <c r="AF192" i="135"/>
  <c r="AM192" i="135" s="1"/>
  <c r="K189" i="135"/>
  <c r="J189" i="135"/>
  <c r="K147" i="118" s="1"/>
  <c r="M189" i="135"/>
  <c r="AP189" i="135"/>
  <c r="N189" i="135"/>
  <c r="CB191" i="135"/>
  <c r="EV191" i="135"/>
  <c r="EV46" i="135" s="1"/>
  <c r="DL191" i="135"/>
  <c r="DL46" i="135" s="1"/>
  <c r="K188" i="118"/>
  <c r="K146" i="118"/>
  <c r="K189" i="118"/>
  <c r="CR191" i="135"/>
  <c r="FE191" i="135"/>
  <c r="FE46" i="135" s="1"/>
  <c r="EZ191" i="135"/>
  <c r="EZ46" i="135" s="1"/>
  <c r="CG46" i="135"/>
  <c r="BF190" i="135"/>
  <c r="BV190" i="135"/>
  <c r="BO190" i="135"/>
  <c r="AR190" i="135"/>
  <c r="AZ190" i="135"/>
  <c r="BK190" i="135"/>
  <c r="BS190" i="135"/>
  <c r="AG46" i="135"/>
  <c r="BI191" i="135"/>
  <c r="BI46" i="135" s="1"/>
  <c r="AX191" i="135"/>
  <c r="AX46" i="135" s="1"/>
  <c r="BQ191" i="135"/>
  <c r="BQ46" i="135" s="1"/>
  <c r="DH46" i="135"/>
  <c r="CW46" i="135"/>
  <c r="CR46" i="135"/>
  <c r="DB46" i="135"/>
  <c r="CQ191" i="135"/>
  <c r="DT191" i="135"/>
  <c r="DT46" i="135" s="1"/>
  <c r="CE191" i="135"/>
  <c r="DG46" i="135"/>
  <c r="EA191" i="135"/>
  <c r="EA46" i="135" s="1"/>
  <c r="FB191" i="135"/>
  <c r="FB46" i="135" s="1"/>
  <c r="EB191" i="135"/>
  <c r="EB46" i="135" s="1"/>
  <c r="DW191" i="135"/>
  <c r="DW46" i="135" s="1"/>
  <c r="ED192" i="135"/>
  <c r="AM191" i="135"/>
  <c r="AF46" i="135"/>
  <c r="R190" i="135"/>
  <c r="DQ191" i="135"/>
  <c r="DQ46" i="135" s="1"/>
  <c r="DN191" i="135"/>
  <c r="DN46" i="135" s="1"/>
  <c r="DY191" i="135"/>
  <c r="DY46" i="135" s="1"/>
  <c r="DU191" i="135"/>
  <c r="DU46" i="135" s="1"/>
  <c r="Y46" i="135"/>
  <c r="E49" i="235" s="1"/>
  <c r="AB25" i="235" s="1"/>
  <c r="DM191" i="135"/>
  <c r="DO191" i="135"/>
  <c r="DO46" i="135" s="1"/>
  <c r="DP191" i="135"/>
  <c r="DP46" i="135" s="1"/>
  <c r="DF46" i="135"/>
  <c r="DA46" i="135"/>
  <c r="DZ191" i="135"/>
  <c r="DZ46" i="135" s="1"/>
  <c r="CC191" i="135"/>
  <c r="CK191" i="135"/>
  <c r="CU46" i="135"/>
  <c r="FJ191" i="135"/>
  <c r="FJ46" i="135" s="1"/>
  <c r="CB46" i="135"/>
  <c r="CJ191" i="135"/>
  <c r="CZ46" i="135"/>
  <c r="CP191" i="135"/>
  <c r="FC191" i="135"/>
  <c r="FC46" i="135" s="1"/>
  <c r="DS191" i="135"/>
  <c r="DS46" i="135" s="1"/>
  <c r="CV46" i="135"/>
  <c r="FK191" i="135"/>
  <c r="FK46" i="135" s="1"/>
  <c r="C194" i="135"/>
  <c r="T194" i="135" s="1"/>
  <c r="CR192" i="135"/>
  <c r="DK192" i="135"/>
  <c r="EU192" i="135"/>
  <c r="CU192" i="135"/>
  <c r="FP192" i="135"/>
  <c r="FR192" i="135"/>
  <c r="CY192" i="135"/>
  <c r="EJ192" i="135"/>
  <c r="FV192" i="135"/>
  <c r="FW192" i="135"/>
  <c r="DD192" i="135"/>
  <c r="FZ192" i="135"/>
  <c r="DG192" i="135"/>
  <c r="GB192" i="135"/>
  <c r="EE192" i="135"/>
  <c r="CW192" i="135"/>
  <c r="CX192" i="135"/>
  <c r="FS192" i="135"/>
  <c r="FU192" i="135"/>
  <c r="EL192" i="135"/>
  <c r="EM192" i="135"/>
  <c r="FY192" i="135"/>
  <c r="EP192" i="135"/>
  <c r="EQ192" i="135"/>
  <c r="ES192" i="135"/>
  <c r="CA192" i="135"/>
  <c r="FL192" i="135"/>
  <c r="EF192" i="135"/>
  <c r="EG192" i="135"/>
  <c r="EH192" i="135"/>
  <c r="CZ192" i="135"/>
  <c r="EK192" i="135"/>
  <c r="DB192" i="135"/>
  <c r="EN192" i="135"/>
  <c r="DE192" i="135"/>
  <c r="DF192" i="135"/>
  <c r="DH192" i="135"/>
  <c r="DI192" i="135"/>
  <c r="FO192" i="135"/>
  <c r="CV192" i="135"/>
  <c r="FQ192" i="135"/>
  <c r="EI192" i="135"/>
  <c r="FT192" i="135"/>
  <c r="DA192" i="135"/>
  <c r="DC192" i="135"/>
  <c r="FX192" i="135"/>
  <c r="EO192" i="135"/>
  <c r="GA192" i="135"/>
  <c r="ER192" i="135"/>
  <c r="GC192" i="135"/>
  <c r="AU191" i="135"/>
  <c r="AU46" i="135" s="1"/>
  <c r="AJ46" i="135"/>
  <c r="BN191" i="135"/>
  <c r="BN46" i="135" s="1"/>
  <c r="AT190" i="135"/>
  <c r="BW190" i="135"/>
  <c r="BB190" i="135"/>
  <c r="BU190" i="135"/>
  <c r="BG190" i="135"/>
  <c r="BM190" i="135"/>
  <c r="X46" i="135"/>
  <c r="D49" i="235" s="1"/>
  <c r="Y25" i="235" s="1"/>
  <c r="CD191" i="135"/>
  <c r="AV191" i="135"/>
  <c r="AV46" i="135" s="1"/>
  <c r="BH191" i="135"/>
  <c r="BH46" i="135" s="1"/>
  <c r="O34" i="131"/>
  <c r="AI46" i="135"/>
  <c r="BC191" i="135"/>
  <c r="BC46" i="135" s="1"/>
  <c r="BX191" i="135"/>
  <c r="BX46" i="135" s="1"/>
  <c r="FN191" i="135"/>
  <c r="FN46" i="135" s="1"/>
  <c r="FI191" i="135"/>
  <c r="FI46" i="135" s="1"/>
  <c r="FA191" i="135"/>
  <c r="FA46" i="135" s="1"/>
  <c r="EY191" i="135"/>
  <c r="EY46" i="135" s="1"/>
  <c r="CT191" i="135"/>
  <c r="DX191" i="135"/>
  <c r="DX46" i="135" s="1"/>
  <c r="EX191" i="135"/>
  <c r="EX46" i="135" s="1"/>
  <c r="ED191" i="135"/>
  <c r="ED46" i="135" s="1"/>
  <c r="FF191" i="135"/>
  <c r="FF46" i="135" s="1"/>
  <c r="EW191" i="135"/>
  <c r="EW46" i="135" s="1"/>
  <c r="CA46" i="135"/>
  <c r="DE46" i="135"/>
  <c r="CO191" i="135"/>
  <c r="CH191" i="135"/>
  <c r="CF191" i="135"/>
  <c r="EB192" i="135"/>
  <c r="EC192" i="135"/>
  <c r="BP190" i="135"/>
  <c r="BD190" i="135"/>
  <c r="AW190" i="135"/>
  <c r="BY190" i="135"/>
  <c r="AN190" i="135"/>
  <c r="Q190" i="135" s="1"/>
  <c r="DI46" i="135"/>
  <c r="DD46" i="135"/>
  <c r="FM191" i="135"/>
  <c r="FM46" i="135" s="1"/>
  <c r="FH191" i="135"/>
  <c r="FH46" i="135" s="1"/>
  <c r="FG191" i="135"/>
  <c r="FG46" i="135" s="1"/>
  <c r="CX46" i="135"/>
  <c r="CS191" i="135"/>
  <c r="CL191" i="135"/>
  <c r="FD191" i="135"/>
  <c r="FD46" i="135" s="1"/>
  <c r="DC46" i="135"/>
  <c r="FL191" i="135"/>
  <c r="FL46" i="135" s="1"/>
  <c r="CM191" i="135"/>
  <c r="CI191" i="135"/>
  <c r="CY46" i="135"/>
  <c r="EC191" i="135"/>
  <c r="EC46" i="135" s="1"/>
  <c r="CN191" i="135"/>
  <c r="EU46" i="135"/>
  <c r="DV191" i="135"/>
  <c r="DV46" i="135" s="1"/>
  <c r="BT190" i="135"/>
  <c r="BA190" i="135"/>
  <c r="AS190" i="135"/>
  <c r="BL190" i="135"/>
  <c r="G39" i="109"/>
  <c r="H31" i="109"/>
  <c r="J34" i="131" l="1"/>
  <c r="AQ45" i="135"/>
  <c r="AG193" i="135"/>
  <c r="AB193" i="135"/>
  <c r="AH193" i="135"/>
  <c r="AI193" i="135"/>
  <c r="AF193" i="135"/>
  <c r="AM193" i="135" s="1"/>
  <c r="Y193" i="135"/>
  <c r="DP193" i="135" s="1"/>
  <c r="AC193" i="135"/>
  <c r="X193" i="135"/>
  <c r="CG193" i="135" s="1"/>
  <c r="V194" i="135"/>
  <c r="U194" i="135"/>
  <c r="AL194" i="135"/>
  <c r="AI194" i="135"/>
  <c r="AK194" i="135"/>
  <c r="AD193" i="135"/>
  <c r="Z193" i="135"/>
  <c r="FB193" i="135" s="1"/>
  <c r="CO192" i="135"/>
  <c r="CJ192" i="135"/>
  <c r="CM192" i="135"/>
  <c r="FH192" i="135"/>
  <c r="FG192" i="135"/>
  <c r="EV192" i="135"/>
  <c r="EZ192" i="135"/>
  <c r="CB192" i="135"/>
  <c r="CH192" i="135"/>
  <c r="CP192" i="135"/>
  <c r="CN192" i="135"/>
  <c r="CD192" i="135"/>
  <c r="CI192" i="135"/>
  <c r="DM192" i="135"/>
  <c r="DZ192" i="135"/>
  <c r="DR192" i="135"/>
  <c r="DT192" i="135"/>
  <c r="EW192" i="135"/>
  <c r="FF192" i="135"/>
  <c r="FI192" i="135"/>
  <c r="EA192" i="135"/>
  <c r="DV192" i="135"/>
  <c r="DL192" i="135"/>
  <c r="EY192" i="135"/>
  <c r="DW192" i="135"/>
  <c r="FB192" i="135"/>
  <c r="DO192" i="135"/>
  <c r="CF192" i="135"/>
  <c r="BW191" i="135"/>
  <c r="BW46" i="135" s="1"/>
  <c r="FN192" i="135"/>
  <c r="BO191" i="135"/>
  <c r="BO46" i="135" s="1"/>
  <c r="AT191" i="135"/>
  <c r="AT46" i="135" s="1"/>
  <c r="BM191" i="135"/>
  <c r="BM46" i="135" s="1"/>
  <c r="BB191" i="135"/>
  <c r="BB46" i="135" s="1"/>
  <c r="BG191" i="135"/>
  <c r="BG46" i="135" s="1"/>
  <c r="CS46" i="135"/>
  <c r="CO46" i="135"/>
  <c r="BF191" i="135"/>
  <c r="BK191" i="135"/>
  <c r="BK46" i="135" s="1"/>
  <c r="C195" i="135"/>
  <c r="T195" i="135" s="1"/>
  <c r="CC46" i="135"/>
  <c r="DM46" i="135"/>
  <c r="AS191" i="135"/>
  <c r="BL191" i="135"/>
  <c r="BA191" i="135"/>
  <c r="BA46" i="135" s="1"/>
  <c r="BT191" i="135"/>
  <c r="BT46" i="135" s="1"/>
  <c r="EX192" i="135"/>
  <c r="FM192" i="135"/>
  <c r="FC192" i="135"/>
  <c r="FK192" i="135"/>
  <c r="FD192" i="135"/>
  <c r="N190" i="135"/>
  <c r="BU191" i="135"/>
  <c r="BU46" i="135" s="1"/>
  <c r="CN46" i="135"/>
  <c r="CI46" i="135"/>
  <c r="R191" i="135"/>
  <c r="CD46" i="135"/>
  <c r="CJ46" i="135"/>
  <c r="DU192" i="135"/>
  <c r="DS192" i="135"/>
  <c r="DP192" i="135"/>
  <c r="DN192" i="135"/>
  <c r="BP192" i="135"/>
  <c r="BY192" i="135"/>
  <c r="BD192" i="135"/>
  <c r="AW192" i="135"/>
  <c r="AN192" i="135"/>
  <c r="Q192" i="135" s="1"/>
  <c r="BN192" i="135"/>
  <c r="AU192" i="135"/>
  <c r="CQ46" i="135"/>
  <c r="M190" i="135"/>
  <c r="CM46" i="135"/>
  <c r="AQ190" i="135"/>
  <c r="P190" i="135"/>
  <c r="CF46" i="135"/>
  <c r="AZ191" i="135"/>
  <c r="BV191" i="135"/>
  <c r="BV46" i="135" s="1"/>
  <c r="CT46" i="135"/>
  <c r="K34" i="131"/>
  <c r="M34" i="131"/>
  <c r="CP46" i="135"/>
  <c r="BP191" i="135"/>
  <c r="AN191" i="135"/>
  <c r="Q191" i="135" s="1"/>
  <c r="BD191" i="135"/>
  <c r="AW191" i="135"/>
  <c r="BY191" i="135"/>
  <c r="FE192" i="135"/>
  <c r="AX192" i="135"/>
  <c r="BQ192" i="135"/>
  <c r="BI192" i="135"/>
  <c r="BH192" i="135"/>
  <c r="BX192" i="135"/>
  <c r="BC192" i="135"/>
  <c r="AV192" i="135"/>
  <c r="K190" i="135"/>
  <c r="L190" i="135"/>
  <c r="CL46" i="135"/>
  <c r="CA193" i="135"/>
  <c r="CT193" i="135"/>
  <c r="EF193" i="135"/>
  <c r="CW193" i="135"/>
  <c r="CX193" i="135"/>
  <c r="EJ193" i="135"/>
  <c r="FU193" i="135"/>
  <c r="DB193" i="135"/>
  <c r="FX193" i="135"/>
  <c r="FY193" i="135"/>
  <c r="DF193" i="135"/>
  <c r="ER193" i="135"/>
  <c r="DI193" i="135"/>
  <c r="CR193" i="135"/>
  <c r="EE193" i="135"/>
  <c r="CV193" i="135"/>
  <c r="EG193" i="135"/>
  <c r="FS193" i="135"/>
  <c r="FT193" i="135"/>
  <c r="DA193" i="135"/>
  <c r="FW193" i="135"/>
  <c r="EN193" i="135"/>
  <c r="DE193" i="135"/>
  <c r="EQ193" i="135"/>
  <c r="GB193" i="135"/>
  <c r="ES193" i="135"/>
  <c r="EU193" i="135"/>
  <c r="DK193" i="135"/>
  <c r="CU193" i="135"/>
  <c r="FP193" i="135"/>
  <c r="FR193" i="135"/>
  <c r="CY193" i="135"/>
  <c r="CZ193" i="135"/>
  <c r="FV193" i="135"/>
  <c r="DC193" i="135"/>
  <c r="DD193" i="135"/>
  <c r="FZ193" i="135"/>
  <c r="DG193" i="135"/>
  <c r="DH193" i="135"/>
  <c r="CS193" i="135"/>
  <c r="FO193" i="135"/>
  <c r="FQ193" i="135"/>
  <c r="EH193" i="135"/>
  <c r="EI193" i="135"/>
  <c r="EK193" i="135"/>
  <c r="EL193" i="135"/>
  <c r="EM193" i="135"/>
  <c r="EO193" i="135"/>
  <c r="EP193" i="135"/>
  <c r="GA193" i="135"/>
  <c r="GC193" i="135"/>
  <c r="CH46" i="135"/>
  <c r="BS191" i="135"/>
  <c r="AR191" i="135"/>
  <c r="CK46" i="135"/>
  <c r="FJ192" i="135"/>
  <c r="DQ192" i="135"/>
  <c r="DX192" i="135"/>
  <c r="CC192" i="135"/>
  <c r="CS192" i="135"/>
  <c r="CK192" i="135"/>
  <c r="CG192" i="135"/>
  <c r="CQ192" i="135"/>
  <c r="CL192" i="135"/>
  <c r="CE46" i="135"/>
  <c r="J190" i="135"/>
  <c r="AP190" i="135"/>
  <c r="CT192" i="135"/>
  <c r="CJ21" i="135"/>
  <c r="CJ14" i="135"/>
  <c r="CJ10" i="135"/>
  <c r="H39" i="109"/>
  <c r="I31" i="109"/>
  <c r="AG194" i="135" l="1"/>
  <c r="X194" i="135"/>
  <c r="CO194" i="135" s="1"/>
  <c r="Z194" i="135"/>
  <c r="EV194" i="135" s="1"/>
  <c r="Y194" i="135"/>
  <c r="DX194" i="135" s="1"/>
  <c r="AI195" i="135"/>
  <c r="AL195" i="135"/>
  <c r="AK195" i="135"/>
  <c r="U195" i="135"/>
  <c r="V195" i="135"/>
  <c r="AB194" i="135"/>
  <c r="AJ194" i="135"/>
  <c r="AC194" i="135"/>
  <c r="AD194" i="135"/>
  <c r="AF194" i="135"/>
  <c r="AM194" i="135" s="1"/>
  <c r="BY194" i="135" s="1"/>
  <c r="AH194" i="135"/>
  <c r="FJ193" i="135"/>
  <c r="EV193" i="135"/>
  <c r="FF193" i="135"/>
  <c r="CI193" i="135"/>
  <c r="CE193" i="135"/>
  <c r="CB193" i="135"/>
  <c r="CH193" i="135"/>
  <c r="CJ193" i="135"/>
  <c r="CQ193" i="135"/>
  <c r="CC193" i="135"/>
  <c r="CD193" i="135"/>
  <c r="CP193" i="135"/>
  <c r="CK193" i="135"/>
  <c r="CN193" i="135"/>
  <c r="CL193" i="135"/>
  <c r="CM193" i="135"/>
  <c r="CF193" i="135"/>
  <c r="CO193" i="135"/>
  <c r="DL193" i="135"/>
  <c r="K190" i="118"/>
  <c r="K148" i="118"/>
  <c r="DQ193" i="135"/>
  <c r="EY193" i="135"/>
  <c r="DN193" i="135"/>
  <c r="DY193" i="135"/>
  <c r="AT192" i="135"/>
  <c r="EX193" i="135"/>
  <c r="EW193" i="135"/>
  <c r="DZ193" i="135"/>
  <c r="FD193" i="135"/>
  <c r="FG193" i="135"/>
  <c r="FH193" i="135"/>
  <c r="ED193" i="135"/>
  <c r="DS193" i="135"/>
  <c r="EA193" i="135"/>
  <c r="DR193" i="135"/>
  <c r="BF192" i="135"/>
  <c r="BM192" i="135"/>
  <c r="FK193" i="135"/>
  <c r="DM193" i="135"/>
  <c r="FL193" i="135"/>
  <c r="DV193" i="135"/>
  <c r="DT193" i="135"/>
  <c r="DU193" i="135"/>
  <c r="DX193" i="135"/>
  <c r="L34" i="131"/>
  <c r="N34" i="131" s="1"/>
  <c r="FE193" i="135"/>
  <c r="FM193" i="135"/>
  <c r="DO193" i="135"/>
  <c r="EB193" i="135"/>
  <c r="FC193" i="135"/>
  <c r="P192" i="135"/>
  <c r="AQ192" i="135"/>
  <c r="AS192" i="135"/>
  <c r="BA192" i="135"/>
  <c r="BL192" i="135"/>
  <c r="C196" i="135"/>
  <c r="T196" i="135" s="1"/>
  <c r="R46" i="135"/>
  <c r="AQ191" i="135"/>
  <c r="P191" i="135"/>
  <c r="BV192" i="135"/>
  <c r="BW192" i="135"/>
  <c r="FN193" i="135"/>
  <c r="EZ193" i="135"/>
  <c r="FA193" i="135"/>
  <c r="FI193" i="135"/>
  <c r="DW193" i="135"/>
  <c r="EC193" i="135"/>
  <c r="BN193" i="135"/>
  <c r="AU193" i="135"/>
  <c r="BT192" i="135"/>
  <c r="AR46" i="135"/>
  <c r="J191" i="135"/>
  <c r="AZ46" i="135"/>
  <c r="K191" i="135"/>
  <c r="BP193" i="135"/>
  <c r="BY193" i="135"/>
  <c r="BD193" i="135"/>
  <c r="AW193" i="135"/>
  <c r="AN193" i="135"/>
  <c r="Q193" i="135" s="1"/>
  <c r="BQ193" i="135"/>
  <c r="BI193" i="135"/>
  <c r="AX193" i="135"/>
  <c r="M191" i="135"/>
  <c r="BL46" i="135"/>
  <c r="BO192" i="135"/>
  <c r="BS192" i="135"/>
  <c r="BK192" i="135"/>
  <c r="R192" i="135"/>
  <c r="AZ192" i="135"/>
  <c r="DK194" i="135"/>
  <c r="FL194" i="135"/>
  <c r="FN194" i="135"/>
  <c r="EF194" i="135"/>
  <c r="EH194" i="135"/>
  <c r="EJ194" i="135"/>
  <c r="DB194" i="135"/>
  <c r="FY194" i="135"/>
  <c r="ER194" i="135"/>
  <c r="EB194" i="135"/>
  <c r="EE194" i="135"/>
  <c r="CW194" i="135"/>
  <c r="FT194" i="135"/>
  <c r="FW194" i="135"/>
  <c r="EO194" i="135"/>
  <c r="GB194" i="135"/>
  <c r="CA194" i="135"/>
  <c r="CR194" i="135"/>
  <c r="ED194" i="135"/>
  <c r="CU194" i="135"/>
  <c r="FP194" i="135"/>
  <c r="CX194" i="135"/>
  <c r="CY194" i="135"/>
  <c r="CZ194" i="135"/>
  <c r="FV194" i="135"/>
  <c r="DC194" i="135"/>
  <c r="DD194" i="135"/>
  <c r="EP194" i="135"/>
  <c r="EQ194" i="135"/>
  <c r="DH194" i="135"/>
  <c r="EC194" i="135"/>
  <c r="CT194" i="135"/>
  <c r="EG194" i="135"/>
  <c r="FS194" i="135"/>
  <c r="EL194" i="135"/>
  <c r="DE194" i="135"/>
  <c r="GA194" i="135"/>
  <c r="FM194" i="135"/>
  <c r="FQ194" i="135"/>
  <c r="FU194" i="135"/>
  <c r="FX194" i="135"/>
  <c r="DF194" i="135"/>
  <c r="ES194" i="135"/>
  <c r="CS194" i="135"/>
  <c r="CV194" i="135"/>
  <c r="EI194" i="135"/>
  <c r="DA194" i="135"/>
  <c r="EN194" i="135"/>
  <c r="DG194" i="135"/>
  <c r="DI194" i="135"/>
  <c r="EU194" i="135"/>
  <c r="FO194" i="135"/>
  <c r="FR194" i="135"/>
  <c r="EK194" i="135"/>
  <c r="EM194" i="135"/>
  <c r="FZ194" i="135"/>
  <c r="GC194" i="135"/>
  <c r="N191" i="135"/>
  <c r="BS46" i="135"/>
  <c r="AR192" i="135"/>
  <c r="BH193" i="135"/>
  <c r="BX193" i="135"/>
  <c r="AV193" i="135"/>
  <c r="BC193" i="135"/>
  <c r="BB192" i="135"/>
  <c r="BU192" i="135"/>
  <c r="BG192" i="135"/>
  <c r="AP191" i="135"/>
  <c r="AS46" i="135"/>
  <c r="BF46" i="135"/>
  <c r="L46" i="135" s="1"/>
  <c r="L191" i="135"/>
  <c r="I39" i="109"/>
  <c r="J31" i="109"/>
  <c r="AF195" i="135" l="1"/>
  <c r="AH195" i="135"/>
  <c r="AJ195" i="135"/>
  <c r="P34" i="131"/>
  <c r="F49" i="235" s="1"/>
  <c r="AE25" i="235" s="1"/>
  <c r="AC195" i="135"/>
  <c r="AD195" i="135"/>
  <c r="AB195" i="135"/>
  <c r="AG195" i="135"/>
  <c r="X195" i="135"/>
  <c r="CB195" i="135" s="1"/>
  <c r="Z195" i="135"/>
  <c r="FB195" i="135" s="1"/>
  <c r="Y195" i="135"/>
  <c r="DW195" i="135" s="1"/>
  <c r="AL196" i="135"/>
  <c r="U196" i="135"/>
  <c r="V196" i="135"/>
  <c r="AK196" i="135"/>
  <c r="AJ196" i="135"/>
  <c r="CI194" i="135"/>
  <c r="CJ194" i="135"/>
  <c r="CH194" i="135"/>
  <c r="L192" i="135"/>
  <c r="AN194" i="135"/>
  <c r="Q194" i="135" s="1"/>
  <c r="AW194" i="135"/>
  <c r="AR193" i="135"/>
  <c r="AP46" i="135"/>
  <c r="BD194" i="135"/>
  <c r="CQ194" i="135"/>
  <c r="CG194" i="135"/>
  <c r="CB194" i="135"/>
  <c r="CP194" i="135"/>
  <c r="CN194" i="135"/>
  <c r="CM194" i="135"/>
  <c r="CF194" i="135"/>
  <c r="DL194" i="135"/>
  <c r="CC194" i="135"/>
  <c r="CE194" i="135"/>
  <c r="CK194" i="135"/>
  <c r="CD194" i="135"/>
  <c r="CL194" i="135"/>
  <c r="BS193" i="135"/>
  <c r="AZ193" i="135"/>
  <c r="BO193" i="135"/>
  <c r="BF193" i="135"/>
  <c r="AM46" i="135"/>
  <c r="BD46" i="135" s="1"/>
  <c r="K46" i="135" s="1"/>
  <c r="R193" i="135"/>
  <c r="BK193" i="135"/>
  <c r="FD194" i="135"/>
  <c r="BV193" i="135"/>
  <c r="K191" i="118"/>
  <c r="K149" i="118"/>
  <c r="BP194" i="135"/>
  <c r="BM193" i="135"/>
  <c r="BB193" i="135"/>
  <c r="M192" i="135"/>
  <c r="AT193" i="135"/>
  <c r="BA193" i="135"/>
  <c r="BG193" i="135"/>
  <c r="AS193" i="135"/>
  <c r="BT193" i="135"/>
  <c r="CA195" i="135"/>
  <c r="DK195" i="135"/>
  <c r="FL195" i="135"/>
  <c r="EB195" i="135"/>
  <c r="FM195" i="135"/>
  <c r="CU195" i="135"/>
  <c r="CV195" i="135"/>
  <c r="FQ195" i="135"/>
  <c r="FS195" i="135"/>
  <c r="FT195" i="135"/>
  <c r="DA195" i="135"/>
  <c r="EM195" i="135"/>
  <c r="EN195" i="135"/>
  <c r="DE195" i="135"/>
  <c r="GA195" i="135"/>
  <c r="DH195" i="135"/>
  <c r="GC195" i="135"/>
  <c r="CR195" i="135"/>
  <c r="ED195" i="135"/>
  <c r="EE195" i="135"/>
  <c r="FP195" i="135"/>
  <c r="CX195" i="135"/>
  <c r="EI195" i="135"/>
  <c r="CZ195" i="135"/>
  <c r="DB195" i="135"/>
  <c r="FW195" i="135"/>
  <c r="FX195" i="135"/>
  <c r="EP195" i="135"/>
  <c r="DG195" i="135"/>
  <c r="GB195" i="135"/>
  <c r="FK195" i="135"/>
  <c r="EU195" i="135"/>
  <c r="CS195" i="135"/>
  <c r="CT195" i="135"/>
  <c r="FO195" i="135"/>
  <c r="CW195" i="135"/>
  <c r="EH195" i="135"/>
  <c r="CY195" i="135"/>
  <c r="EK195" i="135"/>
  <c r="FV195" i="135"/>
  <c r="DC195" i="135"/>
  <c r="EO195" i="135"/>
  <c r="DF195" i="135"/>
  <c r="EQ195" i="135"/>
  <c r="ES195" i="135"/>
  <c r="EA195" i="135"/>
  <c r="EC195" i="135"/>
  <c r="FN195" i="135"/>
  <c r="EF195" i="135"/>
  <c r="EG195" i="135"/>
  <c r="FR195" i="135"/>
  <c r="EJ195" i="135"/>
  <c r="FU195" i="135"/>
  <c r="EL195" i="135"/>
  <c r="DD195" i="135"/>
  <c r="FY195" i="135"/>
  <c r="FZ195" i="135"/>
  <c r="ER195" i="135"/>
  <c r="DI195" i="135"/>
  <c r="AP192" i="135"/>
  <c r="J192" i="135"/>
  <c r="AQ193" i="135"/>
  <c r="P193" i="135"/>
  <c r="BL193" i="135"/>
  <c r="AU194" i="135"/>
  <c r="BN194" i="135"/>
  <c r="C197" i="135"/>
  <c r="T197" i="135" s="1"/>
  <c r="BU193" i="135"/>
  <c r="N192" i="135"/>
  <c r="BW193" i="135"/>
  <c r="DO194" i="135"/>
  <c r="DR194" i="135"/>
  <c r="DZ194" i="135"/>
  <c r="DS194" i="135"/>
  <c r="DQ194" i="135"/>
  <c r="DM194" i="135"/>
  <c r="DY194" i="135"/>
  <c r="DV194" i="135"/>
  <c r="EA194" i="135"/>
  <c r="DN194" i="135"/>
  <c r="DP194" i="135"/>
  <c r="DW194" i="135"/>
  <c r="DT194" i="135"/>
  <c r="DU194" i="135"/>
  <c r="FB194" i="135"/>
  <c r="EW194" i="135"/>
  <c r="FI194" i="135"/>
  <c r="FJ194" i="135"/>
  <c r="FH194" i="135"/>
  <c r="FA194" i="135"/>
  <c r="FK194" i="135"/>
  <c r="EZ194" i="135"/>
  <c r="EY194" i="135"/>
  <c r="EX194" i="135"/>
  <c r="FE194" i="135"/>
  <c r="FG194" i="135"/>
  <c r="FC194" i="135"/>
  <c r="FF194" i="135"/>
  <c r="K192" i="135"/>
  <c r="BQ194" i="135"/>
  <c r="AX194" i="135"/>
  <c r="BI194" i="135"/>
  <c r="AV194" i="135"/>
  <c r="BX194" i="135"/>
  <c r="BC194" i="135"/>
  <c r="BH194" i="135"/>
  <c r="J39" i="109"/>
  <c r="K31" i="109"/>
  <c r="AB196" i="135" l="1"/>
  <c r="AC196" i="135"/>
  <c r="AI196" i="135"/>
  <c r="AF196" i="135"/>
  <c r="Z196" i="135"/>
  <c r="AH196" i="135"/>
  <c r="U197" i="135"/>
  <c r="AL197" i="135"/>
  <c r="AK197" i="135"/>
  <c r="AJ197" i="135"/>
  <c r="V197" i="135"/>
  <c r="AG196" i="135"/>
  <c r="AD196" i="135"/>
  <c r="Y196" i="135"/>
  <c r="X196" i="135"/>
  <c r="AW46" i="135"/>
  <c r="J46" i="135" s="1"/>
  <c r="AQ194" i="135"/>
  <c r="FI195" i="135"/>
  <c r="FE195" i="135"/>
  <c r="FD195" i="135"/>
  <c r="FG195" i="135"/>
  <c r="BO194" i="135"/>
  <c r="P194" i="135"/>
  <c r="BY46" i="135"/>
  <c r="N46" i="135" s="1"/>
  <c r="AN46" i="135"/>
  <c r="Q46" i="135" s="1"/>
  <c r="AR194" i="135"/>
  <c r="BP46" i="135"/>
  <c r="M46" i="135" s="1"/>
  <c r="BF194" i="135"/>
  <c r="BS194" i="135"/>
  <c r="R194" i="135"/>
  <c r="FC195" i="135"/>
  <c r="FF195" i="135"/>
  <c r="L193" i="135"/>
  <c r="BV194" i="135"/>
  <c r="AZ194" i="135"/>
  <c r="EY195" i="135"/>
  <c r="EV195" i="135"/>
  <c r="BK194" i="135"/>
  <c r="EX195" i="135"/>
  <c r="EW195" i="135"/>
  <c r="K193" i="135"/>
  <c r="J193" i="135"/>
  <c r="K151" i="118" s="1"/>
  <c r="FA195" i="135"/>
  <c r="EZ195" i="135"/>
  <c r="M193" i="135"/>
  <c r="DL195" i="135"/>
  <c r="FH195" i="135"/>
  <c r="CC195" i="135"/>
  <c r="AP193" i="135"/>
  <c r="DX195" i="135"/>
  <c r="DT195" i="135"/>
  <c r="K194" i="118"/>
  <c r="K193" i="118"/>
  <c r="K150" i="118"/>
  <c r="AM195" i="135"/>
  <c r="AW195" i="135" s="1"/>
  <c r="DO195" i="135"/>
  <c r="CD195" i="135"/>
  <c r="FJ195" i="135"/>
  <c r="DV195" i="135"/>
  <c r="DM195" i="135"/>
  <c r="CF195" i="135"/>
  <c r="CO195" i="135"/>
  <c r="DY195" i="135"/>
  <c r="CE195" i="135"/>
  <c r="DQ195" i="135"/>
  <c r="N193" i="135"/>
  <c r="BT194" i="135"/>
  <c r="AS194" i="135"/>
  <c r="C198" i="135"/>
  <c r="T198" i="135" s="1"/>
  <c r="AU195" i="135"/>
  <c r="BN195" i="135"/>
  <c r="BU194" i="135"/>
  <c r="DZ195" i="135"/>
  <c r="DR195" i="135"/>
  <c r="DN195" i="135"/>
  <c r="CP195" i="135"/>
  <c r="CJ195" i="135"/>
  <c r="CI195" i="135"/>
  <c r="CG195" i="135"/>
  <c r="CL195" i="135"/>
  <c r="CQ195" i="135"/>
  <c r="CM195" i="135"/>
  <c r="CH195" i="135"/>
  <c r="CK195" i="135"/>
  <c r="BX195" i="135"/>
  <c r="BC195" i="135"/>
  <c r="AV195" i="135"/>
  <c r="BH195" i="135"/>
  <c r="DP195" i="135"/>
  <c r="EB196" i="135"/>
  <c r="EC196" i="135"/>
  <c r="FP196" i="135"/>
  <c r="EI196" i="135"/>
  <c r="FU196" i="135"/>
  <c r="EN196" i="135"/>
  <c r="DG196" i="135"/>
  <c r="CW196" i="135"/>
  <c r="EK196" i="135"/>
  <c r="DF196" i="135"/>
  <c r="DK196" i="135"/>
  <c r="EU196" i="135"/>
  <c r="FN196" i="135"/>
  <c r="FO196" i="135"/>
  <c r="EF196" i="135"/>
  <c r="EH196" i="135"/>
  <c r="CY196" i="135"/>
  <c r="EJ196" i="135"/>
  <c r="FV196" i="135"/>
  <c r="DC196" i="135"/>
  <c r="FX196" i="135"/>
  <c r="EP196" i="135"/>
  <c r="EQ196" i="135"/>
  <c r="DH196" i="135"/>
  <c r="CU196" i="135"/>
  <c r="EL196" i="135"/>
  <c r="GA196" i="135"/>
  <c r="FM196" i="135"/>
  <c r="CX196" i="135"/>
  <c r="EM196" i="135"/>
  <c r="ES196" i="135"/>
  <c r="CR196" i="135"/>
  <c r="FL196" i="135"/>
  <c r="CS196" i="135"/>
  <c r="CT196" i="135"/>
  <c r="CV196" i="135"/>
  <c r="FQ196" i="135"/>
  <c r="FR196" i="135"/>
  <c r="CZ196" i="135"/>
  <c r="DA196" i="135"/>
  <c r="DB196" i="135"/>
  <c r="DD196" i="135"/>
  <c r="EO196" i="135"/>
  <c r="FZ196" i="135"/>
  <c r="ER196" i="135"/>
  <c r="DI196" i="135"/>
  <c r="CA196" i="135"/>
  <c r="EE196" i="135"/>
  <c r="EG196" i="135"/>
  <c r="FT196" i="135"/>
  <c r="FW196" i="135"/>
  <c r="FY196" i="135"/>
  <c r="GB196" i="135"/>
  <c r="GC196" i="135"/>
  <c r="ED196" i="135"/>
  <c r="FS196" i="135"/>
  <c r="DE196" i="135"/>
  <c r="BB194" i="135"/>
  <c r="BM194" i="135"/>
  <c r="BW194" i="135"/>
  <c r="AT194" i="135"/>
  <c r="BG194" i="135"/>
  <c r="BI195" i="135"/>
  <c r="AX195" i="135"/>
  <c r="BQ195" i="135"/>
  <c r="CN195" i="135"/>
  <c r="DU195" i="135"/>
  <c r="EX196" i="135"/>
  <c r="CQ196" i="135"/>
  <c r="EA196" i="135"/>
  <c r="BL194" i="135"/>
  <c r="DS195" i="135"/>
  <c r="BA194" i="135"/>
  <c r="K39" i="109"/>
  <c r="L31" i="109"/>
  <c r="Z197" i="135" l="1"/>
  <c r="AM196" i="135"/>
  <c r="BY196" i="135" s="1"/>
  <c r="X197" i="135"/>
  <c r="CN197" i="135" s="1"/>
  <c r="AB197" i="135"/>
  <c r="AH197" i="135"/>
  <c r="AI197" i="135"/>
  <c r="AC197" i="135"/>
  <c r="Y197" i="135"/>
  <c r="DX197" i="135" s="1"/>
  <c r="AD197" i="135"/>
  <c r="AI198" i="135"/>
  <c r="AL198" i="135"/>
  <c r="AK198" i="135"/>
  <c r="V198" i="135"/>
  <c r="U198" i="135"/>
  <c r="AG197" i="135"/>
  <c r="AF197" i="135"/>
  <c r="L194" i="135"/>
  <c r="P46" i="135"/>
  <c r="AQ46" i="135"/>
  <c r="BU195" i="135"/>
  <c r="M194" i="135"/>
  <c r="BW195" i="135"/>
  <c r="AT195" i="135"/>
  <c r="BB195" i="135"/>
  <c r="BY195" i="135"/>
  <c r="BD195" i="135"/>
  <c r="AP194" i="135"/>
  <c r="BP195" i="135"/>
  <c r="AN195" i="135"/>
  <c r="Q195" i="135" s="1"/>
  <c r="DL196" i="135"/>
  <c r="N194" i="135"/>
  <c r="EV196" i="135"/>
  <c r="CB196" i="135"/>
  <c r="BG195" i="135"/>
  <c r="BM195" i="135"/>
  <c r="AS195" i="135"/>
  <c r="CN196" i="135"/>
  <c r="BT195" i="135"/>
  <c r="CT197" i="135"/>
  <c r="DP196" i="135"/>
  <c r="DR196" i="135"/>
  <c r="DY196" i="135"/>
  <c r="CK196" i="135"/>
  <c r="CV197" i="135"/>
  <c r="CU197" i="135"/>
  <c r="CR197" i="135"/>
  <c r="CZ197" i="135"/>
  <c r="BA195" i="135"/>
  <c r="CG196" i="135"/>
  <c r="DO196" i="135"/>
  <c r="DT196" i="135"/>
  <c r="CC196" i="135"/>
  <c r="CP196" i="135"/>
  <c r="DU196" i="135"/>
  <c r="CE196" i="135"/>
  <c r="EZ196" i="135"/>
  <c r="FI196" i="135"/>
  <c r="CF196" i="135"/>
  <c r="DX196" i="135"/>
  <c r="BK195" i="135"/>
  <c r="BO195" i="135"/>
  <c r="AR195" i="135"/>
  <c r="AZ195" i="135"/>
  <c r="R195" i="135"/>
  <c r="BS195" i="135"/>
  <c r="BF195" i="135"/>
  <c r="J194" i="135"/>
  <c r="CS197" i="135"/>
  <c r="BL195" i="135"/>
  <c r="FC196" i="135"/>
  <c r="CL196" i="135"/>
  <c r="DM196" i="135"/>
  <c r="CI196" i="135"/>
  <c r="FG196" i="135"/>
  <c r="DW196" i="135"/>
  <c r="CO196" i="135"/>
  <c r="DV196" i="135"/>
  <c r="DZ196" i="135"/>
  <c r="AQ195" i="135"/>
  <c r="P195" i="135"/>
  <c r="AV196" i="135"/>
  <c r="BC196" i="135"/>
  <c r="BH196" i="135"/>
  <c r="BX196" i="135"/>
  <c r="K194" i="135"/>
  <c r="FA196" i="135"/>
  <c r="FB196" i="135"/>
  <c r="DN196" i="135"/>
  <c r="EY196" i="135"/>
  <c r="FJ196" i="135"/>
  <c r="FK196" i="135"/>
  <c r="DS196" i="135"/>
  <c r="EU197" i="135"/>
  <c r="FW197" i="135"/>
  <c r="DD197" i="135"/>
  <c r="DE197" i="135"/>
  <c r="EQ197" i="135"/>
  <c r="GB197" i="135"/>
  <c r="GC197" i="135"/>
  <c r="DK197" i="135"/>
  <c r="CY197" i="135"/>
  <c r="FV197" i="135"/>
  <c r="DC197" i="135"/>
  <c r="FX197" i="135"/>
  <c r="EP197" i="135"/>
  <c r="DG197" i="135"/>
  <c r="DH197" i="135"/>
  <c r="EM197" i="135"/>
  <c r="FZ197" i="135"/>
  <c r="ES197" i="135"/>
  <c r="CW197" i="135"/>
  <c r="EL197" i="135"/>
  <c r="EO197" i="135"/>
  <c r="GA197" i="135"/>
  <c r="CQ197" i="135"/>
  <c r="CA197" i="135"/>
  <c r="DB197" i="135"/>
  <c r="EN197" i="135"/>
  <c r="FY197" i="135"/>
  <c r="DF197" i="135"/>
  <c r="ER197" i="135"/>
  <c r="DI197" i="135"/>
  <c r="DA197" i="135"/>
  <c r="CX197" i="135"/>
  <c r="EZ197" i="135"/>
  <c r="BI196" i="135"/>
  <c r="AX196" i="135"/>
  <c r="BQ196" i="135"/>
  <c r="AU196" i="135"/>
  <c r="BN196" i="135"/>
  <c r="FF196" i="135"/>
  <c r="CD196" i="135"/>
  <c r="DQ196" i="135"/>
  <c r="CH196" i="135"/>
  <c r="FD196" i="135"/>
  <c r="EW196" i="135"/>
  <c r="CM196" i="135"/>
  <c r="FH196" i="135"/>
  <c r="CJ196" i="135"/>
  <c r="FE196" i="135"/>
  <c r="C199" i="135"/>
  <c r="T199" i="135" s="1"/>
  <c r="BV195" i="135"/>
  <c r="L39" i="109"/>
  <c r="M31" i="109"/>
  <c r="AN196" i="135" l="1"/>
  <c r="Q196" i="135" s="1"/>
  <c r="AW196" i="135"/>
  <c r="P196" i="135" s="1"/>
  <c r="BD196" i="135"/>
  <c r="BP196" i="135"/>
  <c r="CO197" i="135"/>
  <c r="CD197" i="135"/>
  <c r="AH198" i="135"/>
  <c r="AD198" i="135"/>
  <c r="AF198" i="135"/>
  <c r="AM198" i="135" s="1"/>
  <c r="Y198" i="135"/>
  <c r="AJ198" i="135"/>
  <c r="AL199" i="135"/>
  <c r="V199" i="135"/>
  <c r="U199" i="135"/>
  <c r="AK199" i="135"/>
  <c r="X198" i="135"/>
  <c r="AG198" i="135"/>
  <c r="Z198" i="135"/>
  <c r="AC198" i="135"/>
  <c r="AB198" i="135"/>
  <c r="CI197" i="135"/>
  <c r="CM197" i="135"/>
  <c r="CB197" i="135"/>
  <c r="CP197" i="135"/>
  <c r="CH197" i="135"/>
  <c r="CC197" i="135"/>
  <c r="CE197" i="135"/>
  <c r="CG197" i="135"/>
  <c r="CL197" i="135"/>
  <c r="EV197" i="135"/>
  <c r="CK197" i="135"/>
  <c r="DL197" i="135"/>
  <c r="CF197" i="135"/>
  <c r="CJ197" i="135"/>
  <c r="AM197" i="135"/>
  <c r="AN197" i="135" s="1"/>
  <c r="Q197" i="135" s="1"/>
  <c r="K195" i="118"/>
  <c r="K152" i="118"/>
  <c r="L195" i="135"/>
  <c r="K195" i="135"/>
  <c r="AT196" i="135"/>
  <c r="C200" i="135"/>
  <c r="T200" i="135" s="1"/>
  <c r="FA197" i="135"/>
  <c r="DS197" i="135"/>
  <c r="EC197" i="135"/>
  <c r="DP197" i="135"/>
  <c r="DM197" i="135"/>
  <c r="EH197" i="135"/>
  <c r="BB196" i="135"/>
  <c r="EX197" i="135"/>
  <c r="N195" i="135"/>
  <c r="R196" i="135"/>
  <c r="BS196" i="135"/>
  <c r="FS197" i="135"/>
  <c r="AX197" i="135"/>
  <c r="BQ197" i="135"/>
  <c r="BI197" i="135"/>
  <c r="BH197" i="135"/>
  <c r="AV197" i="135"/>
  <c r="BX197" i="135"/>
  <c r="BC197" i="135"/>
  <c r="EW197" i="135"/>
  <c r="EJ197" i="135"/>
  <c r="DO197" i="135"/>
  <c r="DU197" i="135"/>
  <c r="EF197" i="135"/>
  <c r="DZ197" i="135"/>
  <c r="EE197" i="135"/>
  <c r="DY197" i="135"/>
  <c r="BG196" i="135"/>
  <c r="AS196" i="135"/>
  <c r="BA196" i="135"/>
  <c r="BL196" i="135"/>
  <c r="FM197" i="135"/>
  <c r="FE197" i="135"/>
  <c r="M195" i="135"/>
  <c r="AZ196" i="135"/>
  <c r="BF196" i="135"/>
  <c r="BT196" i="135"/>
  <c r="FN197" i="135"/>
  <c r="FQ197" i="135"/>
  <c r="FI197" i="135"/>
  <c r="FC197" i="135"/>
  <c r="FG197" i="135"/>
  <c r="FB197" i="135"/>
  <c r="FO197" i="135"/>
  <c r="FD197" i="135"/>
  <c r="FK197" i="135"/>
  <c r="EY197" i="135"/>
  <c r="FT197" i="135"/>
  <c r="FH197" i="135"/>
  <c r="EG197" i="135"/>
  <c r="EB197" i="135"/>
  <c r="DN197" i="135"/>
  <c r="EI197" i="135"/>
  <c r="DW197" i="135"/>
  <c r="DQ197" i="135"/>
  <c r="DT197" i="135"/>
  <c r="CS198" i="135"/>
  <c r="CA198" i="135"/>
  <c r="FO198" i="135"/>
  <c r="FP198" i="135"/>
  <c r="FR198" i="135"/>
  <c r="DB198" i="135"/>
  <c r="FW198" i="135"/>
  <c r="EO198" i="135"/>
  <c r="EP198" i="135"/>
  <c r="EQ198" i="135"/>
  <c r="ES198" i="135"/>
  <c r="FV198" i="135"/>
  <c r="FZ198" i="135"/>
  <c r="CT198" i="135"/>
  <c r="CU198" i="135"/>
  <c r="FQ198" i="135"/>
  <c r="CY198" i="135"/>
  <c r="FU198" i="135"/>
  <c r="DC198" i="135"/>
  <c r="DD198" i="135"/>
  <c r="DE198" i="135"/>
  <c r="GA198" i="135"/>
  <c r="GB198" i="135"/>
  <c r="GC198" i="135"/>
  <c r="EU198" i="135"/>
  <c r="CW198" i="135"/>
  <c r="DA198" i="135"/>
  <c r="FY198" i="135"/>
  <c r="DI198" i="135"/>
  <c r="FM198" i="135"/>
  <c r="FL198" i="135"/>
  <c r="DK198" i="135"/>
  <c r="FN198" i="135"/>
  <c r="CV198" i="135"/>
  <c r="CX198" i="135"/>
  <c r="FT198" i="135"/>
  <c r="EL198" i="135"/>
  <c r="EM198" i="135"/>
  <c r="FX198" i="135"/>
  <c r="DF198" i="135"/>
  <c r="DG198" i="135"/>
  <c r="DH198" i="135"/>
  <c r="FS198" i="135"/>
  <c r="EN198" i="135"/>
  <c r="ER198" i="135"/>
  <c r="BW196" i="135"/>
  <c r="BM196" i="135"/>
  <c r="FP197" i="135"/>
  <c r="BK196" i="135"/>
  <c r="AR196" i="135"/>
  <c r="FR197" i="135"/>
  <c r="FJ197" i="135"/>
  <c r="BN197" i="135"/>
  <c r="AU197" i="135"/>
  <c r="FU197" i="135"/>
  <c r="ED197" i="135"/>
  <c r="DV197" i="135"/>
  <c r="EA197" i="135"/>
  <c r="DR197" i="135"/>
  <c r="EK197" i="135"/>
  <c r="BU196" i="135"/>
  <c r="FF197" i="135"/>
  <c r="J195" i="135"/>
  <c r="AP195" i="135"/>
  <c r="BO196" i="135"/>
  <c r="BV196" i="135"/>
  <c r="FL197" i="135"/>
  <c r="M39" i="109"/>
  <c r="N31" i="109"/>
  <c r="AQ196" i="135" l="1"/>
  <c r="AG199" i="135"/>
  <c r="X199" i="135"/>
  <c r="CB199" i="135" s="1"/>
  <c r="Z199" i="135"/>
  <c r="EV199" i="135" s="1"/>
  <c r="AF199" i="135"/>
  <c r="AB199" i="135"/>
  <c r="Y199" i="135"/>
  <c r="DL199" i="135" s="1"/>
  <c r="AC199" i="135"/>
  <c r="AI199" i="135"/>
  <c r="AJ199" i="135"/>
  <c r="AH199" i="135"/>
  <c r="AD199" i="135"/>
  <c r="V200" i="135"/>
  <c r="U200" i="135"/>
  <c r="AI200" i="135"/>
  <c r="AK200" i="135"/>
  <c r="AL200" i="135"/>
  <c r="L196" i="135"/>
  <c r="DP198" i="135"/>
  <c r="DL198" i="135"/>
  <c r="AZ197" i="135"/>
  <c r="DR198" i="135"/>
  <c r="DQ198" i="135"/>
  <c r="DO198" i="135"/>
  <c r="DN198" i="135"/>
  <c r="BK197" i="135"/>
  <c r="BV197" i="135"/>
  <c r="BO197" i="135"/>
  <c r="BS197" i="135"/>
  <c r="CB198" i="135"/>
  <c r="AR197" i="135"/>
  <c r="BF197" i="135"/>
  <c r="R197" i="135"/>
  <c r="AW197" i="135"/>
  <c r="AQ197" i="135" s="1"/>
  <c r="BP197" i="135"/>
  <c r="BY197" i="135"/>
  <c r="EV198" i="135"/>
  <c r="DT198" i="135"/>
  <c r="BD197" i="135"/>
  <c r="AP196" i="135"/>
  <c r="K197" i="118"/>
  <c r="K153" i="118"/>
  <c r="BT197" i="135"/>
  <c r="AS197" i="135"/>
  <c r="EW198" i="135"/>
  <c r="EX198" i="135"/>
  <c r="FD198" i="135"/>
  <c r="EY198" i="135"/>
  <c r="EZ198" i="135"/>
  <c r="FB198" i="135"/>
  <c r="FA198" i="135"/>
  <c r="FC198" i="135"/>
  <c r="DY198" i="135"/>
  <c r="EJ198" i="135"/>
  <c r="EC198" i="135"/>
  <c r="EK198" i="135"/>
  <c r="DW198" i="135"/>
  <c r="EI198" i="135"/>
  <c r="EA198" i="135"/>
  <c r="EG198" i="135"/>
  <c r="EE198" i="135"/>
  <c r="EH198" i="135"/>
  <c r="DX198" i="135"/>
  <c r="EF198" i="135"/>
  <c r="ED198" i="135"/>
  <c r="DU198" i="135"/>
  <c r="EB198" i="135"/>
  <c r="DV198" i="135"/>
  <c r="DZ198" i="135"/>
  <c r="BY198" i="135"/>
  <c r="BP198" i="135"/>
  <c r="BD198" i="135"/>
  <c r="AN198" i="135"/>
  <c r="Q198" i="135" s="1"/>
  <c r="AW198" i="135"/>
  <c r="CK198" i="135"/>
  <c r="CQ198" i="135"/>
  <c r="CL198" i="135"/>
  <c r="CO198" i="135"/>
  <c r="CN198" i="135"/>
  <c r="CP198" i="135"/>
  <c r="CM198" i="135"/>
  <c r="N196" i="135"/>
  <c r="BA197" i="135"/>
  <c r="ED199" i="135"/>
  <c r="FO199" i="135"/>
  <c r="FL199" i="135"/>
  <c r="EU199" i="135"/>
  <c r="FQ199" i="135"/>
  <c r="EL199" i="135"/>
  <c r="GA199" i="135"/>
  <c r="DK199" i="135"/>
  <c r="CA199" i="135"/>
  <c r="CR199" i="135"/>
  <c r="FP199" i="135"/>
  <c r="CW199" i="135"/>
  <c r="EH199" i="135"/>
  <c r="EJ199" i="135"/>
  <c r="EK199" i="135"/>
  <c r="DB199" i="135"/>
  <c r="DD199" i="135"/>
  <c r="DE199" i="135"/>
  <c r="DF199" i="135"/>
  <c r="ER199" i="135"/>
  <c r="ES199" i="135"/>
  <c r="FU199" i="135"/>
  <c r="FZ199" i="135"/>
  <c r="FN199" i="135"/>
  <c r="EB199" i="135"/>
  <c r="EC199" i="135"/>
  <c r="CS199" i="135"/>
  <c r="CV199" i="135"/>
  <c r="EF199" i="135"/>
  <c r="EG199" i="135"/>
  <c r="FS199" i="135"/>
  <c r="FT199" i="135"/>
  <c r="DA199" i="135"/>
  <c r="FW199" i="135"/>
  <c r="EN199" i="135"/>
  <c r="FY199" i="135"/>
  <c r="EQ199" i="135"/>
  <c r="GB199" i="135"/>
  <c r="DI199" i="135"/>
  <c r="FR199" i="135"/>
  <c r="DC199" i="135"/>
  <c r="GC199" i="135"/>
  <c r="CT199" i="135"/>
  <c r="FM199" i="135"/>
  <c r="CU199" i="135"/>
  <c r="EE199" i="135"/>
  <c r="CX199" i="135"/>
  <c r="EI199" i="135"/>
  <c r="CZ199" i="135"/>
  <c r="FV199" i="135"/>
  <c r="EM199" i="135"/>
  <c r="FX199" i="135"/>
  <c r="EP199" i="135"/>
  <c r="DG199" i="135"/>
  <c r="DH199" i="135"/>
  <c r="CY199" i="135"/>
  <c r="EO199" i="135"/>
  <c r="CR198" i="135"/>
  <c r="CZ198" i="135"/>
  <c r="J196" i="135"/>
  <c r="FI198" i="135"/>
  <c r="FG198" i="135"/>
  <c r="FF198" i="135"/>
  <c r="FJ198" i="135"/>
  <c r="FE198" i="135"/>
  <c r="FK198" i="135"/>
  <c r="FH198" i="135"/>
  <c r="BI198" i="135"/>
  <c r="AU198" i="135"/>
  <c r="BN198" i="135"/>
  <c r="BB197" i="135"/>
  <c r="AT197" i="135"/>
  <c r="BM197" i="135"/>
  <c r="BW197" i="135"/>
  <c r="BG197" i="135"/>
  <c r="BU197" i="135"/>
  <c r="C201" i="135"/>
  <c r="T201" i="135" s="1"/>
  <c r="BL197" i="135"/>
  <c r="DS198" i="135"/>
  <c r="DM198" i="135"/>
  <c r="K196" i="135"/>
  <c r="M196" i="135"/>
  <c r="BC198" i="135"/>
  <c r="BX198" i="135"/>
  <c r="BH198" i="135"/>
  <c r="AV198" i="135"/>
  <c r="CC198" i="135"/>
  <c r="CJ198" i="135"/>
  <c r="CE198" i="135"/>
  <c r="CD198" i="135"/>
  <c r="CF198" i="135"/>
  <c r="CG198" i="135"/>
  <c r="CI198" i="135"/>
  <c r="CH198" i="135"/>
  <c r="BQ198" i="135"/>
  <c r="AX198" i="135"/>
  <c r="N39" i="109"/>
  <c r="O31" i="109"/>
  <c r="AM199" i="135" l="1"/>
  <c r="AW199" i="135" s="1"/>
  <c r="AC200" i="135"/>
  <c r="Z200" i="135"/>
  <c r="FA200" i="135" s="1"/>
  <c r="AF200" i="135"/>
  <c r="X200" i="135"/>
  <c r="CE200" i="135" s="1"/>
  <c r="Y200" i="135"/>
  <c r="DZ200" i="135" s="1"/>
  <c r="AD200" i="135"/>
  <c r="AH200" i="135"/>
  <c r="AL201" i="135"/>
  <c r="U201" i="135"/>
  <c r="V201" i="135"/>
  <c r="AJ201" i="135"/>
  <c r="AK201" i="135"/>
  <c r="AG200" i="135"/>
  <c r="AB200" i="135"/>
  <c r="AJ200" i="135"/>
  <c r="L197" i="135"/>
  <c r="P197" i="135"/>
  <c r="M197" i="135"/>
  <c r="N197" i="135"/>
  <c r="DX199" i="135"/>
  <c r="CD199" i="135"/>
  <c r="EW199" i="135"/>
  <c r="K198" i="118"/>
  <c r="K154" i="118"/>
  <c r="DM199" i="135"/>
  <c r="BK198" i="135"/>
  <c r="AZ198" i="135"/>
  <c r="BV198" i="135"/>
  <c r="AR198" i="135"/>
  <c r="R198" i="135"/>
  <c r="BS198" i="135"/>
  <c r="BO198" i="135"/>
  <c r="BF198" i="135"/>
  <c r="DR199" i="135"/>
  <c r="DQ199" i="135"/>
  <c r="CO199" i="135"/>
  <c r="CH199" i="135"/>
  <c r="FB199" i="135"/>
  <c r="FF199" i="135"/>
  <c r="EZ199" i="135"/>
  <c r="CI199" i="135"/>
  <c r="CK199" i="135"/>
  <c r="DZ199" i="135"/>
  <c r="AQ198" i="135"/>
  <c r="P198" i="135"/>
  <c r="AP197" i="135"/>
  <c r="J197" i="135"/>
  <c r="BX199" i="135"/>
  <c r="BH199" i="135"/>
  <c r="AV199" i="135"/>
  <c r="BC199" i="135"/>
  <c r="BL198" i="135"/>
  <c r="BA198" i="135"/>
  <c r="EA199" i="135"/>
  <c r="EY199" i="135"/>
  <c r="CL199" i="135"/>
  <c r="FK199" i="135"/>
  <c r="CE199" i="135"/>
  <c r="FG199" i="135"/>
  <c r="CN199" i="135"/>
  <c r="EU200" i="135"/>
  <c r="CT200" i="135"/>
  <c r="DK200" i="135"/>
  <c r="EH200" i="135"/>
  <c r="EI200" i="135"/>
  <c r="FT200" i="135"/>
  <c r="FV200" i="135"/>
  <c r="DC200" i="135"/>
  <c r="EN200" i="135"/>
  <c r="FZ200" i="135"/>
  <c r="GA200" i="135"/>
  <c r="DH200" i="135"/>
  <c r="FP200" i="135"/>
  <c r="FS200" i="135"/>
  <c r="EL200" i="135"/>
  <c r="EO200" i="135"/>
  <c r="DG200" i="135"/>
  <c r="CY200" i="135"/>
  <c r="FW200" i="135"/>
  <c r="EQ200" i="135"/>
  <c r="FO200" i="135"/>
  <c r="ED200" i="135"/>
  <c r="FN200" i="135"/>
  <c r="EG200" i="135"/>
  <c r="CX200" i="135"/>
  <c r="EK200" i="135"/>
  <c r="EM200" i="135"/>
  <c r="EP200" i="135"/>
  <c r="ES200" i="135"/>
  <c r="CU200" i="135"/>
  <c r="CA200" i="135"/>
  <c r="CV200" i="135"/>
  <c r="EJ200" i="135"/>
  <c r="DD200" i="135"/>
  <c r="GB200" i="135"/>
  <c r="EE200" i="135"/>
  <c r="EF200" i="135"/>
  <c r="CW200" i="135"/>
  <c r="FR200" i="135"/>
  <c r="CZ200" i="135"/>
  <c r="FU200" i="135"/>
  <c r="DB200" i="135"/>
  <c r="FX200" i="135"/>
  <c r="FY200" i="135"/>
  <c r="DF200" i="135"/>
  <c r="ER200" i="135"/>
  <c r="GC200" i="135"/>
  <c r="FQ200" i="135"/>
  <c r="DA200" i="135"/>
  <c r="DE200" i="135"/>
  <c r="DI200" i="135"/>
  <c r="AT198" i="135"/>
  <c r="BU198" i="135"/>
  <c r="BG198" i="135"/>
  <c r="BW198" i="135"/>
  <c r="BM198" i="135"/>
  <c r="BB198" i="135"/>
  <c r="BQ199" i="135"/>
  <c r="AX199" i="135"/>
  <c r="BI199" i="135"/>
  <c r="DN199" i="135"/>
  <c r="DO199" i="135"/>
  <c r="DV199" i="135"/>
  <c r="DP199" i="135"/>
  <c r="BN199" i="135"/>
  <c r="AU199" i="135"/>
  <c r="DU199" i="135"/>
  <c r="DW199" i="135"/>
  <c r="C202" i="135"/>
  <c r="T202" i="135" s="1"/>
  <c r="CP199" i="135"/>
  <c r="DY199" i="135"/>
  <c r="FC199" i="135"/>
  <c r="EX199" i="135"/>
  <c r="CQ199" i="135"/>
  <c r="FA199" i="135"/>
  <c r="CJ199" i="135"/>
  <c r="CC199" i="135"/>
  <c r="DS199" i="135"/>
  <c r="BT198" i="135"/>
  <c r="FE199" i="135"/>
  <c r="CF199" i="135"/>
  <c r="CM199" i="135"/>
  <c r="FI199" i="135"/>
  <c r="CG199" i="135"/>
  <c r="FH199" i="135"/>
  <c r="FJ199" i="135"/>
  <c r="FD199" i="135"/>
  <c r="K197" i="135"/>
  <c r="AS198" i="135"/>
  <c r="DT199" i="135"/>
  <c r="O39" i="109"/>
  <c r="P31" i="109"/>
  <c r="AN199" i="135" l="1"/>
  <c r="Q199" i="135" s="1"/>
  <c r="BY199" i="135"/>
  <c r="BP199" i="135"/>
  <c r="BD199" i="135"/>
  <c r="AB201" i="135"/>
  <c r="L198" i="135"/>
  <c r="AC201" i="135"/>
  <c r="AF201" i="135"/>
  <c r="AD201" i="135"/>
  <c r="AG201" i="135"/>
  <c r="X201" i="135"/>
  <c r="Z201" i="135"/>
  <c r="FA201" i="135" s="1"/>
  <c r="V202" i="135"/>
  <c r="AI202" i="135"/>
  <c r="AL202" i="135"/>
  <c r="U202" i="135"/>
  <c r="AK202" i="135"/>
  <c r="Y201" i="135"/>
  <c r="AH201" i="135"/>
  <c r="AI201" i="135"/>
  <c r="EB200" i="135"/>
  <c r="FM200" i="135"/>
  <c r="CS200" i="135"/>
  <c r="FL200" i="135"/>
  <c r="CR200" i="135"/>
  <c r="EC200" i="135"/>
  <c r="DL200" i="135"/>
  <c r="AM200" i="135"/>
  <c r="AN200" i="135" s="1"/>
  <c r="Q200" i="135" s="1"/>
  <c r="EV200" i="135"/>
  <c r="CB200" i="135"/>
  <c r="AQ199" i="135"/>
  <c r="K200" i="118"/>
  <c r="K155" i="118"/>
  <c r="BT199" i="135"/>
  <c r="AS199" i="135"/>
  <c r="FH200" i="135"/>
  <c r="FI200" i="135"/>
  <c r="P199" i="135"/>
  <c r="FG200" i="135"/>
  <c r="FJ200" i="135"/>
  <c r="EW200" i="135"/>
  <c r="AT199" i="135"/>
  <c r="BQ200" i="135"/>
  <c r="FE200" i="135"/>
  <c r="FD200" i="135"/>
  <c r="FK200" i="135"/>
  <c r="BL199" i="135"/>
  <c r="FF200" i="135"/>
  <c r="EA200" i="135"/>
  <c r="DX200" i="135"/>
  <c r="CQ200" i="135"/>
  <c r="CP200" i="135"/>
  <c r="DN200" i="135"/>
  <c r="CC200" i="135"/>
  <c r="CH200" i="135"/>
  <c r="EY200" i="135"/>
  <c r="BM199" i="135"/>
  <c r="DX201" i="135"/>
  <c r="BS199" i="135"/>
  <c r="AP198" i="135"/>
  <c r="J198" i="135"/>
  <c r="AU200" i="135"/>
  <c r="BN200" i="135"/>
  <c r="CJ200" i="135"/>
  <c r="CD200" i="135"/>
  <c r="DY200" i="135"/>
  <c r="DP200" i="135"/>
  <c r="DQ200" i="135"/>
  <c r="CL200" i="135"/>
  <c r="CO200" i="135"/>
  <c r="CM200" i="135"/>
  <c r="DR200" i="135"/>
  <c r="CI200" i="135"/>
  <c r="DU200" i="135"/>
  <c r="BB199" i="135"/>
  <c r="BU199" i="135"/>
  <c r="DK201" i="135"/>
  <c r="CS201" i="135"/>
  <c r="DY201" i="135"/>
  <c r="EU201" i="135"/>
  <c r="DL201" i="135"/>
  <c r="CT201" i="135"/>
  <c r="EI201" i="135"/>
  <c r="FT201" i="135"/>
  <c r="FV201" i="135"/>
  <c r="FW201" i="135"/>
  <c r="FX201" i="135"/>
  <c r="EP201" i="135"/>
  <c r="GA201" i="135"/>
  <c r="GB201" i="135"/>
  <c r="FP201" i="135"/>
  <c r="EV201" i="135"/>
  <c r="FO201" i="135"/>
  <c r="CU201" i="135"/>
  <c r="EH201" i="135"/>
  <c r="FS201" i="135"/>
  <c r="EK201" i="135"/>
  <c r="DB201" i="135"/>
  <c r="DC201" i="135"/>
  <c r="EO201" i="135"/>
  <c r="DF201" i="135"/>
  <c r="DG201" i="135"/>
  <c r="GC201" i="135"/>
  <c r="EE201" i="135"/>
  <c r="FQ201" i="135"/>
  <c r="CX201" i="135"/>
  <c r="CY201" i="135"/>
  <c r="DA201" i="135"/>
  <c r="EN201" i="135"/>
  <c r="EQ201" i="135"/>
  <c r="DI201" i="135"/>
  <c r="EF201" i="135"/>
  <c r="CA201" i="135"/>
  <c r="EG201" i="135"/>
  <c r="CW201" i="135"/>
  <c r="FR201" i="135"/>
  <c r="CZ201" i="135"/>
  <c r="FU201" i="135"/>
  <c r="EL201" i="135"/>
  <c r="DD201" i="135"/>
  <c r="DE201" i="135"/>
  <c r="FZ201" i="135"/>
  <c r="ER201" i="135"/>
  <c r="ES201" i="135"/>
  <c r="CV201" i="135"/>
  <c r="CB201" i="135"/>
  <c r="CR201" i="135"/>
  <c r="EJ201" i="135"/>
  <c r="EM201" i="135"/>
  <c r="FY201" i="135"/>
  <c r="DH201" i="135"/>
  <c r="R199" i="135"/>
  <c r="BK199" i="135"/>
  <c r="FN201" i="135"/>
  <c r="BA199" i="135"/>
  <c r="AX200" i="135"/>
  <c r="BI200" i="135"/>
  <c r="EZ200" i="135"/>
  <c r="EX200" i="135"/>
  <c r="DO200" i="135"/>
  <c r="FB200" i="135"/>
  <c r="DV200" i="135"/>
  <c r="DM200" i="135"/>
  <c r="FC200" i="135"/>
  <c r="DS200" i="135"/>
  <c r="DT200" i="135"/>
  <c r="BG199" i="135"/>
  <c r="BW199" i="135"/>
  <c r="AR199" i="135"/>
  <c r="BV199" i="135"/>
  <c r="N198" i="135"/>
  <c r="K198" i="135"/>
  <c r="BX200" i="135"/>
  <c r="AV200" i="135"/>
  <c r="BC200" i="135"/>
  <c r="BH200" i="135"/>
  <c r="CF200" i="135"/>
  <c r="CK200" i="135"/>
  <c r="DW200" i="135"/>
  <c r="CN200" i="135"/>
  <c r="CG200" i="135"/>
  <c r="BF199" i="135"/>
  <c r="BO199" i="135"/>
  <c r="AZ199" i="135"/>
  <c r="M198" i="135"/>
  <c r="P39" i="109"/>
  <c r="Q31" i="109"/>
  <c r="AG202" i="135" l="1"/>
  <c r="Y202" i="135"/>
  <c r="AC202" i="135"/>
  <c r="AH202" i="135"/>
  <c r="AB202" i="135"/>
  <c r="AF202" i="135"/>
  <c r="AM202" i="135" s="1"/>
  <c r="AJ202" i="135"/>
  <c r="Z202" i="135"/>
  <c r="X202" i="135"/>
  <c r="CJ202" i="135" s="1"/>
  <c r="AD202" i="135"/>
  <c r="FG201" i="135"/>
  <c r="EA201" i="135"/>
  <c r="ED201" i="135"/>
  <c r="FM201" i="135"/>
  <c r="FL201" i="135"/>
  <c r="DU201" i="135"/>
  <c r="DZ201" i="135"/>
  <c r="EC201" i="135"/>
  <c r="EB201" i="135"/>
  <c r="FK201" i="135"/>
  <c r="FJ201" i="135"/>
  <c r="FH201" i="135"/>
  <c r="FI201" i="135"/>
  <c r="BD200" i="135"/>
  <c r="AW200" i="135"/>
  <c r="AQ200" i="135" s="1"/>
  <c r="BP200" i="135"/>
  <c r="BY200" i="135"/>
  <c r="DP201" i="135"/>
  <c r="FC201" i="135"/>
  <c r="FE201" i="135"/>
  <c r="EX201" i="135"/>
  <c r="DV201" i="135"/>
  <c r="DO201" i="135"/>
  <c r="DN201" i="135"/>
  <c r="DQ201" i="135"/>
  <c r="DT201" i="135"/>
  <c r="FB201" i="135"/>
  <c r="EZ201" i="135"/>
  <c r="DS201" i="135"/>
  <c r="DR201" i="135"/>
  <c r="FF201" i="135"/>
  <c r="EW201" i="135"/>
  <c r="FD201" i="135"/>
  <c r="DZ202" i="135"/>
  <c r="AT200" i="135"/>
  <c r="K201" i="118"/>
  <c r="K156" i="118"/>
  <c r="EY201" i="135"/>
  <c r="AM201" i="135"/>
  <c r="BD201" i="135" s="1"/>
  <c r="DW202" i="135"/>
  <c r="EA202" i="135"/>
  <c r="DX202" i="135"/>
  <c r="BT200" i="135"/>
  <c r="K199" i="135"/>
  <c r="BL200" i="135"/>
  <c r="L199" i="135"/>
  <c r="BA200" i="135"/>
  <c r="R200" i="135"/>
  <c r="CD201" i="135"/>
  <c r="CK201" i="135"/>
  <c r="CI201" i="135"/>
  <c r="CQ201" i="135"/>
  <c r="CH201" i="135"/>
  <c r="CM201" i="135"/>
  <c r="CG201" i="135"/>
  <c r="CE201" i="135"/>
  <c r="CN201" i="135"/>
  <c r="CJ201" i="135"/>
  <c r="CO201" i="135"/>
  <c r="CP201" i="135"/>
  <c r="CC201" i="135"/>
  <c r="CL201" i="135"/>
  <c r="CF201" i="135"/>
  <c r="BK200" i="135"/>
  <c r="BO200" i="135"/>
  <c r="O27" i="131"/>
  <c r="BX201" i="135"/>
  <c r="AV201" i="135"/>
  <c r="BC201" i="135"/>
  <c r="BH201" i="135"/>
  <c r="AP199" i="135"/>
  <c r="J199" i="135"/>
  <c r="DM201" i="135"/>
  <c r="DW201" i="135"/>
  <c r="BH202" i="135"/>
  <c r="AV202" i="135"/>
  <c r="BC202" i="135"/>
  <c r="BX202" i="135"/>
  <c r="BQ201" i="135"/>
  <c r="AX201" i="135"/>
  <c r="BI201" i="135"/>
  <c r="AS200" i="135"/>
  <c r="AZ200" i="135"/>
  <c r="BF200" i="135"/>
  <c r="BV200" i="135"/>
  <c r="C203" i="135"/>
  <c r="T203" i="135" s="1"/>
  <c r="N199" i="135"/>
  <c r="BN201" i="135"/>
  <c r="AU201" i="135"/>
  <c r="EG202" i="135"/>
  <c r="DK202" i="135"/>
  <c r="EE202" i="135"/>
  <c r="CR202" i="135"/>
  <c r="EH202" i="135"/>
  <c r="CQ202" i="135"/>
  <c r="EI202" i="135"/>
  <c r="CP202" i="135"/>
  <c r="CZ202" i="135"/>
  <c r="FU202" i="135"/>
  <c r="EL202" i="135"/>
  <c r="DD202" i="135"/>
  <c r="EO202" i="135"/>
  <c r="EP202" i="135"/>
  <c r="GB202" i="135"/>
  <c r="DI202" i="135"/>
  <c r="FZ202" i="135"/>
  <c r="FQ202" i="135"/>
  <c r="CV202" i="135"/>
  <c r="EU202" i="135"/>
  <c r="DE202" i="135"/>
  <c r="CW202" i="135"/>
  <c r="EC202" i="135"/>
  <c r="DL202" i="135"/>
  <c r="EF202" i="135"/>
  <c r="ED202" i="135"/>
  <c r="CS202" i="135"/>
  <c r="CX202" i="135"/>
  <c r="DY202" i="135"/>
  <c r="CO202" i="135"/>
  <c r="FT202" i="135"/>
  <c r="DA202" i="135"/>
  <c r="FW202" i="135"/>
  <c r="FX202" i="135"/>
  <c r="FY202" i="135"/>
  <c r="DG202" i="135"/>
  <c r="DH202" i="135"/>
  <c r="ES202" i="135"/>
  <c r="DC202" i="135"/>
  <c r="ER202" i="135"/>
  <c r="CB202" i="135"/>
  <c r="CN202" i="135"/>
  <c r="DB202" i="135"/>
  <c r="GA202" i="135"/>
  <c r="CA202" i="135"/>
  <c r="CU202" i="135"/>
  <c r="EB202" i="135"/>
  <c r="FR202" i="135"/>
  <c r="FO202" i="135"/>
  <c r="CT202" i="135"/>
  <c r="CM202" i="135"/>
  <c r="FS202" i="135"/>
  <c r="EJ202" i="135"/>
  <c r="FV202" i="135"/>
  <c r="EN202" i="135"/>
  <c r="EQ202" i="135"/>
  <c r="FP202" i="135"/>
  <c r="CY202" i="135"/>
  <c r="EM202" i="135"/>
  <c r="GC202" i="135"/>
  <c r="EV202" i="135"/>
  <c r="EK202" i="135"/>
  <c r="DF202" i="135"/>
  <c r="FN202" i="135"/>
  <c r="AR200" i="135"/>
  <c r="BS200" i="135"/>
  <c r="BB200" i="135"/>
  <c r="BW200" i="135"/>
  <c r="BU200" i="135"/>
  <c r="BM200" i="135"/>
  <c r="BG200" i="135"/>
  <c r="M199" i="135"/>
  <c r="Q39" i="109"/>
  <c r="R31" i="109"/>
  <c r="U203" i="135" l="1"/>
  <c r="AF203" i="135"/>
  <c r="AL203" i="135"/>
  <c r="V203" i="135"/>
  <c r="AK203" i="135"/>
  <c r="FL202" i="135"/>
  <c r="FL39" i="135" s="1"/>
  <c r="FM202" i="135"/>
  <c r="FM39" i="135" s="1"/>
  <c r="P200" i="135"/>
  <c r="DT202" i="135"/>
  <c r="CD202" i="135"/>
  <c r="CG202" i="135"/>
  <c r="CI202" i="135"/>
  <c r="CH202" i="135"/>
  <c r="CF202" i="135"/>
  <c r="CK202" i="135"/>
  <c r="CE202" i="135"/>
  <c r="AT201" i="135"/>
  <c r="BM201" i="135"/>
  <c r="BW201" i="135"/>
  <c r="CC202" i="135"/>
  <c r="CL202" i="135"/>
  <c r="AN201" i="135"/>
  <c r="Q201" i="135" s="1"/>
  <c r="DO202" i="135"/>
  <c r="DM202" i="135"/>
  <c r="DS202" i="135"/>
  <c r="DV202" i="135"/>
  <c r="DU202" i="135"/>
  <c r="AW201" i="135"/>
  <c r="P201" i="135" s="1"/>
  <c r="BY201" i="135"/>
  <c r="DR202" i="135"/>
  <c r="BG201" i="135"/>
  <c r="DQ202" i="135"/>
  <c r="DP202" i="135"/>
  <c r="BF201" i="135"/>
  <c r="BL201" i="135"/>
  <c r="BK201" i="135"/>
  <c r="AS201" i="135"/>
  <c r="DN202" i="135"/>
  <c r="BB201" i="135"/>
  <c r="BU201" i="135"/>
  <c r="BP201" i="135"/>
  <c r="R201" i="135"/>
  <c r="AI39" i="135"/>
  <c r="BT201" i="135"/>
  <c r="BS201" i="135"/>
  <c r="BV201" i="135"/>
  <c r="BA201" i="135"/>
  <c r="K202" i="118"/>
  <c r="K157" i="118"/>
  <c r="M27" i="131"/>
  <c r="K27" i="131"/>
  <c r="N200" i="135"/>
  <c r="FG202" i="135"/>
  <c r="FK202" i="135"/>
  <c r="FJ202" i="135"/>
  <c r="FI202" i="135"/>
  <c r="FH202" i="135"/>
  <c r="FC202" i="135"/>
  <c r="FF202" i="135"/>
  <c r="FB202" i="135"/>
  <c r="FE202" i="135"/>
  <c r="FD202" i="135"/>
  <c r="BO201" i="135"/>
  <c r="AR201" i="135"/>
  <c r="AZ201" i="135"/>
  <c r="AN202" i="135"/>
  <c r="Q202" i="135" s="1"/>
  <c r="BD202" i="135"/>
  <c r="AW202" i="135"/>
  <c r="BP202" i="135"/>
  <c r="BY202" i="135"/>
  <c r="BH39" i="135"/>
  <c r="BC39" i="135"/>
  <c r="BX39" i="135"/>
  <c r="AV39" i="135"/>
  <c r="AP200" i="135"/>
  <c r="J200" i="135"/>
  <c r="AJ39" i="135"/>
  <c r="AC39" i="135"/>
  <c r="AG39" i="135"/>
  <c r="AH39" i="135"/>
  <c r="AB39" i="135"/>
  <c r="Z39" i="135"/>
  <c r="Y39" i="135"/>
  <c r="E42" i="235" s="1"/>
  <c r="AB18" i="235" s="1"/>
  <c r="M200" i="135"/>
  <c r="AX202" i="135"/>
  <c r="BI202" i="135"/>
  <c r="BQ202" i="135"/>
  <c r="L200" i="135"/>
  <c r="AD39" i="135"/>
  <c r="EZ202" i="135"/>
  <c r="EY202" i="135"/>
  <c r="EX202" i="135"/>
  <c r="EW202" i="135"/>
  <c r="FA202" i="135"/>
  <c r="AU202" i="135"/>
  <c r="BN202" i="135"/>
  <c r="K200" i="135"/>
  <c r="EH39" i="135"/>
  <c r="CA39" i="135"/>
  <c r="FP39" i="135"/>
  <c r="DL39" i="135"/>
  <c r="EC39" i="135"/>
  <c r="EK39" i="135"/>
  <c r="FV39" i="135"/>
  <c r="FW39" i="135"/>
  <c r="FY39" i="135"/>
  <c r="GA39" i="135"/>
  <c r="GC39" i="135"/>
  <c r="EB39" i="135"/>
  <c r="FQ39" i="135"/>
  <c r="EL39" i="135"/>
  <c r="FZ39" i="135"/>
  <c r="ES39" i="135"/>
  <c r="EJ39" i="135"/>
  <c r="EN39" i="135"/>
  <c r="DK39" i="135"/>
  <c r="ED39" i="135"/>
  <c r="FU39" i="135"/>
  <c r="EO39" i="135"/>
  <c r="EQ39" i="135"/>
  <c r="EF39" i="135"/>
  <c r="EM39" i="135"/>
  <c r="ER39" i="135"/>
  <c r="EV39" i="135"/>
  <c r="EI39" i="135"/>
  <c r="EU39" i="135"/>
  <c r="FO39" i="135"/>
  <c r="FX39" i="135"/>
  <c r="GB39" i="135"/>
  <c r="FR39" i="135"/>
  <c r="FN39" i="135"/>
  <c r="EE39" i="135"/>
  <c r="EG39" i="135"/>
  <c r="FS39" i="135"/>
  <c r="FT39" i="135"/>
  <c r="EP39" i="135"/>
  <c r="R39" i="109"/>
  <c r="S31" i="109"/>
  <c r="AG203" i="135" l="1"/>
  <c r="AJ203" i="135"/>
  <c r="AB203" i="135"/>
  <c r="AI203" i="135"/>
  <c r="Z203" i="135"/>
  <c r="X203" i="135"/>
  <c r="AC203" i="135"/>
  <c r="AD203" i="135"/>
  <c r="AH203" i="135"/>
  <c r="Y203" i="135"/>
  <c r="AQ201" i="135"/>
  <c r="AZ202" i="135"/>
  <c r="L201" i="135"/>
  <c r="BV202" i="135"/>
  <c r="R202" i="135"/>
  <c r="AR202" i="135"/>
  <c r="BF202" i="135"/>
  <c r="BO202" i="135"/>
  <c r="BS202" i="135"/>
  <c r="BK202" i="135"/>
  <c r="AP201" i="135"/>
  <c r="BA202" i="135"/>
  <c r="BL202" i="135"/>
  <c r="BT202" i="135"/>
  <c r="AS202" i="135"/>
  <c r="N201" i="135"/>
  <c r="EX39" i="135"/>
  <c r="L27" i="131"/>
  <c r="N27" i="131" s="1"/>
  <c r="CK39" i="135"/>
  <c r="CH39" i="135"/>
  <c r="CP39" i="135"/>
  <c r="CV39" i="135"/>
  <c r="CY39" i="135"/>
  <c r="DH39" i="135"/>
  <c r="DA39" i="135"/>
  <c r="CT39" i="135"/>
  <c r="CS39" i="135"/>
  <c r="FG39" i="135"/>
  <c r="CQ39" i="135"/>
  <c r="X39" i="135"/>
  <c r="D42" i="235" s="1"/>
  <c r="Y18" i="235" s="1"/>
  <c r="FI39" i="135"/>
  <c r="DD39" i="135"/>
  <c r="DG39" i="135"/>
  <c r="CB39" i="135"/>
  <c r="CX39" i="135"/>
  <c r="CC39" i="135"/>
  <c r="CW39" i="135"/>
  <c r="DC39" i="135"/>
  <c r="DE39" i="135"/>
  <c r="DF39" i="135"/>
  <c r="M201" i="135"/>
  <c r="AF39" i="135"/>
  <c r="DI39" i="135"/>
  <c r="CU39" i="135"/>
  <c r="CZ39" i="135"/>
  <c r="DB39" i="135"/>
  <c r="K203" i="118"/>
  <c r="K158" i="118"/>
  <c r="K201" i="135"/>
  <c r="J201" i="135"/>
  <c r="FK39" i="135"/>
  <c r="FJ39" i="135"/>
  <c r="EA39" i="135"/>
  <c r="DW39" i="135"/>
  <c r="DX39" i="135"/>
  <c r="DZ39" i="135"/>
  <c r="FH39" i="135"/>
  <c r="DY39" i="135"/>
  <c r="BB202" i="135"/>
  <c r="BU202" i="135"/>
  <c r="BG202" i="135"/>
  <c r="BM202" i="135"/>
  <c r="BW202" i="135"/>
  <c r="AT202" i="135"/>
  <c r="EY39" i="135"/>
  <c r="EZ39" i="135"/>
  <c r="FF39" i="135"/>
  <c r="FE39" i="135"/>
  <c r="EW39" i="135"/>
  <c r="FB39" i="135"/>
  <c r="FD39" i="135"/>
  <c r="FC39" i="135"/>
  <c r="FA39" i="135"/>
  <c r="AQ202" i="135"/>
  <c r="P202" i="135"/>
  <c r="CA203" i="135"/>
  <c r="DK203" i="135"/>
  <c r="FT203" i="135"/>
  <c r="FR203" i="135"/>
  <c r="EG203" i="135"/>
  <c r="FV203" i="135"/>
  <c r="EN203" i="135"/>
  <c r="EO203" i="135"/>
  <c r="EP203" i="135"/>
  <c r="ER203" i="135"/>
  <c r="ES203" i="135"/>
  <c r="CY203" i="135"/>
  <c r="DL203" i="135"/>
  <c r="FO203" i="135"/>
  <c r="CU203" i="135"/>
  <c r="EM203" i="135"/>
  <c r="DG203" i="135"/>
  <c r="EU203" i="135"/>
  <c r="FX203" i="135"/>
  <c r="GB203" i="135"/>
  <c r="EI203" i="135"/>
  <c r="CV203" i="135"/>
  <c r="EF203" i="135"/>
  <c r="EE203" i="135"/>
  <c r="CZ203" i="135"/>
  <c r="FU203" i="135"/>
  <c r="DB203" i="135"/>
  <c r="DC203" i="135"/>
  <c r="DD203" i="135"/>
  <c r="FZ203" i="135"/>
  <c r="GA203" i="135"/>
  <c r="DH203" i="135"/>
  <c r="FS203" i="135"/>
  <c r="FQ203" i="135"/>
  <c r="EH203" i="135"/>
  <c r="CW203" i="135"/>
  <c r="FP203" i="135"/>
  <c r="EJ203" i="135"/>
  <c r="EK203" i="135"/>
  <c r="DA203" i="135"/>
  <c r="EL203" i="135"/>
  <c r="FW203" i="135"/>
  <c r="FY203" i="135"/>
  <c r="DF203" i="135"/>
  <c r="EQ203" i="135"/>
  <c r="GC203" i="135"/>
  <c r="EV203" i="135"/>
  <c r="CB203" i="135"/>
  <c r="CX203" i="135"/>
  <c r="DE203" i="135"/>
  <c r="DI203" i="135"/>
  <c r="C204" i="135"/>
  <c r="T204" i="135" s="1"/>
  <c r="EC203" i="135"/>
  <c r="FN203" i="135"/>
  <c r="CS203" i="135"/>
  <c r="DM39" i="135"/>
  <c r="DO39" i="135"/>
  <c r="DT39" i="135"/>
  <c r="DU39" i="135"/>
  <c r="DS39" i="135"/>
  <c r="DP39" i="135"/>
  <c r="DV39" i="135"/>
  <c r="DQ39" i="135"/>
  <c r="DN39" i="135"/>
  <c r="DR39" i="135"/>
  <c r="BQ39" i="135"/>
  <c r="BI39" i="135"/>
  <c r="AX39" i="135"/>
  <c r="BN39" i="135"/>
  <c r="AU39" i="135"/>
  <c r="S39" i="109"/>
  <c r="T31" i="109"/>
  <c r="AF204" i="135" l="1"/>
  <c r="U204" i="135"/>
  <c r="V204" i="135"/>
  <c r="AI204" i="135"/>
  <c r="AK204" i="135"/>
  <c r="AL204" i="135"/>
  <c r="CT203" i="135"/>
  <c r="FM203" i="135"/>
  <c r="ED203" i="135"/>
  <c r="AM39" i="135"/>
  <c r="M202" i="135"/>
  <c r="AR39" i="135"/>
  <c r="BS39" i="135"/>
  <c r="AZ39" i="135"/>
  <c r="BV39" i="135"/>
  <c r="K202" i="135"/>
  <c r="CN39" i="135"/>
  <c r="CD39" i="135"/>
  <c r="CL39" i="135"/>
  <c r="BF39" i="135"/>
  <c r="BO39" i="135"/>
  <c r="BK39" i="135"/>
  <c r="CG39" i="135"/>
  <c r="CE39" i="135"/>
  <c r="CJ39" i="135"/>
  <c r="L202" i="135"/>
  <c r="CI39" i="135"/>
  <c r="CF39" i="135"/>
  <c r="CM39" i="135"/>
  <c r="P27" i="131"/>
  <c r="CR39" i="135"/>
  <c r="CO39" i="135"/>
  <c r="CC203" i="135"/>
  <c r="FA203" i="135"/>
  <c r="DY203" i="135"/>
  <c r="AM203" i="135"/>
  <c r="BD203" i="135" s="1"/>
  <c r="K205" i="118"/>
  <c r="K159" i="118"/>
  <c r="FJ203" i="135"/>
  <c r="EB203" i="135"/>
  <c r="FH203" i="135"/>
  <c r="CR203" i="135"/>
  <c r="DV203" i="135"/>
  <c r="DX203" i="135"/>
  <c r="EA203" i="135"/>
  <c r="CO203" i="135"/>
  <c r="FK203" i="135"/>
  <c r="CN203" i="135"/>
  <c r="DW203" i="135"/>
  <c r="DZ203" i="135"/>
  <c r="FG203" i="135"/>
  <c r="CP203" i="135"/>
  <c r="FL203" i="135"/>
  <c r="FF203" i="135"/>
  <c r="FI203" i="135"/>
  <c r="CQ203" i="135"/>
  <c r="CM203" i="135"/>
  <c r="CL203" i="135"/>
  <c r="CJ203" i="135"/>
  <c r="EY203" i="135"/>
  <c r="CD203" i="135"/>
  <c r="EX203" i="135"/>
  <c r="BL39" i="135"/>
  <c r="BA39" i="135"/>
  <c r="AX203" i="135"/>
  <c r="BQ203" i="135"/>
  <c r="BI203" i="135"/>
  <c r="DM203" i="135"/>
  <c r="DQ203" i="135"/>
  <c r="DN203" i="135"/>
  <c r="DS203" i="135"/>
  <c r="DO203" i="135"/>
  <c r="DT203" i="135"/>
  <c r="DP203" i="135"/>
  <c r="DU203" i="135"/>
  <c r="DR203" i="135"/>
  <c r="AV203" i="135"/>
  <c r="BH203" i="135"/>
  <c r="BX203" i="135"/>
  <c r="BC203" i="135"/>
  <c r="CG203" i="135"/>
  <c r="CE203" i="135"/>
  <c r="FD203" i="135"/>
  <c r="FC203" i="135"/>
  <c r="BT39" i="135"/>
  <c r="AP202" i="135"/>
  <c r="J202" i="135"/>
  <c r="N202" i="135"/>
  <c r="AU203" i="135"/>
  <c r="BN203" i="135"/>
  <c r="C205" i="135"/>
  <c r="T205" i="135" s="1"/>
  <c r="FB203" i="135"/>
  <c r="CH203" i="135"/>
  <c r="CF203" i="135"/>
  <c r="EW203" i="135"/>
  <c r="CK203" i="135"/>
  <c r="AT39" i="135"/>
  <c r="BU39" i="135"/>
  <c r="BM39" i="135"/>
  <c r="BW39" i="135"/>
  <c r="CI203" i="135"/>
  <c r="EZ203" i="135"/>
  <c r="FE203" i="135"/>
  <c r="T39" i="109"/>
  <c r="U31" i="109"/>
  <c r="F42" i="235" l="1"/>
  <c r="AE18" i="235" s="1"/>
  <c r="AG204" i="135"/>
  <c r="Z204" i="135"/>
  <c r="Z40" i="135" s="1"/>
  <c r="AB204" i="135"/>
  <c r="AB40" i="135" s="1"/>
  <c r="AH204" i="135"/>
  <c r="AH40" i="135" s="1"/>
  <c r="AC204" i="135"/>
  <c r="AC40" i="135" s="1"/>
  <c r="X204" i="135"/>
  <c r="CC204" i="135" s="1"/>
  <c r="AD204" i="135"/>
  <c r="AD40" i="135" s="1"/>
  <c r="Y204" i="135"/>
  <c r="DN204" i="135" s="1"/>
  <c r="AJ204" i="135"/>
  <c r="AJ40" i="135" s="1"/>
  <c r="AL205" i="135"/>
  <c r="V205" i="135"/>
  <c r="U205" i="135"/>
  <c r="AK205" i="135"/>
  <c r="AF205" i="135"/>
  <c r="AW203" i="135"/>
  <c r="AQ203" i="135" s="1"/>
  <c r="AN203" i="135"/>
  <c r="Q203" i="135" s="1"/>
  <c r="BY203" i="135"/>
  <c r="BP203" i="135"/>
  <c r="AN39" i="135"/>
  <c r="Q39" i="135" s="1"/>
  <c r="AW39" i="135"/>
  <c r="BP39" i="135"/>
  <c r="BD39" i="135"/>
  <c r="BY39" i="135"/>
  <c r="N39" i="135" s="1"/>
  <c r="BG39" i="135"/>
  <c r="L39" i="135" s="1"/>
  <c r="M39" i="135"/>
  <c r="AS39" i="135"/>
  <c r="BB39" i="135"/>
  <c r="R39" i="135"/>
  <c r="K206" i="118"/>
  <c r="K160" i="118"/>
  <c r="BU203" i="135"/>
  <c r="AZ203" i="135"/>
  <c r="BW203" i="135"/>
  <c r="BB203" i="135"/>
  <c r="C206" i="135"/>
  <c r="T206" i="135" s="1"/>
  <c r="BV203" i="135"/>
  <c r="BS203" i="135"/>
  <c r="O28" i="131"/>
  <c r="BG203" i="135"/>
  <c r="BO203" i="135"/>
  <c r="BF203" i="135"/>
  <c r="AR203" i="135"/>
  <c r="BM203" i="135"/>
  <c r="EK204" i="135"/>
  <c r="EK40" i="135" s="1"/>
  <c r="FR204" i="135"/>
  <c r="FR40" i="135" s="1"/>
  <c r="CW204" i="135"/>
  <c r="FL204" i="135"/>
  <c r="FL40" i="135" s="1"/>
  <c r="EH204" i="135"/>
  <c r="EH40" i="135" s="1"/>
  <c r="FI204" i="135"/>
  <c r="DC204" i="135"/>
  <c r="FZ204" i="135"/>
  <c r="FZ40" i="135" s="1"/>
  <c r="FU204" i="135"/>
  <c r="FU40" i="135" s="1"/>
  <c r="CZ204" i="135"/>
  <c r="FG204" i="135"/>
  <c r="FM204" i="135"/>
  <c r="FM40" i="135" s="1"/>
  <c r="EI204" i="135"/>
  <c r="EI40" i="135" s="1"/>
  <c r="CY204" i="135"/>
  <c r="FE204" i="135"/>
  <c r="EG204" i="135"/>
  <c r="EG40" i="135" s="1"/>
  <c r="EL204" i="135"/>
  <c r="EL40" i="135" s="1"/>
  <c r="EM204" i="135"/>
  <c r="EM40" i="135" s="1"/>
  <c r="EN204" i="135"/>
  <c r="EN40" i="135" s="1"/>
  <c r="EO204" i="135"/>
  <c r="EO40" i="135" s="1"/>
  <c r="GA204" i="135"/>
  <c r="GA40" i="135" s="1"/>
  <c r="ER204" i="135"/>
  <c r="ER40" i="135" s="1"/>
  <c r="GC204" i="135"/>
  <c r="GC40" i="135" s="1"/>
  <c r="FF204" i="135"/>
  <c r="CB204" i="135"/>
  <c r="CU204" i="135"/>
  <c r="DV204" i="135"/>
  <c r="DE204" i="135"/>
  <c r="DI204" i="135"/>
  <c r="DK204" i="135"/>
  <c r="DK40" i="135" s="1"/>
  <c r="FJ204" i="135"/>
  <c r="FP204" i="135"/>
  <c r="FP40" i="135" s="1"/>
  <c r="EU204" i="135"/>
  <c r="EU40" i="135" s="1"/>
  <c r="FO204" i="135"/>
  <c r="FO40" i="135" s="1"/>
  <c r="EJ204" i="135"/>
  <c r="EJ40" i="135" s="1"/>
  <c r="DY204" i="135"/>
  <c r="DY40" i="135" s="1"/>
  <c r="EE204" i="135"/>
  <c r="EE40" i="135" s="1"/>
  <c r="FT204" i="135"/>
  <c r="FT40" i="135" s="1"/>
  <c r="CX204" i="135"/>
  <c r="DB204" i="135"/>
  <c r="FW204" i="135"/>
  <c r="FW40" i="135" s="1"/>
  <c r="DW204" i="135"/>
  <c r="DW40" i="135" s="1"/>
  <c r="FX204" i="135"/>
  <c r="FX40" i="135" s="1"/>
  <c r="EP204" i="135"/>
  <c r="EP40" i="135" s="1"/>
  <c r="EQ204" i="135"/>
  <c r="EQ40" i="135" s="1"/>
  <c r="DH204" i="135"/>
  <c r="FV204" i="135"/>
  <c r="FV40" i="135" s="1"/>
  <c r="DD204" i="135"/>
  <c r="GB204" i="135"/>
  <c r="GB40" i="135" s="1"/>
  <c r="DA204" i="135"/>
  <c r="EV204" i="135"/>
  <c r="EV40" i="135" s="1"/>
  <c r="DU204" i="135"/>
  <c r="FQ204" i="135"/>
  <c r="FQ40" i="135" s="1"/>
  <c r="EF204" i="135"/>
  <c r="EF40" i="135" s="1"/>
  <c r="DL204" i="135"/>
  <c r="DL40" i="135" s="1"/>
  <c r="FK204" i="135"/>
  <c r="CV204" i="135"/>
  <c r="CA204" i="135"/>
  <c r="CA40" i="135" s="1"/>
  <c r="FH204" i="135"/>
  <c r="FN204" i="135"/>
  <c r="FN40" i="135" s="1"/>
  <c r="FS204" i="135"/>
  <c r="FS40" i="135" s="1"/>
  <c r="DZ204" i="135"/>
  <c r="DZ40" i="135" s="1"/>
  <c r="FY204" i="135"/>
  <c r="FY40" i="135" s="1"/>
  <c r="DF204" i="135"/>
  <c r="DG204" i="135"/>
  <c r="ES204" i="135"/>
  <c r="ES40" i="135" s="1"/>
  <c r="AT203" i="135"/>
  <c r="BL203" i="135"/>
  <c r="BA203" i="135"/>
  <c r="AS203" i="135"/>
  <c r="BT203" i="135"/>
  <c r="R203" i="135"/>
  <c r="BK203" i="135"/>
  <c r="AG40" i="135"/>
  <c r="U39" i="109"/>
  <c r="V31" i="109"/>
  <c r="AJ205" i="135" l="1"/>
  <c r="P203" i="135"/>
  <c r="AH205" i="135"/>
  <c r="Y205" i="135"/>
  <c r="AD205" i="135"/>
  <c r="AG205" i="135"/>
  <c r="Z205" i="135"/>
  <c r="AI205" i="135"/>
  <c r="AB205" i="135"/>
  <c r="V206" i="135"/>
  <c r="U206" i="135"/>
  <c r="AK206" i="135"/>
  <c r="AL206" i="135"/>
  <c r="AI206" i="135"/>
  <c r="AC205" i="135"/>
  <c r="X205" i="135"/>
  <c r="CT205" i="135" s="1"/>
  <c r="CS204" i="135"/>
  <c r="CS40" i="135" s="1"/>
  <c r="ED204" i="135"/>
  <c r="ED40" i="135" s="1"/>
  <c r="CT204" i="135"/>
  <c r="CT40" i="135" s="1"/>
  <c r="EB204" i="135"/>
  <c r="EB40" i="135" s="1"/>
  <c r="EC204" i="135"/>
  <c r="EC40" i="135" s="1"/>
  <c r="DX204" i="135"/>
  <c r="DX40" i="135" s="1"/>
  <c r="EA204" i="135"/>
  <c r="EA40" i="135" s="1"/>
  <c r="DQ204" i="135"/>
  <c r="DQ40" i="135" s="1"/>
  <c r="FA204" i="135"/>
  <c r="FA40" i="135" s="1"/>
  <c r="EX204" i="135"/>
  <c r="EX40" i="135" s="1"/>
  <c r="FC204" i="135"/>
  <c r="FC40" i="135" s="1"/>
  <c r="EW204" i="135"/>
  <c r="FD204" i="135"/>
  <c r="FD40" i="135" s="1"/>
  <c r="EY204" i="135"/>
  <c r="EY40" i="135" s="1"/>
  <c r="FB204" i="135"/>
  <c r="FB40" i="135" s="1"/>
  <c r="EZ204" i="135"/>
  <c r="EZ40" i="135" s="1"/>
  <c r="DR204" i="135"/>
  <c r="DR40" i="135" s="1"/>
  <c r="K39" i="135"/>
  <c r="DV40" i="135"/>
  <c r="DN40" i="135"/>
  <c r="FJ40" i="135"/>
  <c r="DU40" i="135"/>
  <c r="FK40" i="135"/>
  <c r="FF40" i="135"/>
  <c r="FG40" i="135"/>
  <c r="FI40" i="135"/>
  <c r="FE40" i="135"/>
  <c r="FH40" i="135"/>
  <c r="CC40" i="135"/>
  <c r="M28" i="131"/>
  <c r="K28" i="131"/>
  <c r="DT204" i="135"/>
  <c r="DT40" i="135" s="1"/>
  <c r="DB40" i="135"/>
  <c r="Y40" i="135"/>
  <c r="E43" i="235" s="1"/>
  <c r="AB19" i="235" s="1"/>
  <c r="DF40" i="135"/>
  <c r="AI40" i="135"/>
  <c r="DH40" i="135"/>
  <c r="CY40" i="135"/>
  <c r="DI40" i="135"/>
  <c r="X40" i="135"/>
  <c r="D43" i="235" s="1"/>
  <c r="Y19" i="235" s="1"/>
  <c r="CX40" i="135"/>
  <c r="AQ39" i="135"/>
  <c r="P39" i="135"/>
  <c r="DE40" i="135"/>
  <c r="DC40" i="135"/>
  <c r="CV40" i="135"/>
  <c r="CU40" i="135"/>
  <c r="DS204" i="135"/>
  <c r="DS40" i="135" s="1"/>
  <c r="DP204" i="135"/>
  <c r="DP40" i="135" s="1"/>
  <c r="CW40" i="135"/>
  <c r="AM204" i="135"/>
  <c r="BD204" i="135" s="1"/>
  <c r="AF40" i="135"/>
  <c r="J39" i="135"/>
  <c r="AP39" i="135"/>
  <c r="CB40" i="135"/>
  <c r="CZ40" i="135"/>
  <c r="DD40" i="135"/>
  <c r="DA40" i="135"/>
  <c r="DG40" i="135"/>
  <c r="N203" i="135"/>
  <c r="L203" i="135"/>
  <c r="K207" i="118"/>
  <c r="CR204" i="135"/>
  <c r="CO204" i="135"/>
  <c r="CP204" i="135"/>
  <c r="CL204" i="135"/>
  <c r="CQ204" i="135"/>
  <c r="CN204" i="135"/>
  <c r="CM204" i="135"/>
  <c r="CK204" i="135"/>
  <c r="CJ204" i="135"/>
  <c r="CI204" i="135"/>
  <c r="CE204" i="135"/>
  <c r="CH204" i="135"/>
  <c r="CG204" i="135"/>
  <c r="CF204" i="135"/>
  <c r="CD204" i="135"/>
  <c r="DO204" i="135"/>
  <c r="DO40" i="135" s="1"/>
  <c r="J203" i="135"/>
  <c r="M203" i="135"/>
  <c r="C207" i="135"/>
  <c r="T207" i="135" s="1"/>
  <c r="BI204" i="135"/>
  <c r="BI40" i="135" s="1"/>
  <c r="AX204" i="135"/>
  <c r="AX40" i="135" s="1"/>
  <c r="BQ204" i="135"/>
  <c r="BQ40" i="135" s="1"/>
  <c r="AP203" i="135"/>
  <c r="DK205" i="135"/>
  <c r="CY205" i="135"/>
  <c r="CA205" i="135"/>
  <c r="EI205" i="135"/>
  <c r="CU205" i="135"/>
  <c r="DA205" i="135"/>
  <c r="FQ205" i="135"/>
  <c r="EO205" i="135"/>
  <c r="DG205" i="135"/>
  <c r="ER205" i="135"/>
  <c r="DI205" i="135"/>
  <c r="EL205" i="135"/>
  <c r="DL205" i="135"/>
  <c r="EE205" i="135"/>
  <c r="EJ205" i="135"/>
  <c r="EV205" i="135"/>
  <c r="FO205" i="135"/>
  <c r="DF205" i="135"/>
  <c r="GB205" i="135"/>
  <c r="FT205" i="135"/>
  <c r="EG205" i="135"/>
  <c r="DC205" i="135"/>
  <c r="FR205" i="135"/>
  <c r="DD205" i="135"/>
  <c r="GA205" i="135"/>
  <c r="DB205" i="135"/>
  <c r="EF205" i="135"/>
  <c r="FU205" i="135"/>
  <c r="CV205" i="135"/>
  <c r="EM205" i="135"/>
  <c r="EH205" i="135"/>
  <c r="CB205" i="135"/>
  <c r="CZ205" i="135"/>
  <c r="EN205" i="135"/>
  <c r="FY205" i="135"/>
  <c r="EP205" i="135"/>
  <c r="EQ205" i="135"/>
  <c r="ES205" i="135"/>
  <c r="FV205" i="135"/>
  <c r="CW205" i="135"/>
  <c r="FW205" i="135"/>
  <c r="CX205" i="135"/>
  <c r="EU205" i="135"/>
  <c r="FS205" i="135"/>
  <c r="FP205" i="135"/>
  <c r="EK205" i="135"/>
  <c r="FX205" i="135"/>
  <c r="DE205" i="135"/>
  <c r="FZ205" i="135"/>
  <c r="DH205" i="135"/>
  <c r="GC205" i="135"/>
  <c r="AU204" i="135"/>
  <c r="AU40" i="135" s="1"/>
  <c r="BN204" i="135"/>
  <c r="BN40" i="135" s="1"/>
  <c r="K203" i="135"/>
  <c r="AV204" i="135"/>
  <c r="AV40" i="135" s="1"/>
  <c r="BH204" i="135"/>
  <c r="BH40" i="135" s="1"/>
  <c r="BC204" i="135"/>
  <c r="BC40" i="135" s="1"/>
  <c r="BX204" i="135"/>
  <c r="BX40" i="135" s="1"/>
  <c r="DM204" i="135"/>
  <c r="V39" i="109"/>
  <c r="W31" i="109"/>
  <c r="AG206" i="135" l="1"/>
  <c r="AL207" i="135"/>
  <c r="V207" i="135"/>
  <c r="U207" i="135"/>
  <c r="AK207" i="135"/>
  <c r="AD206" i="135"/>
  <c r="AF206" i="135"/>
  <c r="AM206" i="135" s="1"/>
  <c r="AH206" i="135"/>
  <c r="X206" i="135"/>
  <c r="CC206" i="135" s="1"/>
  <c r="Z206" i="135"/>
  <c r="Y206" i="135"/>
  <c r="DO206" i="135" s="1"/>
  <c r="AC206" i="135"/>
  <c r="ED206" i="135" s="1"/>
  <c r="AJ206" i="135"/>
  <c r="AB206" i="135"/>
  <c r="EC205" i="135"/>
  <c r="FF205" i="135"/>
  <c r="BM204" i="135"/>
  <c r="BM40" i="135" s="1"/>
  <c r="BU204" i="135"/>
  <c r="BU40" i="135" s="1"/>
  <c r="EW40" i="135"/>
  <c r="BW204" i="135"/>
  <c r="BW40" i="135" s="1"/>
  <c r="BB204" i="135"/>
  <c r="BB40" i="135" s="1"/>
  <c r="AT204" i="135"/>
  <c r="AT40" i="135" s="1"/>
  <c r="BG204" i="135"/>
  <c r="BG40" i="135" s="1"/>
  <c r="BY204" i="135"/>
  <c r="FN205" i="135"/>
  <c r="FA205" i="135"/>
  <c r="CP205" i="135"/>
  <c r="BK204" i="135"/>
  <c r="BK40" i="135" s="1"/>
  <c r="FB205" i="135"/>
  <c r="CE205" i="135"/>
  <c r="FH205" i="135"/>
  <c r="FC205" i="135"/>
  <c r="BF204" i="135"/>
  <c r="BF40" i="135" s="1"/>
  <c r="R204" i="135"/>
  <c r="CS205" i="135"/>
  <c r="EX205" i="135"/>
  <c r="CG205" i="135"/>
  <c r="CC205" i="135"/>
  <c r="FI205" i="135"/>
  <c r="FE205" i="135"/>
  <c r="FJ205" i="135"/>
  <c r="AN204" i="135"/>
  <c r="Q204" i="135" s="1"/>
  <c r="AZ204" i="135"/>
  <c r="AZ40" i="135" s="1"/>
  <c r="ED205" i="135"/>
  <c r="EZ205" i="135"/>
  <c r="CR205" i="135"/>
  <c r="FK205" i="135"/>
  <c r="CI205" i="135"/>
  <c r="CJ205" i="135"/>
  <c r="BP204" i="135"/>
  <c r="BO204" i="135"/>
  <c r="BO40" i="135" s="1"/>
  <c r="BS204" i="135"/>
  <c r="BS40" i="135" s="1"/>
  <c r="BV204" i="135"/>
  <c r="BV40" i="135" s="1"/>
  <c r="EY205" i="135"/>
  <c r="CL205" i="135"/>
  <c r="FL205" i="135"/>
  <c r="EB205" i="135"/>
  <c r="CF205" i="135"/>
  <c r="CO205" i="135"/>
  <c r="CN205" i="135"/>
  <c r="AW204" i="135"/>
  <c r="P204" i="135" s="1"/>
  <c r="AS204" i="135"/>
  <c r="AS40" i="135" s="1"/>
  <c r="AR204" i="135"/>
  <c r="AR40" i="135" s="1"/>
  <c r="FD205" i="135"/>
  <c r="CQ205" i="135"/>
  <c r="CD205" i="135"/>
  <c r="CK205" i="135"/>
  <c r="FM205" i="135"/>
  <c r="CM205" i="135"/>
  <c r="FG205" i="135"/>
  <c r="L28" i="131"/>
  <c r="N28" i="131" s="1"/>
  <c r="CD40" i="135"/>
  <c r="CE40" i="135"/>
  <c r="CK40" i="135"/>
  <c r="CL40" i="135"/>
  <c r="CH205" i="135"/>
  <c r="EW205" i="135"/>
  <c r="CF40" i="135"/>
  <c r="CI40" i="135"/>
  <c r="CM40" i="135"/>
  <c r="CP40" i="135"/>
  <c r="DM40" i="135"/>
  <c r="CG40" i="135"/>
  <c r="CJ40" i="135"/>
  <c r="CN40" i="135"/>
  <c r="CO40" i="135"/>
  <c r="CH40" i="135"/>
  <c r="CQ40" i="135"/>
  <c r="CR40" i="135"/>
  <c r="K209" i="118"/>
  <c r="AM205" i="135"/>
  <c r="BD205" i="135" s="1"/>
  <c r="K208" i="118"/>
  <c r="K161" i="118"/>
  <c r="EA205" i="135"/>
  <c r="DW205" i="135"/>
  <c r="DX205" i="135"/>
  <c r="DZ205" i="135"/>
  <c r="DY205" i="135"/>
  <c r="BC205" i="135"/>
  <c r="BH205" i="135"/>
  <c r="BX205" i="135"/>
  <c r="AV205" i="135"/>
  <c r="EM206" i="135"/>
  <c r="FP206" i="135"/>
  <c r="FV206" i="135"/>
  <c r="EG206" i="135"/>
  <c r="EL206" i="135"/>
  <c r="FT206" i="135"/>
  <c r="FX206" i="135"/>
  <c r="FO206" i="135"/>
  <c r="CZ206" i="135"/>
  <c r="FZ206" i="135"/>
  <c r="EQ206" i="135"/>
  <c r="GB206" i="135"/>
  <c r="GA206" i="135"/>
  <c r="EJ206" i="135"/>
  <c r="FU206" i="135"/>
  <c r="EH206" i="135"/>
  <c r="CY206" i="135"/>
  <c r="DG206" i="135"/>
  <c r="ES206" i="135"/>
  <c r="DC206" i="135"/>
  <c r="FR206" i="135"/>
  <c r="DD206" i="135"/>
  <c r="CX206" i="135"/>
  <c r="EU206" i="135"/>
  <c r="CV206" i="135"/>
  <c r="EK206" i="135"/>
  <c r="CB206" i="135"/>
  <c r="EF206" i="135"/>
  <c r="DA206" i="135"/>
  <c r="DE206" i="135"/>
  <c r="DF206" i="135"/>
  <c r="GC206" i="135"/>
  <c r="CA206" i="135"/>
  <c r="EI206" i="135"/>
  <c r="DK206" i="135"/>
  <c r="FS206" i="135"/>
  <c r="FQ206" i="135"/>
  <c r="DB206" i="135"/>
  <c r="CW206" i="135"/>
  <c r="EO206" i="135"/>
  <c r="EP206" i="135"/>
  <c r="DH206" i="135"/>
  <c r="DI206" i="135"/>
  <c r="FW206" i="135"/>
  <c r="EV206" i="135"/>
  <c r="CU206" i="135"/>
  <c r="DL206" i="135"/>
  <c r="EE206" i="135"/>
  <c r="EN206" i="135"/>
  <c r="FY206" i="135"/>
  <c r="ER206" i="135"/>
  <c r="C208" i="135"/>
  <c r="T208" i="135" s="1"/>
  <c r="AX205" i="135"/>
  <c r="BQ205" i="135"/>
  <c r="BI205" i="135"/>
  <c r="DQ205" i="135"/>
  <c r="DV205" i="135"/>
  <c r="DP205" i="135"/>
  <c r="DR205" i="135"/>
  <c r="DS205" i="135"/>
  <c r="DU205" i="135"/>
  <c r="DM205" i="135"/>
  <c r="DO205" i="135"/>
  <c r="DT205" i="135"/>
  <c r="DN205" i="135"/>
  <c r="BL204" i="135"/>
  <c r="BT204" i="135"/>
  <c r="BN205" i="135"/>
  <c r="AU205" i="135"/>
  <c r="BA204" i="135"/>
  <c r="W39" i="109"/>
  <c r="X31" i="109"/>
  <c r="AH207" i="135" l="1"/>
  <c r="AI207" i="135"/>
  <c r="AB207" i="135"/>
  <c r="AD207" i="135"/>
  <c r="AC207" i="135"/>
  <c r="Z207" i="135"/>
  <c r="EZ207" i="135" s="1"/>
  <c r="X207" i="135"/>
  <c r="CL207" i="135" s="1"/>
  <c r="Y207" i="135"/>
  <c r="DO207" i="135" s="1"/>
  <c r="AF207" i="135"/>
  <c r="AM207" i="135" s="1"/>
  <c r="AJ208" i="135"/>
  <c r="AL208" i="135"/>
  <c r="V208" i="135"/>
  <c r="U208" i="135"/>
  <c r="AK208" i="135"/>
  <c r="AG207" i="135"/>
  <c r="AJ207" i="135"/>
  <c r="FM206" i="135"/>
  <c r="CT206" i="135"/>
  <c r="CE206" i="135"/>
  <c r="L204" i="135"/>
  <c r="AP204" i="135"/>
  <c r="BS205" i="135"/>
  <c r="FK206" i="135"/>
  <c r="BB205" i="135"/>
  <c r="FF206" i="135"/>
  <c r="L40" i="135"/>
  <c r="AZ205" i="135"/>
  <c r="BW205" i="135"/>
  <c r="FN206" i="135"/>
  <c r="FJ206" i="135"/>
  <c r="R205" i="135"/>
  <c r="AT205" i="135"/>
  <c r="FL206" i="135"/>
  <c r="DW206" i="135"/>
  <c r="AP40" i="135"/>
  <c r="BG205" i="135"/>
  <c r="BF205" i="135"/>
  <c r="BM205" i="135"/>
  <c r="J204" i="135"/>
  <c r="K162" i="118" s="1"/>
  <c r="CH206" i="135"/>
  <c r="AQ204" i="135"/>
  <c r="BK205" i="135"/>
  <c r="BV205" i="135"/>
  <c r="BU205" i="135"/>
  <c r="DN206" i="135"/>
  <c r="BP205" i="135"/>
  <c r="CP206" i="135"/>
  <c r="EA206" i="135"/>
  <c r="AW205" i="135"/>
  <c r="AQ205" i="135" s="1"/>
  <c r="CD206" i="135"/>
  <c r="CJ206" i="135"/>
  <c r="BY205" i="135"/>
  <c r="DV206" i="135"/>
  <c r="EB206" i="135"/>
  <c r="DZ206" i="135"/>
  <c r="CR206" i="135"/>
  <c r="CL206" i="135"/>
  <c r="CG206" i="135"/>
  <c r="EC206" i="135"/>
  <c r="DM206" i="135"/>
  <c r="AR205" i="135"/>
  <c r="BO205" i="135"/>
  <c r="CI206" i="135"/>
  <c r="DR206" i="135"/>
  <c r="DT206" i="135"/>
  <c r="DQ206" i="135"/>
  <c r="DP206" i="135"/>
  <c r="K204" i="135"/>
  <c r="BA40" i="135"/>
  <c r="M204" i="135"/>
  <c r="BL40" i="135"/>
  <c r="CS206" i="135"/>
  <c r="DU206" i="135"/>
  <c r="CM206" i="135"/>
  <c r="CN206" i="135"/>
  <c r="AM40" i="135"/>
  <c r="P28" i="131"/>
  <c r="N204" i="135"/>
  <c r="BT40" i="135"/>
  <c r="AN205" i="135"/>
  <c r="Q205" i="135" s="1"/>
  <c r="DS206" i="135"/>
  <c r="DY206" i="135"/>
  <c r="CK206" i="135"/>
  <c r="CO206" i="135"/>
  <c r="CF206" i="135"/>
  <c r="DX206" i="135"/>
  <c r="CQ206" i="135"/>
  <c r="R40" i="135"/>
  <c r="K210" i="118"/>
  <c r="FG206" i="135"/>
  <c r="FH206" i="135"/>
  <c r="FI206" i="135"/>
  <c r="BT205" i="135"/>
  <c r="BL205" i="135"/>
  <c r="BA205" i="135"/>
  <c r="AS205" i="135"/>
  <c r="DD207" i="135"/>
  <c r="DC207" i="135"/>
  <c r="FV207" i="135"/>
  <c r="FW207" i="135"/>
  <c r="EL207" i="135"/>
  <c r="EP207" i="135"/>
  <c r="GA207" i="135"/>
  <c r="DI207" i="135"/>
  <c r="GB207" i="135"/>
  <c r="EN207" i="135"/>
  <c r="DE207" i="135"/>
  <c r="FX207" i="135"/>
  <c r="EO207" i="135"/>
  <c r="EM207" i="135"/>
  <c r="FZ207" i="135"/>
  <c r="ER207" i="135"/>
  <c r="GC207" i="135"/>
  <c r="DL207" i="135"/>
  <c r="DK207" i="135"/>
  <c r="CA207" i="135"/>
  <c r="FY207" i="135"/>
  <c r="DF207" i="135"/>
  <c r="DG207" i="135"/>
  <c r="DH207" i="135"/>
  <c r="ES207" i="135"/>
  <c r="FQ207" i="135"/>
  <c r="EV207" i="135"/>
  <c r="CB207" i="135"/>
  <c r="DB207" i="135"/>
  <c r="EU207" i="135"/>
  <c r="EQ207" i="135"/>
  <c r="BN206" i="135"/>
  <c r="AU206" i="135"/>
  <c r="FA206" i="135"/>
  <c r="FD206" i="135"/>
  <c r="EW206" i="135"/>
  <c r="FE206" i="135"/>
  <c r="FB206" i="135"/>
  <c r="EY206" i="135"/>
  <c r="EX206" i="135"/>
  <c r="EZ206" i="135"/>
  <c r="FC206" i="135"/>
  <c r="AX206" i="135"/>
  <c r="BI206" i="135"/>
  <c r="BQ206" i="135"/>
  <c r="C209" i="135"/>
  <c r="T209" i="135" s="1"/>
  <c r="BH206" i="135"/>
  <c r="AV206" i="135"/>
  <c r="BX206" i="135"/>
  <c r="BC206" i="135"/>
  <c r="AN206" i="135"/>
  <c r="Q206" i="135" s="1"/>
  <c r="BP206" i="135"/>
  <c r="BD206" i="135"/>
  <c r="BY206" i="135"/>
  <c r="AW206" i="135"/>
  <c r="X39" i="109"/>
  <c r="Y31" i="109"/>
  <c r="F43" i="235" l="1"/>
  <c r="AE19" i="235" s="1"/>
  <c r="Y208" i="135"/>
  <c r="EC208" i="135" s="1"/>
  <c r="X208" i="135"/>
  <c r="Z208" i="135"/>
  <c r="AG208" i="135"/>
  <c r="AF208" i="135"/>
  <c r="AM208" i="135" s="1"/>
  <c r="V209" i="135"/>
  <c r="AL209" i="135"/>
  <c r="AK209" i="135"/>
  <c r="U209" i="135"/>
  <c r="AB208" i="135"/>
  <c r="AD208" i="135"/>
  <c r="AI208" i="135"/>
  <c r="BC208" i="135" s="1"/>
  <c r="AC208" i="135"/>
  <c r="AH208" i="135"/>
  <c r="FT207" i="135"/>
  <c r="EK207" i="135"/>
  <c r="CY207" i="135"/>
  <c r="CV207" i="135"/>
  <c r="DA207" i="135"/>
  <c r="EF207" i="135"/>
  <c r="EE207" i="135"/>
  <c r="FU207" i="135"/>
  <c r="EJ207" i="135"/>
  <c r="FS207" i="135"/>
  <c r="FO207" i="135"/>
  <c r="EI207" i="135"/>
  <c r="FP207" i="135"/>
  <c r="EG207" i="135"/>
  <c r="CU207" i="135"/>
  <c r="CZ207" i="135"/>
  <c r="EH207" i="135"/>
  <c r="FR207" i="135"/>
  <c r="CW207" i="135"/>
  <c r="CX207" i="135"/>
  <c r="K205" i="135"/>
  <c r="L205" i="135"/>
  <c r="J205" i="135"/>
  <c r="K163" i="118" s="1"/>
  <c r="M205" i="135"/>
  <c r="CI207" i="135"/>
  <c r="P205" i="135"/>
  <c r="BT206" i="135"/>
  <c r="BS206" i="135"/>
  <c r="BA206" i="135"/>
  <c r="BK206" i="135"/>
  <c r="BV206" i="135"/>
  <c r="BO206" i="135"/>
  <c r="BL206" i="135"/>
  <c r="AZ206" i="135"/>
  <c r="AR206" i="135"/>
  <c r="AS206" i="135"/>
  <c r="R206" i="135"/>
  <c r="BF206" i="135"/>
  <c r="AP205" i="135"/>
  <c r="BY40" i="135"/>
  <c r="N40" i="135" s="1"/>
  <c r="BD40" i="135"/>
  <c r="K40" i="135" s="1"/>
  <c r="AN40" i="135"/>
  <c r="Q40" i="135" s="1"/>
  <c r="AW40" i="135"/>
  <c r="BP40" i="135"/>
  <c r="M40" i="135" s="1"/>
  <c r="K211" i="118"/>
  <c r="N205" i="135"/>
  <c r="DX207" i="135"/>
  <c r="CT207" i="135"/>
  <c r="CS207" i="135"/>
  <c r="FJ207" i="135"/>
  <c r="CM207" i="135"/>
  <c r="FL207" i="135"/>
  <c r="FH207" i="135"/>
  <c r="FM207" i="135"/>
  <c r="FK207" i="135"/>
  <c r="CN207" i="135"/>
  <c r="DY207" i="135"/>
  <c r="FG207" i="135"/>
  <c r="ED207" i="135"/>
  <c r="EA207" i="135"/>
  <c r="EB207" i="135"/>
  <c r="EC207" i="135"/>
  <c r="CO207" i="135"/>
  <c r="DW207" i="135"/>
  <c r="FI207" i="135"/>
  <c r="CR207" i="135"/>
  <c r="FN207" i="135"/>
  <c r="DZ207" i="135"/>
  <c r="CP207" i="135"/>
  <c r="CQ207" i="135"/>
  <c r="CF207" i="135"/>
  <c r="CC207" i="135"/>
  <c r="CE207" i="135"/>
  <c r="CH207" i="135"/>
  <c r="CG207" i="135"/>
  <c r="CK207" i="135"/>
  <c r="BQ207" i="135"/>
  <c r="BI207" i="135"/>
  <c r="AX207" i="135"/>
  <c r="CD207" i="135"/>
  <c r="FS208" i="135"/>
  <c r="CU208" i="135"/>
  <c r="DP207" i="135"/>
  <c r="DS207" i="135"/>
  <c r="DR207" i="135"/>
  <c r="DU207" i="135"/>
  <c r="FE207" i="135"/>
  <c r="DV207" i="135"/>
  <c r="C210" i="135"/>
  <c r="T210" i="135" s="1"/>
  <c r="BH207" i="135"/>
  <c r="AV207" i="135"/>
  <c r="BX207" i="135"/>
  <c r="BC207" i="135"/>
  <c r="BP207" i="135"/>
  <c r="AW207" i="135"/>
  <c r="BD207" i="135"/>
  <c r="BY207" i="135"/>
  <c r="AN207" i="135"/>
  <c r="Q207" i="135" s="1"/>
  <c r="CJ207" i="135"/>
  <c r="EO208" i="135"/>
  <c r="EJ208" i="135"/>
  <c r="EP208" i="135"/>
  <c r="FP208" i="135"/>
  <c r="EV208" i="135"/>
  <c r="FZ208" i="135"/>
  <c r="EE208" i="135"/>
  <c r="EK208" i="135"/>
  <c r="EQ208" i="135"/>
  <c r="ER208" i="135"/>
  <c r="EG208" i="135"/>
  <c r="EM208" i="135"/>
  <c r="DG208" i="135"/>
  <c r="FY208" i="135"/>
  <c r="DF208" i="135"/>
  <c r="DC208" i="135"/>
  <c r="EF208" i="135"/>
  <c r="FV208" i="135"/>
  <c r="EU208" i="135"/>
  <c r="DB208" i="135"/>
  <c r="GA208" i="135"/>
  <c r="GC208" i="135"/>
  <c r="CA208" i="135"/>
  <c r="FR208" i="135"/>
  <c r="GB208" i="135"/>
  <c r="EH208" i="135"/>
  <c r="DD208" i="135"/>
  <c r="FO208" i="135"/>
  <c r="DK208" i="135"/>
  <c r="EN208" i="135"/>
  <c r="DI208" i="135"/>
  <c r="CB208" i="135"/>
  <c r="EL208" i="135"/>
  <c r="FX208" i="135"/>
  <c r="FW208" i="135"/>
  <c r="ES208" i="135"/>
  <c r="DH208" i="135"/>
  <c r="DE208" i="135"/>
  <c r="DL208" i="135"/>
  <c r="EI208" i="135"/>
  <c r="FB207" i="135"/>
  <c r="EY207" i="135"/>
  <c r="DM207" i="135"/>
  <c r="DT207" i="135"/>
  <c r="AQ206" i="135"/>
  <c r="P206" i="135"/>
  <c r="BM206" i="135"/>
  <c r="BB206" i="135"/>
  <c r="AT206" i="135"/>
  <c r="BU206" i="135"/>
  <c r="BW206" i="135"/>
  <c r="BG206" i="135"/>
  <c r="AU207" i="135"/>
  <c r="BN207" i="135"/>
  <c r="EX207" i="135"/>
  <c r="FF207" i="135"/>
  <c r="FC207" i="135"/>
  <c r="FD207" i="135"/>
  <c r="DN207" i="135"/>
  <c r="DQ207" i="135"/>
  <c r="EW207" i="135"/>
  <c r="FA207" i="135"/>
  <c r="Y39" i="109"/>
  <c r="Z31" i="109"/>
  <c r="Z209" i="135" l="1"/>
  <c r="EY209" i="135" s="1"/>
  <c r="BX208" i="135"/>
  <c r="AH209" i="135"/>
  <c r="AV208" i="135"/>
  <c r="BH208" i="135"/>
  <c r="AF209" i="135"/>
  <c r="AM209" i="135" s="1"/>
  <c r="AJ209" i="135"/>
  <c r="AB209" i="135"/>
  <c r="AI209" i="135"/>
  <c r="AC209" i="135"/>
  <c r="AD209" i="135"/>
  <c r="AG209" i="135"/>
  <c r="V210" i="135"/>
  <c r="AL210" i="135"/>
  <c r="AK210" i="135"/>
  <c r="AF210" i="135"/>
  <c r="U210" i="135"/>
  <c r="Y209" i="135"/>
  <c r="X209" i="135"/>
  <c r="CG209" i="135" s="1"/>
  <c r="CV208" i="135"/>
  <c r="CW208" i="135"/>
  <c r="CS208" i="135"/>
  <c r="FT208" i="135"/>
  <c r="FQ208" i="135"/>
  <c r="FU208" i="135"/>
  <c r="FL208" i="135"/>
  <c r="CX208" i="135"/>
  <c r="CZ208" i="135"/>
  <c r="CY208" i="135"/>
  <c r="DA208" i="135"/>
  <c r="EW208" i="135"/>
  <c r="FJ208" i="135"/>
  <c r="FG208" i="135"/>
  <c r="CT208" i="135"/>
  <c r="EY208" i="135"/>
  <c r="FB208" i="135"/>
  <c r="FI208" i="135"/>
  <c r="FC208" i="135"/>
  <c r="FM208" i="135"/>
  <c r="FF208" i="135"/>
  <c r="EX208" i="135"/>
  <c r="M206" i="135"/>
  <c r="J206" i="135"/>
  <c r="K164" i="118" s="1"/>
  <c r="L206" i="135"/>
  <c r="K206" i="135"/>
  <c r="FH208" i="135"/>
  <c r="FA208" i="135"/>
  <c r="FK208" i="135"/>
  <c r="FD208" i="135"/>
  <c r="EZ208" i="135"/>
  <c r="FE208" i="135"/>
  <c r="FN208" i="135"/>
  <c r="J40" i="135"/>
  <c r="AQ40" i="135"/>
  <c r="P40" i="135"/>
  <c r="K212" i="118"/>
  <c r="DZ208" i="135"/>
  <c r="DR208" i="135"/>
  <c r="EA208" i="135"/>
  <c r="DU208" i="135"/>
  <c r="DV208" i="135"/>
  <c r="DX208" i="135"/>
  <c r="DY208" i="135"/>
  <c r="DT208" i="135"/>
  <c r="EB208" i="135"/>
  <c r="DW208" i="135"/>
  <c r="CM208" i="135"/>
  <c r="CL208" i="135"/>
  <c r="CP208" i="135"/>
  <c r="CK208" i="135"/>
  <c r="CO208" i="135"/>
  <c r="CR208" i="135"/>
  <c r="CI208" i="135"/>
  <c r="CN208" i="135"/>
  <c r="CJ208" i="135"/>
  <c r="CQ208" i="135"/>
  <c r="ED208" i="135"/>
  <c r="AT207" i="135"/>
  <c r="BW207" i="135"/>
  <c r="AP206" i="135"/>
  <c r="BA207" i="135"/>
  <c r="DO209" i="135"/>
  <c r="AS207" i="135"/>
  <c r="BB207" i="135"/>
  <c r="BM207" i="135"/>
  <c r="BQ208" i="135"/>
  <c r="BI208" i="135"/>
  <c r="AX208" i="135"/>
  <c r="BT207" i="135"/>
  <c r="BU207" i="135"/>
  <c r="DS208" i="135"/>
  <c r="DO208" i="135"/>
  <c r="DM208" i="135"/>
  <c r="DP208" i="135"/>
  <c r="DQ208" i="135"/>
  <c r="DN208" i="135"/>
  <c r="AW208" i="135"/>
  <c r="AN208" i="135"/>
  <c r="Q208" i="135" s="1"/>
  <c r="BD208" i="135"/>
  <c r="BY208" i="135"/>
  <c r="BP208" i="135"/>
  <c r="N206" i="135"/>
  <c r="BL207" i="135"/>
  <c r="BG207" i="135"/>
  <c r="C211" i="135"/>
  <c r="T211" i="135" s="1"/>
  <c r="CH208" i="135"/>
  <c r="CC208" i="135"/>
  <c r="CF208" i="135"/>
  <c r="CD208" i="135"/>
  <c r="CG208" i="135"/>
  <c r="CE208" i="135"/>
  <c r="BO207" i="135"/>
  <c r="BF207" i="135"/>
  <c r="R207" i="135"/>
  <c r="AR207" i="135"/>
  <c r="AZ207" i="135"/>
  <c r="BK207" i="135"/>
  <c r="BV207" i="135"/>
  <c r="BS207" i="135"/>
  <c r="FU209" i="135"/>
  <c r="DD209" i="135"/>
  <c r="CY209" i="135"/>
  <c r="FX209" i="135"/>
  <c r="DF209" i="135"/>
  <c r="CW209" i="135"/>
  <c r="DB209" i="135"/>
  <c r="DL209" i="135"/>
  <c r="CZ209" i="135"/>
  <c r="EO209" i="135"/>
  <c r="FO209" i="135"/>
  <c r="EJ209" i="135"/>
  <c r="DE209" i="135"/>
  <c r="CU209" i="135"/>
  <c r="FT209" i="135"/>
  <c r="GA209" i="135"/>
  <c r="GC209" i="135"/>
  <c r="EU209" i="135"/>
  <c r="CX209" i="135"/>
  <c r="EM209" i="135"/>
  <c r="FP209" i="135"/>
  <c r="DA209" i="135"/>
  <c r="EQ209" i="135"/>
  <c r="EF209" i="135"/>
  <c r="EK209" i="135"/>
  <c r="DK209" i="135"/>
  <c r="CV209" i="135"/>
  <c r="EL209" i="135"/>
  <c r="ER209" i="135"/>
  <c r="ES209" i="135"/>
  <c r="FZ209" i="135"/>
  <c r="FS209" i="135"/>
  <c r="FY209" i="135"/>
  <c r="FQ209" i="135"/>
  <c r="FV209" i="135"/>
  <c r="CA209" i="135"/>
  <c r="EG209" i="135"/>
  <c r="DC209" i="135"/>
  <c r="EV209" i="135"/>
  <c r="EH209" i="135"/>
  <c r="FW209" i="135"/>
  <c r="DH209" i="135"/>
  <c r="DI209" i="135"/>
  <c r="EP209" i="135"/>
  <c r="EE209" i="135"/>
  <c r="DG209" i="135"/>
  <c r="FR209" i="135"/>
  <c r="CB209" i="135"/>
  <c r="EN209" i="135"/>
  <c r="EI209" i="135"/>
  <c r="GB209" i="135"/>
  <c r="AQ207" i="135"/>
  <c r="P207" i="135"/>
  <c r="AU208" i="135"/>
  <c r="BN208" i="135"/>
  <c r="Z39" i="109"/>
  <c r="AA31" i="109"/>
  <c r="AG210" i="135" l="1"/>
  <c r="AD210" i="135"/>
  <c r="AI210" i="135"/>
  <c r="AV210" i="135" s="1"/>
  <c r="AB210" i="135"/>
  <c r="U211" i="135"/>
  <c r="AI211" i="135"/>
  <c r="AK211" i="135"/>
  <c r="AL211" i="135"/>
  <c r="V211" i="135"/>
  <c r="Y210" i="135"/>
  <c r="Z210" i="135"/>
  <c r="EZ210" i="135" s="1"/>
  <c r="AJ210" i="135"/>
  <c r="BN210" i="135" s="1"/>
  <c r="AH210" i="135"/>
  <c r="X210" i="135"/>
  <c r="CE210" i="135" s="1"/>
  <c r="AC210" i="135"/>
  <c r="BW208" i="135"/>
  <c r="DM209" i="135"/>
  <c r="BM208" i="135"/>
  <c r="ED209" i="135"/>
  <c r="EC209" i="135"/>
  <c r="BU208" i="135"/>
  <c r="CN209" i="135"/>
  <c r="CC209" i="135"/>
  <c r="CE209" i="135"/>
  <c r="FK209" i="135"/>
  <c r="AT208" i="135"/>
  <c r="BG208" i="135"/>
  <c r="BB208" i="135"/>
  <c r="CT209" i="135"/>
  <c r="CS209" i="135"/>
  <c r="CH209" i="135"/>
  <c r="EZ209" i="135"/>
  <c r="FE209" i="135"/>
  <c r="EX209" i="135"/>
  <c r="FI209" i="135"/>
  <c r="FN209" i="135"/>
  <c r="DW209" i="135"/>
  <c r="FC209" i="135"/>
  <c r="FG209" i="135"/>
  <c r="FF209" i="135"/>
  <c r="DZ209" i="135"/>
  <c r="FM209" i="135"/>
  <c r="FL209" i="135"/>
  <c r="FD209" i="135"/>
  <c r="FJ209" i="135"/>
  <c r="FB209" i="135"/>
  <c r="CJ209" i="135"/>
  <c r="CK209" i="135"/>
  <c r="CD209" i="135"/>
  <c r="CI209" i="135"/>
  <c r="CP209" i="135"/>
  <c r="CR209" i="135"/>
  <c r="CL209" i="135"/>
  <c r="CQ209" i="135"/>
  <c r="CM209" i="135"/>
  <c r="K207" i="135"/>
  <c r="EA209" i="135"/>
  <c r="EB209" i="135"/>
  <c r="N207" i="135"/>
  <c r="EW209" i="135"/>
  <c r="CF209" i="135"/>
  <c r="CO209" i="135"/>
  <c r="FH209" i="135"/>
  <c r="FA209" i="135"/>
  <c r="M207" i="135"/>
  <c r="L207" i="135"/>
  <c r="BK208" i="135"/>
  <c r="BS208" i="135"/>
  <c r="AR208" i="135"/>
  <c r="R208" i="135"/>
  <c r="BF208" i="135"/>
  <c r="BV208" i="135"/>
  <c r="AZ208" i="135"/>
  <c r="BO208" i="135"/>
  <c r="BX209" i="135"/>
  <c r="BC209" i="135"/>
  <c r="BH209" i="135"/>
  <c r="AV209" i="135"/>
  <c r="AW209" i="135"/>
  <c r="AN209" i="135"/>
  <c r="Q209" i="135" s="1"/>
  <c r="BD209" i="135"/>
  <c r="BP209" i="135"/>
  <c r="BY209" i="135"/>
  <c r="AU209" i="135"/>
  <c r="BN209" i="135"/>
  <c r="EQ210" i="135"/>
  <c r="CU210" i="135"/>
  <c r="EK210" i="135"/>
  <c r="DF210" i="135"/>
  <c r="CV210" i="135"/>
  <c r="FU210" i="135"/>
  <c r="EP210" i="135"/>
  <c r="FS210" i="135"/>
  <c r="EN210" i="135"/>
  <c r="DL210" i="135"/>
  <c r="EH210" i="135"/>
  <c r="DC210" i="135"/>
  <c r="GC210" i="135"/>
  <c r="ES210" i="135"/>
  <c r="DG210" i="135"/>
  <c r="FQ210" i="135"/>
  <c r="FV210" i="135"/>
  <c r="EV210" i="135"/>
  <c r="EG210" i="135"/>
  <c r="DB210" i="135"/>
  <c r="DH210" i="135"/>
  <c r="EE210" i="135"/>
  <c r="CZ210" i="135"/>
  <c r="EO210" i="135"/>
  <c r="EI210" i="135"/>
  <c r="FX210" i="135"/>
  <c r="DI210" i="135"/>
  <c r="EU210" i="135"/>
  <c r="EM210" i="135"/>
  <c r="DD210" i="135"/>
  <c r="DA210" i="135"/>
  <c r="FO210" i="135"/>
  <c r="FZ210" i="135"/>
  <c r="CX210" i="135"/>
  <c r="FR210" i="135"/>
  <c r="CA210" i="135"/>
  <c r="FP210" i="135"/>
  <c r="GB210" i="135"/>
  <c r="FT210" i="135"/>
  <c r="GA210" i="135"/>
  <c r="CY210" i="135"/>
  <c r="FY210" i="135"/>
  <c r="EJ210" i="135"/>
  <c r="DE210" i="135"/>
  <c r="CB210" i="135"/>
  <c r="CW210" i="135"/>
  <c r="FW210" i="135"/>
  <c r="DK210" i="135"/>
  <c r="EF210" i="135"/>
  <c r="EL210" i="135"/>
  <c r="ER210" i="135"/>
  <c r="AM210" i="135"/>
  <c r="DQ210" i="135"/>
  <c r="AQ208" i="135"/>
  <c r="P208" i="135"/>
  <c r="BT208" i="135"/>
  <c r="BA208" i="135"/>
  <c r="AS208" i="135"/>
  <c r="BI209" i="135"/>
  <c r="AX209" i="135"/>
  <c r="BQ209" i="135"/>
  <c r="DX209" i="135"/>
  <c r="DP209" i="135"/>
  <c r="DS209" i="135"/>
  <c r="DR209" i="135"/>
  <c r="DQ209" i="135"/>
  <c r="DY209" i="135"/>
  <c r="DT209" i="135"/>
  <c r="DU209" i="135"/>
  <c r="DN209" i="135"/>
  <c r="DV209" i="135"/>
  <c r="AP207" i="135"/>
  <c r="J207" i="135"/>
  <c r="BL208" i="135"/>
  <c r="AA39" i="109"/>
  <c r="AB31" i="109"/>
  <c r="AU210" i="135" l="1"/>
  <c r="BH210" i="135"/>
  <c r="CT210" i="135"/>
  <c r="AJ211" i="135"/>
  <c r="AU211" i="135" s="1"/>
  <c r="Z211" i="135"/>
  <c r="EZ211" i="135" s="1"/>
  <c r="AB211" i="135"/>
  <c r="X211" i="135"/>
  <c r="CJ211" i="135" s="1"/>
  <c r="AF211" i="135"/>
  <c r="AM211" i="135" s="1"/>
  <c r="BD211" i="135" s="1"/>
  <c r="AG211" i="135"/>
  <c r="AH211" i="135"/>
  <c r="AC211" i="135"/>
  <c r="Y211" i="135"/>
  <c r="DP211" i="135" s="1"/>
  <c r="AD211" i="135"/>
  <c r="L208" i="135"/>
  <c r="CP210" i="135"/>
  <c r="CK210" i="135"/>
  <c r="CN210" i="135"/>
  <c r="CC210" i="135"/>
  <c r="CL210" i="135"/>
  <c r="CF210" i="135"/>
  <c r="CI210" i="135"/>
  <c r="CQ210" i="135"/>
  <c r="CD210" i="135"/>
  <c r="CO210" i="135"/>
  <c r="CG210" i="135"/>
  <c r="CH210" i="135"/>
  <c r="CR210" i="135"/>
  <c r="CM210" i="135"/>
  <c r="CJ210" i="135"/>
  <c r="CS210" i="135"/>
  <c r="AR209" i="135"/>
  <c r="AZ209" i="135"/>
  <c r="BS209" i="135"/>
  <c r="BW209" i="135"/>
  <c r="BU209" i="135"/>
  <c r="BV209" i="135"/>
  <c r="R209" i="135"/>
  <c r="BK209" i="135"/>
  <c r="BC210" i="135"/>
  <c r="BX210" i="135"/>
  <c r="BF209" i="135"/>
  <c r="BO209" i="135"/>
  <c r="AT209" i="135"/>
  <c r="BG209" i="135"/>
  <c r="BB209" i="135"/>
  <c r="BM209" i="135"/>
  <c r="K213" i="118"/>
  <c r="K165" i="118"/>
  <c r="FH210" i="135"/>
  <c r="FD210" i="135"/>
  <c r="DT210" i="135"/>
  <c r="FN210" i="135"/>
  <c r="ED210" i="135"/>
  <c r="DR210" i="135"/>
  <c r="EC210" i="135"/>
  <c r="FB210" i="135"/>
  <c r="DW210" i="135"/>
  <c r="FJ210" i="135"/>
  <c r="FC210" i="135"/>
  <c r="DZ210" i="135"/>
  <c r="FL210" i="135"/>
  <c r="FF210" i="135"/>
  <c r="DS210" i="135"/>
  <c r="FG210" i="135"/>
  <c r="DY210" i="135"/>
  <c r="EB210" i="135"/>
  <c r="DU210" i="135"/>
  <c r="FE210" i="135"/>
  <c r="FM210" i="135"/>
  <c r="FK210" i="135"/>
  <c r="DV210" i="135"/>
  <c r="DX210" i="135"/>
  <c r="EA210" i="135"/>
  <c r="FI210" i="135"/>
  <c r="DN210" i="135"/>
  <c r="DM210" i="135"/>
  <c r="EW210" i="135"/>
  <c r="DP210" i="135"/>
  <c r="EY210" i="135"/>
  <c r="DO210" i="135"/>
  <c r="FA210" i="135"/>
  <c r="P209" i="135"/>
  <c r="AQ209" i="135"/>
  <c r="M208" i="135"/>
  <c r="DH211" i="135"/>
  <c r="DB211" i="135"/>
  <c r="EQ211" i="135"/>
  <c r="EM211" i="135"/>
  <c r="ES211" i="135"/>
  <c r="DD211" i="135"/>
  <c r="CB211" i="135"/>
  <c r="EO211" i="135"/>
  <c r="DC211" i="135"/>
  <c r="GB211" i="135"/>
  <c r="EV211" i="135"/>
  <c r="FZ211" i="135"/>
  <c r="GA211" i="135"/>
  <c r="EL211" i="135"/>
  <c r="EN211" i="135"/>
  <c r="ER211" i="135"/>
  <c r="FW211" i="135"/>
  <c r="DK211" i="135"/>
  <c r="FY211" i="135"/>
  <c r="EU211" i="135"/>
  <c r="DE211" i="135"/>
  <c r="DG211" i="135"/>
  <c r="EP211" i="135"/>
  <c r="FV211" i="135"/>
  <c r="DI211" i="135"/>
  <c r="CA211" i="135"/>
  <c r="FX211" i="135"/>
  <c r="DL211" i="135"/>
  <c r="DF211" i="135"/>
  <c r="GC211" i="135"/>
  <c r="EX210" i="135"/>
  <c r="BT209" i="135"/>
  <c r="AS209" i="135"/>
  <c r="BL209" i="135"/>
  <c r="BA209" i="135"/>
  <c r="BI210" i="135"/>
  <c r="BQ210" i="135"/>
  <c r="AX210" i="135"/>
  <c r="BD210" i="135"/>
  <c r="BP210" i="135"/>
  <c r="BY210" i="135"/>
  <c r="AW210" i="135"/>
  <c r="AN210" i="135"/>
  <c r="Q210" i="135" s="1"/>
  <c r="K208" i="135"/>
  <c r="J208" i="135"/>
  <c r="AP208" i="135"/>
  <c r="N208" i="135"/>
  <c r="AB39" i="109"/>
  <c r="AC31" i="109"/>
  <c r="BP211" i="135" l="1"/>
  <c r="AW211" i="135"/>
  <c r="BY211" i="135"/>
  <c r="EK211" i="135"/>
  <c r="EJ211" i="135"/>
  <c r="EI211" i="135"/>
  <c r="EH211" i="135"/>
  <c r="FR211" i="135"/>
  <c r="CZ211" i="135"/>
  <c r="EE211" i="135"/>
  <c r="FU211" i="135"/>
  <c r="FT211" i="135"/>
  <c r="FO211" i="135"/>
  <c r="CY211" i="135"/>
  <c r="DA211" i="135"/>
  <c r="FS211" i="135"/>
  <c r="EG211" i="135"/>
  <c r="FP211" i="135"/>
  <c r="CX211" i="135"/>
  <c r="CU211" i="135"/>
  <c r="EF211" i="135"/>
  <c r="CV211" i="135"/>
  <c r="FQ211" i="135"/>
  <c r="CW211" i="135"/>
  <c r="EB211" i="135"/>
  <c r="FN211" i="135"/>
  <c r="EC211" i="135"/>
  <c r="CS211" i="135"/>
  <c r="CR211" i="135"/>
  <c r="ED211" i="135"/>
  <c r="FL211" i="135"/>
  <c r="FM211" i="135"/>
  <c r="CT211" i="135"/>
  <c r="J209" i="135"/>
  <c r="K167" i="118" s="1"/>
  <c r="FA211" i="135"/>
  <c r="AZ210" i="135"/>
  <c r="BF210" i="135"/>
  <c r="R210" i="135"/>
  <c r="BS210" i="135"/>
  <c r="BV210" i="135"/>
  <c r="BK210" i="135"/>
  <c r="BO210" i="135"/>
  <c r="AR210" i="135"/>
  <c r="M209" i="135"/>
  <c r="K209" i="135"/>
  <c r="L209" i="135"/>
  <c r="BQ211" i="135"/>
  <c r="N209" i="135"/>
  <c r="AS210" i="135"/>
  <c r="FD211" i="135"/>
  <c r="FJ211" i="135"/>
  <c r="BB210" i="135"/>
  <c r="FI211" i="135"/>
  <c r="EX211" i="135"/>
  <c r="FF211" i="135"/>
  <c r="FE211" i="135"/>
  <c r="FK211" i="135"/>
  <c r="FB211" i="135"/>
  <c r="EW211" i="135"/>
  <c r="BA210" i="135"/>
  <c r="BN211" i="135"/>
  <c r="K214" i="118"/>
  <c r="K166" i="118"/>
  <c r="FC211" i="135"/>
  <c r="EY211" i="135"/>
  <c r="FH211" i="135"/>
  <c r="FG211" i="135"/>
  <c r="BL210" i="135"/>
  <c r="BT210" i="135"/>
  <c r="BW210" i="135"/>
  <c r="BM210" i="135"/>
  <c r="BU210" i="135"/>
  <c r="BG210" i="135"/>
  <c r="AT210" i="135"/>
  <c r="DO211" i="135"/>
  <c r="CP211" i="135"/>
  <c r="CL211" i="135"/>
  <c r="CE211" i="135"/>
  <c r="DW211" i="135"/>
  <c r="CC211" i="135"/>
  <c r="CI211" i="135"/>
  <c r="CO211" i="135"/>
  <c r="AX211" i="135"/>
  <c r="AP209" i="135"/>
  <c r="EA211" i="135"/>
  <c r="DN211" i="135"/>
  <c r="DQ211" i="135"/>
  <c r="CQ211" i="135"/>
  <c r="DR211" i="135"/>
  <c r="CD211" i="135"/>
  <c r="BI211" i="135"/>
  <c r="CN211" i="135"/>
  <c r="CM211" i="135"/>
  <c r="DZ211" i="135"/>
  <c r="CF211" i="135"/>
  <c r="DY211" i="135"/>
  <c r="DS211" i="135"/>
  <c r="DV211" i="135"/>
  <c r="CH211" i="135"/>
  <c r="CG211" i="135"/>
  <c r="DT211" i="135"/>
  <c r="P210" i="135"/>
  <c r="AQ210" i="135"/>
  <c r="BC211" i="135"/>
  <c r="BH211" i="135"/>
  <c r="BX211" i="135"/>
  <c r="AV211" i="135"/>
  <c r="C212" i="135"/>
  <c r="T212" i="135" s="1"/>
  <c r="CK211" i="135"/>
  <c r="DU211" i="135"/>
  <c r="DX211" i="135"/>
  <c r="DM211" i="135"/>
  <c r="AN211" i="135"/>
  <c r="Q211" i="135" s="1"/>
  <c r="AC39" i="109"/>
  <c r="AD31" i="109"/>
  <c r="AQ211" i="135" l="1"/>
  <c r="AL212" i="135"/>
  <c r="V212" i="135"/>
  <c r="U212" i="135"/>
  <c r="AK212" i="135"/>
  <c r="K210" i="135"/>
  <c r="L210" i="135"/>
  <c r="AP210" i="135"/>
  <c r="J210" i="135"/>
  <c r="K168" i="118" s="1"/>
  <c r="N210" i="135"/>
  <c r="BG211" i="135"/>
  <c r="BU211" i="135"/>
  <c r="M210" i="135"/>
  <c r="AT211" i="135"/>
  <c r="BW211" i="135"/>
  <c r="BM211" i="135"/>
  <c r="BB211" i="135"/>
  <c r="K215" i="118"/>
  <c r="BL211" i="135"/>
  <c r="C276" i="135"/>
  <c r="T276" i="135" s="1"/>
  <c r="C213" i="135"/>
  <c r="T213" i="135" s="1"/>
  <c r="BT211" i="135"/>
  <c r="BO211" i="135"/>
  <c r="AR211" i="135"/>
  <c r="BA211" i="135"/>
  <c r="BK211" i="135"/>
  <c r="AZ211" i="135"/>
  <c r="AS211" i="135"/>
  <c r="BF211" i="135"/>
  <c r="R211" i="135"/>
  <c r="P211" i="135"/>
  <c r="BS211" i="135"/>
  <c r="BV211" i="135"/>
  <c r="AC32" i="135"/>
  <c r="AD39" i="109"/>
  <c r="AE31" i="109"/>
  <c r="AD212" i="135" l="1"/>
  <c r="Z212" i="135"/>
  <c r="AJ212" i="135"/>
  <c r="BN212" i="135" s="1"/>
  <c r="AB212" i="135"/>
  <c r="AF212" i="135"/>
  <c r="AH212" i="135"/>
  <c r="AI212" i="135"/>
  <c r="AL276" i="135"/>
  <c r="V276" i="135"/>
  <c r="AI276" i="135"/>
  <c r="AK276" i="135"/>
  <c r="EB276" i="135" s="1"/>
  <c r="EB47" i="135" s="1"/>
  <c r="U276" i="135"/>
  <c r="AC212" i="135"/>
  <c r="X212" i="135"/>
  <c r="U213" i="135"/>
  <c r="V213" i="135"/>
  <c r="AL213" i="135"/>
  <c r="AK213" i="135"/>
  <c r="Y212" i="135"/>
  <c r="EB212" i="135" s="1"/>
  <c r="AG212" i="135"/>
  <c r="L211" i="135"/>
  <c r="K211" i="135"/>
  <c r="M211" i="135"/>
  <c r="J211" i="135"/>
  <c r="AP211" i="135"/>
  <c r="N211" i="135"/>
  <c r="CB212" i="135"/>
  <c r="DE212" i="135"/>
  <c r="DK212" i="135"/>
  <c r="FX212" i="135"/>
  <c r="GC212" i="135"/>
  <c r="EN212" i="135"/>
  <c r="EU212" i="135"/>
  <c r="EM212" i="135"/>
  <c r="ES212" i="135"/>
  <c r="DF212" i="135"/>
  <c r="EV212" i="135"/>
  <c r="EO212" i="135"/>
  <c r="CA212" i="135"/>
  <c r="FZ212" i="135"/>
  <c r="FY212" i="135"/>
  <c r="DB212" i="135"/>
  <c r="ER212" i="135"/>
  <c r="DG212" i="135"/>
  <c r="DL212" i="135"/>
  <c r="EL212" i="135"/>
  <c r="GA212" i="135"/>
  <c r="EP212" i="135"/>
  <c r="DD212" i="135"/>
  <c r="DI212" i="135"/>
  <c r="FW212" i="135"/>
  <c r="GB212" i="135"/>
  <c r="DC212" i="135"/>
  <c r="DH212" i="135"/>
  <c r="FV212" i="135"/>
  <c r="EQ212" i="135"/>
  <c r="EY11" i="135"/>
  <c r="FJ45" i="135"/>
  <c r="FG45" i="135"/>
  <c r="EL42" i="135"/>
  <c r="EU11" i="135"/>
  <c r="DT45" i="135"/>
  <c r="FN45" i="135"/>
  <c r="ER45" i="135"/>
  <c r="EB45" i="135"/>
  <c r="DN11" i="135"/>
  <c r="DN42" i="135"/>
  <c r="EM45" i="135"/>
  <c r="DM11" i="135"/>
  <c r="FH45" i="135"/>
  <c r="EG45" i="135"/>
  <c r="FW42" i="135"/>
  <c r="EC42" i="135"/>
  <c r="EC45" i="135"/>
  <c r="DO11" i="135"/>
  <c r="EF45" i="135"/>
  <c r="DL11" i="135"/>
  <c r="DL45" i="135"/>
  <c r="EK45" i="135"/>
  <c r="DY42" i="135"/>
  <c r="DY45" i="135"/>
  <c r="CB11" i="135"/>
  <c r="DP11" i="135"/>
  <c r="FL42" i="135"/>
  <c r="FQ42" i="135"/>
  <c r="EA42" i="135"/>
  <c r="EA45" i="135"/>
  <c r="EV11" i="135"/>
  <c r="EV45" i="135"/>
  <c r="FZ45" i="135"/>
  <c r="FT45" i="135"/>
  <c r="FO42" i="135"/>
  <c r="FO45" i="135"/>
  <c r="FY45" i="135"/>
  <c r="EJ42" i="135"/>
  <c r="FF45" i="135"/>
  <c r="EN45" i="135"/>
  <c r="GB45" i="135"/>
  <c r="DX45" i="135"/>
  <c r="EP45" i="135"/>
  <c r="FU42" i="135"/>
  <c r="FU45" i="135"/>
  <c r="EE42" i="135"/>
  <c r="EE45" i="135"/>
  <c r="DW45" i="135"/>
  <c r="CA45" i="135"/>
  <c r="FX42" i="135"/>
  <c r="EI45" i="135"/>
  <c r="ED42" i="135"/>
  <c r="ED45" i="135"/>
  <c r="DR45" i="135"/>
  <c r="ES45" i="135"/>
  <c r="FS42" i="135"/>
  <c r="FS45" i="135"/>
  <c r="FM42" i="135"/>
  <c r="AE39" i="109"/>
  <c r="AF31" i="109"/>
  <c r="O35" i="131" l="1"/>
  <c r="O36" i="131"/>
  <c r="O37" i="131"/>
  <c r="O26" i="131"/>
  <c r="O25" i="131"/>
  <c r="O15" i="131"/>
  <c r="O14" i="131"/>
  <c r="N15" i="131" s="1"/>
  <c r="AI47" i="135"/>
  <c r="Y213" i="135"/>
  <c r="AC276" i="135"/>
  <c r="AC213" i="135"/>
  <c r="AD213" i="135"/>
  <c r="X213" i="135"/>
  <c r="CG213" i="135" s="1"/>
  <c r="AB213" i="135"/>
  <c r="CY213" i="135" s="1"/>
  <c r="AH276" i="135"/>
  <c r="AJ276" i="135"/>
  <c r="Z213" i="135"/>
  <c r="EZ213" i="135" s="1"/>
  <c r="AH213" i="135"/>
  <c r="AJ213" i="135"/>
  <c r="Y276" i="135"/>
  <c r="X276" i="135"/>
  <c r="CO276" i="135" s="1"/>
  <c r="CO47" i="135" s="1"/>
  <c r="Z276" i="135"/>
  <c r="FK276" i="135" s="1"/>
  <c r="FK47" i="135" s="1"/>
  <c r="AB276" i="135"/>
  <c r="AF213" i="135"/>
  <c r="AD276" i="135"/>
  <c r="AF276" i="135"/>
  <c r="AF47" i="135" s="1"/>
  <c r="AG213" i="135"/>
  <c r="AI213" i="135"/>
  <c r="AI16" i="135" s="1"/>
  <c r="AG276" i="135"/>
  <c r="AG47" i="135" s="1"/>
  <c r="FI212" i="135"/>
  <c r="FE212" i="135"/>
  <c r="FF212" i="135"/>
  <c r="FJ212" i="135"/>
  <c r="FR212" i="135"/>
  <c r="FK212" i="135"/>
  <c r="FP212" i="135"/>
  <c r="FO212" i="135"/>
  <c r="EC212" i="135"/>
  <c r="EG212" i="135"/>
  <c r="EJ212" i="135"/>
  <c r="EK212" i="135"/>
  <c r="EH212" i="135"/>
  <c r="EE212" i="135"/>
  <c r="EF212" i="135"/>
  <c r="EI212" i="135"/>
  <c r="ED212" i="135"/>
  <c r="FQ212" i="135"/>
  <c r="FL212" i="135"/>
  <c r="FU212" i="135"/>
  <c r="EX212" i="135"/>
  <c r="FA212" i="135"/>
  <c r="FM212" i="135"/>
  <c r="EY212" i="135"/>
  <c r="FD212" i="135"/>
  <c r="FC212" i="135"/>
  <c r="FH212" i="135"/>
  <c r="EW212" i="135"/>
  <c r="CH212" i="135"/>
  <c r="AU212" i="135"/>
  <c r="FT212" i="135"/>
  <c r="FS212" i="135"/>
  <c r="FB212" i="135"/>
  <c r="FN212" i="135"/>
  <c r="FG212" i="135"/>
  <c r="BI212" i="135"/>
  <c r="CG212" i="135"/>
  <c r="CT212" i="135"/>
  <c r="CQ212" i="135"/>
  <c r="DA212" i="135"/>
  <c r="CX212" i="135"/>
  <c r="CV212" i="135"/>
  <c r="CD212" i="135"/>
  <c r="CI212" i="135"/>
  <c r="CU212" i="135"/>
  <c r="CP212" i="135"/>
  <c r="CZ212" i="135"/>
  <c r="CL212" i="135"/>
  <c r="CN212" i="135"/>
  <c r="CJ212" i="135"/>
  <c r="CK212" i="135"/>
  <c r="CW212" i="135"/>
  <c r="CF212" i="135"/>
  <c r="CM212" i="135"/>
  <c r="CE212" i="135"/>
  <c r="CR212" i="135"/>
  <c r="CY212" i="135"/>
  <c r="CC212" i="135"/>
  <c r="CS212" i="135"/>
  <c r="CO212" i="135"/>
  <c r="EB11" i="135"/>
  <c r="EB18" i="135"/>
  <c r="EB38" i="135"/>
  <c r="K229" i="118"/>
  <c r="K169" i="118"/>
  <c r="EZ212" i="135"/>
  <c r="DT212" i="135"/>
  <c r="DO212" i="135"/>
  <c r="DS212" i="135"/>
  <c r="DQ212" i="135"/>
  <c r="DM212" i="135"/>
  <c r="EA212" i="135"/>
  <c r="DY212" i="135"/>
  <c r="DZ212" i="135"/>
  <c r="DX212" i="135"/>
  <c r="DW212" i="135"/>
  <c r="DV212" i="135"/>
  <c r="DR212" i="135"/>
  <c r="DP212" i="135"/>
  <c r="DN212" i="135"/>
  <c r="DU212" i="135"/>
  <c r="BX212" i="135"/>
  <c r="BH212" i="135"/>
  <c r="BC212" i="135"/>
  <c r="AV212" i="135"/>
  <c r="FL276" i="135"/>
  <c r="FL47" i="135" s="1"/>
  <c r="CV276" i="135"/>
  <c r="CV47" i="135" s="1"/>
  <c r="EK276" i="135"/>
  <c r="EK47" i="135" s="1"/>
  <c r="EQ276" i="135"/>
  <c r="EQ47" i="135" s="1"/>
  <c r="DL276" i="135"/>
  <c r="DL47" i="135" s="1"/>
  <c r="FR276" i="135"/>
  <c r="FR47" i="135" s="1"/>
  <c r="DC276" i="135"/>
  <c r="DC47" i="135" s="1"/>
  <c r="ER276" i="135"/>
  <c r="ER47" i="135" s="1"/>
  <c r="FN276" i="135"/>
  <c r="FN47" i="135" s="1"/>
  <c r="CY276" i="135"/>
  <c r="CY47" i="135" s="1"/>
  <c r="DE276" i="135"/>
  <c r="DE47" i="135" s="1"/>
  <c r="CT276" i="135"/>
  <c r="CT47" i="135" s="1"/>
  <c r="FP276" i="135"/>
  <c r="FP47" i="135" s="1"/>
  <c r="EL276" i="135"/>
  <c r="EL47" i="135" s="1"/>
  <c r="EN276" i="135"/>
  <c r="EN47" i="135" s="1"/>
  <c r="CR276" i="135"/>
  <c r="CR47" i="135" s="1"/>
  <c r="CW276" i="135"/>
  <c r="CW47" i="135" s="1"/>
  <c r="EM276" i="135"/>
  <c r="EM47" i="135" s="1"/>
  <c r="DH276" i="135"/>
  <c r="DH47" i="135" s="1"/>
  <c r="ED276" i="135"/>
  <c r="ED47" i="135" s="1"/>
  <c r="EI276" i="135"/>
  <c r="EI47" i="135" s="1"/>
  <c r="FX276" i="135"/>
  <c r="FX47" i="135" s="1"/>
  <c r="CA276" i="135"/>
  <c r="CA47" i="135" s="1"/>
  <c r="EE276" i="135"/>
  <c r="EE47" i="135" s="1"/>
  <c r="FU276" i="135"/>
  <c r="FU47" i="135" s="1"/>
  <c r="EP276" i="135"/>
  <c r="EP47" i="135" s="1"/>
  <c r="CZ276" i="135"/>
  <c r="CZ47" i="135" s="1"/>
  <c r="DA276" i="135"/>
  <c r="DA47" i="135" s="1"/>
  <c r="GB276" i="135"/>
  <c r="GB47" i="135" s="1"/>
  <c r="GC276" i="135"/>
  <c r="GC47" i="135" s="1"/>
  <c r="CB276" i="135"/>
  <c r="CB47" i="135" s="1"/>
  <c r="CU276" i="135"/>
  <c r="CU47" i="135" s="1"/>
  <c r="EJ276" i="135"/>
  <c r="EJ47" i="135" s="1"/>
  <c r="FY276" i="135"/>
  <c r="FY47" i="135" s="1"/>
  <c r="DK276" i="135"/>
  <c r="EF276" i="135"/>
  <c r="EF47" i="135" s="1"/>
  <c r="DB276" i="135"/>
  <c r="DB47" i="135" s="1"/>
  <c r="DG276" i="135"/>
  <c r="DG47" i="135" s="1"/>
  <c r="EC276" i="135"/>
  <c r="EC47" i="135" s="1"/>
  <c r="EH276" i="135"/>
  <c r="EH47" i="135" s="1"/>
  <c r="FW276" i="135"/>
  <c r="FW47" i="135" s="1"/>
  <c r="DI276" i="135"/>
  <c r="DI47" i="135" s="1"/>
  <c r="EU276" i="135"/>
  <c r="EU47" i="135" s="1"/>
  <c r="EG276" i="135"/>
  <c r="EG47" i="135" s="1"/>
  <c r="CX276" i="135"/>
  <c r="CX47" i="135" s="1"/>
  <c r="FM276" i="135"/>
  <c r="FM47" i="135" s="1"/>
  <c r="FS276" i="135"/>
  <c r="DD276" i="135"/>
  <c r="DD47" i="135" s="1"/>
  <c r="ES276" i="135"/>
  <c r="ES47" i="135" s="1"/>
  <c r="FO276" i="135"/>
  <c r="FO47" i="135" s="1"/>
  <c r="FT276" i="135"/>
  <c r="FT47" i="135" s="1"/>
  <c r="FZ276" i="135"/>
  <c r="FZ47" i="135" s="1"/>
  <c r="EV276" i="135"/>
  <c r="FQ276" i="135"/>
  <c r="FQ47" i="135" s="1"/>
  <c r="FV276" i="135"/>
  <c r="FV47" i="135" s="1"/>
  <c r="GA276" i="135"/>
  <c r="GA47" i="135" s="1"/>
  <c r="EO276" i="135"/>
  <c r="EO47" i="135" s="1"/>
  <c r="DF276" i="135"/>
  <c r="DF47" i="135" s="1"/>
  <c r="CS276" i="135"/>
  <c r="DK213" i="135"/>
  <c r="DK16" i="135" s="1"/>
  <c r="FV213" i="135"/>
  <c r="FV16" i="135" s="1"/>
  <c r="EQ213" i="135"/>
  <c r="EQ16" i="135" s="1"/>
  <c r="FY213" i="135"/>
  <c r="FY16" i="135" s="1"/>
  <c r="CA213" i="135"/>
  <c r="CA16" i="135" s="1"/>
  <c r="ES213" i="135"/>
  <c r="ES16" i="135" s="1"/>
  <c r="DH213" i="135"/>
  <c r="DH16" i="135" s="1"/>
  <c r="ER213" i="135"/>
  <c r="ER16" i="135" s="1"/>
  <c r="EV213" i="135"/>
  <c r="DC213" i="135"/>
  <c r="DC16" i="135" s="1"/>
  <c r="GB213" i="135"/>
  <c r="GB16" i="135" s="1"/>
  <c r="DF213" i="135"/>
  <c r="DF16" i="135" s="1"/>
  <c r="FX213" i="135"/>
  <c r="FX16" i="135" s="1"/>
  <c r="DL213" i="135"/>
  <c r="EN213" i="135"/>
  <c r="EN16" i="135" s="1"/>
  <c r="EL213" i="135"/>
  <c r="EL16" i="135" s="1"/>
  <c r="CB213" i="135"/>
  <c r="EU213" i="135"/>
  <c r="GA213" i="135"/>
  <c r="GA16" i="135" s="1"/>
  <c r="EP213" i="135"/>
  <c r="EP16" i="135" s="1"/>
  <c r="DD213" i="135"/>
  <c r="DD16" i="135" s="1"/>
  <c r="DB213" i="135"/>
  <c r="DB16" i="135" s="1"/>
  <c r="FW213" i="135"/>
  <c r="FW16" i="135" s="1"/>
  <c r="FZ213" i="135"/>
  <c r="FZ16" i="135" s="1"/>
  <c r="EM213" i="135"/>
  <c r="EM16" i="135" s="1"/>
  <c r="DI213" i="135"/>
  <c r="DI16" i="135" s="1"/>
  <c r="GC213" i="135"/>
  <c r="GC16" i="135" s="1"/>
  <c r="DG213" i="135"/>
  <c r="DG16" i="135" s="1"/>
  <c r="EO213" i="135"/>
  <c r="EO16" i="135" s="1"/>
  <c r="DE213" i="135"/>
  <c r="DE16" i="135" s="1"/>
  <c r="BQ212" i="135"/>
  <c r="AX212" i="135"/>
  <c r="AM212" i="135"/>
  <c r="CC11" i="135"/>
  <c r="FA11" i="135"/>
  <c r="EX11" i="135"/>
  <c r="EX45" i="135"/>
  <c r="R45" i="135"/>
  <c r="P45" i="135"/>
  <c r="FC45" i="135"/>
  <c r="EW11" i="135"/>
  <c r="BT45" i="135"/>
  <c r="N45" i="135" s="1"/>
  <c r="EZ11" i="135"/>
  <c r="FB11" i="135"/>
  <c r="FB45" i="135"/>
  <c r="AG31" i="109"/>
  <c r="AF39" i="109"/>
  <c r="K37" i="131" l="1"/>
  <c r="M37" i="131"/>
  <c r="M36" i="131"/>
  <c r="K36" i="131"/>
  <c r="K35" i="131"/>
  <c r="J35" i="131"/>
  <c r="M35" i="131"/>
  <c r="K25" i="131"/>
  <c r="M25" i="131"/>
  <c r="M26" i="131"/>
  <c r="K26" i="131"/>
  <c r="K14" i="131"/>
  <c r="J14" i="131"/>
  <c r="M14" i="131"/>
  <c r="J15" i="131"/>
  <c r="M15" i="131"/>
  <c r="K15" i="131"/>
  <c r="Z24" i="135"/>
  <c r="Z47" i="135"/>
  <c r="AC34" i="135"/>
  <c r="AC47" i="135"/>
  <c r="AD24" i="135"/>
  <c r="AD47" i="135"/>
  <c r="X24" i="135"/>
  <c r="X47" i="135"/>
  <c r="DR276" i="135"/>
  <c r="DR19" i="135" s="1"/>
  <c r="Y47" i="135"/>
  <c r="AJ12" i="135"/>
  <c r="AJ47" i="135"/>
  <c r="AB34" i="135"/>
  <c r="AB47" i="135"/>
  <c r="AH34" i="135"/>
  <c r="AH47" i="135"/>
  <c r="CS18" i="135"/>
  <c r="CS47" i="135"/>
  <c r="FS38" i="135"/>
  <c r="FS47" i="135"/>
  <c r="DK34" i="135"/>
  <c r="DK47" i="135"/>
  <c r="EV36" i="135"/>
  <c r="EV47" i="135"/>
  <c r="AG24" i="135"/>
  <c r="AG34" i="135"/>
  <c r="FE213" i="135"/>
  <c r="FE16" i="135" s="1"/>
  <c r="EA213" i="135"/>
  <c r="EA41" i="135" s="1"/>
  <c r="CN213" i="135"/>
  <c r="CN16" i="135" s="1"/>
  <c r="FO213" i="135"/>
  <c r="FO41" i="135" s="1"/>
  <c r="CS213" i="135"/>
  <c r="CS12" i="135" s="1"/>
  <c r="FU213" i="135"/>
  <c r="FU16" i="135" s="1"/>
  <c r="CZ213" i="135"/>
  <c r="CZ16" i="135" s="1"/>
  <c r="CH213" i="135"/>
  <c r="CH41" i="135" s="1"/>
  <c r="CM213" i="135"/>
  <c r="CM41" i="135" s="1"/>
  <c r="CL213" i="135"/>
  <c r="CL41" i="135" s="1"/>
  <c r="CW213" i="135"/>
  <c r="CW12" i="135" s="1"/>
  <c r="CQ213" i="135"/>
  <c r="CQ41" i="135" s="1"/>
  <c r="CJ213" i="135"/>
  <c r="CJ41" i="135" s="1"/>
  <c r="DU276" i="135"/>
  <c r="DU47" i="135" s="1"/>
  <c r="DY213" i="135"/>
  <c r="DY41" i="135" s="1"/>
  <c r="DZ213" i="135"/>
  <c r="DZ16" i="135" s="1"/>
  <c r="EG213" i="135"/>
  <c r="EG16" i="135" s="1"/>
  <c r="EB213" i="135"/>
  <c r="EB16" i="135" s="1"/>
  <c r="FQ213" i="135"/>
  <c r="FQ16" i="135" s="1"/>
  <c r="FC213" i="135"/>
  <c r="FC16" i="135" s="1"/>
  <c r="DV276" i="135"/>
  <c r="R212" i="135"/>
  <c r="DW213" i="135"/>
  <c r="DW16" i="135" s="1"/>
  <c r="AZ212" i="135"/>
  <c r="EE213" i="135"/>
  <c r="EE16" i="135" s="1"/>
  <c r="DX213" i="135"/>
  <c r="DX41" i="135" s="1"/>
  <c r="ED213" i="135"/>
  <c r="ED41" i="135" s="1"/>
  <c r="CY16" i="135"/>
  <c r="AR212" i="135"/>
  <c r="BV212" i="135"/>
  <c r="BO212" i="135"/>
  <c r="FR213" i="135"/>
  <c r="FR16" i="135" s="1"/>
  <c r="FS213" i="135"/>
  <c r="FS16" i="135" s="1"/>
  <c r="FN213" i="135"/>
  <c r="FN41" i="135" s="1"/>
  <c r="BF212" i="135"/>
  <c r="BK212" i="135"/>
  <c r="FK213" i="135"/>
  <c r="FK16" i="135" s="1"/>
  <c r="FD213" i="135"/>
  <c r="FD41" i="135" s="1"/>
  <c r="CW16" i="135"/>
  <c r="BS212" i="135"/>
  <c r="FG213" i="135"/>
  <c r="FG16" i="135" s="1"/>
  <c r="FT213" i="135"/>
  <c r="FT16" i="135" s="1"/>
  <c r="EY213" i="135"/>
  <c r="EY16" i="135" s="1"/>
  <c r="FI213" i="135"/>
  <c r="FI41" i="135" s="1"/>
  <c r="AD12" i="135"/>
  <c r="AT212" i="135"/>
  <c r="EX213" i="135"/>
  <c r="EX16" i="135" s="1"/>
  <c r="EC213" i="135"/>
  <c r="EC12" i="135" s="1"/>
  <c r="EI213" i="135"/>
  <c r="EI16" i="135" s="1"/>
  <c r="EK213" i="135"/>
  <c r="EK16" i="135" s="1"/>
  <c r="EF213" i="135"/>
  <c r="EF16" i="135" s="1"/>
  <c r="EW213" i="135"/>
  <c r="EW41" i="135" s="1"/>
  <c r="EH213" i="135"/>
  <c r="EH16" i="135" s="1"/>
  <c r="EJ213" i="135"/>
  <c r="EJ16" i="135" s="1"/>
  <c r="CD276" i="135"/>
  <c r="CM276" i="135"/>
  <c r="CM47" i="135" s="1"/>
  <c r="CK276" i="135"/>
  <c r="CL276" i="135"/>
  <c r="CU213" i="135"/>
  <c r="CU16" i="135" s="1"/>
  <c r="CI276" i="135"/>
  <c r="CE276" i="135"/>
  <c r="CJ276" i="135"/>
  <c r="CN276" i="135"/>
  <c r="CP276" i="135"/>
  <c r="CQ276" i="135"/>
  <c r="FL213" i="135"/>
  <c r="FL41" i="135" s="1"/>
  <c r="FF213" i="135"/>
  <c r="FF16" i="135" s="1"/>
  <c r="CH276" i="135"/>
  <c r="CH47" i="135" s="1"/>
  <c r="CF276" i="135"/>
  <c r="CF47" i="135" s="1"/>
  <c r="CE213" i="135"/>
  <c r="CE41" i="135" s="1"/>
  <c r="CT213" i="135"/>
  <c r="CT41" i="135" s="1"/>
  <c r="AC12" i="135"/>
  <c r="BG212" i="135"/>
  <c r="CO213" i="135"/>
  <c r="CO41" i="135" s="1"/>
  <c r="DA213" i="135"/>
  <c r="DA16" i="135" s="1"/>
  <c r="FB213" i="135"/>
  <c r="CP213" i="135"/>
  <c r="CP16" i="135" s="1"/>
  <c r="FJ213" i="135"/>
  <c r="FJ16" i="135" s="1"/>
  <c r="FM213" i="135"/>
  <c r="FM16" i="135" s="1"/>
  <c r="CV213" i="135"/>
  <c r="CV16" i="135" s="1"/>
  <c r="FH213" i="135"/>
  <c r="FH41" i="135" s="1"/>
  <c r="BW212" i="135"/>
  <c r="CR213" i="135"/>
  <c r="CR16" i="135" s="1"/>
  <c r="CX213" i="135"/>
  <c r="CX16" i="135" s="1"/>
  <c r="FP213" i="135"/>
  <c r="FP16" i="135" s="1"/>
  <c r="CG276" i="135"/>
  <c r="BU212" i="135"/>
  <c r="CD38" i="135"/>
  <c r="CD18" i="135"/>
  <c r="AH38" i="135"/>
  <c r="AH18" i="135"/>
  <c r="AH11" i="135"/>
  <c r="Z18" i="135"/>
  <c r="Z38" i="135"/>
  <c r="Z11" i="135"/>
  <c r="BB212" i="135"/>
  <c r="AJ16" i="135"/>
  <c r="EV15" i="135"/>
  <c r="EV18" i="135"/>
  <c r="EV38" i="135"/>
  <c r="Y41" i="135"/>
  <c r="E44" i="235" s="1"/>
  <c r="AB20" i="235" s="1"/>
  <c r="Y38" i="135"/>
  <c r="Y18" i="135"/>
  <c r="Y11" i="135"/>
  <c r="E6" i="235" s="1"/>
  <c r="AD38" i="135"/>
  <c r="AD18" i="135"/>
  <c r="AD11" i="135"/>
  <c r="AD16" i="135"/>
  <c r="CI11" i="135"/>
  <c r="CI38" i="135"/>
  <c r="CI18" i="135"/>
  <c r="CH38" i="135"/>
  <c r="CH18" i="135"/>
  <c r="CF38" i="135"/>
  <c r="CF18" i="135"/>
  <c r="DR11" i="135"/>
  <c r="DR18" i="135"/>
  <c r="DR38" i="135"/>
  <c r="AB38" i="135"/>
  <c r="AB18" i="135"/>
  <c r="AB11" i="135"/>
  <c r="AG18" i="135"/>
  <c r="AG38" i="135"/>
  <c r="AG11" i="135"/>
  <c r="X38" i="135"/>
  <c r="X18" i="135"/>
  <c r="X11" i="135"/>
  <c r="D6" i="235" s="1"/>
  <c r="AJ18" i="135"/>
  <c r="AJ38" i="135"/>
  <c r="AJ11" i="135"/>
  <c r="CE11" i="135"/>
  <c r="CE18" i="135"/>
  <c r="CE38" i="135"/>
  <c r="CG18" i="135"/>
  <c r="CG38" i="135"/>
  <c r="CB38" i="135"/>
  <c r="CB18" i="135"/>
  <c r="DL15" i="135"/>
  <c r="DL18" i="135"/>
  <c r="DL38" i="135"/>
  <c r="AC18" i="135"/>
  <c r="AC38" i="135"/>
  <c r="AC11" i="135"/>
  <c r="AF18" i="135"/>
  <c r="AF38" i="135"/>
  <c r="AF11" i="135"/>
  <c r="O24" i="131"/>
  <c r="AI38" i="135"/>
  <c r="AI18" i="135"/>
  <c r="AI11" i="135"/>
  <c r="EZ41" i="135"/>
  <c r="EZ16" i="135"/>
  <c r="CS41" i="135"/>
  <c r="FA213" i="135"/>
  <c r="GA18" i="135"/>
  <c r="GA11" i="135"/>
  <c r="GA38" i="135"/>
  <c r="GA41" i="135"/>
  <c r="FZ41" i="135"/>
  <c r="DD41" i="135"/>
  <c r="CM38" i="135"/>
  <c r="CM18" i="135"/>
  <c r="EH11" i="135"/>
  <c r="EH38" i="135"/>
  <c r="EH18" i="135"/>
  <c r="CZ38" i="135"/>
  <c r="CA18" i="135"/>
  <c r="CA38" i="135"/>
  <c r="CA11" i="135"/>
  <c r="CA41" i="135"/>
  <c r="DH18" i="135"/>
  <c r="DH11" i="135"/>
  <c r="DH38" i="135"/>
  <c r="DH41" i="135"/>
  <c r="EL41" i="135"/>
  <c r="CY38" i="135"/>
  <c r="CY18" i="135"/>
  <c r="CY41" i="135"/>
  <c r="CV38" i="135"/>
  <c r="CV18" i="135"/>
  <c r="DZ276" i="135"/>
  <c r="AF16" i="135"/>
  <c r="AF12" i="135"/>
  <c r="CI213" i="135"/>
  <c r="X16" i="135"/>
  <c r="X12" i="135"/>
  <c r="D7" i="235" s="1"/>
  <c r="AC41" i="135"/>
  <c r="AF41" i="135"/>
  <c r="AI41" i="135"/>
  <c r="O29" i="131"/>
  <c r="R36" i="131" s="1"/>
  <c r="AC16" i="135"/>
  <c r="FV41" i="135"/>
  <c r="CG16" i="135"/>
  <c r="EU18" i="135"/>
  <c r="EU38" i="135"/>
  <c r="DK38" i="135"/>
  <c r="DK11" i="135"/>
  <c r="DK41" i="135"/>
  <c r="GC11" i="135"/>
  <c r="GC18" i="135"/>
  <c r="GC38" i="135"/>
  <c r="GC41" i="135"/>
  <c r="EP41" i="135"/>
  <c r="FX41" i="135"/>
  <c r="EM41" i="135"/>
  <c r="CO38" i="135"/>
  <c r="CO18" i="135"/>
  <c r="FN11" i="135"/>
  <c r="FN38" i="135"/>
  <c r="FN18" i="135"/>
  <c r="DU11" i="135"/>
  <c r="DU18" i="135"/>
  <c r="DU38" i="135"/>
  <c r="FK38" i="135"/>
  <c r="DS213" i="135"/>
  <c r="DS41" i="135" s="1"/>
  <c r="Y12" i="135"/>
  <c r="E7" i="235" s="1"/>
  <c r="Y16" i="135"/>
  <c r="AH19" i="135"/>
  <c r="AH12" i="135"/>
  <c r="AH16" i="135"/>
  <c r="AH41" i="135"/>
  <c r="Z41" i="135"/>
  <c r="AI12" i="135"/>
  <c r="EU16" i="135"/>
  <c r="EU41" i="135"/>
  <c r="DL41" i="135"/>
  <c r="DL16" i="135"/>
  <c r="EV16" i="135"/>
  <c r="EV41" i="135"/>
  <c r="DF18" i="135"/>
  <c r="DF41" i="135"/>
  <c r="FO11" i="135"/>
  <c r="FO38" i="135"/>
  <c r="FO18" i="135"/>
  <c r="CP38" i="135"/>
  <c r="CP18" i="135"/>
  <c r="DI18" i="135"/>
  <c r="DI38" i="135"/>
  <c r="DI11" i="135"/>
  <c r="DI41" i="135"/>
  <c r="DG18" i="135"/>
  <c r="DG11" i="135"/>
  <c r="DG41" i="135"/>
  <c r="FY41" i="135"/>
  <c r="CQ38" i="135"/>
  <c r="CQ18" i="135"/>
  <c r="GB11" i="135"/>
  <c r="GB18" i="135"/>
  <c r="GB38" i="135"/>
  <c r="GB41" i="135"/>
  <c r="EI11" i="135"/>
  <c r="EI38" i="135"/>
  <c r="EI18" i="135"/>
  <c r="CW38" i="135"/>
  <c r="CW18" i="135"/>
  <c r="CL18" i="135"/>
  <c r="CL38" i="135"/>
  <c r="ER11" i="135"/>
  <c r="ER38" i="135"/>
  <c r="ER18" i="135"/>
  <c r="ER41" i="135"/>
  <c r="EQ18" i="135"/>
  <c r="EQ41" i="135"/>
  <c r="DV11" i="135"/>
  <c r="DV18" i="135"/>
  <c r="DV38" i="135"/>
  <c r="AG16" i="135"/>
  <c r="AG12" i="135"/>
  <c r="Z16" i="135"/>
  <c r="Z12" i="135"/>
  <c r="AD41" i="135"/>
  <c r="CB41" i="135"/>
  <c r="CB16" i="135"/>
  <c r="CG41" i="135"/>
  <c r="CJ38" i="135"/>
  <c r="CJ18" i="135"/>
  <c r="EO41" i="135"/>
  <c r="ES11" i="135"/>
  <c r="ES38" i="135"/>
  <c r="ES18" i="135"/>
  <c r="ES41" i="135"/>
  <c r="CN18" i="135"/>
  <c r="CN38" i="135"/>
  <c r="CX18" i="135"/>
  <c r="CX38" i="135"/>
  <c r="FW41" i="135"/>
  <c r="DB41" i="135"/>
  <c r="CK38" i="135"/>
  <c r="CK18" i="135"/>
  <c r="DA18" i="135"/>
  <c r="EE11" i="135"/>
  <c r="EE18" i="135"/>
  <c r="EE38" i="135"/>
  <c r="CR18" i="135"/>
  <c r="CR38" i="135"/>
  <c r="EN41" i="135"/>
  <c r="DE18" i="135"/>
  <c r="DE41" i="135"/>
  <c r="DC41" i="135"/>
  <c r="DY276" i="135"/>
  <c r="DY47" i="135" s="1"/>
  <c r="DT276" i="135"/>
  <c r="DT47" i="135" s="1"/>
  <c r="AB16" i="135"/>
  <c r="AB12" i="135"/>
  <c r="AB32" i="135"/>
  <c r="AB41" i="135"/>
  <c r="AG32" i="135"/>
  <c r="AG41" i="135"/>
  <c r="X41" i="135"/>
  <c r="D44" i="235" s="1"/>
  <c r="Y20" i="235" s="1"/>
  <c r="AJ32" i="135"/>
  <c r="AJ41" i="135"/>
  <c r="BM212" i="135"/>
  <c r="BA212" i="135"/>
  <c r="CD11" i="135"/>
  <c r="CJ11" i="135"/>
  <c r="CS11" i="135"/>
  <c r="CS38" i="135"/>
  <c r="DF38" i="135"/>
  <c r="DF11" i="135"/>
  <c r="EO38" i="135"/>
  <c r="EO11" i="135"/>
  <c r="EO18" i="135"/>
  <c r="FV29" i="135"/>
  <c r="FV11" i="135"/>
  <c r="FV38" i="135"/>
  <c r="FV18" i="135"/>
  <c r="FQ11" i="135"/>
  <c r="FQ18" i="135"/>
  <c r="FQ38" i="135"/>
  <c r="FZ11" i="135"/>
  <c r="FZ38" i="135"/>
  <c r="FZ18" i="135"/>
  <c r="FT11" i="135"/>
  <c r="FT29" i="135"/>
  <c r="FT18" i="135"/>
  <c r="FT38" i="135"/>
  <c r="DD38" i="135"/>
  <c r="DD11" i="135"/>
  <c r="DD18" i="135"/>
  <c r="FS11" i="135"/>
  <c r="FS18" i="135"/>
  <c r="FM11" i="135"/>
  <c r="FM18" i="135"/>
  <c r="FM38" i="135"/>
  <c r="CN11" i="135"/>
  <c r="CM11" i="135"/>
  <c r="CG11" i="135"/>
  <c r="CP11" i="135"/>
  <c r="CX11" i="135"/>
  <c r="EG11" i="135"/>
  <c r="EG38" i="135"/>
  <c r="EG18" i="135"/>
  <c r="EU36" i="135"/>
  <c r="EU15" i="135"/>
  <c r="FW29" i="135"/>
  <c r="FW38" i="135"/>
  <c r="FW11" i="135"/>
  <c r="FW18" i="135"/>
  <c r="EC11" i="135"/>
  <c r="EC18" i="135"/>
  <c r="EC38" i="135"/>
  <c r="DG38" i="135"/>
  <c r="DB29" i="135"/>
  <c r="DB38" i="135"/>
  <c r="DB11" i="135"/>
  <c r="DB18" i="135"/>
  <c r="EF11" i="135"/>
  <c r="EF18" i="135"/>
  <c r="EF38" i="135"/>
  <c r="DK15" i="135"/>
  <c r="DK36" i="135"/>
  <c r="DK18" i="135"/>
  <c r="FY38" i="135"/>
  <c r="FY18" i="135"/>
  <c r="FY11" i="135"/>
  <c r="EJ11" i="135"/>
  <c r="EJ29" i="135"/>
  <c r="EJ38" i="135"/>
  <c r="EJ18" i="135"/>
  <c r="CU11" i="135"/>
  <c r="CU38" i="135"/>
  <c r="CU18" i="135"/>
  <c r="CB15" i="135"/>
  <c r="CQ11" i="135"/>
  <c r="CK11" i="135"/>
  <c r="CH11" i="135"/>
  <c r="DA29" i="135"/>
  <c r="DA38" i="135"/>
  <c r="DA11" i="135"/>
  <c r="CZ29" i="135"/>
  <c r="CZ11" i="135"/>
  <c r="CZ18" i="135"/>
  <c r="EP11" i="135"/>
  <c r="EP38" i="135"/>
  <c r="EP18" i="135"/>
  <c r="FU29" i="135"/>
  <c r="FU38" i="135"/>
  <c r="FU11" i="135"/>
  <c r="FU18" i="135"/>
  <c r="CA15" i="135"/>
  <c r="FX38" i="135"/>
  <c r="FX11" i="135"/>
  <c r="FX18" i="135"/>
  <c r="ED11" i="135"/>
  <c r="ED38" i="135"/>
  <c r="ED18" i="135"/>
  <c r="EM29" i="135"/>
  <c r="EM38" i="135"/>
  <c r="EM11" i="135"/>
  <c r="EM18" i="135"/>
  <c r="CW11" i="135"/>
  <c r="CR11" i="135"/>
  <c r="CF11" i="135"/>
  <c r="CO11" i="135"/>
  <c r="CL11" i="135"/>
  <c r="EN11" i="135"/>
  <c r="EN38" i="135"/>
  <c r="EN18" i="135"/>
  <c r="EL29" i="135"/>
  <c r="EL11" i="135"/>
  <c r="EL38" i="135"/>
  <c r="EL18" i="135"/>
  <c r="FP11" i="135"/>
  <c r="FP38" i="135"/>
  <c r="FP18" i="135"/>
  <c r="CT11" i="135"/>
  <c r="CT18" i="135"/>
  <c r="CT38" i="135"/>
  <c r="DE11" i="135"/>
  <c r="DE38" i="135"/>
  <c r="CY29" i="135"/>
  <c r="CY11" i="135"/>
  <c r="DC29" i="135"/>
  <c r="DC11" i="135"/>
  <c r="DC38" i="135"/>
  <c r="DC18" i="135"/>
  <c r="FR11" i="135"/>
  <c r="FR38" i="135"/>
  <c r="FR18" i="135"/>
  <c r="EQ11" i="135"/>
  <c r="EQ38" i="135"/>
  <c r="EK29" i="135"/>
  <c r="EK11" i="135"/>
  <c r="EK38" i="135"/>
  <c r="EK18" i="135"/>
  <c r="CV11" i="135"/>
  <c r="DY11" i="135"/>
  <c r="DY18" i="135"/>
  <c r="FK11" i="135"/>
  <c r="FK18" i="135"/>
  <c r="K230" i="118"/>
  <c r="AH32" i="135"/>
  <c r="Y32" i="135"/>
  <c r="E32" i="235" s="1"/>
  <c r="AA20" i="235" s="1"/>
  <c r="AM276" i="135"/>
  <c r="AF32" i="135"/>
  <c r="FD276" i="135"/>
  <c r="FD47" i="135" s="1"/>
  <c r="Z32" i="135"/>
  <c r="CC276" i="135"/>
  <c r="CC47" i="135" s="1"/>
  <c r="X32" i="135"/>
  <c r="D32" i="235" s="1"/>
  <c r="X20" i="235" s="1"/>
  <c r="X36" i="135"/>
  <c r="D36" i="235" s="1"/>
  <c r="X24" i="235" s="1"/>
  <c r="AI32" i="135"/>
  <c r="O18" i="131"/>
  <c r="O19" i="131"/>
  <c r="AD32" i="135"/>
  <c r="FL11" i="135"/>
  <c r="FL38" i="135"/>
  <c r="FL18" i="135"/>
  <c r="FI276" i="135"/>
  <c r="FI47" i="135" s="1"/>
  <c r="CC213" i="135"/>
  <c r="CK213" i="135"/>
  <c r="CF213" i="135"/>
  <c r="CD213" i="135"/>
  <c r="BL212" i="135"/>
  <c r="BT212" i="135"/>
  <c r="AS212" i="135"/>
  <c r="DP213" i="135"/>
  <c r="DP16" i="135" s="1"/>
  <c r="DV213" i="135"/>
  <c r="DV41" i="135" s="1"/>
  <c r="DU213" i="135"/>
  <c r="DU16" i="135" s="1"/>
  <c r="DM213" i="135"/>
  <c r="DT213" i="135"/>
  <c r="DR213" i="135"/>
  <c r="DR16" i="135" s="1"/>
  <c r="EE19" i="135"/>
  <c r="EM12" i="135"/>
  <c r="EM19" i="135"/>
  <c r="DB19" i="135"/>
  <c r="DB12" i="135"/>
  <c r="GA19" i="135"/>
  <c r="GA12" i="135"/>
  <c r="CB12" i="135"/>
  <c r="CB19" i="135"/>
  <c r="EC19" i="135"/>
  <c r="DL19" i="135"/>
  <c r="DL12" i="135"/>
  <c r="EK19" i="135"/>
  <c r="GB12" i="135"/>
  <c r="GB19" i="135"/>
  <c r="FM19" i="135"/>
  <c r="CV19" i="135"/>
  <c r="CR19" i="135"/>
  <c r="CT19" i="135"/>
  <c r="CX19" i="135"/>
  <c r="FV12" i="135"/>
  <c r="FV19" i="135"/>
  <c r="BC213" i="135"/>
  <c r="BC16" i="135" s="1"/>
  <c r="BH213" i="135"/>
  <c r="AV213" i="135"/>
  <c r="AV16" i="135" s="1"/>
  <c r="BX213" i="135"/>
  <c r="AM213" i="135"/>
  <c r="AF19" i="135"/>
  <c r="X19" i="135"/>
  <c r="BH276" i="135"/>
  <c r="BH47" i="135" s="1"/>
  <c r="BC276" i="135"/>
  <c r="AV276" i="135"/>
  <c r="AV47" i="135" s="1"/>
  <c r="BX276" i="135"/>
  <c r="BX47" i="135" s="1"/>
  <c r="AI19" i="135"/>
  <c r="FE276" i="135"/>
  <c r="FE47" i="135" s="1"/>
  <c r="BY212" i="135"/>
  <c r="AW212" i="135"/>
  <c r="BD212" i="135"/>
  <c r="AN212" i="135"/>
  <c r="Q212" i="135" s="1"/>
  <c r="BP212" i="135"/>
  <c r="DE12" i="135"/>
  <c r="DE19" i="135"/>
  <c r="DG19" i="135"/>
  <c r="DG12" i="135"/>
  <c r="CZ19" i="135"/>
  <c r="FR19" i="135"/>
  <c r="FZ12" i="135"/>
  <c r="FZ19" i="135"/>
  <c r="DD12" i="135"/>
  <c r="DD19" i="135"/>
  <c r="CW19" i="135"/>
  <c r="FS19" i="135"/>
  <c r="EL12" i="135"/>
  <c r="EL19" i="135"/>
  <c r="EI19" i="135"/>
  <c r="DA19" i="135"/>
  <c r="FN19" i="135"/>
  <c r="CU19" i="135"/>
  <c r="FU19" i="135"/>
  <c r="DC19" i="135"/>
  <c r="DC12" i="135"/>
  <c r="DH12" i="135"/>
  <c r="DH19" i="135"/>
  <c r="CA19" i="135"/>
  <c r="CA12" i="135"/>
  <c r="CO19" i="135"/>
  <c r="FP19" i="135"/>
  <c r="DK19" i="135"/>
  <c r="DK12" i="135"/>
  <c r="Y19" i="135"/>
  <c r="EY276" i="135"/>
  <c r="FH276" i="135"/>
  <c r="FH47" i="135" s="1"/>
  <c r="FG276" i="135"/>
  <c r="FG47" i="135" s="1"/>
  <c r="EX276" i="135"/>
  <c r="EX47" i="135" s="1"/>
  <c r="EW276" i="135"/>
  <c r="EW47" i="135" s="1"/>
  <c r="FB276" i="135"/>
  <c r="FB47" i="135" s="1"/>
  <c r="FC276" i="135"/>
  <c r="FC47" i="135" s="1"/>
  <c r="EZ276" i="135"/>
  <c r="FA276" i="135"/>
  <c r="FA47" i="135" s="1"/>
  <c r="FF276" i="135"/>
  <c r="FK19" i="135"/>
  <c r="CS19" i="135"/>
  <c r="EF19" i="135"/>
  <c r="FT19" i="135"/>
  <c r="EP12" i="135"/>
  <c r="EP19" i="135"/>
  <c r="EN19" i="135"/>
  <c r="EN12" i="135"/>
  <c r="EH19" i="135"/>
  <c r="EV12" i="135"/>
  <c r="EV19" i="135"/>
  <c r="FL19" i="135"/>
  <c r="EJ19" i="135"/>
  <c r="FY12" i="135"/>
  <c r="FY19" i="135"/>
  <c r="BQ213" i="135"/>
  <c r="AG19" i="135"/>
  <c r="BI213" i="135"/>
  <c r="AX213" i="135"/>
  <c r="Z19" i="135"/>
  <c r="AC19" i="135"/>
  <c r="DO276" i="135"/>
  <c r="DO47" i="135" s="1"/>
  <c r="EA276" i="135"/>
  <c r="EA47" i="135" s="1"/>
  <c r="DW276" i="135"/>
  <c r="DW47" i="135" s="1"/>
  <c r="DP276" i="135"/>
  <c r="DM276" i="135"/>
  <c r="DM47" i="135" s="1"/>
  <c r="DQ276" i="135"/>
  <c r="DQ47" i="135" s="1"/>
  <c r="EO12" i="135"/>
  <c r="EO19" i="135"/>
  <c r="GC19" i="135"/>
  <c r="GC12" i="135"/>
  <c r="DI12" i="135"/>
  <c r="DI19" i="135"/>
  <c r="FO19" i="135"/>
  <c r="FW19" i="135"/>
  <c r="FW12" i="135"/>
  <c r="FQ19" i="135"/>
  <c r="EU19" i="135"/>
  <c r="EU12" i="135"/>
  <c r="DQ213" i="135"/>
  <c r="DQ41" i="135" s="1"/>
  <c r="ED19" i="135"/>
  <c r="EG19" i="135"/>
  <c r="FX12" i="135"/>
  <c r="FX19" i="135"/>
  <c r="DF12" i="135"/>
  <c r="DF19" i="135"/>
  <c r="EB19" i="135"/>
  <c r="ER12" i="135"/>
  <c r="ER19" i="135"/>
  <c r="ES19" i="135"/>
  <c r="ES12" i="135"/>
  <c r="DO213" i="135"/>
  <c r="DO41" i="135" s="1"/>
  <c r="CY19" i="135"/>
  <c r="CY12" i="135"/>
  <c r="DN213" i="135"/>
  <c r="DN16" i="135" s="1"/>
  <c r="EQ19" i="135"/>
  <c r="EQ12" i="135"/>
  <c r="AB19" i="135"/>
  <c r="AD19" i="135"/>
  <c r="BN213" i="135"/>
  <c r="AU213" i="135"/>
  <c r="AJ19" i="135"/>
  <c r="BI276" i="135"/>
  <c r="BQ276" i="135"/>
  <c r="AX276" i="135"/>
  <c r="AX47" i="135" s="1"/>
  <c r="BN276" i="135"/>
  <c r="AU276" i="135"/>
  <c r="AU47" i="135" s="1"/>
  <c r="DS276" i="135"/>
  <c r="DS47" i="135" s="1"/>
  <c r="FJ276" i="135"/>
  <c r="FJ47" i="135" s="1"/>
  <c r="DN276" i="135"/>
  <c r="DN47" i="135" s="1"/>
  <c r="DX276" i="135"/>
  <c r="DX47" i="135" s="1"/>
  <c r="AZ45" i="135"/>
  <c r="K45" i="135" s="1"/>
  <c r="BO45" i="135"/>
  <c r="M45" i="135" s="1"/>
  <c r="AH31" i="109"/>
  <c r="AG39" i="109"/>
  <c r="R25" i="131" l="1"/>
  <c r="R26" i="131"/>
  <c r="J26" i="131" s="1"/>
  <c r="L26" i="131" s="1"/>
  <c r="R37" i="131"/>
  <c r="J37" i="131" s="1"/>
  <c r="L37" i="131" s="1"/>
  <c r="J36" i="131"/>
  <c r="L36" i="131" s="1"/>
  <c r="J25" i="131"/>
  <c r="L25" i="131" s="1"/>
  <c r="FE41" i="135"/>
  <c r="N37" i="131"/>
  <c r="N36" i="131"/>
  <c r="N25" i="131"/>
  <c r="L35" i="131"/>
  <c r="N35" i="131" s="1"/>
  <c r="P35" i="131" s="1"/>
  <c r="CM16" i="135"/>
  <c r="L15" i="131"/>
  <c r="L14" i="131"/>
  <c r="P14" i="131" s="1"/>
  <c r="D21" i="235"/>
  <c r="W21" i="235" s="1"/>
  <c r="C57" i="235"/>
  <c r="E38" i="235"/>
  <c r="AA26" i="235" s="1"/>
  <c r="D58" i="235"/>
  <c r="E50" i="235"/>
  <c r="AB26" i="235" s="1"/>
  <c r="E58" i="235"/>
  <c r="D50" i="235"/>
  <c r="Y26" i="235" s="1"/>
  <c r="E57" i="235"/>
  <c r="D38" i="235"/>
  <c r="X26" i="235" s="1"/>
  <c r="D57" i="235"/>
  <c r="FF41" i="135"/>
  <c r="CW41" i="135"/>
  <c r="CN41" i="135"/>
  <c r="EY41" i="135"/>
  <c r="J24" i="131"/>
  <c r="K24" i="131"/>
  <c r="M24" i="131"/>
  <c r="DP36" i="135"/>
  <c r="DP47" i="135"/>
  <c r="BC27" i="135"/>
  <c r="BC47" i="135"/>
  <c r="CP19" i="135"/>
  <c r="CP47" i="135"/>
  <c r="CI19" i="135"/>
  <c r="CI47" i="135"/>
  <c r="FF19" i="135"/>
  <c r="FF47" i="135"/>
  <c r="CN19" i="135"/>
  <c r="CN47" i="135"/>
  <c r="CD19" i="135"/>
  <c r="CD47" i="135"/>
  <c r="BQ27" i="135"/>
  <c r="BQ47" i="135"/>
  <c r="BI27" i="135"/>
  <c r="L27" i="135" s="1"/>
  <c r="BI47" i="135"/>
  <c r="EY36" i="135"/>
  <c r="EY47" i="135"/>
  <c r="CG12" i="135"/>
  <c r="CG47" i="135"/>
  <c r="CJ19" i="135"/>
  <c r="CJ47" i="135"/>
  <c r="CL12" i="135"/>
  <c r="CL47" i="135"/>
  <c r="BN34" i="135"/>
  <c r="BN47" i="135"/>
  <c r="EZ12" i="135"/>
  <c r="EZ47" i="135"/>
  <c r="DZ19" i="135"/>
  <c r="DZ47" i="135"/>
  <c r="CQ19" i="135"/>
  <c r="CQ47" i="135"/>
  <c r="CE19" i="135"/>
  <c r="CE47" i="135"/>
  <c r="CK19" i="135"/>
  <c r="CK47" i="135"/>
  <c r="DV19" i="135"/>
  <c r="DV47" i="135"/>
  <c r="DR36" i="135"/>
  <c r="DR47" i="135"/>
  <c r="BX27" i="135"/>
  <c r="BX36" i="135"/>
  <c r="N36" i="135" s="1"/>
  <c r="AU34" i="135"/>
  <c r="AP34" i="135" s="1"/>
  <c r="AU36" i="135"/>
  <c r="AX24" i="135"/>
  <c r="AX34" i="135"/>
  <c r="AQ34" i="135" s="1"/>
  <c r="BH19" i="135"/>
  <c r="BH34" i="135"/>
  <c r="BQ24" i="135"/>
  <c r="BQ34" i="135"/>
  <c r="BX19" i="135"/>
  <c r="BX34" i="135"/>
  <c r="N34" i="135" s="1"/>
  <c r="BI24" i="135"/>
  <c r="L24" i="135" s="1"/>
  <c r="BI34" i="135"/>
  <c r="AV19" i="135"/>
  <c r="AV34" i="135"/>
  <c r="P34" i="135" s="1"/>
  <c r="BC19" i="135"/>
  <c r="BC34" i="135"/>
  <c r="K34" i="135" s="1"/>
  <c r="DY12" i="135"/>
  <c r="EF41" i="135"/>
  <c r="CZ41" i="135"/>
  <c r="FM41" i="135"/>
  <c r="FQ12" i="135"/>
  <c r="CZ12" i="135"/>
  <c r="CR41" i="135"/>
  <c r="FQ41" i="135"/>
  <c r="DW41" i="135"/>
  <c r="ED16" i="135"/>
  <c r="DY16" i="135"/>
  <c r="ED12" i="135"/>
  <c r="EF12" i="135"/>
  <c r="L212" i="135"/>
  <c r="EA16" i="135"/>
  <c r="AM27" i="135"/>
  <c r="P11" i="131"/>
  <c r="F24" i="235" s="1"/>
  <c r="AC24" i="235" s="1"/>
  <c r="AM24" i="135"/>
  <c r="P8" i="131"/>
  <c r="AM14" i="135"/>
  <c r="FO12" i="135"/>
  <c r="DZ41" i="135"/>
  <c r="CH16" i="135"/>
  <c r="EI41" i="135"/>
  <c r="FH16" i="135"/>
  <c r="FS12" i="135"/>
  <c r="CK12" i="135"/>
  <c r="CS16" i="135"/>
  <c r="DS12" i="135"/>
  <c r="EH12" i="135"/>
  <c r="FK12" i="135"/>
  <c r="EE12" i="135"/>
  <c r="CJ16" i="135"/>
  <c r="EG12" i="135"/>
  <c r="CF19" i="135"/>
  <c r="CQ12" i="135"/>
  <c r="EI12" i="135"/>
  <c r="EE41" i="135"/>
  <c r="FS41" i="135"/>
  <c r="FO16" i="135"/>
  <c r="CQ16" i="135"/>
  <c r="DY19" i="135"/>
  <c r="DZ12" i="135"/>
  <c r="DU19" i="135"/>
  <c r="FU12" i="135"/>
  <c r="DS16" i="135"/>
  <c r="CJ12" i="135"/>
  <c r="FU41" i="135"/>
  <c r="CL16" i="135"/>
  <c r="FJ41" i="135"/>
  <c r="FD12" i="135"/>
  <c r="CN12" i="135"/>
  <c r="DA12" i="135"/>
  <c r="CT12" i="135"/>
  <c r="CR12" i="135"/>
  <c r="FM12" i="135"/>
  <c r="CM12" i="135"/>
  <c r="DA41" i="135"/>
  <c r="CT16" i="135"/>
  <c r="EC16" i="135"/>
  <c r="FI16" i="135"/>
  <c r="FC41" i="135"/>
  <c r="FI12" i="135"/>
  <c r="FG41" i="135"/>
  <c r="CX41" i="135"/>
  <c r="EG41" i="135"/>
  <c r="FK41" i="135"/>
  <c r="EH41" i="135"/>
  <c r="FP12" i="135"/>
  <c r="BG213" i="135"/>
  <c r="BG16" i="135" s="1"/>
  <c r="CP12" i="135"/>
  <c r="FP41" i="135"/>
  <c r="CP41" i="135"/>
  <c r="FN16" i="135"/>
  <c r="BF276" i="135"/>
  <c r="BF47" i="135" s="1"/>
  <c r="EB12" i="135"/>
  <c r="EK12" i="135"/>
  <c r="CH12" i="135"/>
  <c r="FD16" i="135"/>
  <c r="BM213" i="135"/>
  <c r="BM16" i="135" s="1"/>
  <c r="CL19" i="135"/>
  <c r="EJ12" i="135"/>
  <c r="CH19" i="135"/>
  <c r="EK41" i="135"/>
  <c r="DX16" i="135"/>
  <c r="FT41" i="135"/>
  <c r="CV41" i="135"/>
  <c r="EB41" i="135"/>
  <c r="FT12" i="135"/>
  <c r="FN12" i="135"/>
  <c r="CX12" i="135"/>
  <c r="CV12" i="135"/>
  <c r="EJ41" i="135"/>
  <c r="FE12" i="135"/>
  <c r="K212" i="135"/>
  <c r="CM19" i="135"/>
  <c r="BO276" i="135"/>
  <c r="EC41" i="135"/>
  <c r="CO16" i="135"/>
  <c r="BU213" i="135"/>
  <c r="BU16" i="135" s="1"/>
  <c r="FL12" i="135"/>
  <c r="CO12" i="135"/>
  <c r="CU12" i="135"/>
  <c r="CG19" i="135"/>
  <c r="FL16" i="135"/>
  <c r="CU41" i="135"/>
  <c r="CE12" i="135"/>
  <c r="FR41" i="135"/>
  <c r="BB213" i="135"/>
  <c r="BB16" i="135" s="1"/>
  <c r="FR12" i="135"/>
  <c r="FI19" i="135"/>
  <c r="BW213" i="135"/>
  <c r="BW16" i="135" s="1"/>
  <c r="AT213" i="135"/>
  <c r="AT16" i="135" s="1"/>
  <c r="N212" i="135"/>
  <c r="CE16" i="135"/>
  <c r="DU12" i="135"/>
  <c r="FE19" i="135"/>
  <c r="EX41" i="135"/>
  <c r="EW16" i="135"/>
  <c r="BK276" i="135"/>
  <c r="FF12" i="135"/>
  <c r="BV276" i="135"/>
  <c r="BV47" i="135" s="1"/>
  <c r="BF213" i="135"/>
  <c r="BF41" i="135" s="1"/>
  <c r="AR213" i="135"/>
  <c r="AR16" i="135" s="1"/>
  <c r="R213" i="135"/>
  <c r="BO213" i="135"/>
  <c r="BO41" i="135" s="1"/>
  <c r="AZ213" i="135"/>
  <c r="AZ16" i="135" s="1"/>
  <c r="DT19" i="135"/>
  <c r="FB16" i="135"/>
  <c r="FB41" i="135"/>
  <c r="BH12" i="135"/>
  <c r="DP19" i="135"/>
  <c r="DP18" i="135"/>
  <c r="DP38" i="135"/>
  <c r="FB38" i="135"/>
  <c r="FB18" i="135"/>
  <c r="FB12" i="135"/>
  <c r="BC18" i="135"/>
  <c r="BC38" i="135"/>
  <c r="BC11" i="135"/>
  <c r="BX12" i="135"/>
  <c r="FD19" i="135"/>
  <c r="AU38" i="135"/>
  <c r="AU18" i="135"/>
  <c r="AU11" i="135"/>
  <c r="BQ38" i="135"/>
  <c r="BQ18" i="135"/>
  <c r="BQ11" i="135"/>
  <c r="BN38" i="135"/>
  <c r="BN18" i="135"/>
  <c r="BN11" i="135"/>
  <c r="BI38" i="135"/>
  <c r="BI18" i="135"/>
  <c r="BI11" i="135"/>
  <c r="DN18" i="135"/>
  <c r="DN38" i="135"/>
  <c r="BF38" i="135"/>
  <c r="BF18" i="135"/>
  <c r="BF11" i="135"/>
  <c r="DQ11" i="135"/>
  <c r="DQ38" i="135"/>
  <c r="DQ18" i="135"/>
  <c r="FA38" i="135"/>
  <c r="FA18" i="135"/>
  <c r="EW38" i="135"/>
  <c r="EW18" i="135"/>
  <c r="EW12" i="135"/>
  <c r="EY38" i="135"/>
  <c r="EY18" i="135"/>
  <c r="BH38" i="135"/>
  <c r="BH18" i="135"/>
  <c r="BH11" i="135"/>
  <c r="BK213" i="135"/>
  <c r="BK16" i="135" s="1"/>
  <c r="DS18" i="135"/>
  <c r="DS38" i="135"/>
  <c r="AX38" i="135"/>
  <c r="AX18" i="135"/>
  <c r="AX11" i="135"/>
  <c r="EZ19" i="135"/>
  <c r="EZ18" i="135"/>
  <c r="EZ38" i="135"/>
  <c r="EX18" i="135"/>
  <c r="EX38" i="135"/>
  <c r="EX12" i="135"/>
  <c r="BX18" i="135"/>
  <c r="BX38" i="135"/>
  <c r="BX11" i="135"/>
  <c r="BV38" i="135"/>
  <c r="BV11" i="135"/>
  <c r="BV18" i="135"/>
  <c r="BO11" i="135"/>
  <c r="BO18" i="135"/>
  <c r="BO38" i="135"/>
  <c r="EY12" i="135"/>
  <c r="DM38" i="135"/>
  <c r="DM18" i="135"/>
  <c r="DO15" i="135"/>
  <c r="DO18" i="135"/>
  <c r="DO38" i="135"/>
  <c r="FC18" i="135"/>
  <c r="FC38" i="135"/>
  <c r="FC12" i="135"/>
  <c r="AV38" i="135"/>
  <c r="AV18" i="135"/>
  <c r="AV11" i="135"/>
  <c r="DM12" i="135"/>
  <c r="BK18" i="135"/>
  <c r="BK38" i="135"/>
  <c r="BK11" i="135"/>
  <c r="CC38" i="135"/>
  <c r="R38" i="135" s="1"/>
  <c r="CC18" i="135"/>
  <c r="R18" i="135" s="1"/>
  <c r="BI16" i="135"/>
  <c r="BI12" i="135"/>
  <c r="DX18" i="135"/>
  <c r="DX38" i="135"/>
  <c r="BN41" i="135"/>
  <c r="BI41" i="135"/>
  <c r="DW18" i="135"/>
  <c r="DW38" i="135"/>
  <c r="FC11" i="135"/>
  <c r="FG18" i="135"/>
  <c r="FG38" i="135"/>
  <c r="BV213" i="135"/>
  <c r="BV41" i="135" s="1"/>
  <c r="BS213" i="135"/>
  <c r="M212" i="135"/>
  <c r="BC41" i="135"/>
  <c r="CF16" i="135"/>
  <c r="CF41" i="135"/>
  <c r="CF12" i="135"/>
  <c r="FI11" i="135"/>
  <c r="FI18" i="135"/>
  <c r="FI38" i="135"/>
  <c r="BS276" i="135"/>
  <c r="BS47" i="135" s="1"/>
  <c r="AZ276" i="135"/>
  <c r="AZ47" i="135" s="1"/>
  <c r="AR276" i="135"/>
  <c r="AR47" i="135" s="1"/>
  <c r="R276" i="135"/>
  <c r="DN12" i="135"/>
  <c r="DM41" i="135"/>
  <c r="DR12" i="135"/>
  <c r="DU41" i="135"/>
  <c r="BX16" i="135"/>
  <c r="DP12" i="135"/>
  <c r="AV12" i="135"/>
  <c r="DO16" i="135"/>
  <c r="DQ16" i="135"/>
  <c r="DV16" i="135"/>
  <c r="K29" i="131"/>
  <c r="M29" i="131"/>
  <c r="CI41" i="135"/>
  <c r="CI12" i="135"/>
  <c r="CI16" i="135"/>
  <c r="AU41" i="135"/>
  <c r="BQ41" i="135"/>
  <c r="BN12" i="135"/>
  <c r="BN16" i="135"/>
  <c r="EA18" i="135"/>
  <c r="EA38" i="135"/>
  <c r="AX16" i="135"/>
  <c r="AX12" i="135"/>
  <c r="BQ16" i="135"/>
  <c r="BQ12" i="135"/>
  <c r="DV12" i="135"/>
  <c r="FF11" i="135"/>
  <c r="FF18" i="135"/>
  <c r="FF38" i="135"/>
  <c r="FH18" i="135"/>
  <c r="FE18" i="135"/>
  <c r="BH41" i="135"/>
  <c r="CK16" i="135"/>
  <c r="CK41" i="135"/>
  <c r="R29" i="135"/>
  <c r="DT41" i="135"/>
  <c r="DN41" i="135"/>
  <c r="DR41" i="135"/>
  <c r="DP41" i="135"/>
  <c r="DO12" i="135"/>
  <c r="DQ12" i="135"/>
  <c r="EW15" i="135"/>
  <c r="BX41" i="135"/>
  <c r="CC16" i="135"/>
  <c r="CC41" i="135"/>
  <c r="CC12" i="135"/>
  <c r="DT16" i="135"/>
  <c r="BC12" i="135"/>
  <c r="DT11" i="135"/>
  <c r="DT18" i="135"/>
  <c r="DT38" i="135"/>
  <c r="DM16" i="135"/>
  <c r="BH16" i="135"/>
  <c r="R11" i="135"/>
  <c r="FA12" i="135"/>
  <c r="FA16" i="135"/>
  <c r="FA41" i="135"/>
  <c r="FJ38" i="135"/>
  <c r="FJ18" i="135"/>
  <c r="AX41" i="135"/>
  <c r="AU16" i="135"/>
  <c r="AU12" i="135"/>
  <c r="AV41" i="135"/>
  <c r="CD16" i="135"/>
  <c r="CD41" i="135"/>
  <c r="CD12" i="135"/>
  <c r="FD11" i="135"/>
  <c r="FD38" i="135"/>
  <c r="FD18" i="135"/>
  <c r="AW276" i="135"/>
  <c r="P276" i="135" s="1"/>
  <c r="BY276" i="135"/>
  <c r="BP276" i="135"/>
  <c r="AN276" i="135"/>
  <c r="Q276" i="135" s="1"/>
  <c r="BD276" i="135"/>
  <c r="DT12" i="135"/>
  <c r="DY38" i="135"/>
  <c r="DZ11" i="135"/>
  <c r="DZ18" i="135"/>
  <c r="DZ38" i="135"/>
  <c r="DX11" i="135"/>
  <c r="FJ12" i="135"/>
  <c r="FJ11" i="135"/>
  <c r="DS11" i="135"/>
  <c r="AU32" i="135"/>
  <c r="AU33" i="135"/>
  <c r="BN32" i="135"/>
  <c r="BN36" i="135"/>
  <c r="M36" i="135" s="1"/>
  <c r="AX32" i="135"/>
  <c r="BQ32" i="135"/>
  <c r="BI32" i="135"/>
  <c r="DM36" i="135"/>
  <c r="DM15" i="135"/>
  <c r="DW11" i="135"/>
  <c r="EA19" i="135"/>
  <c r="EA11" i="135"/>
  <c r="K231" i="118"/>
  <c r="EX19" i="135"/>
  <c r="EX15" i="135"/>
  <c r="FG11" i="135"/>
  <c r="FH11" i="135"/>
  <c r="FH38" i="135"/>
  <c r="FE11" i="135"/>
  <c r="FE38" i="135"/>
  <c r="BX32" i="135"/>
  <c r="AV32" i="135"/>
  <c r="BC32" i="135"/>
  <c r="BH32" i="135"/>
  <c r="BH33" i="135"/>
  <c r="L33" i="135" s="1"/>
  <c r="K18" i="131"/>
  <c r="M18" i="131"/>
  <c r="Q36" i="135"/>
  <c r="P13" i="131"/>
  <c r="R15" i="135"/>
  <c r="FG19" i="135"/>
  <c r="FG12" i="135"/>
  <c r="CC19" i="135"/>
  <c r="AP212" i="135"/>
  <c r="AS213" i="135"/>
  <c r="AS16" i="135" s="1"/>
  <c r="EY19" i="135"/>
  <c r="DQ19" i="135"/>
  <c r="BT276" i="135"/>
  <c r="BT47" i="135" s="1"/>
  <c r="FJ19" i="135"/>
  <c r="DX19" i="135"/>
  <c r="FC19" i="135"/>
  <c r="DW12" i="135"/>
  <c r="DM19" i="135"/>
  <c r="DN19" i="135"/>
  <c r="AX19" i="135"/>
  <c r="BQ19" i="135"/>
  <c r="BA276" i="135"/>
  <c r="BA47" i="135" s="1"/>
  <c r="EA12" i="135"/>
  <c r="DS19" i="135"/>
  <c r="DX12" i="135"/>
  <c r="FB19" i="135"/>
  <c r="BA213" i="135"/>
  <c r="FH19" i="135"/>
  <c r="BI19" i="135"/>
  <c r="AS276" i="135"/>
  <c r="AS47" i="135" s="1"/>
  <c r="FA19" i="135"/>
  <c r="EW19" i="135"/>
  <c r="BW276" i="135"/>
  <c r="BW47" i="135" s="1"/>
  <c r="BU276" i="135"/>
  <c r="BU47" i="135" s="1"/>
  <c r="BB276" i="135"/>
  <c r="BB47" i="135" s="1"/>
  <c r="AT276" i="135"/>
  <c r="AT47" i="135" s="1"/>
  <c r="BG276" i="135"/>
  <c r="BG47" i="135" s="1"/>
  <c r="BM276" i="135"/>
  <c r="BM47" i="135" s="1"/>
  <c r="FH12" i="135"/>
  <c r="AQ212" i="135"/>
  <c r="P212" i="135"/>
  <c r="J212" i="135"/>
  <c r="K170" i="118" s="1"/>
  <c r="AU19" i="135"/>
  <c r="DO19" i="135"/>
  <c r="BN19" i="135"/>
  <c r="BL276" i="135"/>
  <c r="BL47" i="135" s="1"/>
  <c r="BT213" i="135"/>
  <c r="BT16" i="135" s="1"/>
  <c r="BL213" i="135"/>
  <c r="BL16" i="135" s="1"/>
  <c r="BY213" i="135"/>
  <c r="BD213" i="135"/>
  <c r="AW213" i="135"/>
  <c r="AN213" i="135"/>
  <c r="Q213" i="135" s="1"/>
  <c r="BP213" i="135"/>
  <c r="DW19" i="135"/>
  <c r="AH39" i="109"/>
  <c r="AI31" i="109"/>
  <c r="N26" i="131" l="1"/>
  <c r="P37" i="131"/>
  <c r="P36" i="131"/>
  <c r="P25" i="131"/>
  <c r="P26" i="131"/>
  <c r="P15" i="131"/>
  <c r="F5" i="235" s="1"/>
  <c r="G5" i="235" s="1"/>
  <c r="AM10" i="135"/>
  <c r="AM17" i="135"/>
  <c r="AW17" i="135" s="1"/>
  <c r="AM29" i="135"/>
  <c r="BY29" i="135" s="1"/>
  <c r="N29" i="135" s="1"/>
  <c r="F26" i="235"/>
  <c r="AC26" i="235" s="1"/>
  <c r="M34" i="135"/>
  <c r="BV19" i="135"/>
  <c r="L47" i="135"/>
  <c r="F21" i="235"/>
  <c r="AC21" i="235" s="1"/>
  <c r="AP47" i="135"/>
  <c r="R47" i="135"/>
  <c r="L24" i="131"/>
  <c r="N24" i="131" s="1"/>
  <c r="BO19" i="135"/>
  <c r="BO47" i="135"/>
  <c r="BK19" i="135"/>
  <c r="BK47" i="135"/>
  <c r="F50" i="235"/>
  <c r="AE26" i="235" s="1"/>
  <c r="AM47" i="135"/>
  <c r="J34" i="135"/>
  <c r="AP36" i="135"/>
  <c r="J36" i="135"/>
  <c r="L34" i="135"/>
  <c r="BF19" i="135"/>
  <c r="AN24" i="135"/>
  <c r="Q24" i="135" s="1"/>
  <c r="BP24" i="135"/>
  <c r="M24" i="135" s="1"/>
  <c r="AW24" i="135"/>
  <c r="BD24" i="135"/>
  <c r="K24" i="135" s="1"/>
  <c r="BY24" i="135"/>
  <c r="N24" i="135" s="1"/>
  <c r="BP14" i="135"/>
  <c r="BY14" i="135"/>
  <c r="BD14" i="135"/>
  <c r="AW14" i="135"/>
  <c r="AQ14" i="135" s="1"/>
  <c r="AN14" i="135"/>
  <c r="Q14" i="135" s="1"/>
  <c r="BY27" i="135"/>
  <c r="N27" i="135" s="1"/>
  <c r="BD27" i="135"/>
  <c r="K27" i="135" s="1"/>
  <c r="AW27" i="135"/>
  <c r="AN27" i="135"/>
  <c r="Q27" i="135" s="1"/>
  <c r="BP27" i="135"/>
  <c r="M27" i="135" s="1"/>
  <c r="BW12" i="135"/>
  <c r="L213" i="135"/>
  <c r="BK41" i="135"/>
  <c r="AZ12" i="135"/>
  <c r="BF12" i="135"/>
  <c r="BF16" i="135"/>
  <c r="L16" i="135" s="1"/>
  <c r="BK12" i="135"/>
  <c r="N213" i="135"/>
  <c r="AP213" i="135"/>
  <c r="R19" i="135"/>
  <c r="L32" i="135"/>
  <c r="AQ276" i="135"/>
  <c r="J213" i="135"/>
  <c r="K171" i="118" s="1"/>
  <c r="R12" i="135"/>
  <c r="BO16" i="135"/>
  <c r="BO12" i="135"/>
  <c r="BB18" i="135"/>
  <c r="BB38" i="135"/>
  <c r="BB11" i="135"/>
  <c r="BB12" i="135"/>
  <c r="BA12" i="135"/>
  <c r="L18" i="131"/>
  <c r="N18" i="131" s="1"/>
  <c r="BS41" i="135"/>
  <c r="BS38" i="135"/>
  <c r="BS18" i="135"/>
  <c r="BS11" i="135"/>
  <c r="BS19" i="135"/>
  <c r="AR41" i="135"/>
  <c r="AR38" i="135"/>
  <c r="AR18" i="135"/>
  <c r="AR11" i="135"/>
  <c r="AR12" i="135"/>
  <c r="AR19" i="135"/>
  <c r="BM11" i="135"/>
  <c r="BM18" i="135"/>
  <c r="BM38" i="135"/>
  <c r="BM12" i="135"/>
  <c r="BU38" i="135"/>
  <c r="BU11" i="135"/>
  <c r="BU18" i="135"/>
  <c r="BU12" i="135"/>
  <c r="BL38" i="135"/>
  <c r="BL18" i="135"/>
  <c r="BL11" i="135"/>
  <c r="BG41" i="135"/>
  <c r="L41" i="135" s="1"/>
  <c r="BG18" i="135"/>
  <c r="L18" i="135" s="1"/>
  <c r="BG38" i="135"/>
  <c r="L38" i="135" s="1"/>
  <c r="BG11" i="135"/>
  <c r="L11" i="135" s="1"/>
  <c r="BG12" i="135"/>
  <c r="BW18" i="135"/>
  <c r="BW11" i="135"/>
  <c r="BW38" i="135"/>
  <c r="L19" i="131"/>
  <c r="N19" i="131" s="1"/>
  <c r="AT11" i="135"/>
  <c r="AT38" i="135"/>
  <c r="AT18" i="135"/>
  <c r="AS11" i="135"/>
  <c r="AS18" i="135"/>
  <c r="AS38" i="135"/>
  <c r="BA18" i="135"/>
  <c r="BA11" i="135"/>
  <c r="BA38" i="135"/>
  <c r="BT11" i="135"/>
  <c r="BT18" i="135"/>
  <c r="BT38" i="135"/>
  <c r="AZ41" i="135"/>
  <c r="AZ11" i="135"/>
  <c r="AZ18" i="135"/>
  <c r="AZ38" i="135"/>
  <c r="AZ19" i="135"/>
  <c r="AT12" i="135"/>
  <c r="AP16" i="135"/>
  <c r="BM41" i="135"/>
  <c r="BU19" i="135"/>
  <c r="BU41" i="135"/>
  <c r="R16" i="135"/>
  <c r="BT12" i="135"/>
  <c r="M276" i="135"/>
  <c r="BL41" i="135"/>
  <c r="BW19" i="135"/>
  <c r="BW41" i="135"/>
  <c r="BL12" i="135"/>
  <c r="BA16" i="135"/>
  <c r="AS12" i="135"/>
  <c r="K276" i="135"/>
  <c r="BA41" i="135"/>
  <c r="BT41" i="135"/>
  <c r="BS12" i="135"/>
  <c r="BS16" i="135"/>
  <c r="AT41" i="135"/>
  <c r="AS19" i="135"/>
  <c r="AS41" i="135"/>
  <c r="BB41" i="135"/>
  <c r="R41" i="135"/>
  <c r="L29" i="131"/>
  <c r="N29" i="131" s="1"/>
  <c r="BV16" i="135"/>
  <c r="BV12" i="135"/>
  <c r="K233" i="118"/>
  <c r="K232" i="118"/>
  <c r="BP10" i="135"/>
  <c r="BY10" i="135"/>
  <c r="BD10" i="135"/>
  <c r="AW10" i="135"/>
  <c r="AQ10" i="135" s="1"/>
  <c r="AN10" i="135"/>
  <c r="Q10" i="135" s="1"/>
  <c r="BP17" i="135"/>
  <c r="BP29" i="135"/>
  <c r="M29" i="135" s="1"/>
  <c r="AP33" i="135"/>
  <c r="AP32" i="135"/>
  <c r="K213" i="135"/>
  <c r="M213" i="135"/>
  <c r="P213" i="135"/>
  <c r="AQ213" i="135"/>
  <c r="BT19" i="135"/>
  <c r="BB19" i="135"/>
  <c r="N276" i="135"/>
  <c r="BM19" i="135"/>
  <c r="L276" i="135"/>
  <c r="BG19" i="135"/>
  <c r="BL19" i="135"/>
  <c r="AT19" i="135"/>
  <c r="J276" i="135"/>
  <c r="K234" i="118" s="1"/>
  <c r="AP276" i="135"/>
  <c r="BA19" i="135"/>
  <c r="AI39" i="109"/>
  <c r="AJ31" i="109"/>
  <c r="BD29" i="135" l="1"/>
  <c r="K29" i="135" s="1"/>
  <c r="AN17" i="135"/>
  <c r="Q17" i="135" s="1"/>
  <c r="AN29" i="135"/>
  <c r="Q29" i="135" s="1"/>
  <c r="AW29" i="135"/>
  <c r="AQ29" i="135" s="1"/>
  <c r="AM12" i="135"/>
  <c r="BY17" i="135"/>
  <c r="BD17" i="135"/>
  <c r="L19" i="135"/>
  <c r="AM11" i="135"/>
  <c r="AN47" i="135"/>
  <c r="BD47" i="135"/>
  <c r="K47" i="135" s="1"/>
  <c r="BP47" i="135"/>
  <c r="M47" i="135" s="1"/>
  <c r="BY47" i="135"/>
  <c r="N47" i="135" s="1"/>
  <c r="AW47" i="135"/>
  <c r="AM19" i="135"/>
  <c r="AW19" i="135" s="1"/>
  <c r="P19" i="131"/>
  <c r="F33" i="235" s="1"/>
  <c r="AD21" i="235" s="1"/>
  <c r="P18" i="131"/>
  <c r="AQ27" i="135"/>
  <c r="P27" i="135"/>
  <c r="J27" i="135"/>
  <c r="AQ24" i="135"/>
  <c r="P24" i="135"/>
  <c r="J24" i="135"/>
  <c r="L12" i="135"/>
  <c r="AP41" i="135"/>
  <c r="AP11" i="135"/>
  <c r="AP38" i="135"/>
  <c r="AP12" i="135"/>
  <c r="P24" i="131"/>
  <c r="F38" i="235" s="1"/>
  <c r="AD26" i="235" s="1"/>
  <c r="AM18" i="135"/>
  <c r="AM38" i="135"/>
  <c r="AP18" i="135"/>
  <c r="AM41" i="135"/>
  <c r="P29" i="131"/>
  <c r="AM16" i="135"/>
  <c r="AQ17" i="135"/>
  <c r="P17" i="135"/>
  <c r="AP19" i="135"/>
  <c r="AJ39" i="109"/>
  <c r="AK31" i="109"/>
  <c r="C61" i="235" l="1"/>
  <c r="J29" i="135"/>
  <c r="P29" i="135"/>
  <c r="Q47" i="135"/>
  <c r="F32" i="235"/>
  <c r="AD20" i="235" s="1"/>
  <c r="F6" i="235"/>
  <c r="G6" i="235" s="1"/>
  <c r="F44" i="235"/>
  <c r="AE20" i="235" s="1"/>
  <c r="F7" i="235"/>
  <c r="G7" i="235" s="1"/>
  <c r="J47" i="135"/>
  <c r="AQ47" i="135"/>
  <c r="P47" i="135"/>
  <c r="BD19" i="135"/>
  <c r="K19" i="135" s="1"/>
  <c r="AM33" i="135"/>
  <c r="BP33" i="135" s="1"/>
  <c r="M33" i="135" s="1"/>
  <c r="AM32" i="135"/>
  <c r="BD32" i="135" s="1"/>
  <c r="K32" i="135" s="1"/>
  <c r="BY19" i="135"/>
  <c r="N19" i="135" s="1"/>
  <c r="AN19" i="135"/>
  <c r="Q19" i="135" s="1"/>
  <c r="BP19" i="135"/>
  <c r="M19" i="135" s="1"/>
  <c r="AW11" i="135"/>
  <c r="AM15" i="135"/>
  <c r="BY15" i="135" s="1"/>
  <c r="N15" i="135" s="1"/>
  <c r="BP18" i="135"/>
  <c r="M18" i="135" s="1"/>
  <c r="AW18" i="135"/>
  <c r="AN18" i="135"/>
  <c r="Q18" i="135" s="1"/>
  <c r="BY18" i="135"/>
  <c r="N18" i="135" s="1"/>
  <c r="BD18" i="135"/>
  <c r="K18" i="135" s="1"/>
  <c r="AN38" i="135"/>
  <c r="BY38" i="135"/>
  <c r="N38" i="135" s="1"/>
  <c r="BD38" i="135"/>
  <c r="K38" i="135" s="1"/>
  <c r="BP38" i="135"/>
  <c r="M38" i="135" s="1"/>
  <c r="AW38" i="135"/>
  <c r="BY12" i="135"/>
  <c r="N12" i="135" s="1"/>
  <c r="AW12" i="135"/>
  <c r="BD12" i="135"/>
  <c r="K12" i="135" s="1"/>
  <c r="AN12" i="135"/>
  <c r="Q12" i="135" s="1"/>
  <c r="BP12" i="135"/>
  <c r="M12" i="135" s="1"/>
  <c r="BP41" i="135"/>
  <c r="M41" i="135" s="1"/>
  <c r="AW41" i="135"/>
  <c r="AN41" i="135"/>
  <c r="Q41" i="135" s="1"/>
  <c r="BY41" i="135"/>
  <c r="N41" i="135" s="1"/>
  <c r="BD41" i="135"/>
  <c r="K41" i="135" s="1"/>
  <c r="AW16" i="135"/>
  <c r="BD16" i="135"/>
  <c r="K16" i="135" s="1"/>
  <c r="BY16" i="135"/>
  <c r="N16" i="135" s="1"/>
  <c r="BP16" i="135"/>
  <c r="M16" i="135" s="1"/>
  <c r="AN16" i="135"/>
  <c r="Q16" i="135" s="1"/>
  <c r="P19" i="135"/>
  <c r="AQ19" i="135"/>
  <c r="J19" i="135"/>
  <c r="AK39" i="109"/>
  <c r="AL31" i="109"/>
  <c r="E61" i="235" l="1"/>
  <c r="Q38" i="135"/>
  <c r="BY33" i="135"/>
  <c r="N33" i="135" s="1"/>
  <c r="AN33" i="135"/>
  <c r="Q33" i="135" s="1"/>
  <c r="AW33" i="135"/>
  <c r="J33" i="135" s="1"/>
  <c r="BD33" i="135"/>
  <c r="K33" i="135" s="1"/>
  <c r="AW32" i="135"/>
  <c r="J32" i="135" s="1"/>
  <c r="BP32" i="135"/>
  <c r="M32" i="135" s="1"/>
  <c r="AN32" i="135"/>
  <c r="Q32" i="135" s="1"/>
  <c r="BY32" i="135"/>
  <c r="N32" i="135" s="1"/>
  <c r="BY11" i="135"/>
  <c r="N11" i="135" s="1"/>
  <c r="AN15" i="135"/>
  <c r="Q15" i="135" s="1"/>
  <c r="BD11" i="135"/>
  <c r="K11" i="135" s="1"/>
  <c r="BP11" i="135"/>
  <c r="M11" i="135" s="1"/>
  <c r="BD15" i="135"/>
  <c r="K15" i="135" s="1"/>
  <c r="AN11" i="135"/>
  <c r="Q11" i="135" s="1"/>
  <c r="BP15" i="135"/>
  <c r="M15" i="135" s="1"/>
  <c r="AW15" i="135"/>
  <c r="J15" i="135" s="1"/>
  <c r="AQ11" i="135"/>
  <c r="J11" i="135"/>
  <c r="P11" i="135"/>
  <c r="AQ38" i="135"/>
  <c r="P38" i="135"/>
  <c r="J38" i="135"/>
  <c r="J18" i="135"/>
  <c r="AQ18" i="135"/>
  <c r="P18" i="135"/>
  <c r="AQ12" i="135"/>
  <c r="J12" i="135"/>
  <c r="P12" i="135"/>
  <c r="P16" i="135"/>
  <c r="AQ16" i="135"/>
  <c r="J16" i="135"/>
  <c r="AQ41" i="135"/>
  <c r="P41" i="135"/>
  <c r="J41" i="135"/>
  <c r="AL39" i="109"/>
  <c r="AM31" i="109"/>
  <c r="D61" i="235" l="1"/>
  <c r="P32" i="135"/>
  <c r="P33" i="135"/>
  <c r="AQ33" i="135"/>
  <c r="AQ32" i="135"/>
  <c r="P15" i="135"/>
  <c r="AQ15" i="135"/>
  <c r="AM39" i="109"/>
  <c r="AN31" i="109"/>
  <c r="AN39" i="109" l="1"/>
  <c r="K9" i="118" l="1"/>
  <c r="B5" i="178" l="1"/>
  <c r="D5" i="178" s="1"/>
  <c r="C8" i="118" l="1"/>
  <c r="C7" i="118"/>
  <c r="B6" i="178" l="1"/>
  <c r="D6" i="178" s="1"/>
  <c r="K8" i="118" l="1"/>
  <c r="K10" i="118" l="1"/>
  <c r="K12" i="118"/>
  <c r="K13" i="118"/>
  <c r="K14" i="118"/>
  <c r="K15" i="118"/>
  <c r="K16" i="118"/>
  <c r="K17" i="118"/>
  <c r="K11" i="118"/>
  <c r="K17" i="135" l="1"/>
  <c r="N17" i="135"/>
  <c r="M17" i="135"/>
  <c r="L17" i="135"/>
  <c r="J17" i="135"/>
  <c r="C12" i="235" s="1" a="1"/>
  <c r="D12" i="235" l="1"/>
  <c r="E12" i="235"/>
  <c r="C12" i="235"/>
  <c r="A2" i="230"/>
  <c r="I9" i="230" l="1"/>
  <c r="J9" i="230"/>
  <c r="K9" i="230"/>
  <c r="I10" i="230"/>
  <c r="J10" i="230"/>
  <c r="K10" i="230"/>
  <c r="I11" i="230"/>
  <c r="J11" i="230"/>
  <c r="K11" i="230"/>
  <c r="J12" i="230"/>
  <c r="K12" i="230"/>
  <c r="I12" i="230"/>
  <c r="K2" i="230"/>
  <c r="K4" i="230"/>
  <c r="I3" i="230"/>
  <c r="K5" i="230"/>
  <c r="J8" i="230"/>
  <c r="I2" i="230"/>
  <c r="K7" i="230"/>
  <c r="J6" i="230"/>
  <c r="I6" i="230"/>
  <c r="Z2" i="230" s="1"/>
  <c r="K8" i="230"/>
  <c r="I8" i="230"/>
  <c r="AB2" i="230" s="1"/>
  <c r="I5" i="230"/>
  <c r="I7" i="230"/>
  <c r="AA2" i="230" s="1"/>
  <c r="I4" i="230"/>
  <c r="K6" i="230"/>
  <c r="K3" i="230"/>
  <c r="J7" i="230"/>
  <c r="M11" i="230" l="1"/>
  <c r="AE2" i="230"/>
  <c r="AA3" i="230"/>
  <c r="AA20" i="230"/>
  <c r="AA21" i="230"/>
  <c r="AA22" i="230"/>
  <c r="M12" i="230"/>
  <c r="AF2" i="230"/>
  <c r="M10" i="230"/>
  <c r="AD2" i="230"/>
  <c r="AB3" i="230"/>
  <c r="AB24" i="230"/>
  <c r="AB23" i="230"/>
  <c r="AB25" i="230"/>
  <c r="Z3" i="230"/>
  <c r="Z17" i="230"/>
  <c r="Z18" i="230"/>
  <c r="Z19" i="230"/>
  <c r="M9" i="230"/>
  <c r="AC2" i="230"/>
  <c r="Y2" i="230"/>
  <c r="M5" i="230"/>
  <c r="M8" i="230"/>
  <c r="W2" i="230"/>
  <c r="M3" i="230"/>
  <c r="M4" i="230"/>
  <c r="X2" i="230"/>
  <c r="P2" i="230"/>
  <c r="M2" i="230"/>
  <c r="V2" i="230"/>
  <c r="M7" i="230"/>
  <c r="M6" i="230"/>
  <c r="AC3" i="230" l="1"/>
  <c r="AC26" i="230"/>
  <c r="S26" i="230" s="1"/>
  <c r="AC27" i="230"/>
  <c r="S27" i="230" s="1"/>
  <c r="AC28" i="230"/>
  <c r="S28" i="230" s="1"/>
  <c r="AF3" i="230"/>
  <c r="AF35" i="230"/>
  <c r="S35" i="230" s="1"/>
  <c r="AF36" i="230"/>
  <c r="S36" i="230" s="1"/>
  <c r="AF37" i="230"/>
  <c r="S37" i="230" s="1"/>
  <c r="AD3" i="230"/>
  <c r="AD29" i="230"/>
  <c r="S29" i="230" s="1"/>
  <c r="AD30" i="230"/>
  <c r="S30" i="230" s="1"/>
  <c r="AD31" i="230"/>
  <c r="S31" i="230" s="1"/>
  <c r="AE3" i="230"/>
  <c r="AE32" i="230"/>
  <c r="S32" i="230" s="1"/>
  <c r="AE33" i="230"/>
  <c r="S33" i="230" s="1"/>
  <c r="AE34" i="230"/>
  <c r="S34" i="230" s="1"/>
  <c r="S20" i="230"/>
  <c r="S21" i="230"/>
  <c r="S22" i="230"/>
  <c r="X12" i="230"/>
  <c r="S12" i="230" s="1"/>
  <c r="X11" i="230"/>
  <c r="S11" i="230" s="1"/>
  <c r="X13" i="230"/>
  <c r="S13" i="230" s="1"/>
  <c r="S25" i="230"/>
  <c r="S23" i="230"/>
  <c r="S24" i="230"/>
  <c r="V5" i="230"/>
  <c r="S5" i="230" s="1"/>
  <c r="U5" i="230" s="1"/>
  <c r="V7" i="230"/>
  <c r="S7" i="230" s="1"/>
  <c r="V6" i="230"/>
  <c r="S6" i="230" s="1"/>
  <c r="S18" i="230"/>
  <c r="S17" i="230"/>
  <c r="S19" i="230"/>
  <c r="P3" i="230"/>
  <c r="W9" i="230"/>
  <c r="S9" i="230" s="1"/>
  <c r="W10" i="230"/>
  <c r="S10" i="230" s="1"/>
  <c r="W8" i="230"/>
  <c r="S8" i="230" s="1"/>
  <c r="Y15" i="230"/>
  <c r="S15" i="230" s="1"/>
  <c r="Y14" i="230"/>
  <c r="S14" i="230" s="1"/>
  <c r="Y16" i="230"/>
  <c r="S16" i="230" s="1"/>
  <c r="AH33" i="230" l="1"/>
  <c r="AG33" i="230" s="1"/>
  <c r="AH30" i="230"/>
  <c r="AG30" i="230" s="1"/>
  <c r="AH27" i="230"/>
  <c r="AG27" i="230" s="1"/>
  <c r="AH36" i="230"/>
  <c r="AG36" i="230" s="1"/>
  <c r="AH24" i="230"/>
  <c r="AG24" i="230" s="1"/>
  <c r="AH18" i="230"/>
  <c r="AG18" i="230" s="1"/>
  <c r="AH6" i="230"/>
  <c r="AG6" i="230" s="1"/>
  <c r="AH21" i="230"/>
  <c r="AG21" i="230" s="1"/>
  <c r="AH15" i="230"/>
  <c r="AG15" i="230" s="1"/>
  <c r="AH9" i="230"/>
  <c r="AG9" i="230" s="1"/>
  <c r="AH12" i="230"/>
  <c r="AG12" i="230" s="1"/>
  <c r="CC10" i="135" l="1"/>
  <c r="CC14" i="135"/>
  <c r="CE10" i="135"/>
  <c r="CI21" i="135"/>
  <c r="CG10" i="135"/>
  <c r="CD21" i="135"/>
  <c r="CC21" i="135"/>
  <c r="CE14" i="135"/>
  <c r="CG21" i="135"/>
  <c r="CD10" i="135"/>
  <c r="CF10" i="135"/>
  <c r="CI10" i="135"/>
  <c r="CF14" i="135"/>
  <c r="CG14" i="135"/>
  <c r="CE21" i="135"/>
  <c r="CF21" i="135"/>
  <c r="CI14" i="135"/>
  <c r="CD14" i="135"/>
  <c r="P21" i="135" l="1"/>
  <c r="P14" i="135"/>
  <c r="P10" i="135"/>
  <c r="R21" i="135"/>
  <c r="C2" i="230" s="1"/>
  <c r="R14" i="135"/>
  <c r="R10" i="135"/>
  <c r="K49" i="135"/>
  <c r="J3" i="230" l="1"/>
  <c r="W3" i="230" s="1"/>
  <c r="J2" i="230"/>
  <c r="J5" i="230"/>
  <c r="J4" i="230"/>
  <c r="Y3" i="230"/>
  <c r="M10" i="135"/>
  <c r="M21" i="135"/>
  <c r="K14" i="135"/>
  <c r="K10" i="135"/>
  <c r="N21" i="135"/>
  <c r="N49" i="135"/>
  <c r="M49" i="135"/>
  <c r="J49" i="135"/>
  <c r="AP49" i="135"/>
  <c r="M14" i="135"/>
  <c r="K21" i="135"/>
  <c r="N10" i="135"/>
  <c r="J14" i="135"/>
  <c r="C11" i="235" s="1" a="1"/>
  <c r="L14" i="135"/>
  <c r="L49" i="135"/>
  <c r="L10" i="135"/>
  <c r="L21" i="135"/>
  <c r="D11" i="235" l="1"/>
  <c r="E11" i="235"/>
  <c r="C11" i="235"/>
  <c r="K7" i="118"/>
  <c r="K83" i="118"/>
  <c r="L3" i="230"/>
  <c r="U10" i="230" s="1"/>
  <c r="L2" i="230"/>
  <c r="U7" i="230" s="1"/>
  <c r="V3" i="230"/>
  <c r="L6" i="230"/>
  <c r="U19" i="230" s="1"/>
  <c r="L10" i="230"/>
  <c r="U31" i="230" s="1"/>
  <c r="L7" i="230"/>
  <c r="U22" i="230" s="1"/>
  <c r="U23" i="230" s="1"/>
  <c r="L12" i="230"/>
  <c r="U37" i="230" s="1"/>
  <c r="L9" i="230"/>
  <c r="U28" i="230" s="1"/>
  <c r="L8" i="230"/>
  <c r="U25" i="230" s="1"/>
  <c r="L11" i="230"/>
  <c r="U34" i="230" s="1"/>
  <c r="U33" i="230" s="1"/>
  <c r="L5" i="230"/>
  <c r="L4" i="230"/>
  <c r="U13" i="230" s="1"/>
  <c r="X3" i="230"/>
  <c r="U32" i="230"/>
  <c r="U24" i="230"/>
  <c r="U20" i="230"/>
  <c r="U27" i="230"/>
  <c r="U26" i="230"/>
  <c r="U29" i="230"/>
  <c r="U30" i="230"/>
  <c r="N14" i="135"/>
  <c r="J21" i="135"/>
  <c r="J10" i="135"/>
  <c r="C13" i="235" s="1" a="1"/>
  <c r="D13" i="235" l="1"/>
  <c r="E13" i="235"/>
  <c r="C13" i="235"/>
  <c r="U9" i="230"/>
  <c r="U11" i="230"/>
  <c r="U6" i="230"/>
  <c r="U8" i="230"/>
  <c r="U21" i="230"/>
  <c r="U35" i="230"/>
  <c r="P6" i="230"/>
  <c r="P7" i="230" s="1"/>
  <c r="U36" i="230"/>
  <c r="U16" i="230"/>
  <c r="U14" i="230"/>
  <c r="U12" i="230"/>
  <c r="U17" i="230"/>
  <c r="U15" i="230"/>
  <c r="U18" i="230"/>
</calcChain>
</file>

<file path=xl/comments1.xml><?xml version="1.0" encoding="utf-8"?>
<comments xmlns="http://schemas.openxmlformats.org/spreadsheetml/2006/main">
  <authors>
    <author>Nguyen, Fuong</author>
  </authors>
  <commentList>
    <comment ref="M4" authorId="0" shapeId="0">
      <text>
        <r>
          <rPr>
            <sz val="9"/>
            <color indexed="81"/>
            <rFont val="Tahoma"/>
            <family val="2"/>
          </rPr>
          <t>SD Retail Revenue for September 2015 to August 2016 is $165,442,421.  Provided by Sarah Bockelmann 5/25/2017.</t>
        </r>
      </text>
    </comment>
  </commentList>
</comments>
</file>

<file path=xl/sharedStrings.xml><?xml version="1.0" encoding="utf-8"?>
<sst xmlns="http://schemas.openxmlformats.org/spreadsheetml/2006/main" count="3944" uniqueCount="611">
  <si>
    <t>Measure Life</t>
  </si>
  <si>
    <t>Incremental Cost</t>
  </si>
  <si>
    <t>Residential</t>
  </si>
  <si>
    <t>Measure</t>
  </si>
  <si>
    <t>Sector</t>
  </si>
  <si>
    <t>TRC</t>
  </si>
  <si>
    <t>Program</t>
  </si>
  <si>
    <t>RIM</t>
  </si>
  <si>
    <t>Participation</t>
  </si>
  <si>
    <t>Remaining Life</t>
  </si>
  <si>
    <t>Key</t>
  </si>
  <si>
    <t>Water Losses</t>
  </si>
  <si>
    <t>Non-incentives</t>
  </si>
  <si>
    <t>Discount Rate (TRC)</t>
  </si>
  <si>
    <t>Discount Rate (UCT)</t>
  </si>
  <si>
    <t>Discount Rate (SCT)</t>
  </si>
  <si>
    <t>Discount Rate (PCT)</t>
  </si>
  <si>
    <t>Discount Rate (RIM)</t>
  </si>
  <si>
    <t>Incremental Costs</t>
  </si>
  <si>
    <t>Lifetime</t>
  </si>
  <si>
    <t>Natural Gas Losses</t>
  </si>
  <si>
    <t>Propane Losses</t>
  </si>
  <si>
    <t>Fuel Oil Losses</t>
  </si>
  <si>
    <t>Lighting</t>
  </si>
  <si>
    <t>Incentives</t>
  </si>
  <si>
    <t>NTG</t>
  </si>
  <si>
    <t>kWh</t>
  </si>
  <si>
    <t>kW</t>
  </si>
  <si>
    <t>Marketing</t>
  </si>
  <si>
    <t>Delivery</t>
  </si>
  <si>
    <t>Evaluation</t>
  </si>
  <si>
    <t>Units</t>
  </si>
  <si>
    <t>Incentive</t>
  </si>
  <si>
    <t>Source</t>
  </si>
  <si>
    <t>UCT</t>
  </si>
  <si>
    <t>SCT</t>
  </si>
  <si>
    <t>PCT</t>
  </si>
  <si>
    <t>Description</t>
  </si>
  <si>
    <t>Section</t>
  </si>
  <si>
    <t>Inputs</t>
  </si>
  <si>
    <t>Analysis</t>
  </si>
  <si>
    <t>MWh</t>
  </si>
  <si>
    <t>Worksheet</t>
  </si>
  <si>
    <t>Measure-level savings, lifetimes, incremental costs, and incentives.</t>
  </si>
  <si>
    <t>Notes</t>
  </si>
  <si>
    <t>Variable</t>
  </si>
  <si>
    <t>Input</t>
  </si>
  <si>
    <t>space</t>
  </si>
  <si>
    <t>eGRID Subregion</t>
  </si>
  <si>
    <t>AKGD (ASCC Alaska Grid)</t>
  </si>
  <si>
    <t>AKMS (ASCC Miscellaneous)</t>
  </si>
  <si>
    <t>AZNM (WECC Southwest)</t>
  </si>
  <si>
    <t>CAMX (WECC California)</t>
  </si>
  <si>
    <t>ERCT (ERCOT All)</t>
  </si>
  <si>
    <t>FRCC (FRCC All)</t>
  </si>
  <si>
    <t>HIMS (HICC Miscellaneous)</t>
  </si>
  <si>
    <t>HIOA (HICC Oahu)</t>
  </si>
  <si>
    <t>MROE (MRO East)</t>
  </si>
  <si>
    <t>MROW (MRO West)</t>
  </si>
  <si>
    <t>NEWE (NPCC New England)</t>
  </si>
  <si>
    <t>NWPP (WECC Northwest)</t>
  </si>
  <si>
    <t>NYCW (NPCC NYC/Westchester)</t>
  </si>
  <si>
    <t>NYLI (NPCC Long Island)</t>
  </si>
  <si>
    <t>NYUP (NPCC Upstate NY)</t>
  </si>
  <si>
    <t>RFCE (RFC East)</t>
  </si>
  <si>
    <t>RFCM (RFC Michigan)</t>
  </si>
  <si>
    <t>RFCW (RFC West)</t>
  </si>
  <si>
    <t>RMPA (WECC Rockies)</t>
  </si>
  <si>
    <t>SPNO (SPP North)</t>
  </si>
  <si>
    <t>SPSO (SPP South)</t>
  </si>
  <si>
    <t>SRMV (SERC Mississippi Valley)</t>
  </si>
  <si>
    <t>SRMW (SERC Midwest)</t>
  </si>
  <si>
    <t>SRSO (SERC South)</t>
  </si>
  <si>
    <t>SRTV (SERC Tennessee Valley)</t>
  </si>
  <si>
    <t>SRVC (SERC Virginia/Carolina)</t>
  </si>
  <si>
    <t>US Average</t>
  </si>
  <si>
    <t>Value</t>
  </si>
  <si>
    <t>Factor Type</t>
  </si>
  <si>
    <t>lb CO2 /MWh</t>
  </si>
  <si>
    <t>lb CH4 /MWh</t>
  </si>
  <si>
    <t>lb N2O /MWh</t>
  </si>
  <si>
    <t>lb CO2/MWh</t>
  </si>
  <si>
    <t>lb CH4/MWh</t>
  </si>
  <si>
    <t>lb N2O/MWh</t>
  </si>
  <si>
    <t>Total Output</t>
  </si>
  <si>
    <t>Non-Baseload</t>
  </si>
  <si>
    <t xml:space="preserve">CO2
</t>
  </si>
  <si>
    <t xml:space="preserve">CH4
</t>
  </si>
  <si>
    <t xml:space="preserve">N2O
</t>
  </si>
  <si>
    <t>Emission Symbol</t>
  </si>
  <si>
    <t>Emission Name</t>
  </si>
  <si>
    <t>Carbon Dioxide</t>
  </si>
  <si>
    <t>Methane</t>
  </si>
  <si>
    <t>Nitrous Oxide</t>
  </si>
  <si>
    <t>Base Units</t>
  </si>
  <si>
    <t>CO2e</t>
  </si>
  <si>
    <t>Unique measure key</t>
  </si>
  <si>
    <t>Unique program key</t>
  </si>
  <si>
    <t>All</t>
  </si>
  <si>
    <t>Measure Economics</t>
  </si>
  <si>
    <t>Cycle Start Year</t>
  </si>
  <si>
    <t>Model Start Year</t>
  </si>
  <si>
    <t>Model End Year</t>
  </si>
  <si>
    <t>Cycle End Year</t>
  </si>
  <si>
    <t>Max measure life</t>
  </si>
  <si>
    <t>Max measure life is greater than model forecast</t>
  </si>
  <si>
    <t>Error Check</t>
  </si>
  <si>
    <t>Metadata</t>
  </si>
  <si>
    <t>Measure line items</t>
  </si>
  <si>
    <t>Program line items</t>
  </si>
  <si>
    <t>Sector line items</t>
  </si>
  <si>
    <t>Losses</t>
  </si>
  <si>
    <t>Forecast</t>
  </si>
  <si>
    <t>InModel</t>
  </si>
  <si>
    <t>All measures included in model</t>
  </si>
  <si>
    <t>Cycle years</t>
  </si>
  <si>
    <t>Model years</t>
  </si>
  <si>
    <t>End uses</t>
  </si>
  <si>
    <t>Electric Line Losses</t>
  </si>
  <si>
    <t>Electric Peak Line Losses</t>
  </si>
  <si>
    <t>Appliance Recycling</t>
  </si>
  <si>
    <t>Annual Inflation Rate</t>
  </si>
  <si>
    <t>Discount Rate &amp; Cash Flows</t>
  </si>
  <si>
    <t>Avoided Natural Gas Cost</t>
  </si>
  <si>
    <t>BENEFIT</t>
  </si>
  <si>
    <t>COST</t>
  </si>
  <si>
    <t>Lost Revenue, Gas</t>
  </si>
  <si>
    <t>Lost Revenue, Electric</t>
  </si>
  <si>
    <t>Series</t>
  </si>
  <si>
    <t>Benefit-Cost Ratios</t>
  </si>
  <si>
    <t>Total Resource Cost Test, Net Present Value</t>
  </si>
  <si>
    <t>Utility Cost Test, Net Present Value</t>
  </si>
  <si>
    <t>Societal Cost Test, Net Present Value</t>
  </si>
  <si>
    <t>Ratepayer Impact Test, Net Present Value</t>
  </si>
  <si>
    <t>Participant Cost Test, Net Present Value</t>
  </si>
  <si>
    <t>Benefit-cost analysis.</t>
  </si>
  <si>
    <t>Measure Inputs</t>
  </si>
  <si>
    <t>Program Inputs</t>
  </si>
  <si>
    <t>Electric</t>
  </si>
  <si>
    <t>Natural Gas</t>
  </si>
  <si>
    <t>Therms</t>
  </si>
  <si>
    <t>Future Baseline Efficiency</t>
  </si>
  <si>
    <t>Avoided Electric Capacity Cost</t>
  </si>
  <si>
    <t>Avoided Energy Cost, Electricity</t>
  </si>
  <si>
    <t>Future Avoided Cost</t>
  </si>
  <si>
    <t>Rank</t>
  </si>
  <si>
    <t>Rows</t>
  </si>
  <si>
    <t>Width</t>
  </si>
  <si>
    <t>Height</t>
  </si>
  <si>
    <t>Cumulative</t>
  </si>
  <si>
    <t>Columns</t>
  </si>
  <si>
    <t>Row</t>
  </si>
  <si>
    <t>Stacked Savings</t>
  </si>
  <si>
    <t>Average LRAC</t>
  </si>
  <si>
    <t>Labels</t>
  </si>
  <si>
    <t>X-Axis Increment</t>
  </si>
  <si>
    <t>Max Axis</t>
  </si>
  <si>
    <t>Total Savings Unit</t>
  </si>
  <si>
    <t>GWh</t>
  </si>
  <si>
    <t>Cost Unit</t>
  </si>
  <si>
    <t>Avoided costs, discount rates, line losses, retail rates, etc.</t>
  </si>
  <si>
    <t>Program Year</t>
  </si>
  <si>
    <t>HVAC</t>
  </si>
  <si>
    <t>Index</t>
  </si>
  <si>
    <t>Non-Incentives</t>
  </si>
  <si>
    <t>Gross First Year Measure Impacts per Unit</t>
  </si>
  <si>
    <t>Gross Remaining Year Measure Impacts per Unit</t>
  </si>
  <si>
    <t>Net First Year Impacts</t>
  </si>
  <si>
    <t>Net Remaining Year Impacts</t>
  </si>
  <si>
    <t>Measure Index</t>
  </si>
  <si>
    <t>Label</t>
  </si>
  <si>
    <t>Summary results by program.</t>
  </si>
  <si>
    <t>Portfolio Dashboard</t>
  </si>
  <si>
    <t>Program-level budgets and partcipation.</t>
  </si>
  <si>
    <t>Held constant</t>
  </si>
  <si>
    <t>Retail Costs</t>
  </si>
  <si>
    <t>Wholesale Costs</t>
  </si>
  <si>
    <t>Tier</t>
  </si>
  <si>
    <t>ISR</t>
  </si>
  <si>
    <t>Direct Cost</t>
  </si>
  <si>
    <t>Direct Costs</t>
  </si>
  <si>
    <t>Participants</t>
  </si>
  <si>
    <t>UniqueKey</t>
  </si>
  <si>
    <t>Unique Key</t>
  </si>
  <si>
    <t>EPA Emissions Reductions</t>
  </si>
  <si>
    <t>Max Program Year</t>
  </si>
  <si>
    <t>Net TRC Benefits</t>
  </si>
  <si>
    <t>Net TRC Costs</t>
  </si>
  <si>
    <t>Avoided Baseline Replacement</t>
  </si>
  <si>
    <t>Avoided Baseline Replacement Cost</t>
  </si>
  <si>
    <t>Non-incentive Costs</t>
  </si>
  <si>
    <t>Levelized $/kWh</t>
  </si>
  <si>
    <t>First Year $/kWh</t>
  </si>
  <si>
    <t>Existing Life</t>
  </si>
  <si>
    <t>Discount Factor</t>
  </si>
  <si>
    <t>Test</t>
  </si>
  <si>
    <t>Incremental Measure Cost</t>
  </si>
  <si>
    <t>Avoided Environmental Externality</t>
  </si>
  <si>
    <t>Avoided Electric Generation ($/kWh)</t>
  </si>
  <si>
    <t>Avoided Electric Capacity Costs ($/kW-year)</t>
  </si>
  <si>
    <t>Avoided Natural Gas Supply Cost ($/therm)</t>
  </si>
  <si>
    <t>Environmental Externality ($/kWh)</t>
  </si>
  <si>
    <t>Residential Electric ($/kWh)</t>
  </si>
  <si>
    <t>Commercial Electric ($/kWh)</t>
  </si>
  <si>
    <t>Industrial Electric ($/kWh)</t>
  </si>
  <si>
    <t>Residential Natural Gas ($/therm)</t>
  </si>
  <si>
    <t>Total Units</t>
  </si>
  <si>
    <t>Replacement Costs</t>
  </si>
  <si>
    <t>Net kWh Impacts</t>
  </si>
  <si>
    <t>Net kW Impacts</t>
  </si>
  <si>
    <t>Net therm Impacts</t>
  </si>
  <si>
    <t>Technology</t>
  </si>
  <si>
    <t>Freezer Recycle</t>
  </si>
  <si>
    <t>Refrigerator Recycle</t>
  </si>
  <si>
    <t>New Manufactured Homes</t>
  </si>
  <si>
    <t>Residential Efficient Products</t>
  </si>
  <si>
    <t>LED</t>
  </si>
  <si>
    <t>Residential Home Performance</t>
  </si>
  <si>
    <t>Targeted Energy Efficiency</t>
  </si>
  <si>
    <t>Whole House Efficiency</t>
  </si>
  <si>
    <t>Commercial Incentive Program</t>
  </si>
  <si>
    <t>Express Install</t>
  </si>
  <si>
    <t>New Construction</t>
  </si>
  <si>
    <t>Retrocommissioning</t>
  </si>
  <si>
    <t>School Energy Manager</t>
  </si>
  <si>
    <t>Total Budget</t>
  </si>
  <si>
    <t>kW (s)</t>
  </si>
  <si>
    <t>General Inputs</t>
  </si>
  <si>
    <t>Portfolio Summary</t>
  </si>
  <si>
    <t>Residential_Appliance Recycling_All_All_All_All_2016</t>
  </si>
  <si>
    <t>Residential_New Manufactured Homes_All_All_All_All_2016</t>
  </si>
  <si>
    <t>Residential_Residential Efficient Products_All_All_All_All_2016</t>
  </si>
  <si>
    <t>Residential_Residential Home Performance_All_All_All_All_2016</t>
  </si>
  <si>
    <t>Residential_Targeted Energy Efficiency_All_All_All_All_2016</t>
  </si>
  <si>
    <t>Residential_Whole House Efficiency_All_All_All_All_2016</t>
  </si>
  <si>
    <t>Commercial_Commercial Incentive Program_All_All_All_All_2016</t>
  </si>
  <si>
    <t>Commercial_Express Install_All_All_All_All_2016</t>
  </si>
  <si>
    <t>Commercial_New Construction_All_All_All_All_2016</t>
  </si>
  <si>
    <t>Commercial_Retrocommissioning_All_All_All_All_2016</t>
  </si>
  <si>
    <t>Commercial_School Energy Manager_All_All_All_All_2016</t>
  </si>
  <si>
    <t>Lifetime MWh</t>
  </si>
  <si>
    <t>Cost Curve</t>
  </si>
  <si>
    <t>Appendix</t>
  </si>
  <si>
    <t>Results</t>
  </si>
  <si>
    <t>EE Cost Curve Tool</t>
  </si>
  <si>
    <t>Non-Incentives ($)</t>
  </si>
  <si>
    <t>Program Checklist</t>
  </si>
  <si>
    <t>Check list to include programs in results.</t>
  </si>
  <si>
    <t>TEMPLATE VERSION</t>
  </si>
  <si>
    <t>Residential Lighting</t>
  </si>
  <si>
    <t>High Efficiency HVAC</t>
  </si>
  <si>
    <t>Residential Audit</t>
  </si>
  <si>
    <t>School-Based Education</t>
  </si>
  <si>
    <t>Weatherization</t>
  </si>
  <si>
    <t>C&amp;I Custom</t>
  </si>
  <si>
    <t>C&amp;I Prescriptive</t>
  </si>
  <si>
    <t>C&amp;I</t>
  </si>
  <si>
    <t>ENERGY STAR Fixture</t>
  </si>
  <si>
    <t>Advanced Power Strip</t>
  </si>
  <si>
    <t>Recycle and Replace - ENERGY STAR Refrigerator</t>
  </si>
  <si>
    <t>Heat Pump Water Heater</t>
  </si>
  <si>
    <t>Electric Storage Water Heater EF 0.95</t>
  </si>
  <si>
    <t>Electric Storage Water Heater EF &gt;0.95</t>
  </si>
  <si>
    <t>Air Sealing (Electric Heat)</t>
  </si>
  <si>
    <t>Air Sealing (Gas Heat)</t>
  </si>
  <si>
    <t>Hot Water Pipe Insulation</t>
  </si>
  <si>
    <t>Water Heater Tank Wrap</t>
  </si>
  <si>
    <t>Low Flow Showerhead</t>
  </si>
  <si>
    <t>Residential Kit</t>
  </si>
  <si>
    <t>Measures</t>
  </si>
  <si>
    <t>Air Sealing</t>
  </si>
  <si>
    <t>Water Heater Temperature Setback</t>
  </si>
  <si>
    <t>High Bay Fluorescent Fixture w/ HE Electronic Ballast (T5 4-6 lamp)</t>
  </si>
  <si>
    <t>High Bay Fluorescent Fixture w/ HE Electronic Ballast (T5 8-lamp)</t>
  </si>
  <si>
    <t>High Bay Fluorescent Fixture w/ HE Electronic Ballast (T5 10-lamp)</t>
  </si>
  <si>
    <t>High Bay Fluorescent Fixture w/ HE Electronic Ballast (T8 6-8 lamp)</t>
  </si>
  <si>
    <t>High Bay Fluorescent Fixture w/ HE Electronic Ballast (T8 12-16 lamp)</t>
  </si>
  <si>
    <t>CFL Lamp (≤18W)</t>
  </si>
  <si>
    <t>CFL Lamp (18-32W)</t>
  </si>
  <si>
    <t>CFL Lamp (≥33W)</t>
  </si>
  <si>
    <t xml:space="preserve">Low-Wattage T8 </t>
  </si>
  <si>
    <t>Ceramic Metal Halide Fixture (≤150W)</t>
  </si>
  <si>
    <t>Ceramic Metal Halide Fixture (150-250W)</t>
  </si>
  <si>
    <t>Ceramic Metal Halide Fixture (≥250W)</t>
  </si>
  <si>
    <t>Pulse Start Metal Halide Fixture (≤175W)</t>
  </si>
  <si>
    <t>Pulse Start Metal Halide Fixture (175-320W)</t>
  </si>
  <si>
    <t>Pulse Start Metal Halide Fixture (320-750W)</t>
  </si>
  <si>
    <t>Pulse Start Metal Halide Fixture (≥750W)</t>
  </si>
  <si>
    <t>Energy Star LED Lamp (≤5W)</t>
  </si>
  <si>
    <t>High Performance T8 (1-2 Lamp)</t>
  </si>
  <si>
    <t>High Performance T8 (3-4 Lamp)</t>
  </si>
  <si>
    <t>LED Parking Garage/Canopy (&lt;30W)</t>
  </si>
  <si>
    <t>LED Parking Garage/Canopy (30-75W)</t>
  </si>
  <si>
    <t>LED Parking Garage/Canopy (≥75W)</t>
  </si>
  <si>
    <t>Lighting Optimization - Remove Lamp from T8 System</t>
  </si>
  <si>
    <t>Lighting Optimization - Remove 2 Lamps from T8 System</t>
  </si>
  <si>
    <t>T8 (≤4 ft, 1-2 Lamp)</t>
  </si>
  <si>
    <t>T8 (≤4 ft, 3-4 Lamp)</t>
  </si>
  <si>
    <t>T8 (5-8 ft, 1-2 Lamp)</t>
  </si>
  <si>
    <t>LED Linear Replacement Lamp (≤4ft)</t>
  </si>
  <si>
    <t>LED Linear Replacement Lamp (5-8ft)</t>
  </si>
  <si>
    <t>Fluorescent Fixture Specular Reflector 4-ft</t>
  </si>
  <si>
    <t>Fluorescent Fixture Specular Reflector two 4-ft</t>
  </si>
  <si>
    <t>Fluorescent Fixture Specular Reflector 8-ft</t>
  </si>
  <si>
    <t>Fluorescent Fixture Specular Reflector two 8-ft</t>
  </si>
  <si>
    <t>Multi-CFL Fixture</t>
  </si>
  <si>
    <t>Indirect Fixture</t>
  </si>
  <si>
    <t>Ceiling Mount Occupancy</t>
  </si>
  <si>
    <t>Wall Mount Occupancy</t>
  </si>
  <si>
    <t>Fixture Mount Occupancy</t>
  </si>
  <si>
    <t>Fixture Mount Photo Sensor</t>
  </si>
  <si>
    <t>Exit Sign</t>
  </si>
  <si>
    <t>Split Package Heat Pump</t>
  </si>
  <si>
    <t>Single System Heat Pump</t>
  </si>
  <si>
    <t>Geothermal Heat Pump</t>
  </si>
  <si>
    <t>Motors</t>
  </si>
  <si>
    <t>ODC Motor</t>
  </si>
  <si>
    <t>TEFC Motor</t>
  </si>
  <si>
    <t>Ret. kWh</t>
  </si>
  <si>
    <t>Dealer Incentive</t>
  </si>
  <si>
    <t>Participant Incentive</t>
  </si>
  <si>
    <t>Admin</t>
  </si>
  <si>
    <t>C&amp;I Programs</t>
  </si>
  <si>
    <t>C&amp;I Electric ($/kWh)</t>
  </si>
  <si>
    <t>Residential All Electric ($/kWh)</t>
  </si>
  <si>
    <t>C&amp;I Natural Gas ($/therm)</t>
  </si>
  <si>
    <t>Costs</t>
  </si>
  <si>
    <t>Growth</t>
  </si>
  <si>
    <t>Ret. kW</t>
  </si>
  <si>
    <t>Incremental Cost/unit</t>
  </si>
  <si>
    <t>Annual Savings per Unit</t>
  </si>
  <si>
    <t>Total Annual Savings</t>
  </si>
  <si>
    <t>2015 Plan</t>
  </si>
  <si>
    <t>2016 Plan</t>
  </si>
  <si>
    <t>2015 Actual</t>
  </si>
  <si>
    <t>2016 Actual</t>
  </si>
  <si>
    <t>2015 Total Plan kWh</t>
  </si>
  <si>
    <t>2016 Total Plan kWh</t>
  </si>
  <si>
    <t>2015 Total Plan kW</t>
  </si>
  <si>
    <t>2016 Total Plan kW</t>
  </si>
  <si>
    <t>2015 Total Actual kWh</t>
  </si>
  <si>
    <t>2016 Total Actual kWh</t>
  </si>
  <si>
    <t>2015 Total Actual kW</t>
  </si>
  <si>
    <t>2016 Total Actual kW</t>
  </si>
  <si>
    <t>MWh Savings</t>
  </si>
  <si>
    <t>Coincident kW Savings</t>
  </si>
  <si>
    <t>Percentage of  Revenue</t>
  </si>
  <si>
    <t>Residential Programs</t>
  </si>
  <si>
    <t>Commercial &amp; Industrial Programs</t>
  </si>
  <si>
    <t>Total Portfolio</t>
  </si>
  <si>
    <t>Year 1</t>
  </si>
  <si>
    <t>Year 2</t>
  </si>
  <si>
    <t>Year 3</t>
  </si>
  <si>
    <t>High Bay Fluorescent Fixture w/ HE Electronic Ballast (T5 2-3 lamp)</t>
  </si>
  <si>
    <t>High Bay Fluorescent Fixture w/ HE Electronic Ballast (T8 4 lamp)</t>
  </si>
  <si>
    <t>High Bay Fluorescent Fixture w/ HE Electronic Ballast (T8 18-20 lamp)</t>
  </si>
  <si>
    <t>Energy Star LED Lamp (&gt;20W)</t>
  </si>
  <si>
    <t>Energy Star LED Lamp (11 to 20W)</t>
  </si>
  <si>
    <t>Energy Star LED Lamp (6-10W)</t>
  </si>
  <si>
    <t>LED wall mounted area lights (wallpacks) (&lt;30W)</t>
  </si>
  <si>
    <t>LED wall mounted area lights (wallpacks) (30 to 75W)</t>
  </si>
  <si>
    <t>LED wall mounted area lights (wallpacks) (≥75W)</t>
  </si>
  <si>
    <t>Energy Star LED downlights (new or retrofit) (50W or less)</t>
  </si>
  <si>
    <t>Refrigerated LED Case Lighting 5- and 6-foot Doors</t>
  </si>
  <si>
    <t>Integral Occupancy Control Stairwell fixtures (2-3 lamp T8)</t>
  </si>
  <si>
    <t>Integral Occupancy Control Stairwell fixtures (20W-30W LED)</t>
  </si>
  <si>
    <t>LED Exterior Flood Lights (15W or less)</t>
  </si>
  <si>
    <t>LED Exterior Flood Lights (16W to 35W)</t>
  </si>
  <si>
    <t>LED Exterior Flood Lights (36W to 75W)</t>
  </si>
  <si>
    <t>LED Outdoor Pole/Arm Mounted Parking Roadway (&lt;30W)</t>
  </si>
  <si>
    <t>LED Outdoor Pole/Arm Mounted Parking Roadway (30W to 75W)</t>
  </si>
  <si>
    <t>LED Outdoor Pole/Arm Mounted Parking Roadway (&gt;75W to 150W)</t>
  </si>
  <si>
    <t>Illinois</t>
  </si>
  <si>
    <t>Lifetime (years)</t>
  </si>
  <si>
    <t>kWh Saved per Unit</t>
  </si>
  <si>
    <t>kW Saved per Unit</t>
  </si>
  <si>
    <t>Coincidence Factor</t>
  </si>
  <si>
    <t>Annual Operating Hours</t>
  </si>
  <si>
    <t>Ohio</t>
  </si>
  <si>
    <t>Office</t>
  </si>
  <si>
    <t>1800 RPM</t>
  </si>
  <si>
    <t>New Motor Efficiency</t>
  </si>
  <si>
    <t>Existing Motor Efficiency</t>
  </si>
  <si>
    <t>Horsepower</t>
  </si>
  <si>
    <t>TEFC</t>
  </si>
  <si>
    <t>ODP</t>
  </si>
  <si>
    <t>Heat Pump</t>
  </si>
  <si>
    <t>Electric Storage</t>
  </si>
  <si>
    <t>Water Heaters</t>
  </si>
  <si>
    <t>Standard Unit COP</t>
  </si>
  <si>
    <t>Standard Unit EER</t>
  </si>
  <si>
    <t>Efficient Unit COP</t>
  </si>
  <si>
    <t>Efficient Unit EER</t>
  </si>
  <si>
    <t>Capacity (Btu/h)</t>
  </si>
  <si>
    <t>Michigan</t>
  </si>
  <si>
    <t>Standard Unit HSPF/COP</t>
  </si>
  <si>
    <t>Standard Unit SEER/EER</t>
  </si>
  <si>
    <t>CEE</t>
  </si>
  <si>
    <t>Efficient Unit HSPF/COP</t>
  </si>
  <si>
    <t>Efficient Unit SEER/EER</t>
  </si>
  <si>
    <t>Annual Heating Hours</t>
  </si>
  <si>
    <t>Capacity (thousand Btu/h)</t>
  </si>
  <si>
    <t>Annual Cooling Hours</t>
  </si>
  <si>
    <t>&gt;240 kBtuh</t>
  </si>
  <si>
    <t>135 &lt; 240 kBtuh</t>
  </si>
  <si>
    <t>65 &lt; 135 kBtuh</t>
  </si>
  <si>
    <t>Single &lt;65 kBtuh</t>
  </si>
  <si>
    <t>Split &lt;65kBtuh</t>
  </si>
  <si>
    <t>Air Source Heat Pumps</t>
  </si>
  <si>
    <t>Hours</t>
  </si>
  <si>
    <t>LED Exit Sign</t>
  </si>
  <si>
    <t>Savings Factor</t>
  </si>
  <si>
    <t>Minnesota/Illinois</t>
  </si>
  <si>
    <t>175W Metal Halide</t>
  </si>
  <si>
    <t>100W Metal Halide</t>
  </si>
  <si>
    <t>T8</t>
  </si>
  <si>
    <t>Minnesota</t>
  </si>
  <si>
    <t>Halogen</t>
  </si>
  <si>
    <t>Energy Star LED Lamp (5-10W)</t>
  </si>
  <si>
    <t>Metal Halide</t>
  </si>
  <si>
    <t>HID 400-1000W</t>
  </si>
  <si>
    <t>HID 200-400W</t>
  </si>
  <si>
    <t>HID ≤150W</t>
  </si>
  <si>
    <t>Std T8</t>
  </si>
  <si>
    <t>Low Wattage T8 Lamp</t>
  </si>
  <si>
    <t>Incandescent</t>
  </si>
  <si>
    <t>750W Metal Halide</t>
  </si>
  <si>
    <t>400W Metal Halide</t>
  </si>
  <si>
    <t>1000W Metal Halide</t>
  </si>
  <si>
    <t>Lifetime (hrs)</t>
  </si>
  <si>
    <t>CF</t>
  </si>
  <si>
    <t>Efficient Cost</t>
  </si>
  <si>
    <t>Baseline Cost</t>
  </si>
  <si>
    <t>Non-Coincident Peak kW per Unit</t>
  </si>
  <si>
    <t>Efficient Watts</t>
  </si>
  <si>
    <t>Baseline Watts</t>
  </si>
  <si>
    <t>Baseline</t>
  </si>
  <si>
    <t>WHFd</t>
  </si>
  <si>
    <t>WHFe</t>
  </si>
  <si>
    <t>Non-Residential Measures</t>
  </si>
  <si>
    <t>http://energy.gov/eere/buildings/downloads/ba-analysis-existing-homes</t>
  </si>
  <si>
    <t xml:space="preserve">Surface area of tank </t>
  </si>
  <si>
    <t>Heat transfer coefficient</t>
  </si>
  <si>
    <t>MN TRM</t>
  </si>
  <si>
    <t>DOE</t>
  </si>
  <si>
    <t>Well/Pipe Water Temperature (°F)</t>
  </si>
  <si>
    <t>Tank Water Temperature (°F)</t>
  </si>
  <si>
    <t>Tank Volume</t>
  </si>
  <si>
    <t>Energy Star</t>
  </si>
  <si>
    <t>Efficient Energy Factor</t>
  </si>
  <si>
    <t>Standard Energy Factor</t>
  </si>
  <si>
    <t>Standard Unit HSPF</t>
  </si>
  <si>
    <t>Standard Unit SEER</t>
  </si>
  <si>
    <t>Early Ret</t>
  </si>
  <si>
    <t>New</t>
  </si>
  <si>
    <t>Existing Unit HSPF</t>
  </si>
  <si>
    <t>Existing Unit EER</t>
  </si>
  <si>
    <t>Existing Unit SEER</t>
  </si>
  <si>
    <t>Efficient Unit HSPF</t>
  </si>
  <si>
    <t>Efficient Unit SEER</t>
  </si>
  <si>
    <t>Adjusted for load displaced</t>
  </si>
  <si>
    <t>EFLH Heat</t>
  </si>
  <si>
    <t>Capacity (kBtu/h)</t>
  </si>
  <si>
    <t>A/C</t>
  </si>
  <si>
    <t>January 2015 Federal standards effective</t>
  </si>
  <si>
    <t>Ductless Mini-Split</t>
  </si>
  <si>
    <t>Air Source Heat Pump Replace Resistance Heat</t>
  </si>
  <si>
    <t>SEER 16</t>
  </si>
  <si>
    <t>SEER 15</t>
  </si>
  <si>
    <t>Early Retirement</t>
  </si>
  <si>
    <t>New/Replacement</t>
  </si>
  <si>
    <t>Air Source Heat Pump</t>
  </si>
  <si>
    <t>Annual Cooling Hrs (Rapid City)</t>
  </si>
  <si>
    <t>Annual Heating Hrs (Rapid City)</t>
  </si>
  <si>
    <t>Central Air Conditioner</t>
  </si>
  <si>
    <t>Recovery of Hot Water Heater</t>
  </si>
  <si>
    <t>Circumference of Pipe (Ft)</t>
  </si>
  <si>
    <t>Length of Pipe (ft)</t>
  </si>
  <si>
    <t>Insulated Pipe Heat Loss Coefficient</t>
  </si>
  <si>
    <t>Uninsulated Pipe Heat Loss Coefficient</t>
  </si>
  <si>
    <t>http://aceee.org/consumer/water-heating</t>
  </si>
  <si>
    <t>R10 base, R18 eff</t>
  </si>
  <si>
    <t>Water Heater Wrap</t>
  </si>
  <si>
    <t>EPGelectric</t>
  </si>
  <si>
    <t>Units per Household</t>
  </si>
  <si>
    <t>Drain Factor</t>
  </si>
  <si>
    <t>Household Size (# Individuals)</t>
  </si>
  <si>
    <t>Daily Shower per Person (#)</t>
  </si>
  <si>
    <t>Daily Usage per Person (minutes)</t>
  </si>
  <si>
    <t>GPMlow</t>
  </si>
  <si>
    <t>GPMbase</t>
  </si>
  <si>
    <t>Rapid City, SD Degree Days</t>
  </si>
  <si>
    <t>Heating Degree Days</t>
  </si>
  <si>
    <t>Cooling Degree Days</t>
  </si>
  <si>
    <t>% Summer Air Conditioner Usage</t>
  </si>
  <si>
    <t>Existing Heating Unit HSPF</t>
  </si>
  <si>
    <t>Existing Cooling Unit SEER</t>
  </si>
  <si>
    <t>CFM50 Post</t>
  </si>
  <si>
    <t>CFM50 Pre</t>
  </si>
  <si>
    <t>Gas Heat</t>
  </si>
  <si>
    <t>Electric Heat</t>
  </si>
  <si>
    <t>Halogen Watts</t>
  </si>
  <si>
    <t>Energy Star Fixture</t>
  </si>
  <si>
    <t>LED Bulb</t>
  </si>
  <si>
    <t xml:space="preserve">Recovery efficiency </t>
  </si>
  <si>
    <t>Temp Difference</t>
  </si>
  <si>
    <t>Gallons per Day</t>
  </si>
  <si>
    <t>Household</t>
  </si>
  <si>
    <t>Location Factor</t>
  </si>
  <si>
    <t>COPcool</t>
  </si>
  <si>
    <t>kWh Cooling</t>
  </si>
  <si>
    <t>Latent Multiplier</t>
  </si>
  <si>
    <t>COPheat</t>
  </si>
  <si>
    <t>kWh Heating</t>
  </si>
  <si>
    <t>DOE April 2015</t>
  </si>
  <si>
    <t>Avoided Future Cost</t>
  </si>
  <si>
    <t>Ductless Mini-Split AC SEER ≥19, EER ≥12.8</t>
  </si>
  <si>
    <t>Ductless Mini-Split HP SEER ≥19, EER ≥12.8, HSPF ≥10</t>
  </si>
  <si>
    <r>
      <t xml:space="preserve">Heat Pump SEER </t>
    </r>
    <r>
      <rPr>
        <sz val="11"/>
        <rFont val="Calibri"/>
        <family val="2"/>
      </rPr>
      <t>≥</t>
    </r>
    <r>
      <rPr>
        <sz val="11"/>
        <rFont val="Calibri"/>
        <family val="2"/>
        <scheme val="minor"/>
      </rPr>
      <t>15, EER ≥12.5, HSPF ≥8.5</t>
    </r>
  </si>
  <si>
    <t>Early Retirement Heat Pump SEER ≥15, EER ≥12.5, HSPF ≥8.5</t>
  </si>
  <si>
    <t>Heat Pump SEER ≥15, EER ≥12.5, HSPF ≥8.5 Replace Electric Furnace</t>
  </si>
  <si>
    <t>CAC SEER ≥15, EER ≥12.5</t>
  </si>
  <si>
    <t>Heat Pump SEER ≥15, EER ≥12.5, HSPF ≥8.5</t>
  </si>
  <si>
    <t>Geothermal EER ≥21, COP ≥4.1</t>
  </si>
  <si>
    <t>Early Retirement Geothermal EER ≥21, COP ≥4.1</t>
  </si>
  <si>
    <t>Faucet Aerator</t>
  </si>
  <si>
    <t>Recommend Removing Measures</t>
  </si>
  <si>
    <t>Non-Coincident Peak kW Saved per Unit</t>
  </si>
  <si>
    <t>Xcel</t>
  </si>
  <si>
    <t>Annual Hours</t>
  </si>
  <si>
    <t>Minimum Lumens</t>
  </si>
  <si>
    <t>Maximum Lumens</t>
  </si>
  <si>
    <t>Incandescent Watt</t>
  </si>
  <si>
    <t>Baseline 2014-19</t>
  </si>
  <si>
    <t>CFL Watt</t>
  </si>
  <si>
    <t>LED Watt</t>
  </si>
  <si>
    <t>Illinois:   Illinois TRM V5.0</t>
  </si>
  <si>
    <t>23 to 30</t>
  </si>
  <si>
    <t>Minnesota: Minnesota TRM V2.0</t>
  </si>
  <si>
    <t>18 to 22</t>
  </si>
  <si>
    <t>15 to 21</t>
  </si>
  <si>
    <t>13 to 15</t>
  </si>
  <si>
    <t>10 to 13</t>
  </si>
  <si>
    <t>9 to 13</t>
  </si>
  <si>
    <t>6 to 9</t>
  </si>
  <si>
    <t>EISA 2020 = 45 Lumens per Watt</t>
  </si>
  <si>
    <t>Therm Saved per Unit</t>
  </si>
  <si>
    <t>Occupancy Sensor</t>
  </si>
  <si>
    <t>HVAC Factor (kWh)</t>
  </si>
  <si>
    <t>Heating &amp; Cooling</t>
  </si>
  <si>
    <t>Ceiling</t>
  </si>
  <si>
    <t>Wall</t>
  </si>
  <si>
    <t>Fixtured Mounted</t>
  </si>
  <si>
    <t>HVAC Factor (kW)</t>
  </si>
  <si>
    <t>kW Controlled</t>
  </si>
  <si>
    <t>Heating Penalty</t>
  </si>
  <si>
    <t>Power Adjustment Factor</t>
  </si>
  <si>
    <t>2017-2018 Xcel Colorado DSM Plan</t>
  </si>
  <si>
    <t>24-hour Facility</t>
  </si>
  <si>
    <t>Exterior</t>
  </si>
  <si>
    <t>High Bay Fluorescent Fixture w/ HE Electronic Ballast (T8 4-lamp)</t>
  </si>
  <si>
    <t>Ceramic Metal Halide Fixture w/ Integrated Ballast</t>
  </si>
  <si>
    <t>Energy Star LED Lamp (10-20W)</t>
  </si>
  <si>
    <t>Energy Star LED Lamp (20-22W)</t>
  </si>
  <si>
    <t>Energy Star LED Downlight Fixture</t>
  </si>
  <si>
    <t>High Performance T8 (1-2 lamps)</t>
  </si>
  <si>
    <t>High Performance T8 (3-4 lamps)</t>
  </si>
  <si>
    <t>LED Recessed Light Fixture (2x2)</t>
  </si>
  <si>
    <t>LED Recessed Light Fixture (2x4)</t>
  </si>
  <si>
    <t>LED Recessed Light Fixture (1x4)</t>
  </si>
  <si>
    <t>LED Recessed Light Fixture (2x2) (retrofit kits)</t>
  </si>
  <si>
    <t>LED Recessed Light Fixture (2x4) (retrofit kits)</t>
  </si>
  <si>
    <t>LED Recessed Light Fixture (1x4) (retrofit kits)</t>
  </si>
  <si>
    <t>LED Parking Garage/Canopy (&gt;75W-150W)</t>
  </si>
  <si>
    <t>320W Metal Halide</t>
  </si>
  <si>
    <t>LED Flood Light (&lt;15W)</t>
  </si>
  <si>
    <t>50W Metal Halide</t>
  </si>
  <si>
    <t>LED Flood Light (&gt;16W-30W)</t>
  </si>
  <si>
    <t>LED Flood Light (31W-50W)</t>
  </si>
  <si>
    <t>150W Metal Halide</t>
  </si>
  <si>
    <t>LED Outdoor Pole/Arm Mounted Parking/Roadway (&lt;30W)</t>
  </si>
  <si>
    <t>LED Outdoor Pole/Arm Mounted Parking/Roadway (30-75W)</t>
  </si>
  <si>
    <t>LED Outdoor Pole/Arm Mounted Parking/Roadway (&gt;75W-150W)</t>
  </si>
  <si>
    <t>Exterior LED Canopy and Soffit Fixture (25-60W)</t>
  </si>
  <si>
    <t>Exterior LED Canopy and Soffit Fixture (≥60W)</t>
  </si>
  <si>
    <t>Exterior LED Wall Pack Fixtures (≤25W)</t>
  </si>
  <si>
    <t>Exterior LED Wall Pack Fixtures (20-75W)</t>
  </si>
  <si>
    <t>Exterior LED Wall Pack Fixtures (&gt;75W-150W)</t>
  </si>
  <si>
    <t>Std Fluorescent</t>
  </si>
  <si>
    <t>LED Refrigerator Case Light</t>
  </si>
  <si>
    <t>Stairwell Fixtures w/ Integral Occupancy (T8 1-2 lamp)</t>
  </si>
  <si>
    <t>Stairwell Fixtures w/ Integral Occupancy (LED 20-30W)</t>
  </si>
  <si>
    <t>Illinois TRM</t>
  </si>
  <si>
    <t>N_Heat</t>
  </si>
  <si>
    <t>N_Cool</t>
  </si>
  <si>
    <t>Eligible Measures</t>
  </si>
  <si>
    <t>PY 2017</t>
  </si>
  <si>
    <t>PY 2018</t>
  </si>
  <si>
    <t>PY 2019</t>
  </si>
  <si>
    <t>&lt;-- Select Program from drop-down menu</t>
  </si>
  <si>
    <t>Energy (kWh) Savings</t>
  </si>
  <si>
    <t>Demand (kW) Savings</t>
  </si>
  <si>
    <t>Estimated Budget</t>
  </si>
  <si>
    <t>Cross Marketing and Training</t>
  </si>
  <si>
    <t>Revenue</t>
  </si>
  <si>
    <t>Closed Loop, Water-to-Air system = median ENERGY STAR option</t>
  </si>
  <si>
    <t>DOE. Baseline SEER of 14 = Baseline EER of 11.8</t>
  </si>
  <si>
    <t>Illinois. Calculation changed to use full load EER directly.</t>
  </si>
  <si>
    <t xml:space="preserve">Illinois. Calculation adjusted by dividing full load EER by generic 0.9 conversion factor to approximate a part load efficiency rating (EER 17.1 is out of range of quadratic SEER-EER regression in IL TRM). </t>
  </si>
  <si>
    <t>Early Retirement Geothermal EER ≥17.1, COP ≥3.6</t>
  </si>
  <si>
    <t>Geothermal EER ≥17.1, COP ≥3.6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</si>
</sst>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8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&quot;$&quot;#,##0"/>
    <numFmt numFmtId="166" formatCode="&quot;$&quot;#,##0.00"/>
    <numFmt numFmtId="167" formatCode="#,##0;\-#,##0;&quot;-&quot;"/>
    <numFmt numFmtId="168" formatCode="_(&quot;$&quot;* #,##0_);_(&quot;$&quot;* \(#,##0\);_(&quot;$&quot;* &quot;-&quot;??_);_(@_)"/>
    <numFmt numFmtId="169" formatCode="_(&quot;$&quot;* #,##0.00_);_(&quot;$&quot;* \(#,##0.00\);_(&quot;$&quot;* &quot;-&quot;_);_(@_)"/>
    <numFmt numFmtId="170" formatCode="_(* #,##0.0000_);_(* \(#,##0.0000\);_(* &quot;-&quot;????_);_(@_)"/>
    <numFmt numFmtId="171" formatCode="_(* #,##0_);_(* \(#,##0\);_(* &quot;-&quot;??_);_(@_)"/>
    <numFmt numFmtId="172" formatCode="#,##0.0"/>
    <numFmt numFmtId="173" formatCode="#,##0.00;\-#,##0.00;&quot;-&quot;"/>
    <numFmt numFmtId="174" formatCode="0.000%"/>
    <numFmt numFmtId="175" formatCode="0.00000000%"/>
    <numFmt numFmtId="176" formatCode="#,##0.0000"/>
    <numFmt numFmtId="177" formatCode="0.00000000"/>
    <numFmt numFmtId="178" formatCode="_(* #,##0.000_);_(* \(#,##0.000\);_(* &quot;-&quot;??_);_(@_)"/>
    <numFmt numFmtId="179" formatCode="_(* #,##0.0_);_(* \(#,##0.0\);_(* &quot;-&quot;??_);_(@_)"/>
    <numFmt numFmtId="180" formatCode="0.0%"/>
    <numFmt numFmtId="181" formatCode="0.0_);\(0.0\)"/>
    <numFmt numFmtId="182" formatCode="0.00_);\(0.00\)"/>
    <numFmt numFmtId="183" formatCode="0.0000"/>
    <numFmt numFmtId="184" formatCode="_(* #,##0.0000_);_(* \(#,##0.0000\);_(* &quot;-&quot;??_);_(@_)"/>
    <numFmt numFmtId="185" formatCode="0.0"/>
    <numFmt numFmtId="186" formatCode="_(* #,##0.0_);_(* \(#,##0.0\);_(* &quot;-&quot;?_);_(@_)"/>
    <numFmt numFmtId="187" formatCode="_(* #,##0_);_(* \(#,##0\);_(* &quot;-&quot;?_);_(@_)"/>
    <numFmt numFmtId="188" formatCode="[$-409]mmm\-yy;@"/>
    <numFmt numFmtId="189" formatCode="[$-409]mmmm\ d\,\ yyyy;@"/>
    <numFmt numFmtId="190" formatCode=";;;"/>
    <numFmt numFmtId="191" formatCode="0.000000"/>
    <numFmt numFmtId="192" formatCode="_(&quot;$&quot;#,##0_);_(&quot;$&quot;\(#,##0\);_(\ &quot;--&quot;_);_(@_)"/>
    <numFmt numFmtId="193" formatCode="_(&quot;$&quot;\ #,##0_);_(&quot;$&quot;\(#,##0\);_(\ &quot;--&quot;_);_(@_)"/>
    <numFmt numFmtId="194" formatCode="#,##0;\(#,##0\)"/>
    <numFmt numFmtId="195" formatCode="00\-0000\-00\-0000\-000"/>
    <numFmt numFmtId="196" formatCode="0;[Red]0"/>
    <numFmt numFmtId="197" formatCode="0.00_);[Red]\(0.00\)"/>
    <numFmt numFmtId="198" formatCode="0.00;[Red]0.00"/>
    <numFmt numFmtId="199" formatCode="#,##0.000_);[Red]\(#,##0.000\)"/>
    <numFmt numFmtId="200" formatCode="_(&quot;$&quot;* #,##0_);[Red]_(&quot;$&quot;* \(#,##0\);_(&quot;$&quot;* &quot;0&quot;_);_(@_)"/>
    <numFmt numFmtId="201" formatCode="_(&quot;$&quot;* #,##0.00_);[Red]_(&quot;$&quot;* \(#,##0.00\);_(&quot;$&quot;* &quot;0.00&quot;_);_(@_)"/>
    <numFmt numFmtId="202" formatCode="_(&quot;$&quot;* #,##0.000_);[Red]_(&quot;$&quot;* \(#,##0.000\);_(&quot;$&quot;* &quot;0.000&quot;_);_(@_)"/>
    <numFmt numFmtId="203" formatCode="_(&quot;$&quot;* #,##0.00000_);[Red]_(&quot;$&quot;* \(#,##0.00000\);_(&quot;$&quot;* &quot;0.00000&quot;_);_(@_)"/>
    <numFmt numFmtId="204" formatCode="&quot;$&quot;#,##0;\-&quot;$&quot;#,##0"/>
    <numFmt numFmtId="205" formatCode="&quot;$&quot;#,##0\ ;\(&quot;$&quot;#,##0\)"/>
    <numFmt numFmtId="206" formatCode="&quot;£&quot;#,##0;[Red]\-&quot;£&quot;#,##0"/>
    <numFmt numFmtId="207" formatCode="mmmm\ d\,\ yyyy"/>
    <numFmt numFmtId="208" formatCode="_-* #,##0_-;\-* #,##0_-;_-* &quot;-&quot;_-;_-@_-"/>
    <numFmt numFmtId="209" formatCode="_-* #,##0.00_-;\-* #,##0.00_-;_-* &quot;-&quot;??_-;_-@_-"/>
    <numFmt numFmtId="210" formatCode="_([$€-2]* #,##0.00_);_([$€-2]* \(#,##0.00\);_([$€-2]* &quot;-&quot;??_)"/>
    <numFmt numFmtId="211" formatCode="General_)"/>
    <numFmt numFmtId="212" formatCode="_-* #,##0\ _P_t_s_-;\-* #,##0\ _P_t_s_-;_-* &quot;-&quot;\ _P_t_s_-;_-@_-"/>
    <numFmt numFmtId="213" formatCode="_-* #,##0.00\ _P_t_s_-;\-* #,##0.00\ _P_t_s_-;_-* &quot;-&quot;??\ _P_t_s_-;_-@_-"/>
    <numFmt numFmtId="214" formatCode="_-* #,##0\ &quot;Pts&quot;_-;\-* #,##0\ &quot;Pts&quot;_-;_-* &quot;-&quot;\ &quot;Pts&quot;_-;_-@_-"/>
    <numFmt numFmtId="215" formatCode="_-* #,##0.00\ &quot;Pts&quot;_-;\-* #,##0.00\ &quot;Pts&quot;_-;_-* &quot;-&quot;??\ &quot;Pts&quot;_-;_-@_-"/>
    <numFmt numFmtId="216" formatCode="mmm\ d\ \(ddd\)\ h\ AM/PM"/>
    <numFmt numFmtId="217" formatCode="#,##0;#,##0;;"/>
    <numFmt numFmtId="218" formatCode="0.00_)"/>
    <numFmt numFmtId="219" formatCode="#,##0.00_ ;[Red]\-#,##0.00;\ _-* &quot;-&quot;??_-;\ \ _-@_-"/>
    <numFmt numFmtId="220" formatCode="0%;\(0\)%"/>
    <numFmt numFmtId="221" formatCode="0%;\(0%\)"/>
    <numFmt numFmtId="222" formatCode="0.00%;\(0.00\)%"/>
    <numFmt numFmtId="223" formatCode="0.0%;\(0.0%\)"/>
    <numFmt numFmtId="224" formatCode="&quot;FY94P&quot;#"/>
    <numFmt numFmtId="225" formatCode="00\-0000\-00\-0000"/>
    <numFmt numFmtId="226" formatCode="&quot;$&quot;#,##0.0;[Blue]\(#,##0.0\)"/>
    <numFmt numFmtId="227" formatCode="0_);\(0\)"/>
    <numFmt numFmtId="228" formatCode="0.0_);[Red]\(0.0\)"/>
    <numFmt numFmtId="229" formatCode="#,###,_);[Red]\(#,###,\)"/>
    <numFmt numFmtId="230" formatCode="_(&quot;L&quot;* #,##0_);_(&quot;L&quot;* \(#,##0\);_(&quot;L&quot;* &quot;-&quot;_);_(@_)"/>
    <numFmt numFmtId="231" formatCode="#,##0.0,;[Red]\(#,##0.0,\)"/>
    <numFmt numFmtId="232" formatCode="h:mm:ss;@"/>
    <numFmt numFmtId="233" formatCode="ddmmyy"/>
    <numFmt numFmtId="234" formatCode="#,##0.0_);[Red]\(#,##0.0\)"/>
    <numFmt numFmtId="235" formatCode="&quot;£ &quot;#,##0;[Red]\-&quot;£ &quot;#,##0"/>
    <numFmt numFmtId="236" formatCode="&quot;£ &quot;#,##0.00;\-&quot;£ &quot;#,##0.00"/>
    <numFmt numFmtId="237" formatCode="_-&quot;£&quot;* #,##0_-;\-&quot;£&quot;* #,##0_-;_-&quot;£&quot;* &quot;-&quot;_-;_-@_-"/>
    <numFmt numFmtId="238" formatCode="_-&quot;£&quot;* #,##0.00_-;\-&quot;£&quot;* #,##0.00_-;_-&quot;£&quot;* &quot;-&quot;??_-;_-@_-"/>
    <numFmt numFmtId="239" formatCode="00000"/>
    <numFmt numFmtId="240" formatCode="0.00000"/>
    <numFmt numFmtId="241" formatCode="#,##0;\-#,##0;\-;@"/>
    <numFmt numFmtId="242" formatCode="&quot;$&quot;#,##0;&quot;$&quot;\-#,##0;&quot;$&quot;\-;@"/>
    <numFmt numFmtId="243" formatCode="_(&quot;$&quot;* #,##0.0000_);_(&quot;$&quot;* \(#,##0.0000\);_(&quot;$&quot;* &quot;-&quot;??_);_(@_)"/>
  </numFmts>
  <fonts count="16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0"/>
      <name val="MS Sans Serif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sz val="10"/>
      <name val="Geneva"/>
    </font>
    <font>
      <sz val="10"/>
      <name val="Helv"/>
    </font>
    <font>
      <sz val="10"/>
      <color rgb="FF000000"/>
      <name val="Times New Roman"/>
      <family val="1"/>
    </font>
    <font>
      <sz val="11"/>
      <color rgb="FFC00000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i/>
      <sz val="11"/>
      <color theme="0" tint="-0.34998626667073579"/>
      <name val="Calibri"/>
      <family val="2"/>
      <scheme val="minor"/>
    </font>
    <font>
      <b/>
      <sz val="1"/>
      <color theme="0" tint="-0.499984740745262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8"/>
      <color rgb="FFFF0000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i/>
      <sz val="8"/>
      <name val="Arial"/>
      <family val="2"/>
    </font>
    <font>
      <b/>
      <sz val="8"/>
      <color theme="0"/>
      <name val="Arial"/>
      <family val="2"/>
    </font>
    <font>
      <sz val="10"/>
      <name val="Times New Roman"/>
      <family val="1"/>
    </font>
    <font>
      <sz val="8"/>
      <name val="Times New Roman"/>
      <family val="1"/>
    </font>
    <font>
      <b/>
      <sz val="9"/>
      <name val="Arial"/>
      <family val="2"/>
    </font>
    <font>
      <sz val="10"/>
      <name val="Helv"/>
      <charset val="204"/>
    </font>
    <font>
      <sz val="12"/>
      <name val="Times New Roman"/>
      <family val="1"/>
    </font>
    <font>
      <sz val="10"/>
      <name val="Helv"/>
      <family val="2"/>
    </font>
    <font>
      <sz val="10"/>
      <color indexed="8"/>
      <name val="Arial"/>
      <family val="2"/>
    </font>
    <font>
      <sz val="10"/>
      <color indexed="8"/>
      <name val="MS Sans Serif"/>
      <family val="2"/>
    </font>
    <font>
      <sz val="9"/>
      <color indexed="10"/>
      <name val="Geneva"/>
      <family val="2"/>
    </font>
    <font>
      <sz val="12"/>
      <color indexed="8"/>
      <name val="Times New Roman"/>
      <family val="1"/>
    </font>
    <font>
      <sz val="11"/>
      <color indexed="8"/>
      <name val="Calibri"/>
      <family val="2"/>
    </font>
    <font>
      <sz val="12"/>
      <color indexed="12"/>
      <name val="Times New Roman"/>
      <family val="1"/>
    </font>
    <font>
      <sz val="12"/>
      <color indexed="16"/>
      <name val="Times New Roman"/>
      <family val="1"/>
    </font>
    <font>
      <sz val="12"/>
      <color indexed="18"/>
      <name val="Times New Roman"/>
      <family val="1"/>
    </font>
    <font>
      <sz val="11"/>
      <color indexed="9"/>
      <name val="Calibri"/>
      <family val="2"/>
    </font>
    <font>
      <sz val="8"/>
      <name val="Helv"/>
    </font>
    <font>
      <sz val="7"/>
      <name val="Ariel"/>
    </font>
    <font>
      <sz val="11"/>
      <color indexed="20"/>
      <name val="Calibri"/>
      <family val="2"/>
    </font>
    <font>
      <sz val="8"/>
      <color indexed="10"/>
      <name val="Arial"/>
      <family val="2"/>
    </font>
    <font>
      <sz val="12"/>
      <name val="Tms Rmn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8"/>
      <color indexed="52"/>
      <name val="Comic Sans MS"/>
      <family val="2"/>
    </font>
    <font>
      <b/>
      <sz val="11"/>
      <color indexed="52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1"/>
      <color indexed="9"/>
      <name val="Calibri"/>
      <family val="2"/>
    </font>
    <font>
      <sz val="11"/>
      <color theme="1"/>
      <name val="Calisto MT"/>
      <family val="2"/>
    </font>
    <font>
      <sz val="10"/>
      <name val="Arial Narrow"/>
      <family val="2"/>
    </font>
    <font>
      <sz val="10"/>
      <name val="Helvetica"/>
      <family val="2"/>
    </font>
    <font>
      <b/>
      <sz val="10"/>
      <name val="Arial Unicode MS"/>
      <family val="2"/>
    </font>
    <font>
      <sz val="10"/>
      <name val="Arial Unicode MS"/>
      <family val="2"/>
    </font>
    <font>
      <sz val="11"/>
      <name val="Calibri"/>
      <family val="2"/>
    </font>
    <font>
      <sz val="8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name val="BERNHARD"/>
    </font>
    <font>
      <sz val="8"/>
      <color indexed="16"/>
      <name val="MS Sans Serif"/>
      <family val="2"/>
    </font>
    <font>
      <sz val="10"/>
      <name val="MS Serif"/>
      <family val="1"/>
    </font>
    <font>
      <sz val="11"/>
      <name val="Tahoma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0"/>
      <color indexed="10"/>
      <name val="Arial"/>
      <family val="2"/>
    </font>
    <font>
      <sz val="10"/>
      <color indexed="54"/>
      <name val="Arial"/>
      <family val="2"/>
    </font>
    <font>
      <b/>
      <sz val="10"/>
      <color indexed="8"/>
      <name val="ARIAL"/>
      <family val="2"/>
    </font>
    <font>
      <i/>
      <sz val="9"/>
      <name val="Helv"/>
    </font>
    <font>
      <sz val="10"/>
      <color indexed="16"/>
      <name val="MS Serif"/>
      <family val="1"/>
    </font>
    <font>
      <sz val="11"/>
      <color indexed="8"/>
      <name val="Calibri"/>
      <family val="2"/>
      <charset val="1"/>
    </font>
    <font>
      <i/>
      <sz val="11"/>
      <color indexed="23"/>
      <name val="Calibri"/>
      <family val="2"/>
    </font>
    <font>
      <sz val="12"/>
      <color indexed="24"/>
      <name val="Arial"/>
      <family val="2"/>
    </font>
    <font>
      <sz val="11"/>
      <color indexed="17"/>
      <name val="Calibri"/>
      <family val="2"/>
    </font>
    <font>
      <sz val="9"/>
      <name val="Times"/>
      <family val="1"/>
    </font>
    <font>
      <b/>
      <sz val="12"/>
      <name val="Arial"/>
      <family val="2"/>
    </font>
    <font>
      <b/>
      <i/>
      <u/>
      <sz val="12"/>
      <color indexed="10"/>
      <name val="Arial"/>
      <family val="2"/>
    </font>
    <font>
      <b/>
      <i/>
      <sz val="9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8"/>
      <name val="Arial"/>
      <family val="2"/>
    </font>
    <font>
      <b/>
      <sz val="15"/>
      <name val="Times New Roman"/>
      <family val="1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3"/>
      <color indexed="56"/>
      <name val="Comic Sans MS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i/>
      <sz val="10"/>
      <name val="Arial"/>
      <family val="2"/>
    </font>
    <font>
      <b/>
      <sz val="8"/>
      <name val="MS Sans Serif"/>
      <family val="2"/>
    </font>
    <font>
      <b/>
      <sz val="9"/>
      <name val="Helv"/>
    </font>
    <font>
      <sz val="9"/>
      <name val="Helv"/>
    </font>
    <font>
      <sz val="10"/>
      <name val="Courier"/>
      <family val="3"/>
    </font>
    <font>
      <sz val="11"/>
      <color indexed="62"/>
      <name val="Calibri"/>
      <family val="2"/>
    </font>
    <font>
      <sz val="8"/>
      <color indexed="62"/>
      <name val="Comic Sans MS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26"/>
      <name val="Arial"/>
      <family val="2"/>
    </font>
    <font>
      <sz val="48"/>
      <name val="Arial"/>
      <family val="2"/>
    </font>
    <font>
      <b/>
      <sz val="100"/>
      <name val="Arial"/>
      <family val="2"/>
    </font>
    <font>
      <b/>
      <sz val="36"/>
      <name val="Times New Roman"/>
      <family val="1"/>
    </font>
    <font>
      <u/>
      <sz val="8"/>
      <name val="Helv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1"/>
      <color indexed="60"/>
      <name val="Calibri"/>
      <family val="2"/>
      <scheme val="minor"/>
    </font>
    <font>
      <sz val="7"/>
      <name val="Small Fonts"/>
      <family val="2"/>
    </font>
    <font>
      <b/>
      <i/>
      <sz val="16"/>
      <name val="Helv"/>
    </font>
    <font>
      <sz val="12"/>
      <color theme="1"/>
      <name val="Calibri"/>
      <family val="2"/>
      <scheme val="minor"/>
    </font>
    <font>
      <sz val="12"/>
      <name val="Arial MT"/>
    </font>
    <font>
      <sz val="12"/>
      <name val="QTHelvetCnd"/>
    </font>
    <font>
      <sz val="9"/>
      <color theme="1"/>
      <name val="Calibri"/>
      <family val="2"/>
    </font>
    <font>
      <sz val="11"/>
      <color indexed="8"/>
      <name val="Arial"/>
      <family val="2"/>
    </font>
    <font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1"/>
      <color indexed="63"/>
      <name val="Calibri"/>
      <family val="2"/>
    </font>
    <font>
      <b/>
      <sz val="8"/>
      <color indexed="63"/>
      <name val="Comic Sans MS"/>
      <family val="2"/>
    </font>
    <font>
      <sz val="9"/>
      <name val="Arial"/>
      <family val="2"/>
    </font>
    <font>
      <b/>
      <sz val="10"/>
      <name val="MS Sans Serif"/>
      <family val="2"/>
    </font>
    <font>
      <sz val="8"/>
      <name val="Wingdings"/>
      <charset val="2"/>
    </font>
    <font>
      <sz val="11"/>
      <name val="Arial"/>
      <family val="2"/>
    </font>
    <font>
      <b/>
      <i/>
      <sz val="12"/>
      <color indexed="9"/>
      <name val="Arial"/>
      <family val="2"/>
    </font>
    <font>
      <b/>
      <sz val="16"/>
      <color indexed="16"/>
      <name val="Arial"/>
      <family val="2"/>
    </font>
    <font>
      <sz val="8"/>
      <name val="MS Sans Serif"/>
      <family val="2"/>
    </font>
    <font>
      <b/>
      <sz val="12"/>
      <name val="MS Sans Serif"/>
      <family val="2"/>
    </font>
    <font>
      <sz val="12"/>
      <name val="MS Sans Serif"/>
      <family val="2"/>
    </font>
    <font>
      <b/>
      <sz val="8"/>
      <color indexed="17"/>
      <name val="Arial"/>
      <family val="2"/>
    </font>
    <font>
      <b/>
      <sz val="8"/>
      <color indexed="8"/>
      <name val="Helv"/>
    </font>
    <font>
      <b/>
      <sz val="10"/>
      <color indexed="16"/>
      <name val="Arial"/>
      <family val="2"/>
    </font>
    <font>
      <b/>
      <sz val="12"/>
      <color indexed="16"/>
      <name val="Arial"/>
      <family val="2"/>
    </font>
    <font>
      <sz val="7"/>
      <color indexed="16"/>
      <name val="Arial"/>
      <family val="2"/>
    </font>
    <font>
      <b/>
      <sz val="11"/>
      <name val="Times New Roman"/>
      <family val="1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b/>
      <sz val="6"/>
      <name val="Arial"/>
      <family val="2"/>
    </font>
    <font>
      <b/>
      <sz val="11"/>
      <color indexed="8"/>
      <name val="Calibri"/>
      <family val="2"/>
    </font>
    <font>
      <b/>
      <sz val="8"/>
      <color indexed="8"/>
      <name val="Comic Sans MS"/>
      <family val="2"/>
    </font>
    <font>
      <sz val="10"/>
      <name val="Geneva"/>
      <family val="2"/>
    </font>
    <font>
      <i/>
      <sz val="10"/>
      <color indexed="8"/>
      <name val="Arial"/>
      <family val="2"/>
    </font>
    <font>
      <b/>
      <sz val="10"/>
      <color indexed="20"/>
      <name val="Geneva"/>
      <family val="2"/>
    </font>
    <font>
      <b/>
      <sz val="10"/>
      <color indexed="9"/>
      <name val="Arial"/>
      <family val="2"/>
    </font>
    <font>
      <i/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sz val="9"/>
      <color indexed="81"/>
      <name val="Tahoma"/>
      <family val="2"/>
    </font>
  </fonts>
  <fills count="113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gray125">
        <bgColor indexed="31"/>
      </patternFill>
    </fill>
    <fill>
      <patternFill patternType="solid">
        <fgColor indexed="31"/>
        <bgColor indexed="31"/>
      </patternFill>
    </fill>
    <fill>
      <patternFill patternType="solid">
        <fgColor indexed="55"/>
      </patternFill>
    </fill>
    <fill>
      <patternFill patternType="solid">
        <fgColor indexed="1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1"/>
        <bgColor indexed="64"/>
      </patternFill>
    </fill>
    <fill>
      <patternFill patternType="gray125">
        <fgColor indexed="13"/>
      </patternFill>
    </fill>
    <fill>
      <patternFill patternType="solid">
        <fgColor indexed="33"/>
        <bgColor indexed="64"/>
      </patternFill>
    </fill>
    <fill>
      <patternFill patternType="solid">
        <fgColor indexed="17"/>
        <bgColor indexed="64"/>
      </patternFill>
    </fill>
    <fill>
      <patternFill patternType="mediumGray">
        <fgColor indexed="22"/>
      </patternFill>
    </fill>
    <fill>
      <patternFill patternType="darkVertical"/>
    </fill>
    <fill>
      <patternFill patternType="gray0625"/>
    </fill>
    <fill>
      <patternFill patternType="solid">
        <fgColor indexed="58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1"/>
        <bgColor indexed="22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66FF"/>
        <bgColor indexed="64"/>
      </patternFill>
    </fill>
  </fills>
  <borders count="86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theme="0" tint="-0.24994659260841701"/>
      </left>
      <right/>
      <top/>
      <bottom/>
      <diagonal/>
    </border>
    <border>
      <left/>
      <right style="thick">
        <color theme="0" tint="-0.24994659260841701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ck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ck">
        <color theme="0" tint="-0.24994659260841701"/>
      </right>
      <top/>
      <bottom style="thin">
        <color theme="0" tint="-0.24994659260841701"/>
      </bottom>
      <diagonal/>
    </border>
    <border>
      <left style="thick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ashed">
        <color theme="0" tint="-0.24994659260841701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medium">
        <color theme="4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ck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/>
      <right/>
      <top style="medium">
        <color indexed="16"/>
      </top>
      <bottom style="medium">
        <color indexed="16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ck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ck">
        <color theme="0" tint="-0.24994659260841701"/>
      </right>
      <top/>
      <bottom/>
      <diagonal/>
    </border>
    <border>
      <left style="double">
        <color theme="0" tint="-0.24994659260841701"/>
      </left>
      <right style="double">
        <color theme="0" tint="-0.24994659260841701"/>
      </right>
      <top style="double">
        <color theme="0" tint="-0.24994659260841701"/>
      </top>
      <bottom style="double">
        <color theme="0" tint="-0.24994659260841701"/>
      </bottom>
      <diagonal/>
    </border>
  </borders>
  <cellStyleXfs count="5030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2" borderId="0" applyNumberFormat="0" applyBorder="0" applyAlignment="0" applyProtection="0"/>
    <xf numFmtId="0" fontId="2" fillId="0" borderId="0"/>
    <xf numFmtId="37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7" fillId="0" borderId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7" fillId="0" borderId="0"/>
    <xf numFmtId="0" fontId="19" fillId="0" borderId="0"/>
    <xf numFmtId="0" fontId="1" fillId="0" borderId="0"/>
    <xf numFmtId="0" fontId="21" fillId="0" borderId="0" applyNumberFormat="0" applyProtection="0">
      <alignment horizontal="left"/>
    </xf>
    <xf numFmtId="0" fontId="22" fillId="0" borderId="28" applyNumberFormat="0" applyFont="0" applyProtection="0">
      <alignment wrapText="1"/>
    </xf>
    <xf numFmtId="0" fontId="23" fillId="0" borderId="29" applyNumberFormat="0" applyProtection="0">
      <alignment wrapText="1"/>
    </xf>
    <xf numFmtId="0" fontId="23" fillId="0" borderId="27" applyNumberFormat="0" applyProtection="0">
      <alignment wrapText="1"/>
    </xf>
    <xf numFmtId="0" fontId="22" fillId="0" borderId="30" applyNumberFormat="0" applyProtection="0">
      <alignment vertical="top" wrapText="1"/>
    </xf>
    <xf numFmtId="44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0" fontId="2" fillId="0" borderId="0"/>
    <xf numFmtId="189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9" fontId="2" fillId="0" borderId="0"/>
    <xf numFmtId="0" fontId="2" fillId="0" borderId="0"/>
    <xf numFmtId="0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0" fontId="2" fillId="0" borderId="0"/>
    <xf numFmtId="18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9" fontId="2" fillId="0" borderId="0"/>
    <xf numFmtId="0" fontId="2" fillId="0" borderId="0"/>
    <xf numFmtId="0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0" fontId="2" fillId="0" borderId="0"/>
    <xf numFmtId="18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18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0" fontId="49" fillId="0" borderId="0" applyFont="0" applyFill="0" applyBorder="0" applyAlignment="0"/>
    <xf numFmtId="0" fontId="50" fillId="0" borderId="0"/>
    <xf numFmtId="0" fontId="50" fillId="0" borderId="0"/>
    <xf numFmtId="0" fontId="51" fillId="0" borderId="0" applyFont="0" applyAlignment="0">
      <alignment horizontal="center" vertical="center"/>
    </xf>
    <xf numFmtId="0" fontId="49" fillId="0" borderId="0"/>
    <xf numFmtId="0" fontId="51" fillId="0" borderId="0" applyFont="0" applyAlignment="0">
      <alignment horizontal="center" vertical="center"/>
    </xf>
    <xf numFmtId="0" fontId="51" fillId="0" borderId="0" applyFont="0" applyAlignment="0">
      <alignment horizontal="center" vertical="center"/>
    </xf>
    <xf numFmtId="0" fontId="51" fillId="0" borderId="0" applyFont="0" applyAlignment="0">
      <alignment horizontal="center" vertical="center"/>
    </xf>
    <xf numFmtId="0" fontId="51" fillId="0" borderId="0" applyFont="0" applyAlignment="0">
      <alignment horizontal="center" vertical="center"/>
    </xf>
    <xf numFmtId="0" fontId="51" fillId="0" borderId="0" applyFont="0" applyAlignment="0">
      <alignment horizontal="center" vertical="center"/>
    </xf>
    <xf numFmtId="0" fontId="51" fillId="0" borderId="0" applyFont="0" applyAlignment="0">
      <alignment horizontal="center" vertical="center"/>
    </xf>
    <xf numFmtId="0" fontId="49" fillId="0" borderId="0"/>
    <xf numFmtId="0" fontId="49" fillId="0" borderId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52" fillId="0" borderId="0"/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38" fontId="4" fillId="0" borderId="0" applyFont="0" applyFill="0" applyBorder="0" applyAlignment="0" applyProtection="0"/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52" fillId="0" borderId="0"/>
    <xf numFmtId="0" fontId="2" fillId="0" borderId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2" fillId="0" borderId="0"/>
    <xf numFmtId="38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53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53" fillId="0" borderId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2" fillId="0" borderId="0"/>
    <xf numFmtId="0" fontId="2" fillId="0" borderId="0"/>
    <xf numFmtId="0" fontId="54" fillId="0" borderId="0"/>
    <xf numFmtId="0" fontId="2" fillId="0" borderId="0"/>
    <xf numFmtId="0" fontId="55" fillId="0" borderId="0">
      <alignment vertical="top"/>
    </xf>
    <xf numFmtId="0" fontId="55" fillId="0" borderId="0">
      <alignment vertical="top"/>
    </xf>
    <xf numFmtId="0" fontId="52" fillId="0" borderId="0"/>
    <xf numFmtId="0" fontId="54" fillId="0" borderId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2" fillId="0" borderId="0"/>
    <xf numFmtId="0" fontId="53" fillId="0" borderId="0"/>
    <xf numFmtId="0" fontId="56" fillId="0" borderId="0" applyNumberFormat="0" applyFill="0" applyBorder="0" applyAlignment="0" applyProtection="0"/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38" fontId="4" fillId="0" borderId="0" applyFont="0" applyFill="0" applyBorder="0" applyAlignment="0" applyProtection="0"/>
    <xf numFmtId="0" fontId="2" fillId="0" borderId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54" fillId="0" borderId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0" fontId="2" fillId="0" borderId="0"/>
    <xf numFmtId="0" fontId="2" fillId="0" borderId="0"/>
    <xf numFmtId="0" fontId="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7" fillId="0" borderId="0"/>
    <xf numFmtId="0" fontId="2" fillId="0" borderId="0"/>
    <xf numFmtId="0" fontId="2" fillId="0" borderId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191" fontId="2" fillId="0" borderId="0">
      <alignment horizontal="left" wrapText="1"/>
    </xf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0" fontId="2" fillId="0" borderId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57" fillId="0" borderId="0"/>
    <xf numFmtId="0" fontId="2" fillId="0" borderId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" fillId="0" borderId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0"/>
    <xf numFmtId="0" fontId="49" fillId="0" borderId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0" fontId="53" fillId="0" borderId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85" fontId="41" fillId="0" borderId="0" applyFont="0" applyFill="0" applyBorder="0" applyAlignment="0" applyProtection="0">
      <alignment horizontal="right"/>
    </xf>
    <xf numFmtId="171" fontId="58" fillId="0" borderId="45" applyNumberFormat="0" applyFill="0" applyBorder="0" applyAlignment="0" applyProtection="0">
      <alignment horizontal="right"/>
    </xf>
    <xf numFmtId="2" fontId="41" fillId="0" borderId="0" applyFont="0" applyFill="0" applyBorder="0" applyAlignment="0" applyProtection="0">
      <alignment horizontal="right"/>
    </xf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189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189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189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189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189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89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188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89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188" fontId="1" fillId="56" borderId="0" applyNumberFormat="0" applyBorder="0" applyAlignment="0" applyProtection="0"/>
    <xf numFmtId="188" fontId="1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0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89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89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89" fontId="5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188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188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5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189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189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189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189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4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189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89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188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188" fontId="1" fillId="58" borderId="0" applyNumberFormat="0" applyBorder="0" applyAlignment="0" applyProtection="0"/>
    <xf numFmtId="188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34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188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188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1" fillId="38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188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38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188" fontId="1" fillId="60" borderId="0" applyNumberFormat="0" applyBorder="0" applyAlignment="0" applyProtection="0"/>
    <xf numFmtId="188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38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188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188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59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4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188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4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188" fontId="1" fillId="62" borderId="0" applyNumberFormat="0" applyBorder="0" applyAlignment="0" applyProtection="0"/>
    <xf numFmtId="188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4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188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188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88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188" fontId="1" fillId="46" borderId="0" applyNumberFormat="0" applyBorder="0" applyAlignment="0" applyProtection="0"/>
    <xf numFmtId="188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188" fontId="1" fillId="46" borderId="0" applyNumberFormat="0" applyBorder="0" applyAlignment="0" applyProtection="0"/>
    <xf numFmtId="188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6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61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188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50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88" fontId="1" fillId="63" borderId="0" applyNumberFormat="0" applyBorder="0" applyAlignment="0" applyProtection="0"/>
    <xf numFmtId="188" fontId="1" fillId="63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50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50" borderId="0" applyNumberFormat="0" applyBorder="0" applyAlignment="0" applyProtection="0"/>
    <xf numFmtId="188" fontId="1" fillId="63" borderId="0" applyNumberFormat="0" applyBorder="0" applyAlignment="0" applyProtection="0"/>
    <xf numFmtId="188" fontId="1" fillId="63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63" borderId="0" applyNumberFormat="0" applyBorder="0" applyAlignment="0" applyProtection="0"/>
    <xf numFmtId="0" fontId="1" fillId="50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5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50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50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188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188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59" fillId="59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59" fillId="63" borderId="0" applyNumberFormat="0" applyBorder="0" applyAlignment="0" applyProtection="0"/>
    <xf numFmtId="0" fontId="59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71" fontId="60" fillId="0" borderId="45" applyNumberFormat="0" applyFill="0" applyBorder="0" applyAlignment="0" applyProtection="0"/>
    <xf numFmtId="10" fontId="61" fillId="0" borderId="45" applyNumberFormat="0" applyFill="0" applyBorder="0" applyAlignment="0" applyProtection="0">
      <alignment horizontal="right"/>
    </xf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31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6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6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188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31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188" fontId="1" fillId="55" borderId="0" applyNumberFormat="0" applyBorder="0" applyAlignment="0" applyProtection="0"/>
    <xf numFmtId="188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31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188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188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88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188" fontId="1" fillId="35" borderId="0" applyNumberFormat="0" applyBorder="0" applyAlignment="0" applyProtection="0"/>
    <xf numFmtId="188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188" fontId="1" fillId="35" borderId="0" applyNumberFormat="0" applyBorder="0" applyAlignment="0" applyProtection="0"/>
    <xf numFmtId="188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5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59" fillId="65" borderId="0" applyNumberFormat="0" applyBorder="0" applyAlignment="0" applyProtection="0"/>
    <xf numFmtId="0" fontId="59" fillId="66" borderId="0" applyNumberFormat="0" applyBorder="0" applyAlignment="0" applyProtection="0"/>
    <xf numFmtId="0" fontId="59" fillId="65" borderId="0" applyNumberFormat="0" applyBorder="0" applyAlignment="0" applyProtection="0"/>
    <xf numFmtId="0" fontId="59" fillId="66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5" borderId="0" applyNumberFormat="0" applyBorder="0" applyAlignment="0" applyProtection="0"/>
    <xf numFmtId="0" fontId="59" fillId="66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59" fillId="65" borderId="0" applyNumberFormat="0" applyBorder="0" applyAlignment="0" applyProtection="0"/>
    <xf numFmtId="0" fontId="59" fillId="66" borderId="0" applyNumberFormat="0" applyBorder="0" applyAlignment="0" applyProtection="0"/>
    <xf numFmtId="188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59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66" borderId="0" applyNumberFormat="0" applyBorder="0" applyAlignment="0" applyProtection="0"/>
    <xf numFmtId="0" fontId="1" fillId="39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59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59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59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59" fillId="6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59" fillId="66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188" fontId="59" fillId="65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188" fontId="59" fillId="66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6" borderId="0" applyNumberFormat="0" applyBorder="0" applyAlignment="0" applyProtection="0"/>
    <xf numFmtId="0" fontId="59" fillId="65" borderId="0" applyNumberFormat="0" applyBorder="0" applyAlignment="0" applyProtection="0"/>
    <xf numFmtId="0" fontId="59" fillId="66" borderId="0" applyNumberFormat="0" applyBorder="0" applyAlignment="0" applyProtection="0"/>
    <xf numFmtId="0" fontId="59" fillId="65" borderId="0" applyNumberFormat="0" applyBorder="0" applyAlignment="0" applyProtection="0"/>
    <xf numFmtId="0" fontId="59" fillId="66" borderId="0" applyNumberFormat="0" applyBorder="0" applyAlignment="0" applyProtection="0"/>
    <xf numFmtId="0" fontId="59" fillId="65" borderId="0" applyNumberFormat="0" applyBorder="0" applyAlignment="0" applyProtection="0"/>
    <xf numFmtId="0" fontId="59" fillId="66" borderId="0" applyNumberFormat="0" applyBorder="0" applyAlignment="0" applyProtection="0"/>
    <xf numFmtId="0" fontId="59" fillId="65" borderId="0" applyNumberFormat="0" applyBorder="0" applyAlignment="0" applyProtection="0"/>
    <xf numFmtId="0" fontId="59" fillId="66" borderId="0" applyNumberFormat="0" applyBorder="0" applyAlignment="0" applyProtection="0"/>
    <xf numFmtId="0" fontId="59" fillId="58" borderId="0" applyNumberFormat="0" applyBorder="0" applyAlignment="0" applyProtection="0"/>
    <xf numFmtId="0" fontId="59" fillId="62" borderId="0" applyNumberFormat="0" applyBorder="0" applyAlignment="0" applyProtection="0"/>
    <xf numFmtId="0" fontId="59" fillId="58" borderId="0" applyNumberFormat="0" applyBorder="0" applyAlignment="0" applyProtection="0"/>
    <xf numFmtId="0" fontId="59" fillId="62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58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58" borderId="0" applyNumberFormat="0" applyBorder="0" applyAlignment="0" applyProtection="0"/>
    <xf numFmtId="0" fontId="59" fillId="6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59" fillId="58" borderId="0" applyNumberFormat="0" applyBorder="0" applyAlignment="0" applyProtection="0"/>
    <xf numFmtId="0" fontId="59" fillId="62" borderId="0" applyNumberFormat="0" applyBorder="0" applyAlignment="0" applyProtection="0"/>
    <xf numFmtId="188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62" borderId="0" applyNumberFormat="0" applyBorder="0" applyAlignment="0" applyProtection="0"/>
    <xf numFmtId="0" fontId="1" fillId="4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9" fillId="58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59" fillId="6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188" fontId="59" fillId="58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188" fontId="59" fillId="6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58" borderId="0" applyNumberFormat="0" applyBorder="0" applyAlignment="0" applyProtection="0"/>
    <xf numFmtId="0" fontId="59" fillId="62" borderId="0" applyNumberFormat="0" applyBorder="0" applyAlignment="0" applyProtection="0"/>
    <xf numFmtId="0" fontId="59" fillId="58" borderId="0" applyNumberFormat="0" applyBorder="0" applyAlignment="0" applyProtection="0"/>
    <xf numFmtId="0" fontId="59" fillId="62" borderId="0" applyNumberFormat="0" applyBorder="0" applyAlignment="0" applyProtection="0"/>
    <xf numFmtId="0" fontId="59" fillId="58" borderId="0" applyNumberFormat="0" applyBorder="0" applyAlignment="0" applyProtection="0"/>
    <xf numFmtId="0" fontId="59" fillId="62" borderId="0" applyNumberFormat="0" applyBorder="0" applyAlignment="0" applyProtection="0"/>
    <xf numFmtId="0" fontId="59" fillId="58" borderId="0" applyNumberFormat="0" applyBorder="0" applyAlignment="0" applyProtection="0"/>
    <xf numFmtId="0" fontId="59" fillId="62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188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9" fillId="64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59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188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188" fontId="59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64" borderId="0" applyNumberFormat="0" applyBorder="0" applyAlignment="0" applyProtection="0"/>
    <xf numFmtId="0" fontId="59" fillId="55" borderId="0" applyNumberFormat="0" applyBorder="0" applyAlignment="0" applyProtection="0"/>
    <xf numFmtId="0" fontId="59" fillId="59" borderId="0" applyNumberFormat="0" applyBorder="0" applyAlignment="0" applyProtection="0"/>
    <xf numFmtId="0" fontId="59" fillId="67" borderId="0" applyNumberFormat="0" applyBorder="0" applyAlignment="0" applyProtection="0"/>
    <xf numFmtId="0" fontId="59" fillId="59" borderId="0" applyNumberFormat="0" applyBorder="0" applyAlignment="0" applyProtection="0"/>
    <xf numFmtId="0" fontId="59" fillId="67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7" borderId="0" applyNumberFormat="0" applyBorder="0" applyAlignment="0" applyProtection="0"/>
    <xf numFmtId="0" fontId="59" fillId="67" borderId="0" applyNumberFormat="0" applyBorder="0" applyAlignment="0" applyProtection="0"/>
    <xf numFmtId="0" fontId="59" fillId="6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59" fillId="67" borderId="0" applyNumberFormat="0" applyBorder="0" applyAlignment="0" applyProtection="0"/>
    <xf numFmtId="0" fontId="59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59" fillId="67" borderId="0" applyNumberFormat="0" applyBorder="0" applyAlignment="0" applyProtection="0"/>
    <xf numFmtId="0" fontId="59" fillId="67" borderId="0" applyNumberFormat="0" applyBorder="0" applyAlignment="0" applyProtection="0"/>
    <xf numFmtId="0" fontId="59" fillId="59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59" fillId="67" borderId="0" applyNumberFormat="0" applyBorder="0" applyAlignment="0" applyProtection="0"/>
    <xf numFmtId="0" fontId="59" fillId="59" borderId="0" applyNumberFormat="0" applyBorder="0" applyAlignment="0" applyProtection="0"/>
    <xf numFmtId="0" fontId="59" fillId="6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59" fillId="59" borderId="0" applyNumberFormat="0" applyBorder="0" applyAlignment="0" applyProtection="0"/>
    <xf numFmtId="0" fontId="59" fillId="67" borderId="0" applyNumberFormat="0" applyBorder="0" applyAlignment="0" applyProtection="0"/>
    <xf numFmtId="188" fontId="59" fillId="67" borderId="0" applyNumberFormat="0" applyBorder="0" applyAlignment="0" applyProtection="0"/>
    <xf numFmtId="0" fontId="59" fillId="67" borderId="0" applyNumberFormat="0" applyBorder="0" applyAlignment="0" applyProtection="0"/>
    <xf numFmtId="0" fontId="59" fillId="67" borderId="0" applyNumberFormat="0" applyBorder="0" applyAlignment="0" applyProtection="0"/>
    <xf numFmtId="0" fontId="59" fillId="67" borderId="0" applyNumberFormat="0" applyBorder="0" applyAlignment="0" applyProtection="0"/>
    <xf numFmtId="0" fontId="59" fillId="67" borderId="0" applyNumberFormat="0" applyBorder="0" applyAlignment="0" applyProtection="0"/>
    <xf numFmtId="0" fontId="59" fillId="67" borderId="0" applyNumberFormat="0" applyBorder="0" applyAlignment="0" applyProtection="0"/>
    <xf numFmtId="0" fontId="59" fillId="67" borderId="0" applyNumberFormat="0" applyBorder="0" applyAlignment="0" applyProtection="0"/>
    <xf numFmtId="0" fontId="59" fillId="67" borderId="0" applyNumberFormat="0" applyBorder="0" applyAlignment="0" applyProtection="0"/>
    <xf numFmtId="0" fontId="59" fillId="67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59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188" fontId="1" fillId="67" borderId="0" applyNumberFormat="0" applyBorder="0" applyAlignment="0" applyProtection="0"/>
    <xf numFmtId="188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2" fillId="0" borderId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51" borderId="0" applyNumberFormat="0" applyBorder="0" applyAlignment="0" applyProtection="0"/>
    <xf numFmtId="0" fontId="59" fillId="67" borderId="0" applyNumberFormat="0" applyBorder="0" applyAlignment="0" applyProtection="0"/>
    <xf numFmtId="0" fontId="2" fillId="0" borderId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2" fillId="0" borderId="0"/>
    <xf numFmtId="0" fontId="2" fillId="0" borderId="0"/>
    <xf numFmtId="0" fontId="59" fillId="59" borderId="0" applyNumberFormat="0" applyBorder="0" applyAlignment="0" applyProtection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2" fillId="0" borderId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59" fillId="6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59" fillId="67" borderId="0" applyNumberFormat="0" applyBorder="0" applyAlignment="0" applyProtection="0"/>
    <xf numFmtId="0" fontId="2" fillId="0" borderId="0"/>
    <xf numFmtId="188" fontId="59" fillId="59" borderId="0" applyNumberFormat="0" applyBorder="0" applyAlignment="0" applyProtection="0"/>
    <xf numFmtId="0" fontId="2" fillId="0" borderId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59" fillId="59" borderId="0" applyNumberFormat="0" applyBorder="0" applyAlignment="0" applyProtection="0"/>
    <xf numFmtId="0" fontId="2" fillId="0" borderId="0"/>
    <xf numFmtId="0" fontId="2" fillId="0" borderId="0"/>
    <xf numFmtId="0" fontId="59" fillId="67" borderId="0" applyNumberFormat="0" applyBorder="0" applyAlignment="0" applyProtection="0"/>
    <xf numFmtId="0" fontId="2" fillId="0" borderId="0"/>
    <xf numFmtId="188" fontId="59" fillId="67" borderId="0" applyNumberFormat="0" applyBorder="0" applyAlignment="0" applyProtection="0"/>
    <xf numFmtId="0" fontId="2" fillId="0" borderId="0"/>
    <xf numFmtId="0" fontId="2" fillId="0" borderId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59" fillId="5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59" fillId="5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59" fillId="5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59" fillId="67" borderId="0" applyNumberFormat="0" applyBorder="0" applyAlignment="0" applyProtection="0"/>
    <xf numFmtId="0" fontId="2" fillId="0" borderId="0"/>
    <xf numFmtId="0" fontId="59" fillId="59" borderId="0" applyNumberFormat="0" applyBorder="0" applyAlignment="0" applyProtection="0"/>
    <xf numFmtId="0" fontId="2" fillId="0" borderId="0"/>
    <xf numFmtId="171" fontId="62" fillId="0" borderId="45" applyNumberFormat="0" applyFill="0" applyBorder="0" applyAlignment="0" applyProtection="0">
      <alignment horizontal="right"/>
    </xf>
    <xf numFmtId="0" fontId="2" fillId="0" borderId="0"/>
    <xf numFmtId="171" fontId="62" fillId="0" borderId="45" applyNumberFormat="0" applyFill="0" applyBorder="0" applyAlignment="0" applyProtection="0">
      <alignment horizontal="right"/>
    </xf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3" fillId="32" borderId="0" applyNumberFormat="0" applyBorder="0" applyAlignment="0" applyProtection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3" fillId="68" borderId="0" applyNumberFormat="0" applyBorder="0" applyAlignment="0" applyProtection="0"/>
    <xf numFmtId="0" fontId="63" fillId="68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188" fontId="63" fillId="68" borderId="0" applyNumberFormat="0" applyBorder="0" applyAlignment="0" applyProtection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188" fontId="3" fillId="68" borderId="0" applyNumberFormat="0" applyBorder="0" applyAlignment="0" applyProtection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63" fillId="64" borderId="0" applyNumberFormat="0" applyBorder="0" applyAlignment="0" applyProtection="0"/>
    <xf numFmtId="0" fontId="2" fillId="0" borderId="0"/>
    <xf numFmtId="0" fontId="2" fillId="0" borderId="0"/>
    <xf numFmtId="188" fontId="63" fillId="64" borderId="0" applyNumberFormat="0" applyBorder="0" applyAlignment="0" applyProtection="0"/>
    <xf numFmtId="0" fontId="63" fillId="68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63" fillId="68" borderId="0" applyNumberFormat="0" applyBorder="0" applyAlignment="0" applyProtection="0"/>
    <xf numFmtId="188" fontId="63" fillId="68" borderId="0" applyNumberFormat="0" applyBorder="0" applyAlignment="0" applyProtection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8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3" fillId="36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3" fillId="57" borderId="0" applyNumberFormat="0" applyBorder="0" applyAlignment="0" applyProtection="0"/>
    <xf numFmtId="0" fontId="63" fillId="57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188" fontId="63" fillId="57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188" fontId="3" fillId="57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63" fillId="69" borderId="0" applyNumberFormat="0" applyBorder="0" applyAlignment="0" applyProtection="0"/>
    <xf numFmtId="0" fontId="2" fillId="0" borderId="0"/>
    <xf numFmtId="0" fontId="2" fillId="0" borderId="0"/>
    <xf numFmtId="188" fontId="63" fillId="69" borderId="0" applyNumberFormat="0" applyBorder="0" applyAlignment="0" applyProtection="0"/>
    <xf numFmtId="0" fontId="63" fillId="57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63" fillId="57" borderId="0" applyNumberFormat="0" applyBorder="0" applyAlignment="0" applyProtection="0"/>
    <xf numFmtId="188" fontId="63" fillId="57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3" fillId="40" borderId="0" applyNumberFormat="0" applyBorder="0" applyAlignment="0" applyProtection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3" fillId="66" borderId="0" applyNumberFormat="0" applyBorder="0" applyAlignment="0" applyProtection="0"/>
    <xf numFmtId="0" fontId="63" fillId="6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188" fontId="63" fillId="66" borderId="0" applyNumberFormat="0" applyBorder="0" applyAlignment="0" applyProtection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188" fontId="3" fillId="66" borderId="0" applyNumberFormat="0" applyBorder="0" applyAlignment="0" applyProtection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63" fillId="67" borderId="0" applyNumberFormat="0" applyBorder="0" applyAlignment="0" applyProtection="0"/>
    <xf numFmtId="0" fontId="2" fillId="0" borderId="0"/>
    <xf numFmtId="0" fontId="2" fillId="0" borderId="0"/>
    <xf numFmtId="188" fontId="63" fillId="67" borderId="0" applyNumberFormat="0" applyBorder="0" applyAlignment="0" applyProtection="0"/>
    <xf numFmtId="0" fontId="63" fillId="6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63" fillId="66" borderId="0" applyNumberFormat="0" applyBorder="0" applyAlignment="0" applyProtection="0"/>
    <xf numFmtId="188" fontId="63" fillId="66" borderId="0" applyNumberFormat="0" applyBorder="0" applyAlignment="0" applyProtection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3" fillId="44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3" fillId="70" borderId="0" applyNumberFormat="0" applyBorder="0" applyAlignment="0" applyProtection="0"/>
    <xf numFmtId="0" fontId="63" fillId="70" borderId="0" applyNumberFormat="0" applyBorder="0" applyAlignment="0" applyProtection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58" borderId="0" applyNumberFormat="0" applyBorder="0" applyAlignment="0" applyProtection="0"/>
    <xf numFmtId="0" fontId="2" fillId="0" borderId="0"/>
    <xf numFmtId="188" fontId="6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188" fontId="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63" fillId="58" borderId="0" applyNumberFormat="0" applyBorder="0" applyAlignment="0" applyProtection="0"/>
    <xf numFmtId="0" fontId="2" fillId="0" borderId="0"/>
    <xf numFmtId="0" fontId="2" fillId="0" borderId="0"/>
    <xf numFmtId="188" fontId="63" fillId="58" borderId="0" applyNumberFormat="0" applyBorder="0" applyAlignment="0" applyProtection="0"/>
    <xf numFmtId="0" fontId="63" fillId="70" borderId="0" applyNumberFormat="0" applyBorder="0" applyAlignment="0" applyProtection="0"/>
    <xf numFmtId="0" fontId="2" fillId="0" borderId="0"/>
    <xf numFmtId="0" fontId="63" fillId="58" borderId="0" applyNumberFormat="0" applyBorder="0" applyAlignment="0" applyProtection="0"/>
    <xf numFmtId="0" fontId="63" fillId="70" borderId="0" applyNumberFormat="0" applyBorder="0" applyAlignment="0" applyProtection="0"/>
    <xf numFmtId="188" fontId="6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5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3" fillId="48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3" fillId="71" borderId="0" applyNumberFormat="0" applyBorder="0" applyAlignment="0" applyProtection="0"/>
    <xf numFmtId="0" fontId="63" fillId="71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188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188" fontId="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63" fillId="64" borderId="0" applyNumberFormat="0" applyBorder="0" applyAlignment="0" applyProtection="0"/>
    <xf numFmtId="0" fontId="2" fillId="0" borderId="0"/>
    <xf numFmtId="0" fontId="2" fillId="0" borderId="0"/>
    <xf numFmtId="188" fontId="63" fillId="64" borderId="0" applyNumberFormat="0" applyBorder="0" applyAlignment="0" applyProtection="0"/>
    <xf numFmtId="0" fontId="63" fillId="71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63" fillId="71" borderId="0" applyNumberFormat="0" applyBorder="0" applyAlignment="0" applyProtection="0"/>
    <xf numFmtId="188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3" fillId="52" borderId="0" applyNumberFormat="0" applyBorder="0" applyAlignment="0" applyProtection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3" fillId="72" borderId="0" applyNumberFormat="0" applyBorder="0" applyAlignment="0" applyProtection="0"/>
    <xf numFmtId="0" fontId="63" fillId="72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188" fontId="63" fillId="72" borderId="0" applyNumberFormat="0" applyBorder="0" applyAlignment="0" applyProtection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188" fontId="3" fillId="72" borderId="0" applyNumberFormat="0" applyBorder="0" applyAlignment="0" applyProtection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63" fillId="57" borderId="0" applyNumberFormat="0" applyBorder="0" applyAlignment="0" applyProtection="0"/>
    <xf numFmtId="0" fontId="2" fillId="0" borderId="0"/>
    <xf numFmtId="0" fontId="2" fillId="0" borderId="0"/>
    <xf numFmtId="188" fontId="63" fillId="57" borderId="0" applyNumberFormat="0" applyBorder="0" applyAlignment="0" applyProtection="0"/>
    <xf numFmtId="0" fontId="63" fillId="72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63" fillId="72" borderId="0" applyNumberFormat="0" applyBorder="0" applyAlignment="0" applyProtection="0"/>
    <xf numFmtId="188" fontId="63" fillId="72" borderId="0" applyNumberFormat="0" applyBorder="0" applyAlignment="0" applyProtection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2" borderId="0" applyNumberFormat="0" applyBorder="0" applyAlignment="0" applyProtection="0"/>
    <xf numFmtId="0" fontId="2" fillId="0" borderId="0"/>
    <xf numFmtId="0" fontId="63" fillId="5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3" fillId="2" borderId="0" applyNumberFormat="0" applyBorder="0" applyAlignment="0" applyProtection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3" fillId="73" borderId="0" applyNumberFormat="0" applyBorder="0" applyAlignment="0" applyProtection="0"/>
    <xf numFmtId="0" fontId="63" fillId="73" borderId="0" applyNumberFormat="0" applyBorder="0" applyAlignment="0" applyProtection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63" fillId="74" borderId="0" applyNumberFormat="0" applyBorder="0" applyAlignment="0" applyProtection="0"/>
    <xf numFmtId="0" fontId="2" fillId="0" borderId="0"/>
    <xf numFmtId="188" fontId="63" fillId="73" borderId="0" applyNumberFormat="0" applyBorder="0" applyAlignment="0" applyProtection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188" fontId="3" fillId="73" borderId="0" applyNumberFormat="0" applyBorder="0" applyAlignment="0" applyProtection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63" fillId="74" borderId="0" applyNumberFormat="0" applyBorder="0" applyAlignment="0" applyProtection="0"/>
    <xf numFmtId="0" fontId="2" fillId="0" borderId="0"/>
    <xf numFmtId="0" fontId="2" fillId="0" borderId="0"/>
    <xf numFmtId="188" fontId="63" fillId="74" borderId="0" applyNumberFormat="0" applyBorder="0" applyAlignment="0" applyProtection="0"/>
    <xf numFmtId="0" fontId="63" fillId="73" borderId="0" applyNumberFormat="0" applyBorder="0" applyAlignment="0" applyProtection="0"/>
    <xf numFmtId="0" fontId="2" fillId="0" borderId="0"/>
    <xf numFmtId="0" fontId="63" fillId="74" borderId="0" applyNumberFormat="0" applyBorder="0" applyAlignment="0" applyProtection="0"/>
    <xf numFmtId="0" fontId="63" fillId="73" borderId="0" applyNumberFormat="0" applyBorder="0" applyAlignment="0" applyProtection="0"/>
    <xf numFmtId="188" fontId="63" fillId="73" borderId="0" applyNumberFormat="0" applyBorder="0" applyAlignment="0" applyProtection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3" borderId="0" applyNumberFormat="0" applyBorder="0" applyAlignment="0" applyProtection="0"/>
    <xf numFmtId="0" fontId="2" fillId="0" borderId="0"/>
    <xf numFmtId="0" fontId="63" fillId="7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3" fillId="33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3" fillId="75" borderId="0" applyNumberFormat="0" applyBorder="0" applyAlignment="0" applyProtection="0"/>
    <xf numFmtId="0" fontId="63" fillId="75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188" fontId="63" fillId="75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188" fontId="3" fillId="75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63" fillId="69" borderId="0" applyNumberFormat="0" applyBorder="0" applyAlignment="0" applyProtection="0"/>
    <xf numFmtId="0" fontId="2" fillId="0" borderId="0"/>
    <xf numFmtId="0" fontId="2" fillId="0" borderId="0"/>
    <xf numFmtId="188" fontId="63" fillId="69" borderId="0" applyNumberFormat="0" applyBorder="0" applyAlignment="0" applyProtection="0"/>
    <xf numFmtId="0" fontId="63" fillId="75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63" fillId="75" borderId="0" applyNumberFormat="0" applyBorder="0" applyAlignment="0" applyProtection="0"/>
    <xf numFmtId="188" fontId="63" fillId="75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3" fillId="37" borderId="0" applyNumberFormat="0" applyBorder="0" applyAlignment="0" applyProtection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3" fillId="76" borderId="0" applyNumberFormat="0" applyBorder="0" applyAlignment="0" applyProtection="0"/>
    <xf numFmtId="0" fontId="63" fillId="7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188" fontId="63" fillId="76" borderId="0" applyNumberFormat="0" applyBorder="0" applyAlignment="0" applyProtection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188" fontId="3" fillId="76" borderId="0" applyNumberFormat="0" applyBorder="0" applyAlignment="0" applyProtection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63" fillId="67" borderId="0" applyNumberFormat="0" applyBorder="0" applyAlignment="0" applyProtection="0"/>
    <xf numFmtId="0" fontId="2" fillId="0" borderId="0"/>
    <xf numFmtId="0" fontId="2" fillId="0" borderId="0"/>
    <xf numFmtId="188" fontId="63" fillId="67" borderId="0" applyNumberFormat="0" applyBorder="0" applyAlignment="0" applyProtection="0"/>
    <xf numFmtId="0" fontId="63" fillId="7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63" fillId="76" borderId="0" applyNumberFormat="0" applyBorder="0" applyAlignment="0" applyProtection="0"/>
    <xf numFmtId="188" fontId="63" fillId="76" borderId="0" applyNumberFormat="0" applyBorder="0" applyAlignment="0" applyProtection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6" borderId="0" applyNumberFormat="0" applyBorder="0" applyAlignment="0" applyProtection="0"/>
    <xf numFmtId="0" fontId="2" fillId="0" borderId="0"/>
    <xf numFmtId="0" fontId="63" fillId="6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3" fillId="41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3" fillId="70" borderId="0" applyNumberFormat="0" applyBorder="0" applyAlignment="0" applyProtection="0"/>
    <xf numFmtId="0" fontId="63" fillId="70" borderId="0" applyNumberFormat="0" applyBorder="0" applyAlignment="0" applyProtection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7" borderId="0" applyNumberFormat="0" applyBorder="0" applyAlignment="0" applyProtection="0"/>
    <xf numFmtId="0" fontId="2" fillId="0" borderId="0"/>
    <xf numFmtId="188" fontId="6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188" fontId="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63" fillId="77" borderId="0" applyNumberFormat="0" applyBorder="0" applyAlignment="0" applyProtection="0"/>
    <xf numFmtId="0" fontId="2" fillId="0" borderId="0"/>
    <xf numFmtId="0" fontId="2" fillId="0" borderId="0"/>
    <xf numFmtId="188" fontId="63" fillId="77" borderId="0" applyNumberFormat="0" applyBorder="0" applyAlignment="0" applyProtection="0"/>
    <xf numFmtId="0" fontId="63" fillId="70" borderId="0" applyNumberFormat="0" applyBorder="0" applyAlignment="0" applyProtection="0"/>
    <xf numFmtId="0" fontId="2" fillId="0" borderId="0"/>
    <xf numFmtId="0" fontId="63" fillId="77" borderId="0" applyNumberFormat="0" applyBorder="0" applyAlignment="0" applyProtection="0"/>
    <xf numFmtId="0" fontId="63" fillId="70" borderId="0" applyNumberFormat="0" applyBorder="0" applyAlignment="0" applyProtection="0"/>
    <xf numFmtId="188" fontId="6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0" borderId="0" applyNumberFormat="0" applyBorder="0" applyAlignment="0" applyProtection="0"/>
    <xf numFmtId="0" fontId="2" fillId="0" borderId="0"/>
    <xf numFmtId="0" fontId="63" fillId="77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3" fillId="45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188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188" fontId="3" fillId="45" borderId="0" applyNumberFormat="0" applyBorder="0" applyAlignment="0" applyProtection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63" fillId="7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3" fillId="49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3" fillId="69" borderId="0" applyNumberFormat="0" applyBorder="0" applyAlignment="0" applyProtection="0"/>
    <xf numFmtId="0" fontId="63" fillId="69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188" fontId="63" fillId="69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188" fontId="3" fillId="69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63" fillId="75" borderId="0" applyNumberFormat="0" applyBorder="0" applyAlignment="0" applyProtection="0"/>
    <xf numFmtId="0" fontId="2" fillId="0" borderId="0"/>
    <xf numFmtId="0" fontId="2" fillId="0" borderId="0"/>
    <xf numFmtId="188" fontId="63" fillId="75" borderId="0" applyNumberFormat="0" applyBorder="0" applyAlignment="0" applyProtection="0"/>
    <xf numFmtId="0" fontId="63" fillId="69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63" fillId="69" borderId="0" applyNumberFormat="0" applyBorder="0" applyAlignment="0" applyProtection="0"/>
    <xf numFmtId="188" fontId="63" fillId="69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3" fillId="69" borderId="0" applyNumberFormat="0" applyBorder="0" applyAlignment="0" applyProtection="0"/>
    <xf numFmtId="0" fontId="2" fillId="0" borderId="0"/>
    <xf numFmtId="0" fontId="63" fillId="75" borderId="0" applyNumberFormat="0" applyBorder="0" applyAlignment="0" applyProtection="0"/>
    <xf numFmtId="0" fontId="2" fillId="0" borderId="0"/>
    <xf numFmtId="0" fontId="2" fillId="0" borderId="0"/>
    <xf numFmtId="38" fontId="64" fillId="0" borderId="0" applyBorder="0" applyAlignment="0"/>
    <xf numFmtId="0" fontId="2" fillId="0" borderId="0"/>
    <xf numFmtId="0" fontId="42" fillId="78" borderId="0" applyNumberFormat="0" applyBorder="0" applyAlignment="0" applyProtection="0"/>
    <xf numFmtId="0" fontId="50" fillId="0" borderId="0">
      <alignment horizontal="center" wrapText="1"/>
      <protection locked="0"/>
    </xf>
    <xf numFmtId="0" fontId="65" fillId="0" borderId="0" applyNumberFormat="0" applyProtection="0"/>
    <xf numFmtId="0" fontId="2" fillId="79" borderId="45"/>
    <xf numFmtId="0" fontId="2" fillId="80" borderId="45"/>
    <xf numFmtId="0" fontId="2" fillId="81" borderId="45"/>
    <xf numFmtId="0" fontId="2" fillId="82" borderId="45"/>
    <xf numFmtId="0" fontId="2" fillId="83" borderId="45"/>
    <xf numFmtId="195" fontId="41" fillId="0" borderId="0" applyFont="0" applyFill="0" applyBorder="0" applyAlignment="0" applyProtection="0"/>
    <xf numFmtId="195" fontId="41" fillId="0" borderId="0" applyFont="0" applyFill="0" applyBorder="0" applyAlignment="0" applyProtection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84" borderId="57" applyBorder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34" fillId="24" borderId="0" applyNumberFormat="0" applyBorder="0" applyAlignment="0" applyProtection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34" fillId="58" borderId="0" applyNumberFormat="0" applyBorder="0" applyAlignment="0" applyProtection="0"/>
    <xf numFmtId="0" fontId="66" fillId="58" borderId="0" applyNumberFormat="0" applyBorder="0" applyAlignment="0" applyProtection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66" fillId="62" borderId="0" applyNumberFormat="0" applyBorder="0" applyAlignment="0" applyProtection="0"/>
    <xf numFmtId="0" fontId="2" fillId="0" borderId="0"/>
    <xf numFmtId="188" fontId="66" fillId="58" borderId="0" applyNumberFormat="0" applyBorder="0" applyAlignment="0" applyProtection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188" fontId="34" fillId="58" borderId="0" applyNumberFormat="0" applyBorder="0" applyAlignment="0" applyProtection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66" fillId="62" borderId="0" applyNumberFormat="0" applyBorder="0" applyAlignment="0" applyProtection="0"/>
    <xf numFmtId="0" fontId="2" fillId="0" borderId="0"/>
    <xf numFmtId="0" fontId="2" fillId="0" borderId="0"/>
    <xf numFmtId="188" fontId="66" fillId="62" borderId="0" applyNumberFormat="0" applyBorder="0" applyAlignment="0" applyProtection="0"/>
    <xf numFmtId="0" fontId="66" fillId="58" borderId="0" applyNumberFormat="0" applyBorder="0" applyAlignment="0" applyProtection="0"/>
    <xf numFmtId="0" fontId="2" fillId="0" borderId="0"/>
    <xf numFmtId="0" fontId="66" fillId="62" borderId="0" applyNumberFormat="0" applyBorder="0" applyAlignment="0" applyProtection="0"/>
    <xf numFmtId="0" fontId="66" fillId="58" borderId="0" applyNumberFormat="0" applyBorder="0" applyAlignment="0" applyProtection="0"/>
    <xf numFmtId="188" fontId="66" fillId="58" borderId="0" applyNumberFormat="0" applyBorder="0" applyAlignment="0" applyProtection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66" fillId="6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66" fillId="58" borderId="0" applyNumberFormat="0" applyBorder="0" applyAlignment="0" applyProtection="0"/>
    <xf numFmtId="0" fontId="2" fillId="0" borderId="0"/>
    <xf numFmtId="0" fontId="66" fillId="62" borderId="0" applyNumberFormat="0" applyBorder="0" applyAlignment="0" applyProtection="0"/>
    <xf numFmtId="0" fontId="2" fillId="0" borderId="0"/>
    <xf numFmtId="2" fontId="67" fillId="78" borderId="0" applyAlignment="0">
      <alignment horizontal="right"/>
    </xf>
    <xf numFmtId="0" fontId="2" fillId="0" borderId="0"/>
    <xf numFmtId="0" fontId="68" fillId="0" borderId="0" applyNumberFormat="0" applyFill="0" applyBorder="0" applyAlignment="0" applyProtection="0"/>
    <xf numFmtId="0" fontId="2" fillId="0" borderId="0"/>
    <xf numFmtId="3" fontId="42" fillId="85" borderId="0" applyNumberFormat="0" applyBorder="0" applyAlignment="0" applyProtection="0"/>
    <xf numFmtId="0" fontId="2" fillId="0" borderId="0"/>
    <xf numFmtId="0" fontId="2" fillId="0" borderId="0"/>
    <xf numFmtId="38" fontId="2" fillId="0" borderId="0">
      <alignment horizontal="right"/>
    </xf>
    <xf numFmtId="0" fontId="2" fillId="0" borderId="0"/>
    <xf numFmtId="0" fontId="2" fillId="0" borderId="0"/>
    <xf numFmtId="38" fontId="2" fillId="0" borderId="0">
      <alignment horizontal="right"/>
    </xf>
    <xf numFmtId="0" fontId="2" fillId="0" borderId="0"/>
    <xf numFmtId="38" fontId="2" fillId="0" borderId="0">
      <alignment horizontal="right"/>
    </xf>
    <xf numFmtId="0" fontId="2" fillId="0" borderId="0"/>
    <xf numFmtId="191" fontId="2" fillId="0" borderId="0" applyFill="0" applyBorder="0" applyAlignment="0"/>
    <xf numFmtId="179" fontId="2" fillId="0" borderId="0" applyFill="0" applyBorder="0" applyAlignment="0"/>
    <xf numFmtId="196" fontId="2" fillId="0" borderId="0" applyFill="0" applyBorder="0" applyAlignment="0"/>
    <xf numFmtId="197" fontId="2" fillId="0" borderId="0" applyFill="0" applyBorder="0" applyAlignment="0"/>
    <xf numFmtId="182" fontId="2" fillId="0" borderId="0" applyFill="0" applyBorder="0" applyAlignment="0"/>
    <xf numFmtId="198" fontId="2" fillId="0" borderId="0" applyFill="0" applyBorder="0" applyAlignment="0"/>
    <xf numFmtId="181" fontId="2" fillId="0" borderId="0" applyFill="0" applyBorder="0" applyAlignment="0"/>
    <xf numFmtId="179" fontId="2" fillId="0" borderId="0" applyFill="0" applyBorder="0" applyAlignment="0"/>
    <xf numFmtId="3" fontId="41" fillId="0" borderId="0" applyNumberFormat="0" applyFill="0" applyBorder="0"/>
    <xf numFmtId="3" fontId="41" fillId="0" borderId="0" applyNumberFormat="0" applyFill="0" applyBorder="0"/>
    <xf numFmtId="0" fontId="2" fillId="0" borderId="0"/>
    <xf numFmtId="0" fontId="2" fillId="0" borderId="0"/>
    <xf numFmtId="0" fontId="69" fillId="63" borderId="59" applyNumberFormat="0" applyAlignment="0" applyProtection="0"/>
    <xf numFmtId="0" fontId="2" fillId="0" borderId="0"/>
    <xf numFmtId="0" fontId="70" fillId="86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69" fillId="63" borderId="59" applyNumberFormat="0" applyAlignment="0" applyProtection="0"/>
    <xf numFmtId="0" fontId="2" fillId="0" borderId="0"/>
    <xf numFmtId="0" fontId="70" fillId="86" borderId="59" applyNumberFormat="0" applyAlignment="0" applyProtection="0"/>
    <xf numFmtId="0" fontId="2" fillId="0" borderId="0"/>
    <xf numFmtId="0" fontId="2" fillId="0" borderId="0"/>
    <xf numFmtId="0" fontId="70" fillId="86" borderId="59" applyNumberFormat="0" applyAlignment="0" applyProtection="0"/>
    <xf numFmtId="0" fontId="2" fillId="0" borderId="0"/>
    <xf numFmtId="0" fontId="2" fillId="0" borderId="0"/>
    <xf numFmtId="0" fontId="70" fillId="86" borderId="59" applyNumberFormat="0" applyAlignment="0" applyProtection="0"/>
    <xf numFmtId="0" fontId="2" fillId="0" borderId="0"/>
    <xf numFmtId="0" fontId="2" fillId="0" borderId="0"/>
    <xf numFmtId="0" fontId="70" fillId="86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69" fillId="63" borderId="59" applyNumberFormat="0" applyAlignment="0" applyProtection="0"/>
    <xf numFmtId="0" fontId="2" fillId="0" borderId="0"/>
    <xf numFmtId="0" fontId="70" fillId="86" borderId="59" applyNumberFormat="0" applyAlignment="0" applyProtection="0"/>
    <xf numFmtId="0" fontId="2" fillId="0" borderId="0"/>
    <xf numFmtId="0" fontId="2" fillId="0" borderId="0"/>
    <xf numFmtId="0" fontId="69" fillId="63" borderId="59" applyNumberFormat="0" applyAlignment="0" applyProtection="0"/>
    <xf numFmtId="0" fontId="2" fillId="0" borderId="0"/>
    <xf numFmtId="0" fontId="38" fillId="27" borderId="48" applyNumberFormat="0" applyAlignment="0" applyProtection="0"/>
    <xf numFmtId="0" fontId="2" fillId="0" borderId="0"/>
    <xf numFmtId="0" fontId="69" fillId="63" borderId="59" applyNumberFormat="0" applyAlignment="0" applyProtection="0"/>
    <xf numFmtId="0" fontId="71" fillId="63" borderId="59" applyNumberFormat="0" applyAlignment="0" applyProtection="0"/>
    <xf numFmtId="0" fontId="69" fillId="63" borderId="59" applyNumberFormat="0" applyAlignment="0" applyProtection="0"/>
    <xf numFmtId="0" fontId="2" fillId="0" borderId="0"/>
    <xf numFmtId="0" fontId="2" fillId="0" borderId="0"/>
    <xf numFmtId="0" fontId="69" fillId="63" borderId="59" applyNumberFormat="0" applyAlignment="0" applyProtection="0"/>
    <xf numFmtId="0" fontId="2" fillId="0" borderId="0"/>
    <xf numFmtId="0" fontId="2" fillId="0" borderId="0"/>
    <xf numFmtId="0" fontId="69" fillId="63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70" fillId="86" borderId="59" applyNumberFormat="0" applyAlignment="0" applyProtection="0"/>
    <xf numFmtId="0" fontId="2" fillId="0" borderId="0"/>
    <xf numFmtId="0" fontId="72" fillId="63" borderId="48" applyNumberFormat="0" applyAlignment="0" applyProtection="0"/>
    <xf numFmtId="0" fontId="69" fillId="63" borderId="59" applyNumberFormat="0" applyAlignment="0" applyProtection="0"/>
    <xf numFmtId="0" fontId="2" fillId="0" borderId="0"/>
    <xf numFmtId="0" fontId="70" fillId="86" borderId="59" applyNumberFormat="0" applyAlignment="0" applyProtection="0"/>
    <xf numFmtId="0" fontId="2" fillId="0" borderId="0"/>
    <xf numFmtId="0" fontId="69" fillId="63" borderId="59" applyNumberFormat="0" applyAlignment="0" applyProtection="0"/>
    <xf numFmtId="0" fontId="2" fillId="0" borderId="0"/>
    <xf numFmtId="0" fontId="69" fillId="63" borderId="59" applyNumberFormat="0" applyAlignment="0" applyProtection="0"/>
    <xf numFmtId="0" fontId="2" fillId="0" borderId="0"/>
    <xf numFmtId="0" fontId="69" fillId="63" borderId="59" applyNumberFormat="0" applyAlignment="0" applyProtection="0"/>
    <xf numFmtId="0" fontId="2" fillId="0" borderId="0"/>
    <xf numFmtId="0" fontId="70" fillId="86" borderId="59" applyNumberFormat="0" applyAlignment="0" applyProtection="0"/>
    <xf numFmtId="0" fontId="2" fillId="0" borderId="0"/>
    <xf numFmtId="188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2" fillId="0" borderId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2" fillId="0" borderId="0"/>
    <xf numFmtId="0" fontId="2" fillId="0" borderId="0"/>
    <xf numFmtId="0" fontId="69" fillId="63" borderId="59" applyNumberFormat="0" applyAlignment="0" applyProtection="0"/>
    <xf numFmtId="0" fontId="2" fillId="0" borderId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70" fillId="86" borderId="59" applyNumberFormat="0" applyAlignment="0" applyProtection="0"/>
    <xf numFmtId="0" fontId="2" fillId="0" borderId="0"/>
    <xf numFmtId="0" fontId="69" fillId="63" borderId="59" applyNumberFormat="0" applyAlignment="0" applyProtection="0"/>
    <xf numFmtId="0" fontId="70" fillId="86" borderId="59" applyNumberFormat="0" applyAlignment="0" applyProtection="0"/>
    <xf numFmtId="0" fontId="2" fillId="0" borderId="0"/>
    <xf numFmtId="0" fontId="69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0" fillId="86" borderId="59" applyNumberFormat="0" applyAlignment="0" applyProtection="0"/>
    <xf numFmtId="0" fontId="2" fillId="0" borderId="0"/>
    <xf numFmtId="0" fontId="71" fillId="63" borderId="59" applyNumberFormat="0" applyAlignment="0" applyProtection="0"/>
    <xf numFmtId="0" fontId="2" fillId="0" borderId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71" fillId="63" borderId="59" applyNumberFormat="0" applyAlignment="0" applyProtection="0"/>
    <xf numFmtId="0" fontId="69" fillId="63" borderId="59" applyNumberFormat="0" applyAlignment="0" applyProtection="0"/>
    <xf numFmtId="0" fontId="2" fillId="0" borderId="0"/>
    <xf numFmtId="0" fontId="2" fillId="0" borderId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2" fillId="0" borderId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69" fillId="63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69" fillId="63" borderId="59" applyNumberFormat="0" applyAlignment="0" applyProtection="0"/>
    <xf numFmtId="0" fontId="2" fillId="0" borderId="0"/>
    <xf numFmtId="0" fontId="69" fillId="63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69" fillId="63" borderId="59" applyNumberFormat="0" applyAlignment="0" applyProtection="0"/>
    <xf numFmtId="0" fontId="2" fillId="0" borderId="0"/>
    <xf numFmtId="0" fontId="70" fillId="86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69" fillId="63" borderId="59" applyNumberFormat="0" applyAlignment="0" applyProtection="0"/>
    <xf numFmtId="0" fontId="2" fillId="0" borderId="0"/>
    <xf numFmtId="0" fontId="70" fillId="86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69" fillId="63" borderId="59" applyNumberFormat="0" applyAlignment="0" applyProtection="0"/>
    <xf numFmtId="0" fontId="2" fillId="0" borderId="0"/>
    <xf numFmtId="0" fontId="70" fillId="86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69" fillId="63" borderId="59" applyNumberFormat="0" applyAlignment="0" applyProtection="0"/>
    <xf numFmtId="0" fontId="2" fillId="0" borderId="0"/>
    <xf numFmtId="0" fontId="70" fillId="86" borderId="59" applyNumberFormat="0" applyAlignment="0" applyProtection="0"/>
    <xf numFmtId="0" fontId="2" fillId="0" borderId="0"/>
    <xf numFmtId="0" fontId="57" fillId="0" borderId="0"/>
    <xf numFmtId="0" fontId="73" fillId="87" borderId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3" fontId="74" fillId="88" borderId="60">
      <alignment horizontal="right"/>
    </xf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5" fillId="28" borderId="5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188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188" fontId="5" fillId="28" borderId="5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2" fillId="0" borderId="0"/>
    <xf numFmtId="0" fontId="75" fillId="89" borderId="61" applyNumberFormat="0" applyAlignment="0" applyProtection="0"/>
    <xf numFmtId="0" fontId="2" fillId="0" borderId="0"/>
    <xf numFmtId="0" fontId="41" fillId="0" borderId="0" applyNumberFormat="0" applyFill="0" applyBorder="0" applyProtection="0">
      <alignment horizontal="center" wrapText="1"/>
    </xf>
    <xf numFmtId="0" fontId="41" fillId="0" borderId="0" applyNumberFormat="0" applyFill="0" applyBorder="0" applyProtection="0">
      <alignment horizontal="center" wrapText="1"/>
    </xf>
    <xf numFmtId="4" fontId="42" fillId="90" borderId="62" applyNumberFormat="0" applyProtection="0">
      <alignment horizontal="right" wrapText="1"/>
    </xf>
    <xf numFmtId="38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2" fillId="0" borderId="0"/>
    <xf numFmtId="38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2" fillId="0" borderId="0"/>
    <xf numFmtId="38" fontId="5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49" fillId="0" borderId="0" applyFont="0" applyFill="0" applyBorder="0" applyAlignment="0" applyProtection="0"/>
    <xf numFmtId="0" fontId="2" fillId="0" borderId="0"/>
    <xf numFmtId="41" fontId="49" fillId="0" borderId="0" applyFont="0" applyFill="0" applyBorder="0" applyAlignment="0" applyProtection="0"/>
    <xf numFmtId="0" fontId="2" fillId="0" borderId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0" fontId="2" fillId="0" borderId="0"/>
    <xf numFmtId="41" fontId="49" fillId="0" borderId="0" applyFont="0" applyFill="0" applyBorder="0" applyAlignment="0" applyProtection="0"/>
    <xf numFmtId="0" fontId="2" fillId="0" borderId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0" fontId="2" fillId="0" borderId="0"/>
    <xf numFmtId="41" fontId="49" fillId="0" borderId="0" applyFont="0" applyFill="0" applyBorder="0" applyAlignment="0" applyProtection="0"/>
    <xf numFmtId="0" fontId="2" fillId="0" borderId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0" fontId="2" fillId="0" borderId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98" fontId="2" fillId="0" borderId="0" applyFont="0" applyFill="0" applyBorder="0" applyAlignment="0" applyProtection="0"/>
    <xf numFmtId="40" fontId="53" fillId="0" borderId="0" applyFont="0" applyFill="0" applyBorder="0" applyAlignment="0" applyProtection="0"/>
    <xf numFmtId="40" fontId="53" fillId="0" borderId="0" applyFont="0" applyFill="0" applyBorder="0" applyAlignment="0" applyProtection="0"/>
    <xf numFmtId="0" fontId="2" fillId="0" borderId="0"/>
    <xf numFmtId="40" fontId="53" fillId="0" borderId="0" applyFont="0" applyFill="0" applyBorder="0" applyAlignment="0" applyProtection="0"/>
    <xf numFmtId="40" fontId="53" fillId="0" borderId="0" applyFont="0" applyFill="0" applyBorder="0" applyAlignment="0" applyProtection="0"/>
    <xf numFmtId="0" fontId="2" fillId="0" borderId="0"/>
    <xf numFmtId="40" fontId="53" fillId="0" borderId="0" applyFont="0" applyFill="0" applyBorder="0" applyAlignment="0" applyProtection="0"/>
    <xf numFmtId="199" fontId="53" fillId="0" borderId="0" applyFont="0" applyFill="0" applyBorder="0" applyAlignment="0" applyProtection="0"/>
    <xf numFmtId="199" fontId="53" fillId="0" borderId="0" applyFont="0" applyFill="0" applyBorder="0" applyAlignment="0" applyProtection="0"/>
    <xf numFmtId="0" fontId="2" fillId="0" borderId="0"/>
    <xf numFmtId="199" fontId="53" fillId="0" borderId="0" applyFont="0" applyFill="0" applyBorder="0" applyAlignment="0" applyProtection="0"/>
    <xf numFmtId="199" fontId="53" fillId="0" borderId="0" applyFont="0" applyFill="0" applyBorder="0" applyAlignment="0" applyProtection="0"/>
    <xf numFmtId="0" fontId="2" fillId="0" borderId="0"/>
    <xf numFmtId="199" fontId="5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0" fontId="2" fillId="0" borderId="0"/>
    <xf numFmtId="43" fontId="7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0" fontId="2" fillId="0" borderId="0"/>
    <xf numFmtId="43" fontId="76" fillId="0" borderId="0" applyFont="0" applyFill="0" applyBorder="0" applyAlignment="0" applyProtection="0"/>
    <xf numFmtId="0" fontId="2" fillId="0" borderId="0"/>
    <xf numFmtId="42" fontId="55" fillId="0" borderId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5" fillId="0" borderId="0" applyFont="0" applyFill="0" applyBorder="0" applyAlignment="0" applyProtection="0">
      <alignment vertical="top"/>
    </xf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55" fillId="0" borderId="0" applyFont="0" applyFill="0" applyBorder="0" applyAlignment="0" applyProtection="0">
      <alignment vertical="top"/>
    </xf>
    <xf numFmtId="43" fontId="55" fillId="0" borderId="0" applyFont="0" applyFill="0" applyBorder="0" applyAlignment="0" applyProtection="0">
      <alignment vertical="top"/>
    </xf>
    <xf numFmtId="43" fontId="55" fillId="0" borderId="0" applyFont="0" applyFill="0" applyBorder="0" applyAlignment="0" applyProtection="0">
      <alignment vertical="top"/>
    </xf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76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0" fontId="2" fillId="0" borderId="0"/>
    <xf numFmtId="43" fontId="78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7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7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80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8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5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5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55" fillId="0" borderId="0" applyFont="0" applyFill="0" applyBorder="0" applyAlignment="0" applyProtection="0">
      <alignment vertical="top"/>
    </xf>
    <xf numFmtId="43" fontId="55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55" fillId="0" borderId="0" applyFont="0" applyFill="0" applyBorder="0" applyAlignment="0" applyProtection="0">
      <alignment vertical="top"/>
    </xf>
    <xf numFmtId="43" fontId="55" fillId="0" borderId="0" applyFont="0" applyFill="0" applyBorder="0" applyAlignment="0" applyProtection="0">
      <alignment vertical="top"/>
    </xf>
    <xf numFmtId="0" fontId="2" fillId="0" borderId="0"/>
    <xf numFmtId="43" fontId="55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5" fillId="0" borderId="0" applyFont="0" applyFill="0" applyBorder="0" applyAlignment="0" applyProtection="0">
      <alignment vertical="top"/>
    </xf>
    <xf numFmtId="43" fontId="55" fillId="0" borderId="0" applyFont="0" applyFill="0" applyBorder="0" applyAlignment="0" applyProtection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5" fillId="0" borderId="0" applyFont="0" applyFill="0" applyBorder="0" applyAlignment="0" applyProtection="0">
      <alignment vertical="top"/>
    </xf>
    <xf numFmtId="43" fontId="55" fillId="0" borderId="0" applyFont="0" applyFill="0" applyBorder="0" applyAlignment="0" applyProtection="0">
      <alignment vertical="top"/>
    </xf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5" fillId="0" borderId="0" applyFont="0" applyFill="0" applyBorder="0" applyAlignment="0" applyProtection="0">
      <alignment vertical="top"/>
    </xf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5" fillId="0" borderId="0" applyFont="0" applyFill="0" applyBorder="0" applyAlignment="0" applyProtection="0">
      <alignment vertical="top"/>
    </xf>
    <xf numFmtId="43" fontId="55" fillId="0" borderId="0" applyFont="0" applyFill="0" applyBorder="0" applyAlignment="0" applyProtection="0">
      <alignment vertical="top"/>
    </xf>
    <xf numFmtId="0" fontId="2" fillId="0" borderId="0"/>
    <xf numFmtId="43" fontId="55" fillId="0" borderId="0" applyFont="0" applyFill="0" applyBorder="0" applyAlignment="0" applyProtection="0">
      <alignment vertical="top"/>
    </xf>
    <xf numFmtId="43" fontId="55" fillId="0" borderId="0" applyFont="0" applyFill="0" applyBorder="0" applyAlignment="0" applyProtection="0">
      <alignment vertical="top"/>
    </xf>
    <xf numFmtId="0" fontId="2" fillId="0" borderId="0"/>
    <xf numFmtId="43" fontId="55" fillId="0" borderId="0" applyFont="0" applyFill="0" applyBorder="0" applyAlignment="0" applyProtection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55" fillId="0" borderId="0" applyFont="0" applyFill="0" applyBorder="0" applyAlignment="0" applyProtection="0">
      <alignment vertical="top"/>
    </xf>
    <xf numFmtId="43" fontId="55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8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8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5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55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2" fillId="0" borderId="0"/>
    <xf numFmtId="43" fontId="84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55" fillId="0" borderId="0" applyFont="0" applyFill="0" applyBorder="0" applyAlignment="0" applyProtection="0"/>
    <xf numFmtId="0" fontId="2" fillId="0" borderId="0"/>
    <xf numFmtId="43" fontId="55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55" fillId="0" borderId="0"/>
    <xf numFmtId="0" fontId="2" fillId="0" borderId="0"/>
    <xf numFmtId="42" fontId="55" fillId="0" borderId="0"/>
    <xf numFmtId="42" fontId="55" fillId="0" borderId="0"/>
    <xf numFmtId="0" fontId="2" fillId="0" borderId="0"/>
    <xf numFmtId="42" fontId="55" fillId="0" borderId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5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5" fillId="0" borderId="0" applyFont="0" applyFill="0" applyBorder="0" applyAlignment="0" applyProtection="0">
      <alignment vertical="top"/>
    </xf>
    <xf numFmtId="43" fontId="55" fillId="0" borderId="0" applyFont="0" applyFill="0" applyBorder="0" applyAlignment="0" applyProtection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  <xf numFmtId="43" fontId="55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" fontId="2" fillId="0" borderId="0" applyFill="0" applyBorder="0" applyAlignment="0" applyProtection="0"/>
    <xf numFmtId="0" fontId="85" fillId="0" borderId="0"/>
    <xf numFmtId="0" fontId="18" fillId="0" borderId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ill="0" applyBorder="0" applyAlignment="0" applyProtection="0"/>
    <xf numFmtId="0" fontId="85" fillId="0" borderId="0"/>
    <xf numFmtId="0" fontId="18" fillId="0" borderId="0"/>
    <xf numFmtId="3" fontId="41" fillId="0" borderId="0" applyFont="0" applyFill="0" applyBorder="0" applyAlignment="0" applyProtection="0">
      <alignment horizontal="right"/>
    </xf>
    <xf numFmtId="0" fontId="86" fillId="0" borderId="56" applyBorder="0" applyProtection="0"/>
    <xf numFmtId="0" fontId="87" fillId="0" borderId="0" applyNumberFormat="0" applyAlignment="0">
      <alignment horizontal="left"/>
    </xf>
    <xf numFmtId="200" fontId="53" fillId="0" borderId="0" applyFont="0" applyFill="0" applyBorder="0" applyAlignment="0" applyProtection="0"/>
    <xf numFmtId="200" fontId="53" fillId="0" borderId="0" applyFont="0" applyFill="0" applyBorder="0" applyAlignment="0" applyProtection="0"/>
    <xf numFmtId="0" fontId="2" fillId="0" borderId="0"/>
    <xf numFmtId="200" fontId="53" fillId="0" borderId="0" applyFont="0" applyFill="0" applyBorder="0" applyAlignment="0" applyProtection="0"/>
    <xf numFmtId="200" fontId="53" fillId="0" borderId="0" applyFont="0" applyFill="0" applyBorder="0" applyAlignment="0" applyProtection="0"/>
    <xf numFmtId="0" fontId="2" fillId="0" borderId="0"/>
    <xf numFmtId="200" fontId="53" fillId="0" borderId="0" applyFont="0" applyFill="0" applyBorder="0" applyAlignment="0" applyProtection="0"/>
    <xf numFmtId="42" fontId="49" fillId="0" borderId="0" applyFont="0" applyFill="0" applyBorder="0" applyAlignment="0" applyProtection="0"/>
    <xf numFmtId="42" fontId="49" fillId="0" borderId="0" applyFont="0" applyFill="0" applyBorder="0" applyAlignment="0" applyProtection="0"/>
    <xf numFmtId="0" fontId="2" fillId="0" borderId="0"/>
    <xf numFmtId="42" fontId="49" fillId="0" borderId="0" applyFont="0" applyFill="0" applyBorder="0" applyAlignment="0" applyProtection="0"/>
    <xf numFmtId="0" fontId="2" fillId="0" borderId="0"/>
    <xf numFmtId="42" fontId="49" fillId="0" borderId="0" applyFont="0" applyFill="0" applyBorder="0" applyAlignment="0" applyProtection="0"/>
    <xf numFmtId="42" fontId="49" fillId="0" borderId="0" applyFont="0" applyFill="0" applyBorder="0" applyAlignment="0" applyProtection="0"/>
    <xf numFmtId="42" fontId="49" fillId="0" borderId="0" applyFont="0" applyFill="0" applyBorder="0" applyAlignment="0" applyProtection="0"/>
    <xf numFmtId="0" fontId="2" fillId="0" borderId="0"/>
    <xf numFmtId="42" fontId="49" fillId="0" borderId="0" applyFont="0" applyFill="0" applyBorder="0" applyAlignment="0" applyProtection="0"/>
    <xf numFmtId="0" fontId="2" fillId="0" borderId="0"/>
    <xf numFmtId="42" fontId="49" fillId="0" borderId="0" applyFont="0" applyFill="0" applyBorder="0" applyAlignment="0" applyProtection="0"/>
    <xf numFmtId="42" fontId="49" fillId="0" borderId="0" applyFont="0" applyFill="0" applyBorder="0" applyAlignment="0" applyProtection="0"/>
    <xf numFmtId="42" fontId="49" fillId="0" borderId="0" applyFont="0" applyFill="0" applyBorder="0" applyAlignment="0" applyProtection="0"/>
    <xf numFmtId="0" fontId="2" fillId="0" borderId="0"/>
    <xf numFmtId="42" fontId="49" fillId="0" borderId="0" applyFont="0" applyFill="0" applyBorder="0" applyAlignment="0" applyProtection="0"/>
    <xf numFmtId="0" fontId="2" fillId="0" borderId="0"/>
    <xf numFmtId="42" fontId="49" fillId="0" borderId="0" applyFont="0" applyFill="0" applyBorder="0" applyAlignment="0" applyProtection="0"/>
    <xf numFmtId="42" fontId="49" fillId="0" borderId="0" applyFont="0" applyFill="0" applyBorder="0" applyAlignment="0" applyProtection="0"/>
    <xf numFmtId="0" fontId="2" fillId="0" borderId="0"/>
    <xf numFmtId="42" fontId="49" fillId="0" borderId="0" applyFont="0" applyFill="0" applyBorder="0" applyAlignment="0" applyProtection="0"/>
    <xf numFmtId="42" fontId="49" fillId="0" borderId="0" applyFont="0" applyFill="0" applyBorder="0" applyAlignment="0" applyProtection="0"/>
    <xf numFmtId="179" fontId="2" fillId="0" borderId="0" applyFont="0" applyFill="0" applyBorder="0" applyAlignment="0" applyProtection="0"/>
    <xf numFmtId="201" fontId="53" fillId="0" borderId="0" applyFont="0" applyFill="0" applyBorder="0" applyAlignment="0" applyProtection="0"/>
    <xf numFmtId="201" fontId="53" fillId="0" borderId="0" applyFont="0" applyFill="0" applyBorder="0" applyAlignment="0" applyProtection="0"/>
    <xf numFmtId="0" fontId="2" fillId="0" borderId="0"/>
    <xf numFmtId="201" fontId="53" fillId="0" borderId="0" applyFont="0" applyFill="0" applyBorder="0" applyAlignment="0" applyProtection="0"/>
    <xf numFmtId="201" fontId="53" fillId="0" borderId="0" applyFont="0" applyFill="0" applyBorder="0" applyAlignment="0" applyProtection="0"/>
    <xf numFmtId="0" fontId="2" fillId="0" borderId="0"/>
    <xf numFmtId="201" fontId="53" fillId="0" borderId="0" applyFont="0" applyFill="0" applyBorder="0" applyAlignment="0" applyProtection="0"/>
    <xf numFmtId="202" fontId="53" fillId="0" borderId="0" applyFont="0" applyFill="0" applyBorder="0" applyAlignment="0" applyProtection="0"/>
    <xf numFmtId="202" fontId="53" fillId="0" borderId="0" applyFont="0" applyFill="0" applyBorder="0" applyAlignment="0" applyProtection="0"/>
    <xf numFmtId="0" fontId="2" fillId="0" borderId="0"/>
    <xf numFmtId="202" fontId="53" fillId="0" borderId="0" applyFont="0" applyFill="0" applyBorder="0" applyAlignment="0" applyProtection="0"/>
    <xf numFmtId="202" fontId="53" fillId="0" borderId="0" applyFont="0" applyFill="0" applyBorder="0" applyAlignment="0" applyProtection="0"/>
    <xf numFmtId="0" fontId="2" fillId="0" borderId="0"/>
    <xf numFmtId="202" fontId="53" fillId="0" borderId="0" applyFont="0" applyFill="0" applyBorder="0" applyAlignment="0" applyProtection="0"/>
    <xf numFmtId="203" fontId="53" fillId="0" borderId="0" applyFont="0" applyFill="0" applyBorder="0" applyAlignment="0" applyProtection="0"/>
    <xf numFmtId="203" fontId="53" fillId="0" borderId="0" applyFont="0" applyFill="0" applyBorder="0" applyAlignment="0" applyProtection="0"/>
    <xf numFmtId="0" fontId="2" fillId="0" borderId="0"/>
    <xf numFmtId="203" fontId="53" fillId="0" borderId="0" applyFont="0" applyFill="0" applyBorder="0" applyAlignment="0" applyProtection="0"/>
    <xf numFmtId="203" fontId="53" fillId="0" borderId="0" applyFont="0" applyFill="0" applyBorder="0" applyAlignment="0" applyProtection="0"/>
    <xf numFmtId="0" fontId="2" fillId="0" borderId="0"/>
    <xf numFmtId="203" fontId="5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8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8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8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8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8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8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8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7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59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88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44" fontId="8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90" fillId="0" borderId="0" applyFont="0" applyFill="0" applyBorder="0" applyAlignment="0" applyProtection="0"/>
    <xf numFmtId="0" fontId="2" fillId="0" borderId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>
      <alignment vertical="center"/>
    </xf>
    <xf numFmtId="44" fontId="9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78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8" fontId="17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2" fillId="0" borderId="0"/>
    <xf numFmtId="44" fontId="49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7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41" fillId="0" borderId="0"/>
    <xf numFmtId="204" fontId="2" fillId="0" borderId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73" fillId="91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2" fillId="78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1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2" fillId="92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206" fontId="93" fillId="93" borderId="60">
      <alignment horizontal="right"/>
    </xf>
    <xf numFmtId="0" fontId="41" fillId="0" borderId="0" applyNumberFormat="0" applyAlignment="0">
      <alignment horizontal="center"/>
    </xf>
    <xf numFmtId="207" fontId="2" fillId="0" borderId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94" borderId="0" applyFont="0" applyFill="0" applyBorder="0" applyAlignment="0" applyProtection="0"/>
    <xf numFmtId="0" fontId="2" fillId="0" borderId="0" applyFont="0" applyFill="0" applyBorder="0" applyAlignment="0" applyProtection="0"/>
    <xf numFmtId="188" fontId="2" fillId="94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88" fontId="53" fillId="0" borderId="0" applyFont="0" applyFill="0" applyBorder="0" applyAlignment="0" applyProtection="0"/>
    <xf numFmtId="188" fontId="53" fillId="0" borderId="0" applyFont="0" applyFill="0" applyBorder="0" applyAlignment="0" applyProtection="0"/>
    <xf numFmtId="0" fontId="2" fillId="0" borderId="0"/>
    <xf numFmtId="188" fontId="53" fillId="0" borderId="0" applyFont="0" applyFill="0" applyBorder="0" applyAlignment="0" applyProtection="0"/>
    <xf numFmtId="188" fontId="53" fillId="0" borderId="0" applyFont="0" applyFill="0" applyBorder="0" applyAlignment="0" applyProtection="0"/>
    <xf numFmtId="0" fontId="2" fillId="0" borderId="0"/>
    <xf numFmtId="18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14" fontId="55" fillId="0" borderId="0" applyFill="0" applyBorder="0" applyAlignment="0"/>
    <xf numFmtId="0" fontId="47" fillId="78" borderId="0" applyNumberFormat="0" applyBorder="0" applyAlignment="0" applyProtection="0"/>
    <xf numFmtId="0" fontId="94" fillId="0" borderId="0">
      <alignment horizontal="left" vertical="top" wrapText="1"/>
    </xf>
    <xf numFmtId="208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198" fontId="2" fillId="0" borderId="0" applyFill="0" applyBorder="0" applyAlignment="0"/>
    <xf numFmtId="179" fontId="2" fillId="0" borderId="0" applyFill="0" applyBorder="0" applyAlignment="0"/>
    <xf numFmtId="198" fontId="2" fillId="0" borderId="0" applyFill="0" applyBorder="0" applyAlignment="0"/>
    <xf numFmtId="181" fontId="2" fillId="0" borderId="0" applyFill="0" applyBorder="0" applyAlignment="0"/>
    <xf numFmtId="179" fontId="2" fillId="0" borderId="0" applyFill="0" applyBorder="0" applyAlignment="0"/>
    <xf numFmtId="0" fontId="95" fillId="0" borderId="0" applyNumberFormat="0" applyAlignment="0">
      <alignment horizontal="left"/>
    </xf>
    <xf numFmtId="21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188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96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40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188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188" fontId="40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2" fillId="0" borderId="0"/>
    <xf numFmtId="0" fontId="97" fillId="0" borderId="0" applyNumberFormat="0" applyFill="0" applyBorder="0" applyAlignment="0" applyProtection="0"/>
    <xf numFmtId="0" fontId="2" fillId="0" borderId="0"/>
    <xf numFmtId="0" fontId="98" fillId="0" borderId="0" applyProtection="0"/>
    <xf numFmtId="0" fontId="98" fillId="0" borderId="0" applyProtection="0"/>
    <xf numFmtId="0" fontId="98" fillId="0" borderId="0" applyProtection="0"/>
    <xf numFmtId="0" fontId="98" fillId="0" borderId="0" applyProtection="0"/>
    <xf numFmtId="0" fontId="98" fillId="0" borderId="0" applyProtection="0"/>
    <xf numFmtId="0" fontId="98" fillId="0" borderId="0" applyProtection="0"/>
    <xf numFmtId="0" fontId="98" fillId="0" borderId="0" applyProtection="0"/>
    <xf numFmtId="2" fontId="2" fillId="0" borderId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8" fontId="4" fillId="95" borderId="0" applyNumberFormat="0" applyFont="0" applyAlignment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33" fillId="23" borderId="0" applyNumberFormat="0" applyBorder="0" applyAlignment="0" applyProtection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33" fillId="60" borderId="0" applyNumberFormat="0" applyBorder="0" applyAlignment="0" applyProtection="0"/>
    <xf numFmtId="0" fontId="99" fillId="60" borderId="0" applyNumberFormat="0" applyBorder="0" applyAlignment="0" applyProtection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99" fillId="64" borderId="0" applyNumberFormat="0" applyBorder="0" applyAlignment="0" applyProtection="0"/>
    <xf numFmtId="0" fontId="2" fillId="0" borderId="0"/>
    <xf numFmtId="188" fontId="99" fillId="60" borderId="0" applyNumberFormat="0" applyBorder="0" applyAlignment="0" applyProtection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188" fontId="33" fillId="60" borderId="0" applyNumberFormat="0" applyBorder="0" applyAlignment="0" applyProtection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99" fillId="64" borderId="0" applyNumberFormat="0" applyBorder="0" applyAlignment="0" applyProtection="0"/>
    <xf numFmtId="0" fontId="2" fillId="0" borderId="0"/>
    <xf numFmtId="0" fontId="2" fillId="0" borderId="0"/>
    <xf numFmtId="188" fontId="99" fillId="64" borderId="0" applyNumberFormat="0" applyBorder="0" applyAlignment="0" applyProtection="0"/>
    <xf numFmtId="0" fontId="99" fillId="60" borderId="0" applyNumberFormat="0" applyBorder="0" applyAlignment="0" applyProtection="0"/>
    <xf numFmtId="0" fontId="2" fillId="0" borderId="0"/>
    <xf numFmtId="0" fontId="99" fillId="64" borderId="0" applyNumberFormat="0" applyBorder="0" applyAlignment="0" applyProtection="0"/>
    <xf numFmtId="0" fontId="99" fillId="60" borderId="0" applyNumberFormat="0" applyBorder="0" applyAlignment="0" applyProtection="0"/>
    <xf numFmtId="188" fontId="99" fillId="60" borderId="0" applyNumberFormat="0" applyBorder="0" applyAlignment="0" applyProtection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99" fillId="60" borderId="0" applyNumberFormat="0" applyBorder="0" applyAlignment="0" applyProtection="0"/>
    <xf numFmtId="0" fontId="2" fillId="0" borderId="0"/>
    <xf numFmtId="0" fontId="99" fillId="64" borderId="0" applyNumberFormat="0" applyBorder="0" applyAlignment="0" applyProtection="0"/>
    <xf numFmtId="0" fontId="2" fillId="0" borderId="0"/>
    <xf numFmtId="0" fontId="100" fillId="95" borderId="45"/>
    <xf numFmtId="38" fontId="41" fillId="85" borderId="0" applyNumberFormat="0" applyBorder="0" applyAlignment="0" applyProtection="0"/>
    <xf numFmtId="38" fontId="41" fillId="85" borderId="0" applyNumberFormat="0" applyBorder="0" applyAlignment="0" applyProtection="0"/>
    <xf numFmtId="38" fontId="41" fillId="85" borderId="0" applyNumberFormat="0" applyBorder="0" applyAlignment="0" applyProtection="0"/>
    <xf numFmtId="0" fontId="2" fillId="0" borderId="0"/>
    <xf numFmtId="38" fontId="41" fillId="85" borderId="0" applyNumberFormat="0" applyBorder="0" applyAlignment="0" applyProtection="0"/>
    <xf numFmtId="0" fontId="2" fillId="0" borderId="0"/>
    <xf numFmtId="0" fontId="74" fillId="84" borderId="63">
      <alignment vertical="top" wrapText="1"/>
    </xf>
    <xf numFmtId="0" fontId="101" fillId="0" borderId="64" applyNumberFormat="0" applyAlignment="0" applyProtection="0">
      <alignment horizontal="left" vertical="center"/>
    </xf>
    <xf numFmtId="0" fontId="102" fillId="0" borderId="0">
      <alignment horizontal="left"/>
    </xf>
    <xf numFmtId="188" fontId="102" fillId="0" borderId="0">
      <alignment horizontal="left"/>
    </xf>
    <xf numFmtId="0" fontId="2" fillId="0" borderId="0"/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0" fontId="101" fillId="0" borderId="43">
      <alignment horizontal="left" vertical="center"/>
    </xf>
    <xf numFmtId="4" fontId="103" fillId="85" borderId="0" applyNumberFormat="0" applyFill="0" applyBorder="0" applyAlignment="0" applyProtection="0"/>
    <xf numFmtId="0" fontId="41" fillId="0" borderId="0" applyNumberFormat="0" applyFont="0" applyFill="0" applyBorder="0" applyProtection="0">
      <alignment horizontal="center" vertical="top" wrapText="1"/>
    </xf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30" fillId="0" borderId="27" applyNumberFormat="0" applyFill="0" applyAlignment="0" applyProtection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106" fillId="0" borderId="0" applyNumberFormat="0" applyFill="0" applyBorder="0" applyAlignment="0" applyProtection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104" fillId="0" borderId="65" applyNumberFormat="0" applyFill="0" applyAlignment="0" applyProtection="0"/>
    <xf numFmtId="0" fontId="2" fillId="0" borderId="0"/>
    <xf numFmtId="188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104" fillId="0" borderId="65" applyNumberFormat="0" applyFill="0" applyAlignment="0" applyProtection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4" fillId="0" borderId="65" applyNumberFormat="0" applyFill="0" applyAlignment="0" applyProtection="0"/>
    <xf numFmtId="188" fontId="104" fillId="0" borderId="65" applyNumberFormat="0" applyFill="0" applyAlignment="0" applyProtection="0"/>
    <xf numFmtId="0" fontId="2" fillId="0" borderId="0"/>
    <xf numFmtId="0" fontId="104" fillId="0" borderId="65" applyNumberFormat="0" applyFill="0" applyAlignment="0" applyProtection="0"/>
    <xf numFmtId="0" fontId="2" fillId="0" borderId="0"/>
    <xf numFmtId="188" fontId="105" fillId="0" borderId="66" applyNumberFormat="0" applyFill="0" applyAlignment="0" applyProtection="0"/>
    <xf numFmtId="0" fontId="105" fillId="0" borderId="66" applyNumberFormat="0" applyFill="0" applyAlignment="0" applyProtection="0"/>
    <xf numFmtId="0" fontId="104" fillId="0" borderId="65" applyNumberFormat="0" applyFill="0" applyAlignment="0" applyProtection="0"/>
    <xf numFmtId="188" fontId="104" fillId="0" borderId="65" applyNumberFormat="0" applyFill="0" applyAlignment="0" applyProtection="0"/>
    <xf numFmtId="0" fontId="2" fillId="0" borderId="0"/>
    <xf numFmtId="0" fontId="2" fillId="0" borderId="0"/>
    <xf numFmtId="0" fontId="106" fillId="0" borderId="0" applyNumberFormat="0" applyFill="0" applyBorder="0" applyAlignment="0" applyProtection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6" fillId="0" borderId="0" applyNumberFormat="0" applyFill="0" applyBorder="0" applyAlignment="0" applyProtection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2" fillId="0" borderId="0"/>
    <xf numFmtId="0" fontId="106" fillId="0" borderId="0" applyNumberFormat="0" applyFill="0" applyBorder="0" applyAlignment="0" applyProtection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106" fillId="0" borderId="0" applyNumberFormat="0" applyFill="0" applyBorder="0" applyAlignment="0" applyProtection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04" fillId="0" borderId="65" applyNumberFormat="0" applyFill="0" applyAlignment="0" applyProtection="0"/>
    <xf numFmtId="0" fontId="2" fillId="0" borderId="0"/>
    <xf numFmtId="0" fontId="105" fillId="0" borderId="66" applyNumberFormat="0" applyFill="0" applyAlignment="0" applyProtection="0"/>
    <xf numFmtId="0" fontId="2" fillId="0" borderId="0"/>
    <xf numFmtId="0" fontId="107" fillId="0" borderId="0">
      <alignment horizontal="center"/>
    </xf>
    <xf numFmtId="0" fontId="107" fillId="0" borderId="0">
      <alignment horizontal="center"/>
    </xf>
    <xf numFmtId="0" fontId="2" fillId="0" borderId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31" fillId="0" borderId="46" applyNumberFormat="0" applyFill="0" applyAlignment="0" applyProtection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101" fillId="0" borderId="0" applyNumberFormat="0" applyFill="0" applyBorder="0" applyAlignment="0" applyProtection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108" fillId="0" borderId="67" applyNumberFormat="0" applyFill="0" applyAlignment="0" applyProtection="0"/>
    <xf numFmtId="0" fontId="2" fillId="0" borderId="0"/>
    <xf numFmtId="188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108" fillId="0" borderId="67" applyNumberFormat="0" applyFill="0" applyAlignment="0" applyProtection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10" fillId="0" borderId="67" applyNumberFormat="0" applyFill="0" applyAlignment="0" applyProtection="0"/>
    <xf numFmtId="0" fontId="101" fillId="0" borderId="0" applyNumberFormat="0" applyFill="0" applyBorder="0" applyAlignment="0" applyProtection="0"/>
    <xf numFmtId="0" fontId="108" fillId="0" borderId="67" applyNumberFormat="0" applyFill="0" applyAlignment="0" applyProtection="0"/>
    <xf numFmtId="188" fontId="108" fillId="0" borderId="67" applyNumberFormat="0" applyFill="0" applyAlignment="0" applyProtection="0"/>
    <xf numFmtId="0" fontId="2" fillId="0" borderId="0"/>
    <xf numFmtId="0" fontId="108" fillId="0" borderId="67" applyNumberFormat="0" applyFill="0" applyAlignment="0" applyProtection="0"/>
    <xf numFmtId="0" fontId="2" fillId="0" borderId="0"/>
    <xf numFmtId="188" fontId="109" fillId="0" borderId="68" applyNumberFormat="0" applyFill="0" applyAlignment="0" applyProtection="0"/>
    <xf numFmtId="0" fontId="109" fillId="0" borderId="68" applyNumberFormat="0" applyFill="0" applyAlignment="0" applyProtection="0"/>
    <xf numFmtId="0" fontId="108" fillId="0" borderId="67" applyNumberFormat="0" applyFill="0" applyAlignment="0" applyProtection="0"/>
    <xf numFmtId="188" fontId="108" fillId="0" borderId="67" applyNumberFormat="0" applyFill="0" applyAlignment="0" applyProtection="0"/>
    <xf numFmtId="0" fontId="2" fillId="0" borderId="0"/>
    <xf numFmtId="0" fontId="2" fillId="0" borderId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8" fillId="0" borderId="67" applyNumberFormat="0" applyFill="0" applyAlignment="0" applyProtection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8" fillId="0" borderId="67" applyNumberFormat="0" applyFill="0" applyAlignment="0" applyProtection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2" fillId="0" borderId="0"/>
    <xf numFmtId="0" fontId="101" fillId="0" borderId="0" applyNumberFormat="0" applyFill="0" applyBorder="0" applyAlignment="0" applyProtection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101" fillId="0" borderId="0" applyNumberFormat="0" applyFill="0" applyBorder="0" applyAlignment="0" applyProtection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08" fillId="0" borderId="67" applyNumberFormat="0" applyFill="0" applyAlignment="0" applyProtection="0"/>
    <xf numFmtId="0" fontId="2" fillId="0" borderId="0"/>
    <xf numFmtId="0" fontId="109" fillId="0" borderId="68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32" fillId="0" borderId="47" applyNumberFormat="0" applyFill="0" applyAlignment="0" applyProtection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111" fillId="0" borderId="69" applyNumberFormat="0" applyFill="0" applyAlignment="0" applyProtection="0"/>
    <xf numFmtId="0" fontId="2" fillId="0" borderId="0"/>
    <xf numFmtId="188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111" fillId="0" borderId="69" applyNumberFormat="0" applyFill="0" applyAlignment="0" applyProtection="0"/>
    <xf numFmtId="0" fontId="111" fillId="0" borderId="69" applyNumberFormat="0" applyFill="0" applyAlignment="0" applyProtection="0"/>
    <xf numFmtId="188" fontId="111" fillId="0" borderId="69" applyNumberFormat="0" applyFill="0" applyAlignment="0" applyProtection="0"/>
    <xf numFmtId="0" fontId="2" fillId="0" borderId="0"/>
    <xf numFmtId="0" fontId="112" fillId="0" borderId="70" applyNumberFormat="0" applyFill="0" applyAlignment="0" applyProtection="0"/>
    <xf numFmtId="0" fontId="2" fillId="0" borderId="0"/>
    <xf numFmtId="188" fontId="112" fillId="0" borderId="70" applyNumberFormat="0" applyFill="0" applyAlignment="0" applyProtection="0"/>
    <xf numFmtId="0" fontId="112" fillId="0" borderId="70" applyNumberFormat="0" applyFill="0" applyAlignment="0" applyProtection="0"/>
    <xf numFmtId="0" fontId="111" fillId="0" borderId="69" applyNumberFormat="0" applyFill="0" applyAlignment="0" applyProtection="0"/>
    <xf numFmtId="188" fontId="111" fillId="0" borderId="69" applyNumberFormat="0" applyFill="0" applyAlignment="0" applyProtection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11" fillId="0" borderId="69" applyNumberFormat="0" applyFill="0" applyAlignment="0" applyProtection="0"/>
    <xf numFmtId="0" fontId="2" fillId="0" borderId="0"/>
    <xf numFmtId="0" fontId="112" fillId="0" borderId="7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32" fillId="0" borderId="0" applyNumberFormat="0" applyFill="0" applyBorder="0" applyAlignment="0" applyProtection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188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188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188" fontId="112" fillId="0" borderId="0" applyNumberFormat="0" applyFill="0" applyBorder="0" applyAlignment="0" applyProtection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8" fontId="111" fillId="0" borderId="0" applyNumberFormat="0" applyFill="0" applyBorder="0" applyAlignment="0" applyProtection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2" fillId="0" borderId="0"/>
    <xf numFmtId="0" fontId="2" fillId="0" borderId="0"/>
    <xf numFmtId="0" fontId="11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2" fillId="0" borderId="0" applyNumberFormat="0" applyFill="0" applyBorder="0" applyAlignment="0" applyProtection="0"/>
    <xf numFmtId="0" fontId="41" fillId="0" borderId="0" applyNumberFormat="0" applyFont="0" applyFill="0" applyBorder="0" applyProtection="0">
      <alignment horizontal="center" vertical="top" wrapText="1"/>
    </xf>
    <xf numFmtId="0" fontId="107" fillId="0" borderId="0">
      <alignment horizontal="center"/>
    </xf>
    <xf numFmtId="0" fontId="107" fillId="0" borderId="0">
      <alignment horizontal="center"/>
    </xf>
    <xf numFmtId="0" fontId="107" fillId="0" borderId="0">
      <alignment horizontal="center"/>
    </xf>
    <xf numFmtId="0" fontId="107" fillId="0" borderId="0">
      <alignment horizontal="center"/>
    </xf>
    <xf numFmtId="0" fontId="113" fillId="0" borderId="0"/>
    <xf numFmtId="0" fontId="113" fillId="0" borderId="0"/>
    <xf numFmtId="0" fontId="2" fillId="0" borderId="0"/>
    <xf numFmtId="0" fontId="114" fillId="0" borderId="71">
      <alignment horizontal="center"/>
    </xf>
    <xf numFmtId="0" fontId="114" fillId="0" borderId="0">
      <alignment horizontal="center"/>
    </xf>
    <xf numFmtId="0" fontId="115" fillId="0" borderId="0">
      <alignment vertical="center"/>
    </xf>
    <xf numFmtId="0" fontId="116" fillId="0" borderId="0"/>
    <xf numFmtId="0" fontId="116" fillId="0" borderId="58" applyFill="0" applyBorder="0" applyProtection="0">
      <alignment horizontal="center" wrapText="1"/>
    </xf>
    <xf numFmtId="0" fontId="116" fillId="0" borderId="0" applyFill="0" applyBorder="0" applyProtection="0">
      <alignment horizontal="left" vertical="top" wrapText="1"/>
    </xf>
    <xf numFmtId="211" fontId="117" fillId="0" borderId="0">
      <protection hidden="1"/>
    </xf>
    <xf numFmtId="0" fontId="2" fillId="0" borderId="0"/>
    <xf numFmtId="0" fontId="2" fillId="0" borderId="0"/>
    <xf numFmtId="0" fontId="2" fillId="0" borderId="0"/>
    <xf numFmtId="190" fontId="2" fillId="0" borderId="0"/>
    <xf numFmtId="0" fontId="2" fillId="0" borderId="0"/>
    <xf numFmtId="0" fontId="2" fillId="0" borderId="0"/>
    <xf numFmtId="0" fontId="2" fillId="0" borderId="0"/>
    <xf numFmtId="190" fontId="2" fillId="0" borderId="0"/>
    <xf numFmtId="0" fontId="2" fillId="0" borderId="0"/>
    <xf numFmtId="0" fontId="2" fillId="0" borderId="0"/>
    <xf numFmtId="190" fontId="2" fillId="0" borderId="0"/>
    <xf numFmtId="0" fontId="2" fillId="0" borderId="0"/>
    <xf numFmtId="10" fontId="41" fillId="96" borderId="45" applyNumberFormat="0" applyBorder="0" applyAlignment="0" applyProtection="0"/>
    <xf numFmtId="10" fontId="41" fillId="96" borderId="45" applyNumberFormat="0" applyBorder="0" applyAlignment="0" applyProtection="0"/>
    <xf numFmtId="10" fontId="41" fillId="96" borderId="45" applyNumberFormat="0" applyBorder="0" applyAlignment="0" applyProtection="0"/>
    <xf numFmtId="0" fontId="2" fillId="0" borderId="0"/>
    <xf numFmtId="10" fontId="41" fillId="96" borderId="45" applyNumberFormat="0" applyBorder="0" applyAlignment="0" applyProtection="0"/>
    <xf numFmtId="0" fontId="2" fillId="0" borderId="0"/>
    <xf numFmtId="10" fontId="41" fillId="96" borderId="45" applyNumberFormat="0" applyBorder="0" applyAlignment="0" applyProtection="0"/>
    <xf numFmtId="0" fontId="2" fillId="0" borderId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180" fontId="49" fillId="0" borderId="0" applyAlignment="0">
      <protection locked="0"/>
    </xf>
    <xf numFmtId="0" fontId="118" fillId="61" borderId="59" applyNumberFormat="0" applyAlignment="0" applyProtection="0"/>
    <xf numFmtId="0" fontId="2" fillId="0" borderId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8" fillId="65" borderId="59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180" fontId="49" fillId="0" borderId="0" applyAlignment="0">
      <protection locked="0"/>
    </xf>
    <xf numFmtId="0" fontId="118" fillId="61" borderId="59" applyNumberFormat="0" applyAlignment="0" applyProtection="0"/>
    <xf numFmtId="0" fontId="2" fillId="0" borderId="0"/>
    <xf numFmtId="0" fontId="2" fillId="0" borderId="0"/>
    <xf numFmtId="188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118" fillId="65" borderId="59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180" fontId="49" fillId="0" borderId="0" applyAlignment="0">
      <protection locked="0"/>
    </xf>
    <xf numFmtId="0" fontId="118" fillId="61" borderId="59" applyNumberFormat="0" applyAlignment="0" applyProtection="0"/>
    <xf numFmtId="0" fontId="2" fillId="0" borderId="0"/>
    <xf numFmtId="0" fontId="2" fillId="0" borderId="0"/>
    <xf numFmtId="188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118" fillId="65" borderId="59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180" fontId="49" fillId="0" borderId="0" applyAlignment="0">
      <protection locked="0"/>
    </xf>
    <xf numFmtId="0" fontId="118" fillId="61" borderId="59" applyNumberFormat="0" applyAlignment="0" applyProtection="0"/>
    <xf numFmtId="0" fontId="2" fillId="0" borderId="0"/>
    <xf numFmtId="0" fontId="2" fillId="0" borderId="0"/>
    <xf numFmtId="188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118" fillId="65" borderId="59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118" fillId="65" borderId="59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36" fillId="26" borderId="48" applyNumberFormat="0" applyAlignment="0" applyProtection="0"/>
    <xf numFmtId="0" fontId="36" fillId="26" borderId="48" applyNumberFormat="0" applyAlignment="0" applyProtection="0"/>
    <xf numFmtId="0" fontId="36" fillId="26" borderId="48" applyNumberFormat="0" applyAlignment="0" applyProtection="0"/>
    <xf numFmtId="0" fontId="36" fillId="26" borderId="48" applyNumberFormat="0" applyAlignment="0" applyProtection="0"/>
    <xf numFmtId="0" fontId="36" fillId="26" borderId="48" applyNumberFormat="0" applyAlignment="0" applyProtection="0"/>
    <xf numFmtId="0" fontId="36" fillId="26" borderId="48" applyNumberFormat="0" applyAlignment="0" applyProtection="0"/>
    <xf numFmtId="0" fontId="36" fillId="26" borderId="48" applyNumberFormat="0" applyAlignment="0" applyProtection="0"/>
    <xf numFmtId="0" fontId="36" fillId="26" borderId="48" applyNumberFormat="0" applyAlignment="0" applyProtection="0"/>
    <xf numFmtId="0" fontId="36" fillId="26" borderId="48" applyNumberFormat="0" applyAlignment="0" applyProtection="0"/>
    <xf numFmtId="0" fontId="118" fillId="61" borderId="59" applyNumberFormat="0" applyAlignment="0" applyProtection="0"/>
    <xf numFmtId="0" fontId="119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8" fillId="65" borderId="59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0" fontId="118" fillId="65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118" fillId="65" borderId="59" applyNumberFormat="0" applyAlignment="0" applyProtection="0"/>
    <xf numFmtId="188" fontId="118" fillId="61" borderId="59" applyNumberFormat="0" applyAlignment="0" applyProtection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8" fillId="65" borderId="59" applyNumberFormat="0" applyAlignment="0" applyProtection="0"/>
    <xf numFmtId="0" fontId="2" fillId="0" borderId="0"/>
    <xf numFmtId="0" fontId="118" fillId="65" borderId="59" applyNumberFormat="0" applyAlignment="0" applyProtection="0"/>
    <xf numFmtId="0" fontId="2" fillId="0" borderId="0"/>
    <xf numFmtId="0" fontId="2" fillId="0" borderId="0"/>
    <xf numFmtId="0" fontId="118" fillId="65" borderId="59" applyNumberFormat="0" applyAlignment="0" applyProtection="0"/>
    <xf numFmtId="0" fontId="2" fillId="0" borderId="0"/>
    <xf numFmtId="0" fontId="2" fillId="0" borderId="0"/>
    <xf numFmtId="0" fontId="118" fillId="65" borderId="59" applyNumberFormat="0" applyAlignment="0" applyProtection="0"/>
    <xf numFmtId="0" fontId="2" fillId="0" borderId="0"/>
    <xf numFmtId="0" fontId="2" fillId="0" borderId="0"/>
    <xf numFmtId="0" fontId="118" fillId="65" borderId="59" applyNumberFormat="0" applyAlignment="0" applyProtection="0"/>
    <xf numFmtId="0" fontId="2" fillId="0" borderId="0"/>
    <xf numFmtId="0" fontId="2" fillId="0" borderId="0"/>
    <xf numFmtId="0" fontId="118" fillId="65" borderId="59" applyNumberFormat="0" applyAlignment="0" applyProtection="0"/>
    <xf numFmtId="0" fontId="2" fillId="0" borderId="0"/>
    <xf numFmtId="0" fontId="2" fillId="0" borderId="0"/>
    <xf numFmtId="0" fontId="118" fillId="65" borderId="59" applyNumberFormat="0" applyAlignment="0" applyProtection="0"/>
    <xf numFmtId="0" fontId="2" fillId="0" borderId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2" fillId="0" borderId="0"/>
    <xf numFmtId="0" fontId="119" fillId="61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118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2" fillId="0" borderId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2" fillId="0" borderId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188" fontId="36" fillId="63" borderId="48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188" fontId="36" fillId="63" borderId="48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180" fontId="49" fillId="0" borderId="0" applyAlignment="0">
      <protection locked="0"/>
    </xf>
    <xf numFmtId="0" fontId="2" fillId="0" borderId="0"/>
    <xf numFmtId="0" fontId="2" fillId="0" borderId="0"/>
    <xf numFmtId="188" fontId="118" fillId="61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188" fontId="36" fillId="63" borderId="48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188" fontId="36" fillId="63" borderId="48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188" fontId="36" fillId="63" borderId="48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188" fontId="36" fillId="63" borderId="48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188" fontId="36" fillId="63" borderId="48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188" fontId="36" fillId="63" borderId="48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188" fontId="36" fillId="63" borderId="48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188" fontId="36" fillId="63" borderId="48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180" fontId="49" fillId="0" borderId="0" applyAlignment="0">
      <protection locked="0"/>
    </xf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0" fontId="119" fillId="61" borderId="59" applyNumberFormat="0" applyAlignment="0" applyProtection="0"/>
    <xf numFmtId="180" fontId="49" fillId="0" borderId="0" applyAlignment="0">
      <protection locked="0"/>
    </xf>
    <xf numFmtId="0" fontId="2" fillId="0" borderId="0"/>
    <xf numFmtId="188" fontId="36" fillId="63" borderId="48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36" fillId="63" borderId="48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118" fillId="61" borderId="59" applyNumberFormat="0" applyAlignment="0" applyProtection="0"/>
    <xf numFmtId="0" fontId="2" fillId="0" borderId="0"/>
    <xf numFmtId="188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180" fontId="49" fillId="0" borderId="0" applyAlignment="0">
      <protection locked="0"/>
    </xf>
    <xf numFmtId="180" fontId="49" fillId="0" borderId="0" applyAlignment="0">
      <protection locked="0"/>
    </xf>
    <xf numFmtId="0" fontId="2" fillId="0" borderId="0"/>
    <xf numFmtId="0" fontId="2" fillId="0" borderId="0"/>
    <xf numFmtId="188" fontId="118" fillId="61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8" fillId="61" borderId="59" applyNumberFormat="0" applyAlignment="0" applyProtection="0"/>
    <xf numFmtId="0" fontId="2" fillId="0" borderId="0"/>
    <xf numFmtId="0" fontId="36" fillId="63" borderId="48" applyNumberFormat="0" applyAlignment="0" applyProtection="0"/>
    <xf numFmtId="0" fontId="2" fillId="0" borderId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180" fontId="49" fillId="0" borderId="0" applyAlignment="0">
      <protection locked="0"/>
    </xf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8" fillId="65" borderId="59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180" fontId="49" fillId="0" borderId="0" applyAlignment="0">
      <protection locked="0"/>
    </xf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8" fillId="65" borderId="59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180" fontId="49" fillId="0" borderId="0" applyAlignment="0">
      <protection locked="0"/>
    </xf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2" fillId="0" borderId="0"/>
    <xf numFmtId="0" fontId="2" fillId="0" borderId="0"/>
    <xf numFmtId="188" fontId="36" fillId="63" borderId="4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8" fillId="65" borderId="59" applyNumberFormat="0" applyAlignment="0" applyProtection="0"/>
    <xf numFmtId="0" fontId="2" fillId="0" borderId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1" borderId="59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36" fillId="63" borderId="48" applyNumberFormat="0" applyAlignment="0" applyProtection="0"/>
    <xf numFmtId="0" fontId="2" fillId="0" borderId="0"/>
    <xf numFmtId="188" fontId="36" fillId="63" borderId="48" applyNumberFormat="0" applyAlignment="0" applyProtection="0"/>
    <xf numFmtId="0" fontId="36" fillId="63" borderId="48" applyNumberFormat="0" applyAlignment="0" applyProtection="0"/>
    <xf numFmtId="0" fontId="118" fillId="63" borderId="59" applyNumberFormat="0" applyAlignment="0" applyProtection="0"/>
    <xf numFmtId="0" fontId="2" fillId="0" borderId="45" applyNumberFormat="0">
      <alignment horizontal="left" wrapText="1"/>
      <protection locked="0"/>
    </xf>
    <xf numFmtId="0" fontId="2" fillId="0" borderId="45" applyNumberFormat="0">
      <alignment horizontal="left" wrapText="1"/>
      <protection locked="0"/>
    </xf>
    <xf numFmtId="0" fontId="2" fillId="97" borderId="45" applyFont="0" applyFill="0" applyBorder="0" applyAlignment="0" applyProtection="0">
      <alignment horizontal="center"/>
      <protection locked="0"/>
    </xf>
    <xf numFmtId="0" fontId="2" fillId="96" borderId="45" applyNumberFormat="0" applyProtection="0">
      <alignment vertical="center" wrapText="1"/>
    </xf>
    <xf numFmtId="0" fontId="2" fillId="96" borderId="45" applyNumberFormat="0" applyProtection="0">
      <alignment vertical="center" wrapText="1"/>
    </xf>
    <xf numFmtId="0" fontId="41" fillId="85" borderId="0"/>
    <xf numFmtId="0" fontId="2" fillId="0" borderId="0"/>
    <xf numFmtId="0" fontId="41" fillId="85" borderId="0"/>
    <xf numFmtId="0" fontId="2" fillId="0" borderId="0"/>
    <xf numFmtId="188" fontId="41" fillId="85" borderId="0"/>
    <xf numFmtId="0" fontId="2" fillId="0" borderId="0"/>
    <xf numFmtId="0" fontId="2" fillId="0" borderId="0"/>
    <xf numFmtId="0" fontId="41" fillId="85" borderId="0"/>
    <xf numFmtId="0" fontId="2" fillId="0" borderId="0"/>
    <xf numFmtId="198" fontId="2" fillId="0" borderId="0" applyFill="0" applyBorder="0" applyAlignment="0"/>
    <xf numFmtId="179" fontId="2" fillId="0" borderId="0" applyFill="0" applyBorder="0" applyAlignment="0"/>
    <xf numFmtId="198" fontId="2" fillId="0" borderId="0" applyFill="0" applyBorder="0" applyAlignment="0"/>
    <xf numFmtId="181" fontId="2" fillId="0" borderId="0" applyFill="0" applyBorder="0" applyAlignment="0"/>
    <xf numFmtId="179" fontId="2" fillId="0" borderId="0" applyFill="0" applyBorder="0" applyAlignment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39" fillId="0" borderId="50" applyNumberFormat="0" applyFill="0" applyAlignment="0" applyProtection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0" fillId="0" borderId="72" applyNumberFormat="0" applyFill="0" applyAlignment="0" applyProtection="0"/>
    <xf numFmtId="188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120" fillId="0" borderId="72" applyNumberFormat="0" applyFill="0" applyAlignment="0" applyProtection="0"/>
    <xf numFmtId="0" fontId="2" fillId="0" borderId="0"/>
    <xf numFmtId="0" fontId="2" fillId="0" borderId="0"/>
    <xf numFmtId="188" fontId="120" fillId="0" borderId="72" applyNumberFormat="0" applyFill="0" applyAlignment="0" applyProtection="0"/>
    <xf numFmtId="0" fontId="120" fillId="0" borderId="72" applyNumberFormat="0" applyFill="0" applyAlignment="0" applyProtection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188" fontId="121" fillId="0" borderId="73" applyNumberFormat="0" applyFill="0" applyAlignment="0" applyProtection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120" fillId="0" borderId="72" applyNumberFormat="0" applyFill="0" applyAlignment="0" applyProtection="0"/>
    <xf numFmtId="188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1" fillId="0" borderId="73" applyNumberFormat="0" applyFill="0" applyAlignment="0" applyProtection="0"/>
    <xf numFmtId="0" fontId="2" fillId="0" borderId="0"/>
    <xf numFmtId="0" fontId="2" fillId="0" borderId="0"/>
    <xf numFmtId="0" fontId="120" fillId="0" borderId="7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21" fillId="0" borderId="73" applyNumberFormat="0" applyFill="0" applyAlignment="0" applyProtection="0"/>
    <xf numFmtId="9" fontId="42" fillId="85" borderId="0" applyNumberFormat="0" applyFont="0" applyBorder="0" applyAlignment="0">
      <protection locked="0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73" fillId="65" borderId="60">
      <alignment horizontal="right"/>
    </xf>
    <xf numFmtId="0" fontId="122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212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" fontId="126" fillId="0" borderId="0">
      <alignment horizontal="center"/>
    </xf>
    <xf numFmtId="214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16" fontId="113" fillId="98" borderId="74" applyNumberFormat="0" applyAlignment="0" applyProtection="0">
      <alignment horizontal="left"/>
    </xf>
    <xf numFmtId="217" fontId="116" fillId="0" borderId="0" applyFont="0" applyFill="0" applyBorder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35" fillId="25" borderId="0" applyNumberFormat="0" applyBorder="0" applyAlignment="0" applyProtection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129" fillId="25" borderId="0" applyNumberFormat="0" applyBorder="0" applyAlignment="0" applyProtection="0"/>
    <xf numFmtId="0" fontId="127" fillId="65" borderId="0" applyNumberFormat="0" applyBorder="0" applyAlignment="0" applyProtection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128" fillId="65" borderId="0" applyNumberFormat="0" applyBorder="0" applyAlignment="0" applyProtection="0"/>
    <xf numFmtId="0" fontId="2" fillId="0" borderId="0"/>
    <xf numFmtId="188" fontId="127" fillId="65" borderId="0" applyNumberFormat="0" applyBorder="0" applyAlignment="0" applyProtection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27" fillId="65" borderId="0" applyNumberFormat="0" applyBorder="0" applyAlignment="0" applyProtection="0"/>
    <xf numFmtId="188" fontId="129" fillId="2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128" fillId="65" borderId="0" applyNumberFormat="0" applyBorder="0" applyAlignment="0" applyProtection="0"/>
    <xf numFmtId="0" fontId="2" fillId="0" borderId="0"/>
    <xf numFmtId="0" fontId="2" fillId="0" borderId="0"/>
    <xf numFmtId="188" fontId="128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188" fontId="127" fillId="65" borderId="0" applyNumberFormat="0" applyBorder="0" applyAlignment="0" applyProtection="0"/>
    <xf numFmtId="0" fontId="127" fillId="65" borderId="0" applyNumberFormat="0" applyBorder="0" applyAlignment="0" applyProtection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127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28" fillId="6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50" fillId="0" borderId="0" applyNumberFormat="0" applyFill="0" applyBorder="0" applyAlignment="0" applyProtection="0"/>
    <xf numFmtId="37" fontId="130" fillId="0" borderId="0"/>
    <xf numFmtId="37" fontId="130" fillId="0" borderId="0"/>
    <xf numFmtId="0" fontId="2" fillId="0" borderId="0"/>
    <xf numFmtId="0" fontId="2" fillId="0" borderId="0"/>
    <xf numFmtId="37" fontId="130" fillId="0" borderId="0"/>
    <xf numFmtId="0" fontId="2" fillId="0" borderId="0"/>
    <xf numFmtId="0" fontId="2" fillId="0" borderId="0"/>
    <xf numFmtId="37" fontId="130" fillId="0" borderId="0"/>
    <xf numFmtId="37" fontId="130" fillId="0" borderId="0"/>
    <xf numFmtId="0" fontId="2" fillId="0" borderId="0"/>
    <xf numFmtId="0" fontId="2" fillId="0" borderId="75">
      <alignment horizontal="center"/>
    </xf>
    <xf numFmtId="0" fontId="117" fillId="0" borderId="0"/>
    <xf numFmtId="0" fontId="2" fillId="85" borderId="45" applyNumberFormat="0" applyAlignment="0"/>
    <xf numFmtId="0" fontId="2" fillId="85" borderId="45" applyNumberFormat="0" applyAlignment="0"/>
    <xf numFmtId="218" fontId="131" fillId="0" borderId="0"/>
    <xf numFmtId="0" fontId="2" fillId="0" borderId="0"/>
    <xf numFmtId="0" fontId="2" fillId="0" borderId="0"/>
    <xf numFmtId="218" fontId="13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4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59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55" fillId="0" borderId="0">
      <alignment vertical="top"/>
    </xf>
    <xf numFmtId="188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49" fillId="0" borderId="0"/>
    <xf numFmtId="0" fontId="2" fillId="0" borderId="0"/>
    <xf numFmtId="0" fontId="2" fillId="0" borderId="0"/>
    <xf numFmtId="0" fontId="49" fillId="0" borderId="0"/>
    <xf numFmtId="0" fontId="1" fillId="0" borderId="0"/>
    <xf numFmtId="0" fontId="1" fillId="0" borderId="0"/>
    <xf numFmtId="0" fontId="55" fillId="0" borderId="0">
      <alignment vertical="top"/>
    </xf>
    <xf numFmtId="188" fontId="1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76" fillId="0" borderId="0"/>
    <xf numFmtId="0" fontId="76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76" fillId="0" borderId="0"/>
    <xf numFmtId="0" fontId="76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49" fillId="0" borderId="0"/>
    <xf numFmtId="0" fontId="2" fillId="0" borderId="0"/>
    <xf numFmtId="0" fontId="2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76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6" fillId="0" borderId="0"/>
    <xf numFmtId="0" fontId="76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188" fontId="49" fillId="0" borderId="0"/>
    <xf numFmtId="211" fontId="117" fillId="0" borderId="0"/>
    <xf numFmtId="0" fontId="2" fillId="0" borderId="0"/>
    <xf numFmtId="0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188" fontId="49" fillId="0" borderId="0"/>
    <xf numFmtId="211" fontId="117" fillId="0" borderId="0"/>
    <xf numFmtId="0" fontId="2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188" fontId="49" fillId="0" borderId="0"/>
    <xf numFmtId="0" fontId="55" fillId="0" borderId="0"/>
    <xf numFmtId="0" fontId="2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59" fillId="0" borderId="0"/>
    <xf numFmtId="0" fontId="2" fillId="0" borderId="0"/>
    <xf numFmtId="0" fontId="2" fillId="0" borderId="0"/>
    <xf numFmtId="189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9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5" fillId="0" borderId="0">
      <alignment vertical="top"/>
    </xf>
    <xf numFmtId="0" fontId="55" fillId="0" borderId="0">
      <alignment vertical="top"/>
    </xf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59" fillId="0" borderId="0"/>
    <xf numFmtId="0" fontId="55" fillId="0" borderId="0">
      <alignment vertical="top"/>
    </xf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5" fillId="0" borderId="0">
      <alignment vertical="top"/>
    </xf>
    <xf numFmtId="0" fontId="2" fillId="0" borderId="0"/>
    <xf numFmtId="0" fontId="4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5" fillId="0" borderId="0">
      <alignment vertical="top"/>
    </xf>
    <xf numFmtId="0" fontId="49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55" fillId="0" borderId="0">
      <alignment vertical="top"/>
    </xf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2" fillId="0" borderId="0"/>
    <xf numFmtId="0" fontId="2" fillId="0" borderId="0"/>
    <xf numFmtId="0" fontId="59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3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59" fillId="0" borderId="0"/>
    <xf numFmtId="0" fontId="2" fillId="0" borderId="0"/>
    <xf numFmtId="0" fontId="2" fillId="0" borderId="0"/>
    <xf numFmtId="0" fontId="5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2" fillId="0" borderId="0"/>
    <xf numFmtId="0" fontId="55" fillId="0" borderId="0">
      <alignment vertical="top"/>
    </xf>
    <xf numFmtId="0" fontId="81" fillId="0" borderId="0"/>
    <xf numFmtId="0" fontId="2" fillId="0" borderId="0"/>
    <xf numFmtId="0" fontId="55" fillId="0" borderId="0">
      <alignment vertical="top"/>
    </xf>
    <xf numFmtId="0" fontId="55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5" fillId="0" borderId="0">
      <alignment vertical="top"/>
    </xf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9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59" fillId="0" borderId="0"/>
    <xf numFmtId="0" fontId="18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6" fontId="133" fillId="0" borderId="0" applyProtection="0"/>
    <xf numFmtId="0" fontId="2" fillId="0" borderId="0"/>
    <xf numFmtId="0" fontId="55" fillId="0" borderId="0">
      <alignment vertical="top"/>
    </xf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80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80" fillId="0" borderId="0"/>
    <xf numFmtId="0" fontId="55" fillId="0" borderId="0">
      <alignment vertical="top"/>
    </xf>
    <xf numFmtId="0" fontId="55" fillId="0" borderId="0">
      <alignment vertical="top"/>
    </xf>
    <xf numFmtId="0" fontId="2" fillId="0" borderId="0"/>
    <xf numFmtId="188" fontId="2" fillId="0" borderId="0"/>
    <xf numFmtId="0" fontId="2" fillId="0" borderId="0"/>
    <xf numFmtId="0" fontId="2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39" fontId="117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80" fillId="0" borderId="0"/>
    <xf numFmtId="0" fontId="2" fillId="0" borderId="0"/>
    <xf numFmtId="0" fontId="2" fillId="0" borderId="0"/>
    <xf numFmtId="188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59" fillId="0" borderId="0"/>
    <xf numFmtId="0" fontId="2" fillId="0" borderId="0"/>
    <xf numFmtId="0" fontId="2" fillId="0" borderId="0"/>
    <xf numFmtId="0" fontId="2" fillId="0" borderId="0"/>
    <xf numFmtId="0" fontId="59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0" fontId="59" fillId="0" borderId="0"/>
    <xf numFmtId="0" fontId="2" fillId="0" borderId="0"/>
    <xf numFmtId="0" fontId="2" fillId="0" borderId="0"/>
    <xf numFmtId="0" fontId="2" fillId="0" borderId="0"/>
    <xf numFmtId="0" fontId="59" fillId="0" borderId="0"/>
    <xf numFmtId="0" fontId="2" fillId="0" borderId="0"/>
    <xf numFmtId="0" fontId="2" fillId="0" borderId="0"/>
    <xf numFmtId="0" fontId="2" fillId="0" borderId="0"/>
    <xf numFmtId="0" fontId="5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0" fontId="4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49" fillId="0" borderId="0"/>
    <xf numFmtId="188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2" fillId="0" borderId="0"/>
    <xf numFmtId="188" fontId="2" fillId="0" borderId="0"/>
    <xf numFmtId="0" fontId="49" fillId="0" borderId="0"/>
    <xf numFmtId="0" fontId="2" fillId="0" borderId="0"/>
    <xf numFmtId="0" fontId="2" fillId="0" borderId="0"/>
    <xf numFmtId="188" fontId="2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/>
    <xf numFmtId="188" fontId="2" fillId="0" borderId="0"/>
    <xf numFmtId="0" fontId="49" fillId="0" borderId="0"/>
    <xf numFmtId="0" fontId="2" fillId="0" borderId="0"/>
    <xf numFmtId="0" fontId="55" fillId="0" borderId="0"/>
    <xf numFmtId="188" fontId="2" fillId="0" borderId="0"/>
    <xf numFmtId="0" fontId="4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0" fontId="2" fillId="0" borderId="0"/>
    <xf numFmtId="188" fontId="2" fillId="0" borderId="0"/>
    <xf numFmtId="188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>
      <alignment vertical="top"/>
    </xf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55" fillId="0" borderId="0">
      <alignment vertical="top"/>
    </xf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55" fillId="0" borderId="0">
      <alignment vertical="top"/>
    </xf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55" fillId="0" borderId="0">
      <alignment vertical="top"/>
    </xf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188" fontId="1" fillId="0" borderId="0"/>
    <xf numFmtId="0" fontId="9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80" fillId="0" borderId="0"/>
    <xf numFmtId="0" fontId="1" fillId="0" borderId="0"/>
    <xf numFmtId="0" fontId="1" fillId="0" borderId="0"/>
    <xf numFmtId="0" fontId="1" fillId="0" borderId="0"/>
    <xf numFmtId="0" fontId="80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2" fillId="0" borderId="0">
      <alignment wrapText="1"/>
    </xf>
    <xf numFmtId="0" fontId="2" fillId="0" borderId="0">
      <alignment wrapText="1"/>
    </xf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>
      <alignment vertical="center"/>
    </xf>
    <xf numFmtId="0" fontId="55" fillId="0" borderId="0"/>
    <xf numFmtId="0" fontId="2" fillId="0" borderId="0"/>
    <xf numFmtId="0" fontId="49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49" fillId="0" borderId="0"/>
    <xf numFmtId="0" fontId="9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49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90" fillId="0" borderId="0"/>
    <xf numFmtId="0" fontId="55" fillId="0" borderId="0">
      <alignment vertical="top"/>
    </xf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49" fillId="0" borderId="0"/>
    <xf numFmtId="0" fontId="55" fillId="0" borderId="0">
      <alignment vertical="top"/>
    </xf>
    <xf numFmtId="0" fontId="55" fillId="0" borderId="0">
      <alignment vertical="top"/>
    </xf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55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49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9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49" fillId="0" borderId="0"/>
    <xf numFmtId="0" fontId="4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49" fillId="0" borderId="0"/>
    <xf numFmtId="0" fontId="4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49" fillId="0" borderId="0"/>
    <xf numFmtId="0" fontId="4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49" fillId="0" borderId="0"/>
    <xf numFmtId="0" fontId="4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49" fillId="0" borderId="0"/>
    <xf numFmtId="0" fontId="4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0" borderId="0"/>
    <xf numFmtId="0" fontId="9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49" fillId="0" borderId="0"/>
    <xf numFmtId="0" fontId="1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49" fillId="0" borderId="0"/>
    <xf numFmtId="0" fontId="4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3" fillId="0" borderId="0"/>
    <xf numFmtId="0" fontId="2" fillId="0" borderId="0"/>
    <xf numFmtId="188" fontId="49" fillId="0" borderId="0"/>
    <xf numFmtId="0" fontId="4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3" fillId="0" borderId="0"/>
    <xf numFmtId="0" fontId="2" fillId="0" borderId="0"/>
    <xf numFmtId="188" fontId="49" fillId="0" borderId="0"/>
    <xf numFmtId="0" fontId="4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3" fillId="0" borderId="0"/>
    <xf numFmtId="0" fontId="2" fillId="0" borderId="0"/>
    <xf numFmtId="188" fontId="49" fillId="0" borderId="0"/>
    <xf numFmtId="0" fontId="4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3" fillId="0" borderId="0"/>
    <xf numFmtId="0" fontId="2" fillId="0" borderId="0"/>
    <xf numFmtId="188" fontId="49" fillId="0" borderId="0"/>
    <xf numFmtId="0" fontId="4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3" fillId="0" borderId="0"/>
    <xf numFmtId="0" fontId="2" fillId="0" borderId="0"/>
    <xf numFmtId="188" fontId="49" fillId="0" borderId="0"/>
    <xf numFmtId="0" fontId="4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84" fillId="0" borderId="0"/>
    <xf numFmtId="0" fontId="84" fillId="0" borderId="0"/>
    <xf numFmtId="0" fontId="55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49" fillId="0" borderId="0"/>
    <xf numFmtId="0" fontId="4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5" fillId="0" borderId="0"/>
    <xf numFmtId="0" fontId="2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88" fontId="117" fillId="0" borderId="0"/>
    <xf numFmtId="0" fontId="117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3" fillId="0" borderId="0"/>
    <xf numFmtId="0" fontId="2" fillId="0" borderId="0"/>
    <xf numFmtId="188" fontId="117" fillId="0" borderId="0"/>
    <xf numFmtId="0" fontId="117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3" fillId="0" borderId="0"/>
    <xf numFmtId="0" fontId="2" fillId="0" borderId="0"/>
    <xf numFmtId="188" fontId="117" fillId="0" borderId="0"/>
    <xf numFmtId="0" fontId="117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2" fillId="0" borderId="0"/>
    <xf numFmtId="188" fontId="117" fillId="0" borderId="0"/>
    <xf numFmtId="0" fontId="117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2" fillId="0" borderId="0"/>
    <xf numFmtId="188" fontId="117" fillId="0" borderId="0"/>
    <xf numFmtId="0" fontId="117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2" fillId="0" borderId="0"/>
    <xf numFmtId="188" fontId="55" fillId="0" borderId="0"/>
    <xf numFmtId="0" fontId="55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2" fillId="0" borderId="0"/>
    <xf numFmtId="188" fontId="55" fillId="0" borderId="0"/>
    <xf numFmtId="0" fontId="55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2" fillId="0" borderId="0"/>
    <xf numFmtId="188" fontId="55" fillId="0" borderId="0"/>
    <xf numFmtId="0" fontId="55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2" fillId="0" borderId="0"/>
    <xf numFmtId="188" fontId="55" fillId="0" borderId="0"/>
    <xf numFmtId="0" fontId="55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188" fontId="49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2" fillId="0" borderId="0"/>
    <xf numFmtId="0" fontId="1" fillId="0" borderId="0"/>
    <xf numFmtId="0" fontId="1" fillId="0" borderId="0"/>
    <xf numFmtId="0" fontId="2" fillId="0" borderId="0"/>
    <xf numFmtId="188" fontId="49" fillId="0" borderId="0"/>
    <xf numFmtId="0" fontId="59" fillId="0" borderId="0"/>
    <xf numFmtId="0" fontId="2" fillId="0" borderId="0"/>
    <xf numFmtId="0" fontId="49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/>
    <xf numFmtId="188" fontId="1" fillId="0" borderId="0"/>
    <xf numFmtId="188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2" fillId="0" borderId="0"/>
    <xf numFmtId="188" fontId="55" fillId="0" borderId="0"/>
    <xf numFmtId="0" fontId="55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2" fillId="0" borderId="0"/>
    <xf numFmtId="188" fontId="49" fillId="0" borderId="0"/>
    <xf numFmtId="0" fontId="49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49" fillId="0" borderId="0"/>
    <xf numFmtId="0" fontId="4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2" fillId="0" borderId="0"/>
    <xf numFmtId="0" fontId="2" fillId="0" borderId="0"/>
    <xf numFmtId="0" fontId="2" fillId="0" borderId="0"/>
    <xf numFmtId="188" fontId="2" fillId="0" borderId="0"/>
    <xf numFmtId="0" fontId="2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top"/>
    </xf>
    <xf numFmtId="0" fontId="55" fillId="0" borderId="0">
      <alignment vertical="top"/>
    </xf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5" fillId="0" borderId="0">
      <alignment vertical="top"/>
    </xf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7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49" fillId="0" borderId="0"/>
    <xf numFmtId="0" fontId="2" fillId="0" borderId="0"/>
    <xf numFmtId="0" fontId="2" fillId="0" borderId="0"/>
    <xf numFmtId="0" fontId="2" fillId="0" borderId="0"/>
    <xf numFmtId="18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1" fillId="0" borderId="0"/>
    <xf numFmtId="0" fontId="1" fillId="0" borderId="0"/>
    <xf numFmtId="0" fontId="55" fillId="0" borderId="0">
      <alignment vertical="top"/>
    </xf>
    <xf numFmtId="188" fontId="1" fillId="0" borderId="0"/>
    <xf numFmtId="188" fontId="1" fillId="0" borderId="0"/>
    <xf numFmtId="0" fontId="55" fillId="0" borderId="0">
      <alignment vertical="top"/>
    </xf>
    <xf numFmtId="0" fontId="55" fillId="0" borderId="0">
      <alignment vertical="top"/>
    </xf>
    <xf numFmtId="0" fontId="1" fillId="0" borderId="0"/>
    <xf numFmtId="0" fontId="5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2" fillId="0" borderId="0"/>
    <xf numFmtId="189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188" fontId="1" fillId="0" borderId="0"/>
    <xf numFmtId="18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2" fillId="99" borderId="45" applyNumberFormat="0" applyFont="0" applyBorder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36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2" fillId="0" borderId="0"/>
    <xf numFmtId="0" fontId="59" fillId="29" borderId="52" applyNumberFormat="0" applyFont="0" applyAlignment="0" applyProtection="0"/>
    <xf numFmtId="0" fontId="59" fillId="59" borderId="76" applyNumberFormat="0" applyFont="0" applyAlignment="0" applyProtection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59" fillId="59" borderId="76" applyNumberFormat="0" applyFont="0" applyAlignment="0" applyProtection="0"/>
    <xf numFmtId="188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59" fillId="59" borderId="76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2" fillId="0" borderId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188" fontId="59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1" fillId="29" borderId="52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2" fillId="59" borderId="76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188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2" fillId="59" borderId="76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1" fillId="29" borderId="5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0" fontId="2" fillId="0" borderId="0"/>
    <xf numFmtId="0" fontId="2" fillId="0" borderId="0"/>
    <xf numFmtId="0" fontId="2" fillId="59" borderId="7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59" fillId="59" borderId="76" applyNumberFormat="0" applyFont="0" applyAlignment="0" applyProtection="0"/>
    <xf numFmtId="219" fontId="137" fillId="91" borderId="60">
      <alignment horizontal="right"/>
    </xf>
    <xf numFmtId="49" fontId="138" fillId="100" borderId="0" applyFont="0" applyFill="0" applyBorder="0" applyAlignment="0">
      <alignment horizontal="right"/>
    </xf>
    <xf numFmtId="0" fontId="42" fillId="0" borderId="58" applyFill="0" applyProtection="0">
      <alignment horizontal="right" wrapText="1"/>
    </xf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139" fillId="63" borderId="77" applyNumberFormat="0" applyAlignment="0" applyProtection="0"/>
    <xf numFmtId="0" fontId="2" fillId="0" borderId="0"/>
    <xf numFmtId="0" fontId="37" fillId="27" borderId="49" applyNumberFormat="0" applyAlignment="0" applyProtection="0"/>
    <xf numFmtId="0" fontId="2" fillId="0" borderId="0"/>
    <xf numFmtId="0" fontId="139" fillId="63" borderId="77" applyNumberFormat="0" applyAlignment="0" applyProtection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37" fillId="63" borderId="49" applyNumberFormat="0" applyAlignment="0" applyProtection="0"/>
    <xf numFmtId="0" fontId="139" fillId="63" borderId="77" applyNumberFormat="0" applyAlignment="0" applyProtection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139" fillId="63" borderId="77" applyNumberFormat="0" applyAlignment="0" applyProtection="0"/>
    <xf numFmtId="0" fontId="2" fillId="0" borderId="0"/>
    <xf numFmtId="0" fontId="139" fillId="63" borderId="77" applyNumberFormat="0" applyAlignment="0" applyProtection="0"/>
    <xf numFmtId="0" fontId="2" fillId="0" borderId="0"/>
    <xf numFmtId="0" fontId="139" fillId="86" borderId="77" applyNumberFormat="0" applyAlignment="0" applyProtection="0"/>
    <xf numFmtId="0" fontId="2" fillId="0" borderId="0"/>
    <xf numFmtId="188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2" fillId="0" borderId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139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140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188" fontId="139" fillId="63" borderId="77" applyNumberFormat="0" applyAlignment="0" applyProtection="0"/>
    <xf numFmtId="0" fontId="139" fillId="63" borderId="77" applyNumberFormat="0" applyAlignment="0" applyProtection="0"/>
    <xf numFmtId="0" fontId="2" fillId="0" borderId="0"/>
    <xf numFmtId="0" fontId="2" fillId="0" borderId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139" fillId="63" borderId="77" applyNumberFormat="0" applyAlignment="0" applyProtection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86" borderId="77" applyNumberFormat="0" applyAlignment="0" applyProtection="0"/>
    <xf numFmtId="0" fontId="2" fillId="0" borderId="0"/>
    <xf numFmtId="0" fontId="2" fillId="0" borderId="0"/>
    <xf numFmtId="0" fontId="139" fillId="63" borderId="77" applyNumberFormat="0" applyAlignment="0" applyProtection="0"/>
    <xf numFmtId="0" fontId="2" fillId="0" borderId="0"/>
    <xf numFmtId="0" fontId="2" fillId="0" borderId="0"/>
    <xf numFmtId="0" fontId="2" fillId="0" borderId="0"/>
    <xf numFmtId="0" fontId="139" fillId="86" borderId="77" applyNumberFormat="0" applyAlignment="0" applyProtection="0"/>
    <xf numFmtId="14" fontId="50" fillId="0" borderId="0">
      <alignment horizontal="center" wrapText="1"/>
      <protection locked="0"/>
    </xf>
    <xf numFmtId="0" fontId="41" fillId="0" borderId="0"/>
    <xf numFmtId="0" fontId="41" fillId="0" borderId="0"/>
    <xf numFmtId="220" fontId="53" fillId="0" borderId="0" applyFont="0" applyFill="0" applyBorder="0" applyAlignment="0" applyProtection="0"/>
    <xf numFmtId="220" fontId="53" fillId="0" borderId="0" applyFont="0" applyFill="0" applyBorder="0" applyAlignment="0" applyProtection="0"/>
    <xf numFmtId="0" fontId="2" fillId="0" borderId="0"/>
    <xf numFmtId="220" fontId="53" fillId="0" borderId="0" applyFont="0" applyFill="0" applyBorder="0" applyAlignment="0" applyProtection="0"/>
    <xf numFmtId="220" fontId="53" fillId="0" borderId="0" applyFont="0" applyFill="0" applyBorder="0" applyAlignment="0" applyProtection="0"/>
    <xf numFmtId="0" fontId="2" fillId="0" borderId="0"/>
    <xf numFmtId="220" fontId="53" fillId="0" borderId="0" applyFont="0" applyFill="0" applyBorder="0" applyAlignment="0" applyProtection="0"/>
    <xf numFmtId="0" fontId="2" fillId="0" borderId="0"/>
    <xf numFmtId="182" fontId="2" fillId="0" borderId="0" applyFont="0" applyFill="0" applyBorder="0" applyAlignment="0" applyProtection="0"/>
    <xf numFmtId="221" fontId="2" fillId="0" borderId="0" applyFont="0" applyFill="0" applyBorder="0" applyAlignment="0" applyProtection="0"/>
    <xf numFmtId="221" fontId="2" fillId="0" borderId="0" applyFont="0" applyFill="0" applyBorder="0" applyAlignment="0" applyProtection="0"/>
    <xf numFmtId="222" fontId="53" fillId="0" borderId="0" applyFont="0" applyFill="0" applyBorder="0" applyAlignment="0" applyProtection="0"/>
    <xf numFmtId="222" fontId="53" fillId="0" borderId="0" applyFont="0" applyFill="0" applyBorder="0" applyAlignment="0" applyProtection="0"/>
    <xf numFmtId="0" fontId="2" fillId="0" borderId="0"/>
    <xf numFmtId="222" fontId="53" fillId="0" borderId="0" applyFont="0" applyFill="0" applyBorder="0" applyAlignment="0" applyProtection="0"/>
    <xf numFmtId="222" fontId="53" fillId="0" borderId="0" applyFont="0" applyFill="0" applyBorder="0" applyAlignment="0" applyProtection="0"/>
    <xf numFmtId="0" fontId="2" fillId="0" borderId="0"/>
    <xf numFmtId="222" fontId="53" fillId="0" borderId="0" applyFont="0" applyFill="0" applyBorder="0" applyAlignment="0" applyProtection="0"/>
    <xf numFmtId="0" fontId="2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2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2" fillId="0" borderId="0"/>
    <xf numFmtId="0" fontId="2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2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77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2" fillId="0" borderId="0"/>
    <xf numFmtId="9" fontId="141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0" fontId="2" fillId="0" borderId="0"/>
    <xf numFmtId="9" fontId="78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0" fontId="2" fillId="0" borderId="0"/>
    <xf numFmtId="9" fontId="78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9" fontId="78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5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55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9" fontId="78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0" fontId="2" fillId="0" borderId="0"/>
    <xf numFmtId="9" fontId="78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14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14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14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14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14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14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82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2" fillId="0" borderId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7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9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82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141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5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5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49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141" fillId="0" borderId="0" applyFont="0" applyFill="0" applyBorder="0" applyAlignment="0" applyProtection="0"/>
    <xf numFmtId="0" fontId="2" fillId="0" borderId="0"/>
    <xf numFmtId="9" fontId="4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223" fontId="74" fillId="0" borderId="0"/>
    <xf numFmtId="224" fontId="116" fillId="0" borderId="0" applyFont="0" applyFill="0" applyBorder="0" applyProtection="0">
      <alignment horizontal="center"/>
    </xf>
    <xf numFmtId="198" fontId="2" fillId="0" borderId="0" applyFill="0" applyBorder="0" applyAlignment="0"/>
    <xf numFmtId="179" fontId="2" fillId="0" borderId="0" applyFill="0" applyBorder="0" applyAlignment="0"/>
    <xf numFmtId="198" fontId="2" fillId="0" borderId="0" applyFill="0" applyBorder="0" applyAlignment="0"/>
    <xf numFmtId="181" fontId="2" fillId="0" borderId="0" applyFill="0" applyBorder="0" applyAlignment="0"/>
    <xf numFmtId="179" fontId="2" fillId="0" borderId="0" applyFill="0" applyBorder="0" applyAlignment="0"/>
    <xf numFmtId="0" fontId="4" fillId="0" borderId="0" applyFill="0" applyBorder="0">
      <alignment vertical="top"/>
    </xf>
    <xf numFmtId="0" fontId="2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0" fontId="4" fillId="0" borderId="0" applyFill="0" applyBorder="0">
      <alignment vertical="top"/>
    </xf>
    <xf numFmtId="225" fontId="41" fillId="0" borderId="0" applyFont="0" applyFill="0" applyBorder="0" applyAlignment="0" applyProtection="0"/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2" fillId="0" borderId="0"/>
    <xf numFmtId="0" fontId="4" fillId="0" borderId="0" applyNumberFormat="0" applyFont="0" applyFill="0" applyBorder="0" applyAlignment="0" applyProtection="0">
      <alignment horizontal="left"/>
    </xf>
    <xf numFmtId="188" fontId="4" fillId="0" borderId="0" applyNumberFormat="0" applyFont="0" applyFill="0" applyBorder="0" applyAlignment="0" applyProtection="0">
      <alignment horizontal="left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 applyNumberFormat="0" applyFont="0" applyFill="0" applyBorder="0" applyAlignment="0" applyProtection="0">
      <alignment horizontal="left"/>
    </xf>
    <xf numFmtId="0" fontId="2" fillId="0" borderId="0"/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2" fillId="0" borderId="0"/>
    <xf numFmtId="0" fontId="2" fillId="0" borderId="0"/>
    <xf numFmtId="0" fontId="2" fillId="0" borderId="0"/>
    <xf numFmtId="0" fontId="2" fillId="0" borderId="0"/>
    <xf numFmtId="188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2" fillId="0" borderId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0" fontId="2" fillId="0" borderId="0"/>
    <xf numFmtId="15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0" fontId="2" fillId="0" borderId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0" fontId="2" fillId="0" borderId="0"/>
    <xf numFmtId="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0" fontId="2" fillId="0" borderId="0"/>
    <xf numFmtId="0" fontId="142" fillId="0" borderId="71">
      <alignment horizontal="center"/>
    </xf>
    <xf numFmtId="0" fontId="142" fillId="0" borderId="71">
      <alignment horizontal="center"/>
    </xf>
    <xf numFmtId="0" fontId="142" fillId="0" borderId="71">
      <alignment horizontal="center"/>
    </xf>
    <xf numFmtId="0" fontId="142" fillId="0" borderId="71">
      <alignment horizontal="center"/>
    </xf>
    <xf numFmtId="0" fontId="142" fillId="0" borderId="71">
      <alignment horizontal="center"/>
    </xf>
    <xf numFmtId="0" fontId="2" fillId="0" borderId="0"/>
    <xf numFmtId="0" fontId="142" fillId="0" borderId="71">
      <alignment horizontal="center"/>
    </xf>
    <xf numFmtId="0" fontId="2" fillId="0" borderId="0"/>
    <xf numFmtId="0" fontId="2" fillId="0" borderId="0"/>
    <xf numFmtId="188" fontId="142" fillId="0" borderId="71">
      <alignment horizontal="center"/>
    </xf>
    <xf numFmtId="0" fontId="2" fillId="0" borderId="0"/>
    <xf numFmtId="0" fontId="2" fillId="0" borderId="0"/>
    <xf numFmtId="0" fontId="142" fillId="0" borderId="71">
      <alignment horizontal="center"/>
    </xf>
    <xf numFmtId="0" fontId="2" fillId="0" borderId="0"/>
    <xf numFmtId="0" fontId="2" fillId="0" borderId="0"/>
    <xf numFmtId="0" fontId="142" fillId="0" borderId="71">
      <alignment horizontal="center"/>
    </xf>
    <xf numFmtId="0" fontId="142" fillId="0" borderId="71">
      <alignment horizontal="center"/>
    </xf>
    <xf numFmtId="188" fontId="142" fillId="0" borderId="71">
      <alignment horizont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2" fillId="0" borderId="71">
      <alignment horizont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2" fillId="0" borderId="71">
      <alignment horizont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2" fillId="0" borderId="71">
      <alignment horizont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2" fillId="0" borderId="71">
      <alignment horizont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2" fillId="0" borderId="71">
      <alignment horizontal="center"/>
    </xf>
    <xf numFmtId="0" fontId="142" fillId="0" borderId="71">
      <alignment horizontal="center"/>
    </xf>
    <xf numFmtId="0" fontId="2" fillId="0" borderId="0"/>
    <xf numFmtId="188" fontId="142" fillId="0" borderId="71">
      <alignment horizont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142" fillId="0" borderId="71">
      <alignment horizontal="center"/>
    </xf>
    <xf numFmtId="188" fontId="142" fillId="0" borderId="71">
      <alignment horizontal="center"/>
    </xf>
    <xf numFmtId="0" fontId="2" fillId="0" borderId="0"/>
    <xf numFmtId="0" fontId="142" fillId="0" borderId="71">
      <alignment horizontal="center"/>
    </xf>
    <xf numFmtId="0" fontId="142" fillId="0" borderId="71">
      <alignment horizont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2" fillId="0" borderId="71">
      <alignment horizontal="center"/>
    </xf>
    <xf numFmtId="0" fontId="142" fillId="0" borderId="71">
      <alignment horizontal="center"/>
    </xf>
    <xf numFmtId="0" fontId="142" fillId="0" borderId="71">
      <alignment horizont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2" fillId="0" borderId="71">
      <alignment horizontal="center"/>
    </xf>
    <xf numFmtId="0" fontId="142" fillId="0" borderId="71">
      <alignment horizontal="center"/>
    </xf>
    <xf numFmtId="0" fontId="142" fillId="0" borderId="71">
      <alignment horizontal="center"/>
    </xf>
    <xf numFmtId="0" fontId="142" fillId="0" borderId="71">
      <alignment horizontal="center"/>
    </xf>
    <xf numFmtId="0" fontId="142" fillId="0" borderId="71">
      <alignment horizontal="center"/>
    </xf>
    <xf numFmtId="0" fontId="142" fillId="0" borderId="71">
      <alignment horizontal="center"/>
    </xf>
    <xf numFmtId="0" fontId="142" fillId="0" borderId="71">
      <alignment horizontal="center"/>
    </xf>
    <xf numFmtId="0" fontId="142" fillId="0" borderId="71">
      <alignment horizontal="center"/>
    </xf>
    <xf numFmtId="0" fontId="142" fillId="0" borderId="71">
      <alignment horizontal="center"/>
    </xf>
    <xf numFmtId="0" fontId="142" fillId="0" borderId="71">
      <alignment horizontal="center"/>
    </xf>
    <xf numFmtId="0" fontId="2" fillId="0" borderId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2" fillId="0" borderId="0"/>
    <xf numFmtId="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2" fillId="0" borderId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2" fillId="0" borderId="0"/>
    <xf numFmtId="0" fontId="4" fillId="101" borderId="0" applyNumberFormat="0" applyFont="0" applyBorder="0" applyAlignment="0" applyProtection="0"/>
    <xf numFmtId="188" fontId="4" fillId="101" borderId="0" applyNumberFormat="0" applyFon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101" borderId="0" applyNumberFormat="0" applyFont="0" applyBorder="0" applyAlignment="0" applyProtection="0"/>
    <xf numFmtId="0" fontId="2" fillId="0" borderId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88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4" fillId="101" borderId="0" applyNumberFormat="0" applyFont="0" applyBorder="0" applyAlignment="0" applyProtection="0"/>
    <xf numFmtId="0" fontId="2" fillId="0" borderId="0"/>
    <xf numFmtId="38" fontId="2" fillId="0" borderId="0" applyFill="0" applyBorder="0">
      <alignment horizontal="center" vertical="top"/>
    </xf>
    <xf numFmtId="38" fontId="2" fillId="0" borderId="0" applyFill="0" applyBorder="0">
      <alignment horizontal="center" vertical="top"/>
    </xf>
    <xf numFmtId="0" fontId="143" fillId="102" borderId="0" applyNumberFormat="0" applyFont="0" applyBorder="0" applyAlignment="0">
      <alignment horizontal="center"/>
    </xf>
    <xf numFmtId="0" fontId="2" fillId="0" borderId="0"/>
    <xf numFmtId="0" fontId="2" fillId="0" borderId="0"/>
    <xf numFmtId="0" fontId="2" fillId="0" borderId="0"/>
    <xf numFmtId="38" fontId="144" fillId="91" borderId="58">
      <alignment horizontal="right"/>
    </xf>
    <xf numFmtId="0" fontId="64" fillId="0" borderId="0" applyNumberFormat="0" applyFill="0" applyBorder="0" applyAlignment="0" applyProtection="0">
      <alignment horizontal="left"/>
    </xf>
    <xf numFmtId="38" fontId="64" fillId="0" borderId="0"/>
    <xf numFmtId="0" fontId="47" fillId="0" borderId="0" applyFill="0" applyBorder="0" applyProtection="0">
      <alignment horizontal="left" wrapText="1"/>
    </xf>
    <xf numFmtId="3" fontId="42" fillId="90" borderId="62" applyNumberFormat="0" applyFill="0" applyBorder="0" applyProtection="0">
      <alignment horizontal="left"/>
    </xf>
    <xf numFmtId="38" fontId="2" fillId="103" borderId="0" applyNumberFormat="0" applyFont="0" applyBorder="0" applyAlignment="0" applyProtection="0"/>
    <xf numFmtId="38" fontId="2" fillId="103" borderId="0" applyNumberFormat="0" applyFont="0" applyBorder="0" applyAlignment="0" applyProtection="0"/>
    <xf numFmtId="0" fontId="2" fillId="0" borderId="0"/>
    <xf numFmtId="0" fontId="2" fillId="0" borderId="0"/>
    <xf numFmtId="38" fontId="2" fillId="103" borderId="0" applyNumberFormat="0" applyFont="0" applyBorder="0" applyAlignment="0" applyProtection="0"/>
    <xf numFmtId="38" fontId="2" fillId="103" borderId="0" applyNumberFormat="0" applyFon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8" fontId="2" fillId="103" borderId="0" applyNumberFormat="0" applyFont="0" applyBorder="0" applyAlignment="0" applyProtection="0"/>
    <xf numFmtId="0" fontId="2" fillId="0" borderId="0"/>
    <xf numFmtId="0" fontId="2" fillId="0" borderId="0"/>
    <xf numFmtId="38" fontId="2" fillId="103" borderId="0" applyNumberFormat="0" applyFont="0" applyBorder="0" applyAlignment="0" applyProtection="0"/>
    <xf numFmtId="0" fontId="2" fillId="0" borderId="0"/>
    <xf numFmtId="0" fontId="2" fillId="0" borderId="0"/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3" fillId="1" borderId="78" applyNumberFormat="0" applyFont="0" applyAlignment="0">
      <alignment horizontal="center"/>
    </xf>
    <xf numFmtId="0" fontId="145" fillId="84" borderId="0" applyAlignment="0"/>
    <xf numFmtId="0" fontId="2" fillId="0" borderId="0"/>
    <xf numFmtId="0" fontId="2" fillId="0" borderId="0"/>
    <xf numFmtId="0" fontId="2" fillId="0" borderId="0"/>
    <xf numFmtId="37" fontId="146" fillId="0" borderId="0" applyNumberFormat="0">
      <alignment horizontal="left"/>
    </xf>
    <xf numFmtId="0" fontId="147" fillId="0" borderId="0" applyNumberFormat="0" applyFill="0" applyBorder="0" applyAlignment="0">
      <alignment horizontal="center"/>
    </xf>
    <xf numFmtId="0" fontId="2" fillId="104" borderId="0"/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4" fontId="2" fillId="105" borderId="60">
      <alignment horizontal="right"/>
    </xf>
    <xf numFmtId="0" fontId="148" fillId="0" borderId="45">
      <alignment horizontal="center"/>
    </xf>
    <xf numFmtId="0" fontId="52" fillId="0" borderId="0"/>
    <xf numFmtId="0" fontId="2" fillId="0" borderId="0"/>
    <xf numFmtId="0" fontId="2" fillId="0" borderId="0"/>
    <xf numFmtId="0" fontId="53" fillId="0" borderId="0"/>
    <xf numFmtId="0" fontId="2" fillId="0" borderId="0"/>
    <xf numFmtId="0" fontId="2" fillId="0" borderId="0"/>
    <xf numFmtId="0" fontId="2" fillId="0" borderId="0"/>
    <xf numFmtId="37" fontId="4" fillId="0" borderId="0" applyFont="0" applyFill="0" applyBorder="0" applyAlignment="0" applyProtection="0"/>
    <xf numFmtId="0" fontId="2" fillId="0" borderId="0"/>
    <xf numFmtId="0" fontId="2" fillId="0" borderId="0"/>
    <xf numFmtId="0" fontId="54" fillId="0" borderId="0"/>
    <xf numFmtId="0" fontId="2" fillId="0" borderId="0"/>
    <xf numFmtId="37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2" fillId="0" borderId="0"/>
    <xf numFmtId="0" fontId="2" fillId="0" borderId="0"/>
    <xf numFmtId="0" fontId="141" fillId="0" borderId="0">
      <alignment vertical="top"/>
    </xf>
    <xf numFmtId="0" fontId="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8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8" fontId="4" fillId="0" borderId="0" applyFont="0" applyFill="0" applyBorder="0" applyAlignment="0" applyProtection="0"/>
    <xf numFmtId="0" fontId="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8" fontId="4" fillId="0" borderId="0" applyFont="0" applyFill="0" applyBorder="0" applyAlignment="0" applyProtection="0"/>
    <xf numFmtId="0" fontId="53" fillId="0" borderId="0"/>
    <xf numFmtId="0" fontId="2" fillId="0" borderId="0"/>
    <xf numFmtId="0" fontId="2" fillId="0" borderId="0"/>
    <xf numFmtId="38" fontId="4" fillId="0" borderId="0" applyFont="0" applyFill="0" applyBorder="0" applyAlignment="0" applyProtection="0"/>
    <xf numFmtId="0" fontId="148" fillId="0" borderId="0">
      <alignment horizontal="center" vertical="center"/>
    </xf>
    <xf numFmtId="0" fontId="149" fillId="94" borderId="0" applyNumberFormat="0" applyFill="0">
      <alignment horizontal="left" vertical="center"/>
    </xf>
    <xf numFmtId="0" fontId="150" fillId="0" borderId="56"/>
    <xf numFmtId="40" fontId="151" fillId="0" borderId="0" applyBorder="0">
      <alignment horizontal="right"/>
    </xf>
    <xf numFmtId="0" fontId="2" fillId="0" borderId="0"/>
    <xf numFmtId="0" fontId="2" fillId="0" borderId="0"/>
    <xf numFmtId="0" fontId="2" fillId="0" borderId="0"/>
    <xf numFmtId="0" fontId="2" fillId="0" borderId="0"/>
    <xf numFmtId="37" fontId="152" fillId="0" borderId="0" applyNumberFormat="0">
      <alignment horizontal="left"/>
    </xf>
    <xf numFmtId="0" fontId="2" fillId="0" borderId="0"/>
    <xf numFmtId="0" fontId="2" fillId="0" borderId="0"/>
    <xf numFmtId="37" fontId="153" fillId="0" borderId="0" applyNumberFormat="0">
      <alignment horizontal="left"/>
    </xf>
    <xf numFmtId="0" fontId="2" fillId="0" borderId="0"/>
    <xf numFmtId="0" fontId="2" fillId="0" borderId="0"/>
    <xf numFmtId="0" fontId="2" fillId="0" borderId="0"/>
    <xf numFmtId="37" fontId="154" fillId="0" borderId="0" applyNumberFormat="0">
      <alignment horizontal="left"/>
    </xf>
    <xf numFmtId="0" fontId="74" fillId="96" borderId="45" applyNumberFormat="0" applyAlignment="0">
      <alignment horizont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26" fontId="144" fillId="0" borderId="0"/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0" fontId="55" fillId="63" borderId="60">
      <alignment horizontal="left"/>
    </xf>
    <xf numFmtId="49" fontId="55" fillId="0" borderId="0" applyFill="0" applyBorder="0" applyAlignment="0"/>
    <xf numFmtId="227" fontId="2" fillId="0" borderId="0" applyFill="0" applyBorder="0" applyAlignment="0"/>
    <xf numFmtId="228" fontId="2" fillId="0" borderId="0" applyFill="0" applyBorder="0" applyAlignment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229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230" fontId="2" fillId="0" borderId="0"/>
    <xf numFmtId="0" fontId="2" fillId="0" borderId="0"/>
    <xf numFmtId="0" fontId="2" fillId="0" borderId="0"/>
    <xf numFmtId="0" fontId="2" fillId="0" borderId="0"/>
    <xf numFmtId="230" fontId="2" fillId="0" borderId="0"/>
    <xf numFmtId="0" fontId="2" fillId="0" borderId="0"/>
    <xf numFmtId="0" fontId="2" fillId="0" borderId="0"/>
    <xf numFmtId="23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31" fontId="2" fillId="0" borderId="0"/>
    <xf numFmtId="0" fontId="2" fillId="0" borderId="0"/>
    <xf numFmtId="0" fontId="2" fillId="0" borderId="0"/>
    <xf numFmtId="0" fontId="2" fillId="0" borderId="0"/>
    <xf numFmtId="231" fontId="2" fillId="0" borderId="0"/>
    <xf numFmtId="0" fontId="2" fillId="0" borderId="0"/>
    <xf numFmtId="0" fontId="2" fillId="0" borderId="0"/>
    <xf numFmtId="231" fontId="2" fillId="0" borderId="0"/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232" fontId="73" fillId="65" borderId="60">
      <alignment horizontal="right"/>
    </xf>
    <xf numFmtId="40" fontId="155" fillId="0" borderId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9" fillId="0" borderId="0" applyNumberFormat="0" applyFill="0" applyBorder="0" applyAlignment="0" applyProtection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188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188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188" fontId="157" fillId="0" borderId="0" applyNumberFormat="0" applyFill="0" applyBorder="0" applyAlignment="0" applyProtection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156" fillId="0" borderId="0" applyNumberFormat="0" applyFill="0" applyBorder="0" applyAlignment="0" applyProtection="0"/>
    <xf numFmtId="188" fontId="156" fillId="0" borderId="0" applyNumberFormat="0" applyFill="0" applyBorder="0" applyAlignment="0" applyProtection="0"/>
    <xf numFmtId="0" fontId="2" fillId="0" borderId="0"/>
    <xf numFmtId="0" fontId="157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2" fillId="0" borderId="0"/>
    <xf numFmtId="0" fontId="2" fillId="0" borderId="0"/>
    <xf numFmtId="0" fontId="15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 applyAlignment="0" applyProtection="0"/>
    <xf numFmtId="0" fontId="158" fillId="106" borderId="0" applyNumberFormat="0" applyFont="0" applyBorder="0" applyAlignment="0">
      <alignment wrapText="1"/>
    </xf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6" fillId="0" borderId="53" applyNumberFormat="0" applyFill="0" applyAlignment="0" applyProtection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6" fillId="0" borderId="79" applyNumberFormat="0" applyFill="0" applyAlignment="0" applyProtection="0"/>
    <xf numFmtId="0" fontId="159" fillId="0" borderId="79" applyNumberFormat="0" applyFill="0" applyAlignment="0" applyProtection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159" fillId="0" borderId="80" applyNumberFormat="0" applyFill="0" applyAlignment="0" applyProtection="0"/>
    <xf numFmtId="0" fontId="2" fillId="0" borderId="0"/>
    <xf numFmtId="188" fontId="159" fillId="0" borderId="79" applyNumberFormat="0" applyFill="0" applyAlignment="0" applyProtection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188" fontId="6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59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160" fillId="0" borderId="7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2" fillId="0" borderId="81" applyNumberFormat="0" applyFont="0" applyFill="0" applyAlignment="0" applyProtection="0"/>
    <xf numFmtId="0" fontId="2" fillId="0" borderId="81" applyNumberFormat="0" applyFont="0" applyFill="0" applyAlignment="0" applyProtection="0"/>
    <xf numFmtId="0" fontId="2" fillId="0" borderId="0"/>
    <xf numFmtId="0" fontId="2" fillId="0" borderId="0"/>
    <xf numFmtId="188" fontId="159" fillId="0" borderId="80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2" fillId="0" borderId="81" applyNumberFormat="0" applyFon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81" applyNumberFormat="0" applyFon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81" applyNumberFormat="0" applyFont="0" applyFill="0" applyAlignment="0" applyProtection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81" applyNumberFormat="0" applyFont="0" applyFill="0" applyAlignment="0" applyProtection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80" applyNumberFormat="0" applyFill="0" applyAlignment="0" applyProtection="0"/>
    <xf numFmtId="0" fontId="2" fillId="0" borderId="0"/>
    <xf numFmtId="0" fontId="2" fillId="0" borderId="0"/>
    <xf numFmtId="0" fontId="159" fillId="0" borderId="7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59" fillId="0" borderId="80" applyNumberFormat="0" applyFill="0" applyAlignment="0" applyProtection="0"/>
    <xf numFmtId="233" fontId="49" fillId="0" borderId="0" applyFont="0" applyFill="0" applyBorder="0" applyAlignment="0" applyProtection="0"/>
    <xf numFmtId="234" fontId="161" fillId="0" borderId="0" applyFont="0" applyFill="0" applyBorder="0" applyAlignment="0" applyProtection="0"/>
    <xf numFmtId="0" fontId="162" fillId="86" borderId="0">
      <alignment horizontal="center"/>
    </xf>
    <xf numFmtId="235" fontId="161" fillId="0" borderId="0" applyFont="0" applyFill="0" applyBorder="0" applyAlignment="0" applyProtection="0"/>
    <xf numFmtId="236" fontId="161" fillId="0" borderId="0" applyFont="0" applyFill="0" applyBorder="0" applyAlignment="0" applyProtection="0"/>
    <xf numFmtId="237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15" fillId="0" borderId="0" applyNumberFormat="0" applyFill="0" applyBorder="0" applyAlignment="0" applyProtection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188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188" fontId="15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1" fillId="0" borderId="0" applyNumberFormat="0" applyFill="0" applyBorder="0" applyAlignment="0" applyProtection="0"/>
    <xf numFmtId="0" fontId="163" fillId="0" borderId="82" applyNumberFormat="0" applyBorder="0">
      <alignment wrapText="1"/>
    </xf>
    <xf numFmtId="1" fontId="2" fillId="0" borderId="0" applyFont="0" applyFill="0" applyBorder="0" applyAlignment="0" applyProtection="0"/>
    <xf numFmtId="239" fontId="164" fillId="100" borderId="0" applyFont="0" applyFill="0"/>
  </cellStyleXfs>
  <cellXfs count="848">
    <xf numFmtId="0" fontId="0" fillId="0" borderId="0" xfId="0"/>
    <xf numFmtId="0" fontId="0" fillId="0" borderId="0" xfId="0" applyFont="1"/>
    <xf numFmtId="0" fontId="0" fillId="0" borderId="0" xfId="0" applyFont="1" applyFill="1"/>
    <xf numFmtId="0" fontId="7" fillId="0" borderId="0" xfId="0" applyFont="1" applyFill="1"/>
    <xf numFmtId="0" fontId="0" fillId="0" borderId="0" xfId="0" applyFont="1" applyFill="1" applyAlignment="1"/>
    <xf numFmtId="0" fontId="7" fillId="0" borderId="0" xfId="0" applyFont="1" applyFill="1" applyAlignment="1">
      <alignment horizontal="right"/>
    </xf>
    <xf numFmtId="0" fontId="0" fillId="0" borderId="0" xfId="0" applyBorder="1"/>
    <xf numFmtId="0" fontId="0" fillId="0" borderId="0" xfId="0" applyFont="1" applyFill="1" applyAlignment="1">
      <alignment vertical="center"/>
    </xf>
    <xf numFmtId="4" fontId="0" fillId="0" borderId="0" xfId="0" applyNumberFormat="1"/>
    <xf numFmtId="0" fontId="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7" fillId="0" borderId="0" xfId="0" applyFont="1" applyFill="1" applyAlignment="1"/>
    <xf numFmtId="165" fontId="7" fillId="0" borderId="0" xfId="0" applyNumberFormat="1" applyFont="1" applyFill="1" applyAlignment="1"/>
    <xf numFmtId="165" fontId="7" fillId="0" borderId="0" xfId="0" applyNumberFormat="1" applyFont="1" applyFill="1" applyAlignment="1"/>
    <xf numFmtId="9" fontId="7" fillId="0" borderId="0" xfId="0" applyNumberFormat="1" applyFont="1" applyFill="1" applyAlignment="1"/>
    <xf numFmtId="10" fontId="7" fillId="0" borderId="0" xfId="0" applyNumberFormat="1" applyFont="1" applyFill="1" applyBorder="1" applyAlignment="1">
      <alignment horizontal="center"/>
    </xf>
    <xf numFmtId="0" fontId="6" fillId="0" borderId="0" xfId="0" applyFont="1"/>
    <xf numFmtId="0" fontId="5" fillId="3" borderId="1" xfId="0" applyFont="1" applyFill="1" applyBorder="1" applyAlignment="1">
      <alignment horizontal="center"/>
    </xf>
    <xf numFmtId="0" fontId="0" fillId="0" borderId="1" xfId="0" applyBorder="1"/>
    <xf numFmtId="0" fontId="12" fillId="0" borderId="0" xfId="25"/>
    <xf numFmtId="0" fontId="12" fillId="0" borderId="0" xfId="25" applyAlignment="1">
      <alignment vertical="top"/>
    </xf>
    <xf numFmtId="0" fontId="13" fillId="8" borderId="0" xfId="0" applyFont="1" applyFill="1"/>
    <xf numFmtId="9" fontId="3" fillId="3" borderId="1" xfId="2" applyFont="1" applyFill="1" applyBorder="1" applyAlignment="1">
      <alignment horizontal="center" vertical="center" wrapText="1"/>
    </xf>
    <xf numFmtId="165" fontId="3" fillId="4" borderId="1" xfId="0" applyNumberFormat="1" applyFont="1" applyFill="1" applyBorder="1" applyAlignment="1">
      <alignment horizontal="center" vertical="center" wrapText="1"/>
    </xf>
    <xf numFmtId="164" fontId="3" fillId="4" borderId="1" xfId="1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/>
    </xf>
    <xf numFmtId="164" fontId="3" fillId="4" borderId="3" xfId="1" applyNumberFormat="1" applyFont="1" applyFill="1" applyBorder="1" applyAlignment="1">
      <alignment horizontal="center" vertical="center" wrapText="1"/>
    </xf>
    <xf numFmtId="0" fontId="3" fillId="4" borderId="11" xfId="2" applyNumberFormat="1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left"/>
    </xf>
    <xf numFmtId="0" fontId="3" fillId="4" borderId="13" xfId="2" applyNumberFormat="1" applyFont="1" applyFill="1" applyBorder="1" applyAlignment="1">
      <alignment horizontal="center" vertical="center" wrapText="1"/>
    </xf>
    <xf numFmtId="3" fontId="0" fillId="5" borderId="3" xfId="0" applyNumberFormat="1" applyFill="1" applyBorder="1"/>
    <xf numFmtId="0" fontId="5" fillId="3" borderId="1" xfId="2" applyNumberFormat="1" applyFont="1" applyFill="1" applyBorder="1" applyAlignment="1">
      <alignment horizontal="center" vertical="center"/>
    </xf>
    <xf numFmtId="44" fontId="7" fillId="0" borderId="1" xfId="0" applyNumberFormat="1" applyFont="1" applyFill="1" applyBorder="1" applyAlignment="1"/>
    <xf numFmtId="0" fontId="7" fillId="5" borderId="1" xfId="0" applyFont="1" applyFill="1" applyBorder="1" applyAlignment="1">
      <alignment horizontal="right"/>
    </xf>
    <xf numFmtId="10" fontId="7" fillId="5" borderId="1" xfId="3" applyNumberFormat="1" applyFont="1" applyFill="1" applyBorder="1" applyAlignment="1">
      <alignment horizontal="right"/>
    </xf>
    <xf numFmtId="170" fontId="7" fillId="5" borderId="1" xfId="1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right"/>
    </xf>
    <xf numFmtId="0" fontId="7" fillId="0" borderId="1" xfId="0" applyFont="1" applyFill="1" applyBorder="1" applyAlignment="1"/>
    <xf numFmtId="10" fontId="7" fillId="0" borderId="1" xfId="3" applyNumberFormat="1" applyFont="1" applyFill="1" applyBorder="1" applyAlignment="1"/>
    <xf numFmtId="0" fontId="5" fillId="3" borderId="1" xfId="0" applyFont="1" applyFill="1" applyBorder="1" applyAlignment="1">
      <alignment horizontal="center" vertical="center"/>
    </xf>
    <xf numFmtId="0" fontId="11" fillId="0" borderId="1" xfId="0" applyFont="1" applyFill="1" applyBorder="1"/>
    <xf numFmtId="0" fontId="7" fillId="0" borderId="4" xfId="0" applyFont="1" applyFill="1" applyBorder="1" applyAlignment="1"/>
    <xf numFmtId="0" fontId="7" fillId="0" borderId="4" xfId="0" applyFont="1" applyFill="1" applyBorder="1" applyAlignment="1">
      <alignment horizontal="right"/>
    </xf>
    <xf numFmtId="9" fontId="3" fillId="3" borderId="2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7" fillId="0" borderId="0" xfId="0" applyFont="1" applyFill="1" applyBorder="1" applyAlignment="1"/>
    <xf numFmtId="0" fontId="7" fillId="0" borderId="4" xfId="0" applyFont="1" applyFill="1" applyBorder="1" applyAlignment="1">
      <alignment horizontal="center"/>
    </xf>
    <xf numFmtId="165" fontId="7" fillId="0" borderId="0" xfId="0" applyNumberFormat="1" applyFont="1" applyFill="1" applyBorder="1" applyAlignment="1"/>
    <xf numFmtId="0" fontId="7" fillId="0" borderId="11" xfId="0" applyFont="1" applyFill="1" applyBorder="1" applyAlignment="1">
      <alignment horizontal="right"/>
    </xf>
    <xf numFmtId="0" fontId="15" fillId="0" borderId="0" xfId="26"/>
    <xf numFmtId="0" fontId="0" fillId="0" borderId="0" xfId="0" applyFont="1" applyProtection="1">
      <protection locked="0"/>
    </xf>
    <xf numFmtId="0" fontId="12" fillId="0" borderId="0" xfId="25" applyProtection="1">
      <protection locked="0"/>
    </xf>
    <xf numFmtId="0" fontId="0" fillId="0" borderId="0" xfId="0" applyFont="1" applyFill="1" applyAlignment="1" applyProtection="1">
      <alignment horizontal="left"/>
      <protection locked="0"/>
    </xf>
    <xf numFmtId="0" fontId="0" fillId="0" borderId="0" xfId="0" applyFont="1" applyFill="1" applyProtection="1">
      <protection locked="0"/>
    </xf>
    <xf numFmtId="167" fontId="10" fillId="6" borderId="1" xfId="1" applyNumberFormat="1" applyFont="1" applyFill="1" applyBorder="1" applyAlignment="1" applyProtection="1">
      <alignment horizontal="right" indent="1"/>
      <protection locked="0"/>
    </xf>
    <xf numFmtId="41" fontId="7" fillId="0" borderId="1" xfId="1" applyNumberFormat="1" applyFont="1" applyFill="1" applyBorder="1" applyAlignment="1" applyProtection="1">
      <alignment horizontal="right" indent="1"/>
      <protection locked="0"/>
    </xf>
    <xf numFmtId="168" fontId="0" fillId="0" borderId="1" xfId="0" applyNumberFormat="1" applyFont="1" applyFill="1" applyBorder="1" applyAlignment="1" applyProtection="1">
      <alignment horizontal="right" indent="1"/>
      <protection locked="0"/>
    </xf>
    <xf numFmtId="43" fontId="7" fillId="0" borderId="1" xfId="1" applyNumberFormat="1" applyFont="1" applyFill="1" applyBorder="1" applyAlignment="1" applyProtection="1">
      <alignment horizontal="right" indent="1"/>
      <protection locked="0"/>
    </xf>
    <xf numFmtId="42" fontId="0" fillId="0" borderId="1" xfId="0" applyNumberFormat="1" applyFont="1" applyFill="1" applyBorder="1" applyAlignment="1" applyProtection="1">
      <alignment horizontal="right"/>
      <protection locked="0"/>
    </xf>
    <xf numFmtId="42" fontId="10" fillId="6" borderId="1" xfId="1" applyNumberFormat="1" applyFont="1" applyFill="1" applyBorder="1" applyAlignment="1" applyProtection="1">
      <alignment horizontal="right" indent="1"/>
      <protection locked="0"/>
    </xf>
    <xf numFmtId="0" fontId="16" fillId="0" borderId="0" xfId="0" applyFont="1" applyProtection="1">
      <protection locked="0"/>
    </xf>
    <xf numFmtId="0" fontId="16" fillId="0" borderId="0" xfId="0" applyFont="1" applyAlignment="1" applyProtection="1">
      <alignment horizontal="left"/>
      <protection locked="0"/>
    </xf>
    <xf numFmtId="3" fontId="0" fillId="0" borderId="1" xfId="0" applyNumberFormat="1" applyFont="1" applyFill="1" applyBorder="1" applyAlignment="1" applyProtection="1">
      <alignment horizontal="right" indent="1"/>
      <protection locked="0"/>
    </xf>
    <xf numFmtId="0" fontId="7" fillId="12" borderId="1" xfId="0" applyNumberFormat="1" applyFont="1" applyFill="1" applyBorder="1" applyAlignment="1">
      <alignment horizontal="left"/>
    </xf>
    <xf numFmtId="0" fontId="7" fillId="0" borderId="0" xfId="0" applyNumberFormat="1" applyFont="1" applyFill="1" applyAlignment="1"/>
    <xf numFmtId="0" fontId="16" fillId="0" borderId="0" xfId="0" applyFont="1" applyFill="1" applyProtection="1">
      <protection locked="0"/>
    </xf>
    <xf numFmtId="4" fontId="7" fillId="0" borderId="0" xfId="0" applyNumberFormat="1" applyFont="1" applyFill="1" applyAlignment="1"/>
    <xf numFmtId="10" fontId="7" fillId="5" borderId="1" xfId="1" applyNumberFormat="1" applyFont="1" applyFill="1" applyBorder="1" applyAlignment="1">
      <alignment horizontal="right"/>
    </xf>
    <xf numFmtId="6" fontId="0" fillId="0" borderId="0" xfId="0" applyNumberFormat="1"/>
    <xf numFmtId="0" fontId="14" fillId="0" borderId="1" xfId="0" applyFont="1" applyBorder="1" applyAlignment="1">
      <alignment horizontal="left" vertical="center"/>
    </xf>
    <xf numFmtId="0" fontId="3" fillId="11" borderId="1" xfId="0" applyFont="1" applyFill="1" applyBorder="1" applyAlignment="1">
      <alignment horizontal="center" vertical="center"/>
    </xf>
    <xf numFmtId="165" fontId="7" fillId="7" borderId="0" xfId="0" applyNumberFormat="1" applyFont="1" applyFill="1" applyBorder="1" applyAlignment="1"/>
    <xf numFmtId="0" fontId="7" fillId="7" borderId="0" xfId="0" applyFont="1" applyFill="1" applyBorder="1" applyAlignment="1"/>
    <xf numFmtId="10" fontId="7" fillId="7" borderId="0" xfId="0" applyNumberFormat="1" applyFont="1" applyFill="1" applyBorder="1" applyAlignment="1"/>
    <xf numFmtId="4" fontId="7" fillId="7" borderId="0" xfId="0" applyNumberFormat="1" applyFont="1" applyFill="1" applyBorder="1" applyAlignment="1"/>
    <xf numFmtId="168" fontId="7" fillId="7" borderId="0" xfId="0" applyNumberFormat="1" applyFont="1" applyFill="1" applyBorder="1" applyAlignment="1"/>
    <xf numFmtId="165" fontId="7" fillId="7" borderId="17" xfId="0" applyNumberFormat="1" applyFont="1" applyFill="1" applyBorder="1" applyAlignment="1"/>
    <xf numFmtId="165" fontId="7" fillId="7" borderId="18" xfId="0" applyNumberFormat="1" applyFont="1" applyFill="1" applyBorder="1" applyAlignment="1"/>
    <xf numFmtId="0" fontId="7" fillId="7" borderId="18" xfId="0" applyFont="1" applyFill="1" applyBorder="1" applyAlignment="1"/>
    <xf numFmtId="0" fontId="7" fillId="7" borderId="19" xfId="0" applyFont="1" applyFill="1" applyBorder="1" applyAlignment="1"/>
    <xf numFmtId="165" fontId="7" fillId="7" borderId="20" xfId="0" applyNumberFormat="1" applyFont="1" applyFill="1" applyBorder="1" applyAlignment="1"/>
    <xf numFmtId="0" fontId="7" fillId="7" borderId="21" xfId="0" applyFont="1" applyFill="1" applyBorder="1" applyAlignment="1"/>
    <xf numFmtId="168" fontId="7" fillId="7" borderId="21" xfId="0" applyNumberFormat="1" applyFont="1" applyFill="1" applyBorder="1" applyAlignment="1"/>
    <xf numFmtId="165" fontId="7" fillId="7" borderId="22" xfId="0" applyNumberFormat="1" applyFont="1" applyFill="1" applyBorder="1" applyAlignment="1"/>
    <xf numFmtId="165" fontId="7" fillId="7" borderId="23" xfId="0" applyNumberFormat="1" applyFont="1" applyFill="1" applyBorder="1" applyAlignment="1"/>
    <xf numFmtId="0" fontId="7" fillId="7" borderId="23" xfId="0" applyFont="1" applyFill="1" applyBorder="1" applyAlignment="1"/>
    <xf numFmtId="0" fontId="7" fillId="7" borderId="24" xfId="0" applyFont="1" applyFill="1" applyBorder="1" applyAlignment="1"/>
    <xf numFmtId="41" fontId="0" fillId="0" borderId="1" xfId="0" applyNumberFormat="1" applyFont="1" applyFill="1" applyBorder="1" applyAlignment="1" applyProtection="1">
      <alignment horizontal="right" indent="1"/>
      <protection locked="0"/>
    </xf>
    <xf numFmtId="164" fontId="3" fillId="4" borderId="11" xfId="1" applyNumberFormat="1" applyFont="1" applyFill="1" applyBorder="1" applyAlignment="1">
      <alignment horizontal="center" vertical="center" wrapText="1"/>
    </xf>
    <xf numFmtId="164" fontId="3" fillId="4" borderId="14" xfId="1" applyNumberFormat="1" applyFont="1" applyFill="1" applyBorder="1" applyAlignment="1">
      <alignment horizontal="center" vertical="center" wrapText="1"/>
    </xf>
    <xf numFmtId="8" fontId="0" fillId="0" borderId="0" xfId="0" applyNumberFormat="1"/>
    <xf numFmtId="164" fontId="3" fillId="4" borderId="0" xfId="1" applyNumberFormat="1" applyFont="1" applyFill="1" applyBorder="1" applyAlignment="1">
      <alignment horizontal="center" vertical="center" wrapText="1"/>
    </xf>
    <xf numFmtId="164" fontId="3" fillId="4" borderId="8" xfId="1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9" fontId="7" fillId="5" borderId="2" xfId="0" applyNumberFormat="1" applyFont="1" applyFill="1" applyBorder="1" applyAlignment="1">
      <alignment horizontal="right" vertical="center"/>
    </xf>
    <xf numFmtId="171" fontId="7" fillId="0" borderId="1" xfId="1" applyNumberFormat="1" applyFont="1" applyFill="1" applyBorder="1" applyAlignment="1" applyProtection="1">
      <alignment horizontal="right" indent="1"/>
      <protection locked="0"/>
    </xf>
    <xf numFmtId="164" fontId="3" fillId="4" borderId="12" xfId="1" applyNumberFormat="1" applyFont="1" applyFill="1" applyBorder="1" applyAlignment="1">
      <alignment horizontal="center" vertical="center" wrapText="1"/>
    </xf>
    <xf numFmtId="171" fontId="7" fillId="5" borderId="12" xfId="1" applyNumberFormat="1" applyFont="1" applyFill="1" applyBorder="1" applyAlignment="1">
      <alignment horizontal="center" vertical="center"/>
    </xf>
    <xf numFmtId="164" fontId="3" fillId="3" borderId="6" xfId="1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Protection="1">
      <protection locked="0"/>
    </xf>
    <xf numFmtId="0" fontId="7" fillId="5" borderId="1" xfId="0" applyFont="1" applyFill="1" applyBorder="1" applyAlignment="1" applyProtection="1">
      <alignment horizontal="left"/>
      <protection locked="0"/>
    </xf>
    <xf numFmtId="167" fontId="0" fillId="0" borderId="0" xfId="0" applyNumberFormat="1" applyBorder="1"/>
    <xf numFmtId="0" fontId="0" fillId="0" borderId="34" xfId="0" applyBorder="1"/>
    <xf numFmtId="173" fontId="0" fillId="0" borderId="34" xfId="0" applyNumberFormat="1" applyBorder="1"/>
    <xf numFmtId="0" fontId="0" fillId="16" borderId="0" xfId="0" applyFill="1"/>
    <xf numFmtId="173" fontId="0" fillId="16" borderId="0" xfId="0" applyNumberFormat="1" applyFill="1"/>
    <xf numFmtId="8" fontId="0" fillId="16" borderId="0" xfId="0" applyNumberFormat="1" applyFill="1"/>
    <xf numFmtId="167" fontId="0" fillId="0" borderId="0" xfId="0" applyNumberFormat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14" borderId="0" xfId="0" applyFill="1" applyBorder="1"/>
    <xf numFmtId="0" fontId="0" fillId="9" borderId="0" xfId="0" applyFill="1" applyBorder="1"/>
    <xf numFmtId="0" fontId="0" fillId="17" borderId="0" xfId="0" applyFill="1" applyBorder="1"/>
    <xf numFmtId="0" fontId="0" fillId="11" borderId="0" xfId="0" applyFill="1" applyBorder="1"/>
    <xf numFmtId="167" fontId="0" fillId="14" borderId="0" xfId="0" applyNumberFormat="1" applyFill="1" applyBorder="1"/>
    <xf numFmtId="169" fontId="0" fillId="0" borderId="0" xfId="0" applyNumberFormat="1" applyBorder="1"/>
    <xf numFmtId="8" fontId="0" fillId="0" borderId="0" xfId="0" applyNumberFormat="1" applyFill="1" applyBorder="1"/>
    <xf numFmtId="173" fontId="0" fillId="0" borderId="0" xfId="0" applyNumberFormat="1" applyFill="1" applyBorder="1"/>
    <xf numFmtId="0" fontId="0" fillId="0" borderId="35" xfId="0" applyBorder="1" applyAlignment="1">
      <alignment horizontal="left"/>
    </xf>
    <xf numFmtId="167" fontId="0" fillId="0" borderId="39" xfId="0" applyNumberFormat="1" applyBorder="1"/>
    <xf numFmtId="167" fontId="0" fillId="0" borderId="34" xfId="0" applyNumberFormat="1" applyBorder="1"/>
    <xf numFmtId="14" fontId="0" fillId="0" borderId="38" xfId="0" applyNumberFormat="1" applyBorder="1"/>
    <xf numFmtId="0" fontId="0" fillId="0" borderId="36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0" xfId="0" quotePrefix="1"/>
    <xf numFmtId="173" fontId="0" fillId="0" borderId="0" xfId="0" applyNumberFormat="1"/>
    <xf numFmtId="167" fontId="0" fillId="16" borderId="0" xfId="0" applyNumberFormat="1" applyFill="1"/>
    <xf numFmtId="168" fontId="7" fillId="5" borderId="1" xfId="0" applyNumberFormat="1" applyFont="1" applyFill="1" applyBorder="1" applyAlignment="1">
      <alignment horizontal="left" vertical="center"/>
    </xf>
    <xf numFmtId="6" fontId="0" fillId="16" borderId="0" xfId="0" applyNumberFormat="1" applyFill="1"/>
    <xf numFmtId="0" fontId="0" fillId="0" borderId="0" xfId="0" applyFont="1" applyBorder="1" applyAlignment="1" applyProtection="1">
      <alignment horizontal="center" vertical="center"/>
      <protection locked="0"/>
    </xf>
    <xf numFmtId="0" fontId="7" fillId="0" borderId="0" xfId="1" applyNumberFormat="1" applyFont="1" applyFill="1" applyBorder="1" applyAlignment="1" applyProtection="1">
      <alignment horizontal="center" vertical="center"/>
      <protection locked="0"/>
    </xf>
    <xf numFmtId="9" fontId="7" fillId="0" borderId="1" xfId="1" applyNumberFormat="1" applyFont="1" applyFill="1" applyBorder="1" applyAlignment="1" applyProtection="1">
      <alignment horizontal="right" indent="1"/>
      <protection locked="0"/>
    </xf>
    <xf numFmtId="171" fontId="20" fillId="5" borderId="5" xfId="1" applyNumberFormat="1" applyFont="1" applyFill="1" applyBorder="1" applyAlignment="1">
      <alignment horizontal="right" vertical="center"/>
    </xf>
    <xf numFmtId="0" fontId="7" fillId="5" borderId="11" xfId="0" applyFont="1" applyFill="1" applyBorder="1" applyAlignment="1" applyProtection="1">
      <alignment horizontal="left"/>
      <protection locked="0"/>
    </xf>
    <xf numFmtId="9" fontId="7" fillId="0" borderId="11" xfId="1" applyNumberFormat="1" applyFont="1" applyFill="1" applyBorder="1" applyAlignment="1" applyProtection="1">
      <alignment horizontal="right" indent="1"/>
      <protection locked="0"/>
    </xf>
    <xf numFmtId="171" fontId="7" fillId="0" borderId="11" xfId="1" applyNumberFormat="1" applyFont="1" applyFill="1" applyBorder="1" applyAlignment="1" applyProtection="1">
      <alignment horizontal="right" indent="1"/>
      <protection locked="0"/>
    </xf>
    <xf numFmtId="41" fontId="7" fillId="5" borderId="3" xfId="1" applyNumberFormat="1" applyFont="1" applyFill="1" applyBorder="1" applyAlignment="1">
      <alignment horizontal="right" vertical="center"/>
    </xf>
    <xf numFmtId="167" fontId="7" fillId="5" borderId="1" xfId="1" applyNumberFormat="1" applyFont="1" applyFill="1" applyBorder="1" applyAlignment="1">
      <alignment horizontal="right" vertical="center"/>
    </xf>
    <xf numFmtId="9" fontId="3" fillId="3" borderId="5" xfId="2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4" fontId="7" fillId="0" borderId="1" xfId="1" applyNumberFormat="1" applyFont="1" applyFill="1" applyBorder="1" applyAlignment="1" applyProtection="1">
      <alignment horizontal="center"/>
      <protection locked="0"/>
    </xf>
    <xf numFmtId="164" fontId="3" fillId="4" borderId="5" xfId="1" applyNumberFormat="1" applyFont="1" applyFill="1" applyBorder="1" applyAlignment="1">
      <alignment horizontal="center" vertical="center" wrapText="1"/>
    </xf>
    <xf numFmtId="0" fontId="14" fillId="0" borderId="0" xfId="0" applyFont="1"/>
    <xf numFmtId="41" fontId="7" fillId="0" borderId="11" xfId="1" applyNumberFormat="1" applyFont="1" applyFill="1" applyBorder="1" applyAlignment="1" applyProtection="1">
      <alignment horizontal="right" indent="1"/>
      <protection locked="0"/>
    </xf>
    <xf numFmtId="8" fontId="0" fillId="0" borderId="0" xfId="0" applyNumberFormat="1" applyBorder="1"/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2" fillId="0" borderId="1" xfId="25" quotePrefix="1" applyBorder="1" applyAlignment="1">
      <alignment horizontal="center" vertical="center" wrapText="1"/>
    </xf>
    <xf numFmtId="0" fontId="3" fillId="13" borderId="40" xfId="0" applyFont="1" applyFill="1" applyBorder="1" applyAlignment="1">
      <alignment horizontal="center" vertical="center"/>
    </xf>
    <xf numFmtId="44" fontId="7" fillId="15" borderId="1" xfId="0" applyNumberFormat="1" applyFont="1" applyFill="1" applyBorder="1" applyAlignment="1"/>
    <xf numFmtId="0" fontId="24" fillId="0" borderId="0" xfId="0" applyFont="1" applyFill="1" applyAlignment="1"/>
    <xf numFmtId="0" fontId="8" fillId="0" borderId="0" xfId="1" applyNumberFormat="1" applyFont="1" applyFill="1" applyBorder="1" applyAlignment="1" applyProtection="1">
      <alignment horizontal="left" vertical="center"/>
      <protection locked="0"/>
    </xf>
    <xf numFmtId="0" fontId="3" fillId="4" borderId="32" xfId="2" applyNumberFormat="1" applyFont="1" applyFill="1" applyBorder="1" applyAlignment="1">
      <alignment horizontal="center" vertical="center" wrapText="1"/>
    </xf>
    <xf numFmtId="6" fontId="0" fillId="5" borderId="1" xfId="0" applyNumberFormat="1" applyFill="1" applyBorder="1"/>
    <xf numFmtId="6" fontId="20" fillId="0" borderId="1" xfId="0" applyNumberFormat="1" applyFont="1" applyFill="1" applyBorder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/>
    </xf>
    <xf numFmtId="10" fontId="7" fillId="0" borderId="0" xfId="3" applyNumberFormat="1" applyFont="1" applyFill="1" applyBorder="1" applyAlignment="1"/>
    <xf numFmtId="3" fontId="7" fillId="5" borderId="1" xfId="1" applyNumberFormat="1" applyFont="1" applyFill="1" applyBorder="1" applyAlignment="1">
      <alignment horizontal="center"/>
    </xf>
    <xf numFmtId="168" fontId="7" fillId="5" borderId="2" xfId="0" applyNumberFormat="1" applyFont="1" applyFill="1" applyBorder="1" applyAlignment="1">
      <alignment horizontal="left" vertical="center"/>
    </xf>
    <xf numFmtId="10" fontId="0" fillId="0" borderId="0" xfId="0" applyNumberFormat="1" applyFont="1" applyProtection="1">
      <protection locked="0"/>
    </xf>
    <xf numFmtId="174" fontId="7" fillId="0" borderId="0" xfId="0" applyNumberFormat="1" applyFont="1" applyFill="1" applyAlignment="1"/>
    <xf numFmtId="176" fontId="7" fillId="0" borderId="0" xfId="0" applyNumberFormat="1" applyFont="1" applyFill="1" applyAlignment="1"/>
    <xf numFmtId="175" fontId="7" fillId="0" borderId="0" xfId="0" applyNumberFormat="1" applyFont="1" applyFill="1" applyAlignment="1"/>
    <xf numFmtId="177" fontId="7" fillId="0" borderId="0" xfId="0" applyNumberFormat="1" applyFont="1" applyFill="1" applyAlignment="1"/>
    <xf numFmtId="9" fontId="0" fillId="0" borderId="0" xfId="0" applyNumberFormat="1" applyFont="1"/>
    <xf numFmtId="3" fontId="10" fillId="6" borderId="1" xfId="1" applyNumberFormat="1" applyFont="1" applyFill="1" applyBorder="1" applyAlignment="1" applyProtection="1">
      <protection locked="0"/>
    </xf>
    <xf numFmtId="10" fontId="7" fillId="0" borderId="0" xfId="0" applyNumberFormat="1" applyFont="1" applyFill="1" applyAlignment="1"/>
    <xf numFmtId="2" fontId="7" fillId="0" borderId="0" xfId="0" applyNumberFormat="1" applyFont="1" applyFill="1" applyAlignment="1"/>
    <xf numFmtId="9" fontId="7" fillId="0" borderId="1" xfId="0" applyNumberFormat="1" applyFont="1" applyFill="1" applyBorder="1" applyAlignment="1"/>
    <xf numFmtId="42" fontId="0" fillId="0" borderId="0" xfId="0" applyNumberFormat="1" applyFont="1" applyFill="1" applyProtection="1">
      <protection locked="0"/>
    </xf>
    <xf numFmtId="41" fontId="7" fillId="5" borderId="1" xfId="0" applyNumberFormat="1" applyFont="1" applyFill="1" applyBorder="1" applyAlignment="1">
      <alignment horizontal="right" vertical="center"/>
    </xf>
    <xf numFmtId="8" fontId="7" fillId="0" borderId="11" xfId="1" applyNumberFormat="1" applyFont="1" applyFill="1" applyBorder="1" applyAlignment="1" applyProtection="1">
      <alignment horizontal="right" indent="1"/>
      <protection locked="0"/>
    </xf>
    <xf numFmtId="0" fontId="16" fillId="0" borderId="0" xfId="0" applyFont="1" applyAlignment="1" applyProtection="1">
      <alignment horizontal="center"/>
      <protection locked="0"/>
    </xf>
    <xf numFmtId="0" fontId="24" fillId="18" borderId="11" xfId="0" applyFont="1" applyFill="1" applyBorder="1" applyAlignment="1" applyProtection="1">
      <alignment horizontal="center"/>
      <protection locked="0"/>
    </xf>
    <xf numFmtId="0" fontId="0" fillId="0" borderId="0" xfId="0" applyFont="1" applyFill="1" applyAlignment="1" applyProtection="1">
      <alignment horizontal="center"/>
      <protection locked="0"/>
    </xf>
    <xf numFmtId="3" fontId="24" fillId="18" borderId="11" xfId="0" applyNumberFormat="1" applyFont="1" applyFill="1" applyBorder="1" applyAlignment="1" applyProtection="1">
      <alignment horizontal="center"/>
      <protection locked="0"/>
    </xf>
    <xf numFmtId="0" fontId="25" fillId="0" borderId="0" xfId="0" applyFont="1" applyProtection="1">
      <protection locked="0"/>
    </xf>
    <xf numFmtId="9" fontId="5" fillId="3" borderId="9" xfId="2" applyFont="1" applyFill="1" applyBorder="1" applyAlignment="1" applyProtection="1">
      <alignment vertical="center" wrapText="1"/>
      <protection locked="0"/>
    </xf>
    <xf numFmtId="9" fontId="5" fillId="3" borderId="10" xfId="2" applyFont="1" applyFill="1" applyBorder="1" applyAlignment="1" applyProtection="1">
      <alignment vertical="center" wrapText="1"/>
      <protection locked="0"/>
    </xf>
    <xf numFmtId="167" fontId="26" fillId="6" borderId="1" xfId="2" applyNumberFormat="1" applyFont="1" applyFill="1" applyBorder="1" applyAlignment="1" applyProtection="1">
      <alignment vertical="center" wrapText="1"/>
      <protection locked="0"/>
    </xf>
    <xf numFmtId="167" fontId="26" fillId="6" borderId="14" xfId="2" applyNumberFormat="1" applyFont="1" applyFill="1" applyBorder="1" applyAlignment="1" applyProtection="1">
      <alignment vertical="center" wrapText="1"/>
      <protection locked="0"/>
    </xf>
    <xf numFmtId="0" fontId="6" fillId="0" borderId="0" xfId="0" applyFont="1" applyFill="1" applyProtection="1">
      <protection locked="0"/>
    </xf>
    <xf numFmtId="9" fontId="5" fillId="3" borderId="31" xfId="2" applyFont="1" applyFill="1" applyBorder="1" applyAlignment="1" applyProtection="1">
      <alignment vertical="center" wrapText="1"/>
      <protection locked="0"/>
    </xf>
    <xf numFmtId="9" fontId="5" fillId="3" borderId="0" xfId="2" applyFont="1" applyFill="1" applyBorder="1" applyAlignment="1" applyProtection="1">
      <alignment vertical="center" wrapText="1"/>
      <protection locked="0"/>
    </xf>
    <xf numFmtId="164" fontId="5" fillId="3" borderId="32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8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33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0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40" xfId="1" applyNumberFormat="1" applyFont="1" applyFill="1" applyBorder="1" applyAlignment="1" applyProtection="1">
      <alignment horizontal="center" vertical="center" wrapText="1"/>
      <protection locked="0"/>
    </xf>
    <xf numFmtId="164" fontId="5" fillId="4" borderId="14" xfId="1" applyNumberFormat="1" applyFont="1" applyFill="1" applyBorder="1" applyAlignment="1" applyProtection="1">
      <alignment horizontal="center" vertical="center" wrapText="1"/>
      <protection locked="0"/>
    </xf>
    <xf numFmtId="167" fontId="26" fillId="6" borderId="11" xfId="2" applyNumberFormat="1" applyFont="1" applyFill="1" applyBorder="1" applyAlignment="1" applyProtection="1">
      <alignment vertical="center" wrapText="1"/>
      <protection locked="0"/>
    </xf>
    <xf numFmtId="0" fontId="6" fillId="0" borderId="1" xfId="0" applyFont="1" applyFill="1" applyBorder="1" applyAlignment="1" applyProtection="1">
      <alignment horizontal="center"/>
      <protection locked="0"/>
    </xf>
    <xf numFmtId="167" fontId="26" fillId="6" borderId="8" xfId="2" applyNumberFormat="1" applyFont="1" applyFill="1" applyBorder="1" applyAlignment="1" applyProtection="1">
      <alignment vertical="center" wrapText="1"/>
      <protection locked="0"/>
    </xf>
    <xf numFmtId="9" fontId="5" fillId="3" borderId="11" xfId="2" applyFont="1" applyFill="1" applyBorder="1" applyAlignment="1" applyProtection="1">
      <alignment horizontal="center" vertical="center" wrapText="1"/>
      <protection locked="0"/>
    </xf>
    <xf numFmtId="9" fontId="27" fillId="6" borderId="1" xfId="2" applyFont="1" applyFill="1" applyBorder="1" applyAlignment="1" applyProtection="1">
      <alignment horizontal="center" vertical="center" wrapText="1"/>
      <protection locked="0"/>
    </xf>
    <xf numFmtId="9" fontId="5" fillId="4" borderId="1" xfId="2" applyFont="1" applyFill="1" applyBorder="1" applyAlignment="1" applyProtection="1">
      <alignment horizontal="center" vertical="center" wrapText="1"/>
      <protection locked="0"/>
    </xf>
    <xf numFmtId="9" fontId="5" fillId="4" borderId="11" xfId="2" applyFont="1" applyFill="1" applyBorder="1" applyAlignment="1" applyProtection="1">
      <alignment horizontal="center" vertical="center" wrapText="1"/>
      <protection locked="0"/>
    </xf>
    <xf numFmtId="165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166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9" fontId="28" fillId="6" borderId="1" xfId="2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wrapText="1"/>
      <protection locked="0"/>
    </xf>
    <xf numFmtId="164" fontId="5" fillId="3" borderId="10" xfId="1" applyNumberFormat="1" applyFont="1" applyFill="1" applyBorder="1" applyAlignment="1" applyProtection="1">
      <alignment horizontal="center" vertical="center" wrapText="1"/>
      <protection locked="0"/>
    </xf>
    <xf numFmtId="172" fontId="0" fillId="0" borderId="0" xfId="0" applyNumberFormat="1"/>
    <xf numFmtId="44" fontId="7" fillId="5" borderId="1" xfId="0" applyNumberFormat="1" applyFont="1" applyFill="1" applyBorder="1" applyAlignment="1">
      <alignment horizontal="left" vertical="center"/>
    </xf>
    <xf numFmtId="0" fontId="6" fillId="0" borderId="1" xfId="0" applyFont="1" applyBorder="1"/>
    <xf numFmtId="8" fontId="0" fillId="5" borderId="1" xfId="0" applyNumberFormat="1" applyFill="1" applyBorder="1"/>
    <xf numFmtId="0" fontId="0" fillId="0" borderId="45" xfId="0" applyBorder="1"/>
    <xf numFmtId="171" fontId="0" fillId="0" borderId="45" xfId="1" applyNumberFormat="1" applyFont="1" applyBorder="1"/>
    <xf numFmtId="180" fontId="20" fillId="0" borderId="45" xfId="2" applyNumberFormat="1" applyFont="1" applyBorder="1"/>
    <xf numFmtId="43" fontId="0" fillId="0" borderId="45" xfId="1" applyFont="1" applyBorder="1"/>
    <xf numFmtId="178" fontId="0" fillId="0" borderId="45" xfId="1" applyNumberFormat="1" applyFont="1" applyBorder="1"/>
    <xf numFmtId="168" fontId="0" fillId="0" borderId="45" xfId="41" applyNumberFormat="1" applyFont="1" applyBorder="1"/>
    <xf numFmtId="168" fontId="20" fillId="0" borderId="45" xfId="41" applyNumberFormat="1" applyFont="1" applyBorder="1"/>
    <xf numFmtId="0" fontId="0" fillId="21" borderId="45" xfId="0" applyFill="1" applyBorder="1"/>
    <xf numFmtId="43" fontId="0" fillId="21" borderId="45" xfId="1" applyFont="1" applyFill="1" applyBorder="1"/>
    <xf numFmtId="178" fontId="0" fillId="21" borderId="45" xfId="1" applyNumberFormat="1" applyFont="1" applyFill="1" applyBorder="1"/>
    <xf numFmtId="168" fontId="0" fillId="21" borderId="45" xfId="41" applyNumberFormat="1" applyFont="1" applyFill="1" applyBorder="1"/>
    <xf numFmtId="0" fontId="3" fillId="22" borderId="45" xfId="0" applyFont="1" applyFill="1" applyBorder="1"/>
    <xf numFmtId="0" fontId="5" fillId="22" borderId="45" xfId="0" applyFont="1" applyFill="1" applyBorder="1" applyAlignment="1">
      <alignment wrapText="1"/>
    </xf>
    <xf numFmtId="0" fontId="5" fillId="22" borderId="45" xfId="0" applyFont="1" applyFill="1" applyBorder="1" applyAlignment="1">
      <alignment horizontal="center" wrapText="1"/>
    </xf>
    <xf numFmtId="0" fontId="6" fillId="20" borderId="45" xfId="0" applyFont="1" applyFill="1" applyBorder="1"/>
    <xf numFmtId="171" fontId="6" fillId="20" borderId="45" xfId="1" applyNumberFormat="1" applyFont="1" applyFill="1" applyBorder="1"/>
    <xf numFmtId="180" fontId="24" fillId="20" borderId="45" xfId="2" applyNumberFormat="1" applyFont="1" applyFill="1" applyBorder="1"/>
    <xf numFmtId="171" fontId="8" fillId="20" borderId="45" xfId="1" applyNumberFormat="1" applyFont="1" applyFill="1" applyBorder="1"/>
    <xf numFmtId="43" fontId="6" fillId="20" borderId="45" xfId="1" applyFont="1" applyFill="1" applyBorder="1"/>
    <xf numFmtId="178" fontId="6" fillId="20" borderId="45" xfId="1" applyNumberFormat="1" applyFont="1" applyFill="1" applyBorder="1"/>
    <xf numFmtId="171" fontId="24" fillId="20" borderId="45" xfId="1" applyNumberFormat="1" applyFont="1" applyFill="1" applyBorder="1"/>
    <xf numFmtId="179" fontId="24" fillId="20" borderId="45" xfId="1" applyNumberFormat="1" applyFont="1" applyFill="1" applyBorder="1"/>
    <xf numFmtId="168" fontId="6" fillId="20" borderId="45" xfId="41" applyNumberFormat="1" applyFont="1" applyFill="1" applyBorder="1"/>
    <xf numFmtId="168" fontId="24" fillId="20" borderId="45" xfId="41" applyNumberFormat="1" applyFont="1" applyFill="1" applyBorder="1"/>
    <xf numFmtId="171" fontId="7" fillId="0" borderId="45" xfId="1" applyNumberFormat="1" applyFont="1" applyBorder="1"/>
    <xf numFmtId="171" fontId="20" fillId="0" borderId="45" xfId="1" applyNumberFormat="1" applyFont="1" applyBorder="1"/>
    <xf numFmtId="179" fontId="20" fillId="0" borderId="45" xfId="1" applyNumberFormat="1" applyFont="1" applyBorder="1"/>
    <xf numFmtId="171" fontId="20" fillId="21" borderId="45" xfId="1" applyNumberFormat="1" applyFont="1" applyFill="1" applyBorder="1"/>
    <xf numFmtId="0" fontId="0" fillId="0" borderId="45" xfId="0" applyFill="1" applyBorder="1"/>
    <xf numFmtId="43" fontId="0" fillId="0" borderId="45" xfId="1" applyFont="1" applyFill="1" applyBorder="1"/>
    <xf numFmtId="178" fontId="0" fillId="0" borderId="45" xfId="1" applyNumberFormat="1" applyFont="1" applyFill="1" applyBorder="1"/>
    <xf numFmtId="171" fontId="20" fillId="0" borderId="45" xfId="1" applyNumberFormat="1" applyFont="1" applyFill="1" applyBorder="1"/>
    <xf numFmtId="179" fontId="20" fillId="0" borderId="45" xfId="1" applyNumberFormat="1" applyFont="1" applyFill="1" applyBorder="1"/>
    <xf numFmtId="168" fontId="0" fillId="0" borderId="45" xfId="41" applyNumberFormat="1" applyFont="1" applyFill="1" applyBorder="1"/>
    <xf numFmtId="179" fontId="20" fillId="21" borderId="45" xfId="1" applyNumberFormat="1" applyFont="1" applyFill="1" applyBorder="1"/>
    <xf numFmtId="43" fontId="7" fillId="0" borderId="45" xfId="1" applyNumberFormat="1" applyFont="1" applyBorder="1"/>
    <xf numFmtId="41" fontId="7" fillId="5" borderId="1" xfId="1" applyNumberFormat="1" applyFont="1" applyFill="1" applyBorder="1" applyAlignment="1">
      <alignment horizontal="right" vertical="center"/>
    </xf>
    <xf numFmtId="171" fontId="0" fillId="0" borderId="1" xfId="1" applyNumberFormat="1" applyFont="1" applyBorder="1"/>
    <xf numFmtId="168" fontId="0" fillId="0" borderId="1" xfId="41" applyNumberFormat="1" applyFont="1" applyBorder="1"/>
    <xf numFmtId="43" fontId="0" fillId="0" borderId="1" xfId="1" applyFont="1" applyBorder="1"/>
    <xf numFmtId="0" fontId="6" fillId="0" borderId="1" xfId="0" applyFont="1" applyBorder="1" applyAlignment="1">
      <alignment horizontal="center"/>
    </xf>
    <xf numFmtId="0" fontId="11" fillId="0" borderId="0" xfId="0" applyFont="1"/>
    <xf numFmtId="171" fontId="11" fillId="0" borderId="0" xfId="1" applyNumberFormat="1" applyFont="1"/>
    <xf numFmtId="168" fontId="11" fillId="0" borderId="0" xfId="41" applyNumberFormat="1" applyFont="1"/>
    <xf numFmtId="0" fontId="41" fillId="8" borderId="0" xfId="0" applyFont="1" applyFill="1"/>
    <xf numFmtId="165" fontId="41" fillId="8" borderId="0" xfId="0" applyNumberFormat="1" applyFont="1" applyFill="1" applyAlignment="1">
      <alignment horizontal="right"/>
    </xf>
    <xf numFmtId="165" fontId="41" fillId="8" borderId="0" xfId="0" applyNumberFormat="1" applyFont="1" applyFill="1"/>
    <xf numFmtId="165" fontId="41" fillId="8" borderId="0" xfId="0" applyNumberFormat="1" applyFont="1" applyFill="1" applyAlignment="1">
      <alignment horizontal="left" wrapText="1"/>
    </xf>
    <xf numFmtId="165" fontId="41" fillId="8" borderId="0" xfId="0" applyNumberFormat="1" applyFont="1" applyFill="1" applyAlignment="1">
      <alignment horizontal="left"/>
    </xf>
    <xf numFmtId="171" fontId="41" fillId="53" borderId="54" xfId="1" applyNumberFormat="1" applyFont="1" applyFill="1" applyBorder="1" applyAlignment="1">
      <alignment horizontal="right"/>
    </xf>
    <xf numFmtId="171" fontId="41" fillId="53" borderId="54" xfId="1" applyNumberFormat="1" applyFont="1" applyFill="1" applyBorder="1" applyAlignment="1">
      <alignment horizontal="right" wrapText="1"/>
    </xf>
    <xf numFmtId="5" fontId="41" fillId="53" borderId="55" xfId="1" applyNumberFormat="1" applyFont="1" applyFill="1" applyBorder="1" applyAlignment="1">
      <alignment horizontal="right"/>
    </xf>
    <xf numFmtId="165" fontId="41" fillId="53" borderId="55" xfId="1" applyNumberFormat="1" applyFont="1" applyFill="1" applyBorder="1" applyAlignment="1">
      <alignment horizontal="right" wrapText="1"/>
    </xf>
    <xf numFmtId="171" fontId="41" fillId="53" borderId="34" xfId="1" applyNumberFormat="1" applyFont="1" applyFill="1" applyBorder="1" applyAlignment="1">
      <alignment horizontal="right"/>
    </xf>
    <xf numFmtId="181" fontId="41" fillId="53" borderId="34" xfId="1" applyNumberFormat="1" applyFont="1" applyFill="1" applyBorder="1" applyAlignment="1">
      <alignment horizontal="right"/>
    </xf>
    <xf numFmtId="171" fontId="41" fillId="53" borderId="55" xfId="1" applyNumberFormat="1" applyFont="1" applyFill="1" applyBorder="1" applyAlignment="1">
      <alignment horizontal="right" wrapText="1"/>
    </xf>
    <xf numFmtId="0" fontId="41" fillId="8" borderId="0" xfId="0" applyFont="1" applyFill="1" applyBorder="1"/>
    <xf numFmtId="0" fontId="41" fillId="53" borderId="39" xfId="0" applyFont="1" applyFill="1" applyBorder="1" applyAlignment="1">
      <alignment horizontal="right"/>
    </xf>
    <xf numFmtId="0" fontId="41" fillId="53" borderId="55" xfId="0" applyFont="1" applyFill="1" applyBorder="1" applyAlignment="1">
      <alignment horizontal="right"/>
    </xf>
    <xf numFmtId="0" fontId="41" fillId="53" borderId="35" xfId="0" applyFont="1" applyFill="1" applyBorder="1" applyAlignment="1">
      <alignment horizontal="right"/>
    </xf>
    <xf numFmtId="0" fontId="42" fillId="8" borderId="0" xfId="0" applyFont="1" applyFill="1"/>
    <xf numFmtId="0" fontId="41" fillId="8" borderId="0" xfId="0" applyFont="1" applyFill="1" applyAlignment="1">
      <alignment horizontal="right"/>
    </xf>
    <xf numFmtId="9" fontId="41" fillId="53" borderId="54" xfId="2" applyNumberFormat="1" applyFont="1" applyFill="1" applyBorder="1"/>
    <xf numFmtId="0" fontId="41" fillId="53" borderId="37" xfId="0" applyFont="1" applyFill="1" applyBorder="1" applyAlignment="1">
      <alignment horizontal="right"/>
    </xf>
    <xf numFmtId="171" fontId="41" fillId="53" borderId="56" xfId="1" applyNumberFormat="1" applyFont="1" applyFill="1" applyBorder="1"/>
    <xf numFmtId="10" fontId="41" fillId="53" borderId="56" xfId="2" applyNumberFormat="1" applyFont="1" applyFill="1" applyBorder="1"/>
    <xf numFmtId="171" fontId="41" fillId="53" borderId="38" xfId="1" applyNumberFormat="1" applyFont="1" applyFill="1" applyBorder="1" applyAlignment="1">
      <alignment horizontal="right"/>
    </xf>
    <xf numFmtId="165" fontId="41" fillId="53" borderId="56" xfId="0" applyNumberFormat="1" applyFont="1" applyFill="1" applyBorder="1" applyAlignment="1"/>
    <xf numFmtId="171" fontId="41" fillId="53" borderId="37" xfId="1" applyNumberFormat="1" applyFont="1" applyFill="1" applyBorder="1" applyAlignment="1">
      <alignment horizontal="right" wrapText="1"/>
    </xf>
    <xf numFmtId="178" fontId="41" fillId="8" borderId="0" xfId="1" applyNumberFormat="1" applyFont="1" applyFill="1" applyAlignment="1">
      <alignment horizontal="left"/>
    </xf>
    <xf numFmtId="0" fontId="41" fillId="53" borderId="54" xfId="42" applyFont="1" applyFill="1" applyBorder="1" applyAlignment="1">
      <alignment horizontal="right"/>
    </xf>
    <xf numFmtId="165" fontId="41" fillId="53" borderId="55" xfId="42" applyNumberFormat="1" applyFont="1" applyFill="1" applyBorder="1" applyAlignment="1">
      <alignment horizontal="right"/>
    </xf>
    <xf numFmtId="182" fontId="41" fillId="53" borderId="55" xfId="1" applyNumberFormat="1" applyFont="1" applyFill="1" applyBorder="1" applyAlignment="1">
      <alignment horizontal="right"/>
    </xf>
    <xf numFmtId="165" fontId="42" fillId="8" borderId="0" xfId="0" applyNumberFormat="1" applyFont="1" applyFill="1" applyAlignment="1">
      <alignment horizontal="left"/>
    </xf>
    <xf numFmtId="179" fontId="41" fillId="53" borderId="56" xfId="1" applyNumberFormat="1" applyFont="1" applyFill="1" applyBorder="1" applyAlignment="1">
      <alignment horizontal="right"/>
    </xf>
    <xf numFmtId="165" fontId="41" fillId="53" borderId="56" xfId="0" applyNumberFormat="1" applyFont="1" applyFill="1" applyBorder="1" applyAlignment="1">
      <alignment horizontal="right"/>
    </xf>
    <xf numFmtId="171" fontId="41" fillId="53" borderId="55" xfId="1" applyNumberFormat="1" applyFont="1" applyFill="1" applyBorder="1" applyAlignment="1">
      <alignment horizontal="right"/>
    </xf>
    <xf numFmtId="3" fontId="41" fillId="8" borderId="0" xfId="0" applyNumberFormat="1" applyFont="1" applyFill="1" applyAlignment="1">
      <alignment horizontal="left"/>
    </xf>
    <xf numFmtId="164" fontId="41" fillId="8" borderId="0" xfId="0" applyNumberFormat="1" applyFont="1" applyFill="1" applyAlignment="1">
      <alignment horizontal="left"/>
    </xf>
    <xf numFmtId="0" fontId="44" fillId="8" borderId="0" xfId="0" applyFont="1" applyFill="1" applyAlignment="1">
      <alignment horizontal="left"/>
    </xf>
    <xf numFmtId="0" fontId="45" fillId="8" borderId="0" xfId="0" applyFont="1" applyFill="1" applyAlignment="1">
      <alignment horizontal="left"/>
    </xf>
    <xf numFmtId="9" fontId="41" fillId="8" borderId="0" xfId="2" applyFont="1" applyFill="1" applyAlignment="1">
      <alignment horizontal="left"/>
    </xf>
    <xf numFmtId="0" fontId="45" fillId="8" borderId="0" xfId="0" applyFont="1" applyFill="1" applyAlignment="1">
      <alignment horizontal="right"/>
    </xf>
    <xf numFmtId="183" fontId="41" fillId="8" borderId="0" xfId="0" applyNumberFormat="1" applyFont="1" applyFill="1"/>
    <xf numFmtId="43" fontId="41" fillId="8" borderId="0" xfId="1" applyFont="1" applyFill="1"/>
    <xf numFmtId="182" fontId="41" fillId="53" borderId="34" xfId="1" applyNumberFormat="1" applyFont="1" applyFill="1" applyBorder="1" applyAlignment="1">
      <alignment horizontal="right"/>
    </xf>
    <xf numFmtId="171" fontId="41" fillId="53" borderId="56" xfId="1" applyNumberFormat="1" applyFont="1" applyFill="1" applyBorder="1" applyAlignment="1">
      <alignment horizontal="right" wrapText="1"/>
    </xf>
    <xf numFmtId="179" fontId="41" fillId="53" borderId="54" xfId="1" applyNumberFormat="1" applyFont="1" applyFill="1" applyBorder="1" applyAlignment="1">
      <alignment horizontal="right"/>
    </xf>
    <xf numFmtId="165" fontId="41" fillId="53" borderId="54" xfId="0" applyNumberFormat="1" applyFont="1" applyFill="1" applyBorder="1" applyAlignment="1">
      <alignment horizontal="right"/>
    </xf>
    <xf numFmtId="180" fontId="41" fillId="20" borderId="38" xfId="2" applyNumberFormat="1" applyFont="1" applyFill="1" applyBorder="1" applyAlignment="1">
      <alignment horizontal="right"/>
    </xf>
    <xf numFmtId="165" fontId="41" fillId="20" borderId="37" xfId="0" applyNumberFormat="1" applyFont="1" applyFill="1" applyBorder="1" applyAlignment="1">
      <alignment horizontal="right"/>
    </xf>
    <xf numFmtId="171" fontId="41" fillId="20" borderId="34" xfId="1" applyNumberFormat="1" applyFont="1" applyFill="1" applyBorder="1" applyAlignment="1">
      <alignment horizontal="right"/>
    </xf>
    <xf numFmtId="0" fontId="41" fillId="20" borderId="39" xfId="42" applyFont="1" applyFill="1" applyBorder="1" applyAlignment="1">
      <alignment horizontal="right"/>
    </xf>
    <xf numFmtId="171" fontId="41" fillId="20" borderId="36" xfId="1" applyNumberFormat="1" applyFont="1" applyFill="1" applyBorder="1" applyAlignment="1">
      <alignment horizontal="right"/>
    </xf>
    <xf numFmtId="0" fontId="41" fillId="20" borderId="35" xfId="42" applyFont="1" applyFill="1" applyBorder="1" applyAlignment="1">
      <alignment horizontal="right"/>
    </xf>
    <xf numFmtId="0" fontId="42" fillId="53" borderId="55" xfId="0" applyFont="1" applyFill="1" applyBorder="1" applyAlignment="1">
      <alignment horizontal="center"/>
    </xf>
    <xf numFmtId="0" fontId="42" fillId="53" borderId="35" xfId="0" applyFont="1" applyFill="1" applyBorder="1" applyAlignment="1">
      <alignment horizontal="center"/>
    </xf>
    <xf numFmtId="0" fontId="42" fillId="53" borderId="35" xfId="0" applyFont="1" applyFill="1" applyBorder="1" applyAlignment="1">
      <alignment horizontal="right"/>
    </xf>
    <xf numFmtId="171" fontId="41" fillId="53" borderId="54" xfId="1" applyNumberFormat="1" applyFont="1" applyFill="1" applyBorder="1" applyAlignment="1">
      <alignment horizontal="center"/>
    </xf>
    <xf numFmtId="5" fontId="41" fillId="53" borderId="56" xfId="1" applyNumberFormat="1" applyFont="1" applyFill="1" applyBorder="1" applyAlignment="1">
      <alignment horizontal="right"/>
    </xf>
    <xf numFmtId="171" fontId="41" fillId="53" borderId="56" xfId="1" applyNumberFormat="1" applyFont="1" applyFill="1" applyBorder="1" applyAlignment="1">
      <alignment horizontal="center"/>
    </xf>
    <xf numFmtId="179" fontId="41" fillId="53" borderId="56" xfId="1" applyNumberFormat="1" applyFont="1" applyFill="1" applyBorder="1"/>
    <xf numFmtId="171" fontId="41" fillId="53" borderId="55" xfId="1" applyNumberFormat="1" applyFont="1" applyFill="1" applyBorder="1"/>
    <xf numFmtId="171" fontId="41" fillId="53" borderId="39" xfId="1" applyNumberFormat="1" applyFont="1" applyFill="1" applyBorder="1" applyAlignment="1">
      <alignment horizontal="right" wrapText="1"/>
    </xf>
    <xf numFmtId="43" fontId="41" fillId="53" borderId="56" xfId="1" applyNumberFormat="1" applyFont="1" applyFill="1" applyBorder="1" applyAlignment="1">
      <alignment horizontal="center"/>
    </xf>
    <xf numFmtId="171" fontId="42" fillId="53" borderId="55" xfId="1" applyNumberFormat="1" applyFont="1" applyFill="1" applyBorder="1" applyAlignment="1">
      <alignment horizontal="center" wrapText="1"/>
    </xf>
    <xf numFmtId="171" fontId="41" fillId="53" borderId="54" xfId="1" applyNumberFormat="1" applyFont="1" applyFill="1" applyBorder="1" applyAlignment="1">
      <alignment wrapText="1"/>
    </xf>
    <xf numFmtId="9" fontId="41" fillId="53" borderId="58" xfId="2" applyFont="1" applyFill="1" applyBorder="1" applyAlignment="1">
      <alignment horizontal="right"/>
    </xf>
    <xf numFmtId="165" fontId="45" fillId="53" borderId="37" xfId="0" applyNumberFormat="1" applyFont="1" applyFill="1" applyBorder="1" applyAlignment="1">
      <alignment horizontal="right" vertical="center"/>
    </xf>
    <xf numFmtId="171" fontId="45" fillId="53" borderId="38" xfId="1" applyNumberFormat="1" applyFont="1" applyFill="1" applyBorder="1" applyAlignment="1">
      <alignment horizontal="right" vertical="center"/>
    </xf>
    <xf numFmtId="171" fontId="45" fillId="53" borderId="37" xfId="1" applyNumberFormat="1" applyFont="1" applyFill="1" applyBorder="1" applyAlignment="1">
      <alignment horizontal="right" vertical="center"/>
    </xf>
    <xf numFmtId="0" fontId="46" fillId="53" borderId="54" xfId="0" applyFont="1" applyFill="1" applyBorder="1" applyAlignment="1">
      <alignment horizontal="center" vertical="center" wrapText="1"/>
    </xf>
    <xf numFmtId="171" fontId="41" fillId="53" borderId="55" xfId="1" applyNumberFormat="1" applyFont="1" applyFill="1" applyBorder="1" applyAlignment="1">
      <alignment wrapText="1"/>
    </xf>
    <xf numFmtId="171" fontId="41" fillId="53" borderId="36" xfId="1" applyNumberFormat="1" applyFont="1" applyFill="1" applyBorder="1" applyAlignment="1">
      <alignment horizontal="right"/>
    </xf>
    <xf numFmtId="9" fontId="41" fillId="53" borderId="57" xfId="2" applyFont="1" applyFill="1" applyBorder="1"/>
    <xf numFmtId="171" fontId="45" fillId="53" borderId="36" xfId="1" applyNumberFormat="1" applyFont="1" applyFill="1" applyBorder="1" applyAlignment="1">
      <alignment horizontal="right" vertical="center"/>
    </xf>
    <xf numFmtId="171" fontId="45" fillId="53" borderId="35" xfId="1" applyNumberFormat="1" applyFont="1" applyFill="1" applyBorder="1" applyAlignment="1">
      <alignment horizontal="right" vertical="center"/>
    </xf>
    <xf numFmtId="0" fontId="46" fillId="53" borderId="55" xfId="0" applyFont="1" applyFill="1" applyBorder="1" applyAlignment="1">
      <alignment horizontal="center" vertical="center" wrapText="1"/>
    </xf>
    <xf numFmtId="171" fontId="41" fillId="53" borderId="56" xfId="1" applyNumberFormat="1" applyFont="1" applyFill="1" applyBorder="1" applyAlignment="1">
      <alignment wrapText="1"/>
    </xf>
    <xf numFmtId="9" fontId="41" fillId="53" borderId="0" xfId="2" applyFont="1" applyFill="1" applyBorder="1" applyAlignment="1">
      <alignment horizontal="right"/>
    </xf>
    <xf numFmtId="171" fontId="45" fillId="53" borderId="34" xfId="1" applyNumberFormat="1" applyFont="1" applyFill="1" applyBorder="1" applyAlignment="1">
      <alignment horizontal="right" vertical="center"/>
    </xf>
    <xf numFmtId="171" fontId="45" fillId="53" borderId="39" xfId="1" applyNumberFormat="1" applyFont="1" applyFill="1" applyBorder="1" applyAlignment="1">
      <alignment horizontal="right" vertical="center"/>
    </xf>
    <xf numFmtId="0" fontId="46" fillId="53" borderId="56" xfId="0" applyFont="1" applyFill="1" applyBorder="1" applyAlignment="1">
      <alignment horizontal="center" vertical="center" wrapText="1"/>
    </xf>
    <xf numFmtId="9" fontId="41" fillId="53" borderId="57" xfId="2" applyFont="1" applyFill="1" applyBorder="1" applyAlignment="1">
      <alignment horizontal="right"/>
    </xf>
    <xf numFmtId="171" fontId="41" fillId="53" borderId="38" xfId="1" applyNumberFormat="1" applyFont="1" applyFill="1" applyBorder="1" applyAlignment="1">
      <alignment wrapText="1"/>
    </xf>
    <xf numFmtId="9" fontId="41" fillId="53" borderId="58" xfId="2" applyFont="1" applyFill="1" applyBorder="1"/>
    <xf numFmtId="165" fontId="41" fillId="53" borderId="37" xfId="0" applyNumberFormat="1" applyFont="1" applyFill="1" applyBorder="1"/>
    <xf numFmtId="171" fontId="41" fillId="53" borderId="38" xfId="1" applyNumberFormat="1" applyFont="1" applyFill="1" applyBorder="1"/>
    <xf numFmtId="171" fontId="41" fillId="53" borderId="37" xfId="1" applyNumberFormat="1" applyFont="1" applyFill="1" applyBorder="1"/>
    <xf numFmtId="0" fontId="47" fillId="53" borderId="54" xfId="1" applyNumberFormat="1" applyFont="1" applyFill="1" applyBorder="1" applyAlignment="1">
      <alignment horizontal="center"/>
    </xf>
    <xf numFmtId="171" fontId="41" fillId="53" borderId="36" xfId="1" applyNumberFormat="1" applyFont="1" applyFill="1" applyBorder="1" applyAlignment="1">
      <alignment wrapText="1"/>
    </xf>
    <xf numFmtId="166" fontId="41" fillId="53" borderId="35" xfId="0" applyNumberFormat="1" applyFont="1" applyFill="1" applyBorder="1"/>
    <xf numFmtId="171" fontId="41" fillId="53" borderId="36" xfId="1" applyNumberFormat="1" applyFont="1" applyFill="1" applyBorder="1"/>
    <xf numFmtId="171" fontId="41" fillId="53" borderId="35" xfId="1" applyNumberFormat="1" applyFont="1" applyFill="1" applyBorder="1"/>
    <xf numFmtId="0" fontId="47" fillId="53" borderId="55" xfId="1" applyNumberFormat="1" applyFont="1" applyFill="1" applyBorder="1" applyAlignment="1">
      <alignment horizontal="center"/>
    </xf>
    <xf numFmtId="171" fontId="41" fillId="53" borderId="34" xfId="1" applyNumberFormat="1" applyFont="1" applyFill="1" applyBorder="1" applyAlignment="1">
      <alignment wrapText="1"/>
    </xf>
    <xf numFmtId="9" fontId="41" fillId="53" borderId="0" xfId="2" applyFont="1" applyFill="1" applyBorder="1"/>
    <xf numFmtId="166" fontId="41" fillId="53" borderId="39" xfId="0" applyNumberFormat="1" applyFont="1" applyFill="1" applyBorder="1"/>
    <xf numFmtId="171" fontId="41" fillId="53" borderId="34" xfId="1" applyNumberFormat="1" applyFont="1" applyFill="1" applyBorder="1"/>
    <xf numFmtId="171" fontId="41" fillId="53" borderId="39" xfId="1" applyNumberFormat="1" applyFont="1" applyFill="1" applyBorder="1"/>
    <xf numFmtId="0" fontId="47" fillId="53" borderId="0" xfId="1" applyNumberFormat="1" applyFont="1" applyFill="1" applyBorder="1" applyAlignment="1">
      <alignment horizontal="center"/>
    </xf>
    <xf numFmtId="0" fontId="47" fillId="53" borderId="57" xfId="1" applyNumberFormat="1" applyFont="1" applyFill="1" applyBorder="1" applyAlignment="1">
      <alignment horizontal="center"/>
    </xf>
    <xf numFmtId="166" fontId="41" fillId="53" borderId="37" xfId="0" applyNumberFormat="1" applyFont="1" applyFill="1" applyBorder="1"/>
    <xf numFmtId="165" fontId="41" fillId="53" borderId="39" xfId="0" applyNumberFormat="1" applyFont="1" applyFill="1" applyBorder="1"/>
    <xf numFmtId="0" fontId="47" fillId="53" borderId="34" xfId="1" applyNumberFormat="1" applyFont="1" applyFill="1" applyBorder="1" applyAlignment="1">
      <alignment horizontal="center"/>
    </xf>
    <xf numFmtId="171" fontId="41" fillId="53" borderId="58" xfId="1" applyNumberFormat="1" applyFont="1" applyFill="1" applyBorder="1"/>
    <xf numFmtId="0" fontId="47" fillId="53" borderId="38" xfId="1" applyNumberFormat="1" applyFont="1" applyFill="1" applyBorder="1" applyAlignment="1">
      <alignment horizontal="center"/>
    </xf>
    <xf numFmtId="171" fontId="41" fillId="53" borderId="0" xfId="1" applyNumberFormat="1" applyFont="1" applyFill="1" applyBorder="1"/>
    <xf numFmtId="0" fontId="42" fillId="53" borderId="45" xfId="0" applyFont="1" applyFill="1" applyBorder="1" applyAlignment="1">
      <alignment horizontal="center" vertical="center" wrapText="1"/>
    </xf>
    <xf numFmtId="171" fontId="41" fillId="53" borderId="35" xfId="1" applyNumberFormat="1" applyFont="1" applyFill="1" applyBorder="1" applyAlignment="1">
      <alignment horizontal="right" wrapText="1"/>
    </xf>
    <xf numFmtId="0" fontId="45" fillId="8" borderId="0" xfId="0" applyFont="1" applyFill="1"/>
    <xf numFmtId="165" fontId="45" fillId="8" borderId="0" xfId="0" applyNumberFormat="1" applyFont="1" applyFill="1" applyBorder="1" applyAlignment="1">
      <alignment horizontal="left"/>
    </xf>
    <xf numFmtId="0" fontId="41" fillId="8" borderId="0" xfId="0" applyFont="1" applyFill="1" applyAlignment="1">
      <alignment horizontal="left"/>
    </xf>
    <xf numFmtId="1" fontId="45" fillId="8" borderId="0" xfId="0" applyNumberFormat="1" applyFont="1" applyFill="1" applyBorder="1" applyAlignment="1">
      <alignment horizontal="left"/>
    </xf>
    <xf numFmtId="9" fontId="45" fillId="8" borderId="0" xfId="2" applyFont="1" applyFill="1" applyBorder="1" applyAlignment="1">
      <alignment horizontal="left"/>
    </xf>
    <xf numFmtId="0" fontId="41" fillId="8" borderId="0" xfId="0" applyFont="1" applyFill="1" applyBorder="1" applyAlignment="1">
      <alignment horizontal="right" wrapText="1"/>
    </xf>
    <xf numFmtId="0" fontId="48" fillId="10" borderId="0" xfId="0" applyFont="1" applyFill="1"/>
    <xf numFmtId="0" fontId="41" fillId="8" borderId="0" xfId="0" applyFont="1" applyFill="1" applyBorder="1" applyAlignment="1"/>
    <xf numFmtId="171" fontId="41" fillId="8" borderId="0" xfId="1" applyNumberFormat="1" applyFont="1" applyFill="1" applyBorder="1" applyAlignment="1">
      <alignment horizontal="right" wrapText="1"/>
    </xf>
    <xf numFmtId="0" fontId="42" fillId="8" borderId="0" xfId="0" applyFont="1" applyFill="1" applyBorder="1" applyAlignment="1">
      <alignment horizontal="left"/>
    </xf>
    <xf numFmtId="171" fontId="41" fillId="8" borderId="0" xfId="1" applyNumberFormat="1" applyFont="1" applyFill="1"/>
    <xf numFmtId="7" fontId="41" fillId="8" borderId="0" xfId="0" applyNumberFormat="1" applyFont="1" applyFill="1"/>
    <xf numFmtId="0" fontId="41" fillId="8" borderId="0" xfId="33" applyFont="1" applyFill="1" applyBorder="1" applyAlignment="1"/>
    <xf numFmtId="7" fontId="42" fillId="8" borderId="0" xfId="0" applyNumberFormat="1" applyFont="1" applyFill="1" applyAlignment="1">
      <alignment horizontal="center"/>
    </xf>
    <xf numFmtId="0" fontId="41" fillId="54" borderId="34" xfId="0" applyFont="1" applyFill="1" applyBorder="1"/>
    <xf numFmtId="0" fontId="41" fillId="54" borderId="39" xfId="42" applyFont="1" applyFill="1" applyBorder="1" applyAlignment="1">
      <alignment horizontal="right"/>
    </xf>
    <xf numFmtId="0" fontId="41" fillId="54" borderId="36" xfId="0" applyFont="1" applyFill="1" applyBorder="1"/>
    <xf numFmtId="0" fontId="41" fillId="54" borderId="35" xfId="42" applyFont="1" applyFill="1" applyBorder="1" applyAlignment="1">
      <alignment horizontal="right"/>
    </xf>
    <xf numFmtId="0" fontId="45" fillId="8" borderId="0" xfId="33" applyFont="1" applyFill="1" applyBorder="1" applyAlignment="1"/>
    <xf numFmtId="171" fontId="41" fillId="54" borderId="0" xfId="1" applyNumberFormat="1" applyFont="1" applyFill="1" applyBorder="1" applyAlignment="1">
      <alignment horizontal="left"/>
    </xf>
    <xf numFmtId="171" fontId="41" fillId="54" borderId="57" xfId="1" applyNumberFormat="1" applyFont="1" applyFill="1" applyBorder="1" applyAlignment="1">
      <alignment horizontal="left"/>
    </xf>
    <xf numFmtId="186" fontId="41" fillId="8" borderId="0" xfId="0" applyNumberFormat="1" applyFont="1" applyFill="1"/>
    <xf numFmtId="0" fontId="42" fillId="8" borderId="0" xfId="0" applyFont="1" applyFill="1" applyBorder="1" applyAlignment="1">
      <alignment horizontal="left" wrapText="1"/>
    </xf>
    <xf numFmtId="43" fontId="41" fillId="8" borderId="0" xfId="0" applyNumberFormat="1" applyFont="1" applyFill="1"/>
    <xf numFmtId="0" fontId="44" fillId="8" borderId="0" xfId="0" applyFont="1" applyFill="1"/>
    <xf numFmtId="0" fontId="42" fillId="8" borderId="0" xfId="0" applyFont="1" applyFill="1" applyAlignment="1">
      <alignment horizontal="center"/>
    </xf>
    <xf numFmtId="171" fontId="41" fillId="19" borderId="37" xfId="1" applyNumberFormat="1" applyFont="1" applyFill="1" applyBorder="1" applyAlignment="1">
      <alignment horizontal="right" wrapText="1"/>
    </xf>
    <xf numFmtId="165" fontId="41" fillId="19" borderId="55" xfId="1" applyNumberFormat="1" applyFont="1" applyFill="1" applyBorder="1" applyAlignment="1">
      <alignment horizontal="right" wrapText="1"/>
    </xf>
    <xf numFmtId="165" fontId="41" fillId="19" borderId="55" xfId="1" applyNumberFormat="1" applyFont="1" applyFill="1" applyBorder="1" applyAlignment="1">
      <alignment horizontal="right"/>
    </xf>
    <xf numFmtId="171" fontId="41" fillId="19" borderId="54" xfId="1" applyNumberFormat="1" applyFont="1" applyFill="1" applyBorder="1" applyAlignment="1">
      <alignment horizontal="right" wrapText="1"/>
    </xf>
    <xf numFmtId="0" fontId="41" fillId="19" borderId="54" xfId="0" applyFont="1" applyFill="1" applyBorder="1"/>
    <xf numFmtId="0" fontId="41" fillId="19" borderId="55" xfId="0" applyFont="1" applyFill="1" applyBorder="1" applyAlignment="1">
      <alignment horizontal="right"/>
    </xf>
    <xf numFmtId="0" fontId="41" fillId="19" borderId="36" xfId="0" applyFont="1" applyFill="1" applyBorder="1"/>
    <xf numFmtId="0" fontId="41" fillId="19" borderId="56" xfId="0" applyFont="1" applyFill="1" applyBorder="1" applyAlignment="1">
      <alignment horizontal="right"/>
    </xf>
    <xf numFmtId="0" fontId="41" fillId="19" borderId="34" xfId="0" applyFont="1" applyFill="1" applyBorder="1"/>
    <xf numFmtId="9" fontId="41" fillId="19" borderId="56" xfId="2" applyFont="1" applyFill="1" applyBorder="1"/>
    <xf numFmtId="0" fontId="41" fillId="19" borderId="54" xfId="0" applyFont="1" applyFill="1" applyBorder="1" applyAlignment="1">
      <alignment horizontal="right"/>
    </xf>
    <xf numFmtId="171" fontId="41" fillId="19" borderId="54" xfId="1" applyNumberFormat="1" applyFont="1" applyFill="1" applyBorder="1"/>
    <xf numFmtId="171" fontId="41" fillId="19" borderId="55" xfId="1" applyNumberFormat="1" applyFont="1" applyFill="1" applyBorder="1" applyAlignment="1">
      <alignment horizontal="right" wrapText="1"/>
    </xf>
    <xf numFmtId="2" fontId="41" fillId="19" borderId="56" xfId="0" applyNumberFormat="1" applyFont="1" applyFill="1" applyBorder="1"/>
    <xf numFmtId="171" fontId="41" fillId="19" borderId="54" xfId="0" applyNumberFormat="1" applyFont="1" applyFill="1" applyBorder="1"/>
    <xf numFmtId="0" fontId="41" fillId="19" borderId="35" xfId="0" applyFont="1" applyFill="1" applyBorder="1" applyAlignment="1">
      <alignment horizontal="right"/>
    </xf>
    <xf numFmtId="9" fontId="41" fillId="19" borderId="55" xfId="2" applyFont="1" applyFill="1" applyBorder="1"/>
    <xf numFmtId="2" fontId="41" fillId="19" borderId="55" xfId="0" applyNumberFormat="1" applyFont="1" applyFill="1" applyBorder="1"/>
    <xf numFmtId="165" fontId="41" fillId="19" borderId="56" xfId="1" applyNumberFormat="1" applyFont="1" applyFill="1" applyBorder="1" applyAlignment="1">
      <alignment horizontal="right"/>
    </xf>
    <xf numFmtId="9" fontId="41" fillId="19" borderId="54" xfId="2" applyFont="1" applyFill="1" applyBorder="1"/>
    <xf numFmtId="171" fontId="41" fillId="19" borderId="55" xfId="1" applyNumberFormat="1" applyFont="1" applyFill="1" applyBorder="1"/>
    <xf numFmtId="171" fontId="41" fillId="19" borderId="56" xfId="1" applyNumberFormat="1" applyFont="1" applyFill="1" applyBorder="1"/>
    <xf numFmtId="179" fontId="41" fillId="19" borderId="56" xfId="1" applyNumberFormat="1" applyFont="1" applyFill="1" applyBorder="1"/>
    <xf numFmtId="43" fontId="41" fillId="19" borderId="56" xfId="1" applyNumberFormat="1" applyFont="1" applyFill="1" applyBorder="1"/>
    <xf numFmtId="178" fontId="41" fillId="19" borderId="56" xfId="0" applyNumberFormat="1" applyFont="1" applyFill="1" applyBorder="1"/>
    <xf numFmtId="1" fontId="41" fillId="19" borderId="54" xfId="0" applyNumberFormat="1" applyFont="1" applyFill="1" applyBorder="1"/>
    <xf numFmtId="178" fontId="41" fillId="19" borderId="56" xfId="1" applyNumberFormat="1" applyFont="1" applyFill="1" applyBorder="1"/>
    <xf numFmtId="179" fontId="41" fillId="19" borderId="55" xfId="1" applyNumberFormat="1" applyFont="1" applyFill="1" applyBorder="1"/>
    <xf numFmtId="164" fontId="41" fillId="19" borderId="55" xfId="0" applyNumberFormat="1" applyFont="1" applyFill="1" applyBorder="1"/>
    <xf numFmtId="164" fontId="41" fillId="53" borderId="55" xfId="1" applyNumberFormat="1" applyFont="1" applyFill="1" applyBorder="1" applyAlignment="1">
      <alignment horizontal="right"/>
    </xf>
    <xf numFmtId="171" fontId="43" fillId="53" borderId="54" xfId="0" applyNumberFormat="1" applyFont="1" applyFill="1" applyBorder="1" applyAlignment="1">
      <alignment vertical="top" wrapText="1"/>
    </xf>
    <xf numFmtId="0" fontId="41" fillId="19" borderId="55" xfId="0" applyFont="1" applyFill="1" applyBorder="1"/>
    <xf numFmtId="0" fontId="42" fillId="19" borderId="56" xfId="0" applyFont="1" applyFill="1" applyBorder="1" applyAlignment="1">
      <alignment horizontal="right"/>
    </xf>
    <xf numFmtId="0" fontId="42" fillId="19" borderId="55" xfId="0" applyFont="1" applyFill="1" applyBorder="1" applyAlignment="1">
      <alignment horizontal="center" wrapText="1"/>
    </xf>
    <xf numFmtId="0" fontId="41" fillId="19" borderId="55" xfId="33" applyFont="1" applyFill="1" applyBorder="1" applyAlignment="1">
      <alignment horizontal="right" wrapText="1"/>
    </xf>
    <xf numFmtId="171" fontId="41" fillId="19" borderId="55" xfId="32" applyNumberFormat="1" applyFont="1" applyFill="1" applyBorder="1" applyAlignment="1">
      <alignment horizontal="right"/>
    </xf>
    <xf numFmtId="0" fontId="41" fillId="19" borderId="56" xfId="33" applyFont="1" applyFill="1" applyBorder="1" applyAlignment="1">
      <alignment horizontal="right" wrapText="1"/>
    </xf>
    <xf numFmtId="43" fontId="41" fillId="19" borderId="56" xfId="32" applyNumberFormat="1" applyFont="1" applyFill="1" applyBorder="1" applyAlignment="1">
      <alignment horizontal="right"/>
    </xf>
    <xf numFmtId="0" fontId="45" fillId="19" borderId="56" xfId="33" applyFont="1" applyFill="1" applyBorder="1" applyAlignment="1">
      <alignment horizontal="right" wrapText="1"/>
    </xf>
    <xf numFmtId="171" fontId="41" fillId="19" borderId="56" xfId="32" applyNumberFormat="1" applyFont="1" applyFill="1" applyBorder="1" applyAlignment="1">
      <alignment horizontal="right"/>
    </xf>
    <xf numFmtId="0" fontId="45" fillId="19" borderId="54" xfId="33" applyFont="1" applyFill="1" applyBorder="1" applyAlignment="1">
      <alignment horizontal="right" wrapText="1"/>
    </xf>
    <xf numFmtId="9" fontId="41" fillId="19" borderId="54" xfId="32" applyNumberFormat="1" applyFont="1" applyFill="1" applyBorder="1" applyAlignment="1">
      <alignment horizontal="right"/>
    </xf>
    <xf numFmtId="171" fontId="41" fillId="19" borderId="56" xfId="1" applyNumberFormat="1" applyFont="1" applyFill="1" applyBorder="1" applyAlignment="1">
      <alignment horizontal="right" wrapText="1"/>
    </xf>
    <xf numFmtId="171" fontId="41" fillId="19" borderId="56" xfId="0" applyNumberFormat="1" applyFont="1" applyFill="1" applyBorder="1"/>
    <xf numFmtId="5" fontId="41" fillId="19" borderId="55" xfId="0" applyNumberFormat="1" applyFont="1" applyFill="1" applyBorder="1"/>
    <xf numFmtId="5" fontId="41" fillId="19" borderId="35" xfId="0" applyNumberFormat="1" applyFont="1" applyFill="1" applyBorder="1"/>
    <xf numFmtId="165" fontId="41" fillId="19" borderId="55" xfId="0" applyNumberFormat="1" applyFont="1" applyFill="1" applyBorder="1"/>
    <xf numFmtId="165" fontId="41" fillId="19" borderId="56" xfId="1" applyNumberFormat="1" applyFont="1" applyFill="1" applyBorder="1" applyAlignment="1">
      <alignment horizontal="right" wrapText="1"/>
    </xf>
    <xf numFmtId="5" fontId="41" fillId="19" borderId="56" xfId="0" applyNumberFormat="1" applyFont="1" applyFill="1" applyBorder="1"/>
    <xf numFmtId="5" fontId="41" fillId="19" borderId="39" xfId="0" applyNumberFormat="1" applyFont="1" applyFill="1" applyBorder="1"/>
    <xf numFmtId="165" fontId="41" fillId="19" borderId="56" xfId="0" applyNumberFormat="1" applyFont="1" applyFill="1" applyBorder="1"/>
    <xf numFmtId="0" fontId="41" fillId="19" borderId="56" xfId="42" applyFont="1" applyFill="1" applyBorder="1" applyAlignment="1">
      <alignment horizontal="right"/>
    </xf>
    <xf numFmtId="0" fontId="41" fillId="19" borderId="39" xfId="42" applyFont="1" applyFill="1" applyBorder="1" applyAlignment="1">
      <alignment horizontal="right"/>
    </xf>
    <xf numFmtId="0" fontId="41" fillId="19" borderId="37" xfId="0" applyFont="1" applyFill="1" applyBorder="1"/>
    <xf numFmtId="165" fontId="41" fillId="19" borderId="45" xfId="1" applyNumberFormat="1" applyFont="1" applyFill="1" applyBorder="1" applyAlignment="1">
      <alignment horizontal="right" wrapText="1"/>
    </xf>
    <xf numFmtId="0" fontId="41" fillId="19" borderId="45" xfId="42" applyFont="1" applyFill="1" applyBorder="1" applyAlignment="1">
      <alignment horizontal="right"/>
    </xf>
    <xf numFmtId="0" fontId="42" fillId="19" borderId="45" xfId="0" applyFont="1" applyFill="1" applyBorder="1" applyAlignment="1">
      <alignment horizontal="right"/>
    </xf>
    <xf numFmtId="0" fontId="41" fillId="19" borderId="35" xfId="33" applyFont="1" applyFill="1" applyBorder="1" applyAlignment="1">
      <alignment horizontal="right" wrapText="1"/>
    </xf>
    <xf numFmtId="0" fontId="41" fillId="19" borderId="39" xfId="33" applyFont="1" applyFill="1" applyBorder="1" applyAlignment="1">
      <alignment horizontal="right" wrapText="1"/>
    </xf>
    <xf numFmtId="0" fontId="45" fillId="19" borderId="39" xfId="33" applyFont="1" applyFill="1" applyBorder="1" applyAlignment="1">
      <alignment horizontal="right" wrapText="1"/>
    </xf>
    <xf numFmtId="1" fontId="41" fillId="19" borderId="56" xfId="42" applyNumberFormat="1" applyFont="1" applyFill="1" applyBorder="1"/>
    <xf numFmtId="178" fontId="41" fillId="19" borderId="55" xfId="0" applyNumberFormat="1" applyFont="1" applyFill="1" applyBorder="1"/>
    <xf numFmtId="165" fontId="41" fillId="19" borderId="35" xfId="1" applyNumberFormat="1" applyFont="1" applyFill="1" applyBorder="1" applyAlignment="1">
      <alignment horizontal="right" wrapText="1"/>
    </xf>
    <xf numFmtId="165" fontId="41" fillId="19" borderId="36" xfId="1" applyNumberFormat="1" applyFont="1" applyFill="1" applyBorder="1" applyAlignment="1">
      <alignment horizontal="right"/>
    </xf>
    <xf numFmtId="165" fontId="41" fillId="19" borderId="37" xfId="1" applyNumberFormat="1" applyFont="1" applyFill="1" applyBorder="1" applyAlignment="1">
      <alignment horizontal="right" wrapText="1"/>
    </xf>
    <xf numFmtId="0" fontId="41" fillId="19" borderId="54" xfId="42" applyFont="1" applyFill="1" applyBorder="1" applyAlignment="1">
      <alignment horizontal="right"/>
    </xf>
    <xf numFmtId="0" fontId="41" fillId="54" borderId="38" xfId="0" applyFont="1" applyFill="1" applyBorder="1"/>
    <xf numFmtId="179" fontId="41" fillId="19" borderId="56" xfId="33" applyNumberFormat="1" applyFont="1" applyFill="1" applyBorder="1" applyAlignment="1">
      <alignment horizontal="right" wrapText="1"/>
    </xf>
    <xf numFmtId="43" fontId="41" fillId="19" borderId="56" xfId="33" applyNumberFormat="1" applyFont="1" applyFill="1" applyBorder="1" applyAlignment="1">
      <alignment horizontal="right" wrapText="1"/>
    </xf>
    <xf numFmtId="9" fontId="41" fillId="19" borderId="56" xfId="2" applyFont="1" applyFill="1" applyBorder="1" applyAlignment="1">
      <alignment horizontal="right" wrapText="1"/>
    </xf>
    <xf numFmtId="179" fontId="41" fillId="19" borderId="56" xfId="1" applyNumberFormat="1" applyFont="1" applyFill="1" applyBorder="1" applyAlignment="1">
      <alignment horizontal="right"/>
    </xf>
    <xf numFmtId="179" fontId="41" fillId="19" borderId="56" xfId="1" applyNumberFormat="1" applyFont="1" applyFill="1" applyBorder="1" applyAlignment="1">
      <alignment horizontal="right" wrapText="1"/>
    </xf>
    <xf numFmtId="43" fontId="41" fillId="19" borderId="54" xfId="0" applyNumberFormat="1" applyFont="1" applyFill="1" applyBorder="1"/>
    <xf numFmtId="171" fontId="0" fillId="0" borderId="0" xfId="1" applyNumberFormat="1" applyFont="1"/>
    <xf numFmtId="43" fontId="0" fillId="0" borderId="0" xfId="1" applyNumberFormat="1" applyFont="1"/>
    <xf numFmtId="43" fontId="0" fillId="0" borderId="0" xfId="0" applyNumberFormat="1"/>
    <xf numFmtId="0" fontId="41" fillId="54" borderId="37" xfId="42" applyFont="1" applyFill="1" applyBorder="1" applyAlignment="1">
      <alignment horizontal="right"/>
    </xf>
    <xf numFmtId="171" fontId="41" fillId="54" borderId="58" xfId="1" applyNumberFormat="1" applyFont="1" applyFill="1" applyBorder="1"/>
    <xf numFmtId="0" fontId="41" fillId="19" borderId="37" xfId="33" applyFont="1" applyFill="1" applyBorder="1" applyAlignment="1">
      <alignment horizontal="right"/>
    </xf>
    <xf numFmtId="9" fontId="41" fillId="19" borderId="54" xfId="1" applyNumberFormat="1" applyFont="1" applyFill="1" applyBorder="1" applyAlignment="1">
      <alignment horizontal="right"/>
    </xf>
    <xf numFmtId="0" fontId="42" fillId="8" borderId="0" xfId="0" applyFont="1" applyFill="1" applyBorder="1" applyAlignment="1">
      <alignment horizontal="center" wrapText="1"/>
    </xf>
    <xf numFmtId="180" fontId="41" fillId="19" borderId="56" xfId="2" applyNumberFormat="1" applyFont="1" applyFill="1" applyBorder="1" applyAlignment="1">
      <alignment wrapText="1"/>
    </xf>
    <xf numFmtId="164" fontId="41" fillId="19" borderId="56" xfId="0" applyNumberFormat="1" applyFont="1" applyFill="1" applyBorder="1"/>
    <xf numFmtId="166" fontId="41" fillId="19" borderId="55" xfId="0" applyNumberFormat="1" applyFont="1" applyFill="1" applyBorder="1"/>
    <xf numFmtId="171" fontId="41" fillId="19" borderId="54" xfId="1" applyNumberFormat="1" applyFont="1" applyFill="1" applyBorder="1" applyAlignment="1">
      <alignment wrapText="1"/>
    </xf>
    <xf numFmtId="165" fontId="41" fillId="19" borderId="56" xfId="1" applyNumberFormat="1" applyFont="1" applyFill="1" applyBorder="1" applyAlignment="1">
      <alignment wrapText="1"/>
    </xf>
    <xf numFmtId="187" fontId="41" fillId="19" borderId="55" xfId="0" applyNumberFormat="1" applyFont="1" applyFill="1" applyBorder="1" applyAlignment="1">
      <alignment horizontal="right" wrapText="1"/>
    </xf>
    <xf numFmtId="187" fontId="41" fillId="19" borderId="56" xfId="0" applyNumberFormat="1" applyFont="1" applyFill="1" applyBorder="1" applyAlignment="1">
      <alignment horizontal="right" wrapText="1"/>
    </xf>
    <xf numFmtId="179" fontId="41" fillId="19" borderId="56" xfId="1" applyNumberFormat="1" applyFont="1" applyFill="1" applyBorder="1" applyAlignment="1">
      <alignment wrapText="1"/>
    </xf>
    <xf numFmtId="0" fontId="41" fillId="19" borderId="56" xfId="0" applyFont="1" applyFill="1" applyBorder="1" applyAlignment="1">
      <alignment wrapText="1"/>
    </xf>
    <xf numFmtId="171" fontId="41" fillId="19" borderId="56" xfId="1" applyNumberFormat="1" applyFont="1" applyFill="1" applyBorder="1" applyAlignment="1">
      <alignment wrapText="1"/>
    </xf>
    <xf numFmtId="9" fontId="41" fillId="19" borderId="56" xfId="0" applyNumberFormat="1" applyFont="1" applyFill="1" applyBorder="1" applyAlignment="1">
      <alignment wrapText="1"/>
    </xf>
    <xf numFmtId="0" fontId="41" fillId="19" borderId="54" xfId="0" applyFont="1" applyFill="1" applyBorder="1" applyAlignment="1">
      <alignment horizontal="right" wrapText="1"/>
    </xf>
    <xf numFmtId="43" fontId="41" fillId="19" borderId="56" xfId="0" applyNumberFormat="1" applyFont="1" applyFill="1" applyBorder="1"/>
    <xf numFmtId="171" fontId="41" fillId="107" borderId="55" xfId="1" applyNumberFormat="1" applyFont="1" applyFill="1" applyBorder="1" applyAlignment="1">
      <alignment horizontal="right" wrapText="1"/>
    </xf>
    <xf numFmtId="171" fontId="41" fillId="107" borderId="55" xfId="1" applyNumberFormat="1" applyFont="1" applyFill="1" applyBorder="1"/>
    <xf numFmtId="171" fontId="41" fillId="107" borderId="56" xfId="1" applyNumberFormat="1" applyFont="1" applyFill="1" applyBorder="1" applyAlignment="1">
      <alignment horizontal="right" wrapText="1"/>
    </xf>
    <xf numFmtId="178" fontId="41" fillId="107" borderId="56" xfId="1" applyNumberFormat="1" applyFont="1" applyFill="1" applyBorder="1"/>
    <xf numFmtId="171" fontId="41" fillId="107" borderId="54" xfId="1" applyNumberFormat="1" applyFont="1" applyFill="1" applyBorder="1" applyAlignment="1">
      <alignment horizontal="right" wrapText="1"/>
    </xf>
    <xf numFmtId="178" fontId="41" fillId="107" borderId="54" xfId="1" applyNumberFormat="1" applyFont="1" applyFill="1" applyBorder="1"/>
    <xf numFmtId="10" fontId="41" fillId="19" borderId="54" xfId="0" applyNumberFormat="1" applyFont="1" applyFill="1" applyBorder="1"/>
    <xf numFmtId="0" fontId="41" fillId="19" borderId="56" xfId="0" applyFont="1" applyFill="1" applyBorder="1"/>
    <xf numFmtId="180" fontId="41" fillId="19" borderId="56" xfId="0" applyNumberFormat="1" applyFont="1" applyFill="1" applyBorder="1"/>
    <xf numFmtId="184" fontId="41" fillId="19" borderId="56" xfId="1" applyNumberFormat="1" applyFont="1" applyFill="1" applyBorder="1"/>
    <xf numFmtId="185" fontId="41" fillId="19" borderId="56" xfId="0" applyNumberFormat="1" applyFont="1" applyFill="1" applyBorder="1"/>
    <xf numFmtId="0" fontId="42" fillId="19" borderId="45" xfId="0" applyFont="1" applyFill="1" applyBorder="1"/>
    <xf numFmtId="0" fontId="42" fillId="19" borderId="45" xfId="0" applyFont="1" applyFill="1" applyBorder="1" applyAlignment="1">
      <alignment horizontal="center" wrapText="1"/>
    </xf>
    <xf numFmtId="9" fontId="41" fillId="19" borderId="56" xfId="0" applyNumberFormat="1" applyFont="1" applyFill="1" applyBorder="1"/>
    <xf numFmtId="0" fontId="165" fillId="0" borderId="0" xfId="0" applyFont="1" applyProtection="1">
      <protection locked="0"/>
    </xf>
    <xf numFmtId="0" fontId="15" fillId="0" borderId="1" xfId="0" applyFont="1" applyFill="1" applyBorder="1"/>
    <xf numFmtId="0" fontId="15" fillId="5" borderId="5" xfId="0" applyFont="1" applyFill="1" applyBorder="1" applyAlignment="1">
      <alignment horizontal="left"/>
    </xf>
    <xf numFmtId="0" fontId="15" fillId="5" borderId="1" xfId="0" applyFont="1" applyFill="1" applyBorder="1" applyAlignment="1">
      <alignment horizontal="left"/>
    </xf>
    <xf numFmtId="0" fontId="15" fillId="5" borderId="2" xfId="0" applyFont="1" applyFill="1" applyBorder="1" applyAlignment="1">
      <alignment horizontal="left"/>
    </xf>
    <xf numFmtId="4" fontId="15" fillId="0" borderId="1" xfId="1" applyNumberFormat="1" applyFont="1" applyFill="1" applyBorder="1" applyAlignment="1" applyProtection="1">
      <alignment horizontal="center"/>
      <protection locked="0"/>
    </xf>
    <xf numFmtId="41" fontId="15" fillId="5" borderId="3" xfId="1" applyNumberFormat="1" applyFont="1" applyFill="1" applyBorder="1" applyAlignment="1">
      <alignment horizontal="right" vertical="center"/>
    </xf>
    <xf numFmtId="167" fontId="15" fillId="5" borderId="1" xfId="1" applyNumberFormat="1" applyFont="1" applyFill="1" applyBorder="1" applyAlignment="1">
      <alignment horizontal="right" vertical="center"/>
    </xf>
    <xf numFmtId="168" fontId="15" fillId="5" borderId="1" xfId="0" applyNumberFormat="1" applyFont="1" applyFill="1" applyBorder="1" applyAlignment="1">
      <alignment horizontal="left" vertical="center"/>
    </xf>
    <xf numFmtId="168" fontId="15" fillId="5" borderId="2" xfId="0" applyNumberFormat="1" applyFont="1" applyFill="1" applyBorder="1" applyAlignment="1">
      <alignment horizontal="left" vertical="center"/>
    </xf>
    <xf numFmtId="9" fontId="15" fillId="5" borderId="2" xfId="0" applyNumberFormat="1" applyFont="1" applyFill="1" applyBorder="1" applyAlignment="1">
      <alignment horizontal="right" vertical="center"/>
    </xf>
    <xf numFmtId="171" fontId="15" fillId="5" borderId="1" xfId="1" applyNumberFormat="1" applyFont="1" applyFill="1" applyBorder="1" applyAlignment="1">
      <alignment horizontal="right" vertical="center"/>
    </xf>
    <xf numFmtId="43" fontId="15" fillId="5" borderId="5" xfId="1" applyNumberFormat="1" applyFont="1" applyFill="1" applyBorder="1" applyAlignment="1">
      <alignment horizontal="right" vertical="center"/>
    </xf>
    <xf numFmtId="171" fontId="15" fillId="5" borderId="5" xfId="1" applyNumberFormat="1" applyFont="1" applyFill="1" applyBorder="1" applyAlignment="1">
      <alignment horizontal="right" vertical="center"/>
    </xf>
    <xf numFmtId="171" fontId="15" fillId="5" borderId="12" xfId="1" applyNumberFormat="1" applyFont="1" applyFill="1" applyBorder="1" applyAlignment="1">
      <alignment horizontal="center" vertical="center"/>
    </xf>
    <xf numFmtId="172" fontId="15" fillId="0" borderId="0" xfId="0" applyNumberFormat="1" applyFont="1"/>
    <xf numFmtId="0" fontId="15" fillId="0" borderId="0" xfId="0" applyFont="1" applyFill="1"/>
    <xf numFmtId="0" fontId="15" fillId="0" borderId="0" xfId="0" applyFont="1" applyFill="1" applyAlignment="1"/>
    <xf numFmtId="0" fontId="15" fillId="0" borderId="0" xfId="0" applyFont="1"/>
    <xf numFmtId="3" fontId="0" fillId="16" borderId="3" xfId="0" applyNumberFormat="1" applyFill="1" applyBorder="1"/>
    <xf numFmtId="165" fontId="42" fillId="53" borderId="45" xfId="0" applyNumberFormat="1" applyFont="1" applyFill="1" applyBorder="1" applyAlignment="1">
      <alignment horizontal="center"/>
    </xf>
    <xf numFmtId="0" fontId="42" fillId="6" borderId="45" xfId="27" applyFont="1" applyFill="1" applyBorder="1" applyAlignment="1">
      <alignment horizontal="center" wrapText="1"/>
    </xf>
    <xf numFmtId="0" fontId="166" fillId="6" borderId="45" xfId="0" applyFont="1" applyFill="1" applyBorder="1" applyAlignment="1">
      <alignment horizontal="center" wrapText="1"/>
    </xf>
    <xf numFmtId="185" fontId="42" fillId="6" borderId="45" xfId="27" applyNumberFormat="1" applyFont="1" applyFill="1" applyBorder="1" applyAlignment="1">
      <alignment horizontal="center" wrapText="1"/>
    </xf>
    <xf numFmtId="0" fontId="41" fillId="8" borderId="0" xfId="27" applyFont="1" applyFill="1"/>
    <xf numFmtId="171" fontId="45" fillId="8" borderId="45" xfId="1" applyNumberFormat="1" applyFont="1" applyFill="1" applyBorder="1"/>
    <xf numFmtId="171" fontId="45" fillId="8" borderId="45" xfId="1" applyNumberFormat="1" applyFont="1" applyFill="1" applyBorder="1" applyAlignment="1">
      <alignment horizontal="center"/>
    </xf>
    <xf numFmtId="0" fontId="45" fillId="8" borderId="45" xfId="0" applyFont="1" applyFill="1" applyBorder="1" applyAlignment="1">
      <alignment horizontal="center"/>
    </xf>
    <xf numFmtId="185" fontId="45" fillId="8" borderId="45" xfId="0" applyNumberFormat="1" applyFont="1" applyFill="1" applyBorder="1" applyAlignment="1">
      <alignment horizontal="center"/>
    </xf>
    <xf numFmtId="0" fontId="45" fillId="8" borderId="45" xfId="0" applyNumberFormat="1" applyFont="1" applyFill="1" applyBorder="1" applyAlignment="1">
      <alignment horizontal="center"/>
    </xf>
    <xf numFmtId="185" fontId="41" fillId="8" borderId="0" xfId="27" applyNumberFormat="1" applyFont="1" applyFill="1"/>
    <xf numFmtId="0" fontId="46" fillId="53" borderId="35" xfId="0" applyFont="1" applyFill="1" applyBorder="1" applyAlignment="1">
      <alignment horizontal="right"/>
    </xf>
    <xf numFmtId="171" fontId="47" fillId="53" borderId="45" xfId="1" applyNumberFormat="1" applyFont="1" applyFill="1" applyBorder="1" applyAlignment="1">
      <alignment horizontal="center"/>
    </xf>
    <xf numFmtId="43" fontId="41" fillId="53" borderId="55" xfId="1" applyNumberFormat="1" applyFont="1" applyFill="1" applyBorder="1" applyAlignment="1">
      <alignment horizontal="center"/>
    </xf>
    <xf numFmtId="43" fontId="41" fillId="53" borderId="54" xfId="1" applyNumberFormat="1" applyFont="1" applyFill="1" applyBorder="1" applyAlignment="1">
      <alignment horizontal="right"/>
    </xf>
    <xf numFmtId="165" fontId="41" fillId="53" borderId="39" xfId="1" applyNumberFormat="1" applyFont="1" applyFill="1" applyBorder="1" applyAlignment="1">
      <alignment horizontal="right" wrapText="1"/>
    </xf>
    <xf numFmtId="0" fontId="42" fillId="8" borderId="0" xfId="27" applyFont="1" applyFill="1"/>
    <xf numFmtId="185" fontId="41" fillId="54" borderId="39" xfId="27" applyNumberFormat="1" applyFont="1" applyFill="1" applyBorder="1"/>
    <xf numFmtId="0" fontId="41" fillId="54" borderId="0" xfId="27" applyFont="1" applyFill="1" applyBorder="1"/>
    <xf numFmtId="0" fontId="41" fillId="54" borderId="34" xfId="27" applyFont="1" applyFill="1" applyBorder="1"/>
    <xf numFmtId="2" fontId="41" fillId="54" borderId="0" xfId="27" applyNumberFormat="1" applyFont="1" applyFill="1" applyBorder="1"/>
    <xf numFmtId="43" fontId="41" fillId="53" borderId="36" xfId="1" applyNumberFormat="1" applyFont="1" applyFill="1" applyBorder="1" applyAlignment="1">
      <alignment horizontal="right"/>
    </xf>
    <xf numFmtId="43" fontId="41" fillId="53" borderId="55" xfId="1" applyNumberFormat="1" applyFont="1" applyFill="1" applyBorder="1" applyAlignment="1">
      <alignment horizontal="right"/>
    </xf>
    <xf numFmtId="185" fontId="41" fillId="54" borderId="37" xfId="27" applyNumberFormat="1" applyFont="1" applyFill="1" applyBorder="1"/>
    <xf numFmtId="240" fontId="41" fillId="54" borderId="58" xfId="27" applyNumberFormat="1" applyFont="1" applyFill="1" applyBorder="1"/>
    <xf numFmtId="0" fontId="41" fillId="54" borderId="38" xfId="27" applyFont="1" applyFill="1" applyBorder="1"/>
    <xf numFmtId="43" fontId="41" fillId="53" borderId="34" xfId="1" applyNumberFormat="1" applyFont="1" applyFill="1" applyBorder="1" applyAlignment="1">
      <alignment horizontal="right"/>
    </xf>
    <xf numFmtId="43" fontId="41" fillId="53" borderId="56" xfId="1" applyNumberFormat="1" applyFont="1" applyFill="1" applyBorder="1" applyAlignment="1">
      <alignment horizontal="right"/>
    </xf>
    <xf numFmtId="9" fontId="41" fillId="53" borderId="38" xfId="0" applyNumberFormat="1" applyFont="1" applyFill="1" applyBorder="1" applyAlignment="1">
      <alignment horizontal="right"/>
    </xf>
    <xf numFmtId="9" fontId="41" fillId="53" borderId="54" xfId="0" applyNumberFormat="1" applyFont="1" applyFill="1" applyBorder="1" applyAlignment="1">
      <alignment horizontal="right"/>
    </xf>
    <xf numFmtId="185" fontId="42" fillId="54" borderId="42" xfId="0" applyNumberFormat="1" applyFont="1" applyFill="1" applyBorder="1" applyAlignment="1">
      <alignment vertical="center" wrapText="1"/>
    </xf>
    <xf numFmtId="0" fontId="42" fillId="54" borderId="43" xfId="0" applyFont="1" applyFill="1" applyBorder="1" applyAlignment="1">
      <alignment horizontal="right" vertical="center" wrapText="1"/>
    </xf>
    <xf numFmtId="0" fontId="42" fillId="54" borderId="44" xfId="27" applyFont="1" applyFill="1" applyBorder="1" applyAlignment="1">
      <alignment horizontal="right"/>
    </xf>
    <xf numFmtId="185" fontId="45" fillId="54" borderId="39" xfId="0" applyNumberFormat="1" applyFont="1" applyFill="1" applyBorder="1"/>
    <xf numFmtId="171" fontId="45" fillId="54" borderId="0" xfId="1" applyNumberFormat="1" applyFont="1" applyFill="1" applyBorder="1" applyAlignment="1">
      <alignment horizontal="right" vertical="center"/>
    </xf>
    <xf numFmtId="9" fontId="41" fillId="54" borderId="34" xfId="27" applyNumberFormat="1" applyFont="1" applyFill="1" applyBorder="1"/>
    <xf numFmtId="43" fontId="41" fillId="53" borderId="54" xfId="1" applyFont="1" applyFill="1" applyBorder="1" applyAlignment="1">
      <alignment horizontal="right"/>
    </xf>
    <xf numFmtId="185" fontId="45" fillId="54" borderId="39" xfId="0" applyNumberFormat="1" applyFont="1" applyFill="1" applyBorder="1" applyAlignment="1">
      <alignment horizontal="justify" vertical="center"/>
    </xf>
    <xf numFmtId="171" fontId="41" fillId="54" borderId="58" xfId="1" applyNumberFormat="1" applyFont="1" applyFill="1" applyBorder="1" applyAlignment="1">
      <alignment horizontal="right"/>
    </xf>
    <xf numFmtId="9" fontId="41" fillId="54" borderId="38" xfId="2" applyFont="1" applyFill="1" applyBorder="1"/>
    <xf numFmtId="43" fontId="41" fillId="53" borderId="55" xfId="1" applyFont="1" applyFill="1" applyBorder="1" applyAlignment="1">
      <alignment horizontal="left"/>
    </xf>
    <xf numFmtId="0" fontId="47" fillId="53" borderId="36" xfId="1" applyNumberFormat="1" applyFont="1" applyFill="1" applyBorder="1" applyAlignment="1">
      <alignment horizontal="center"/>
    </xf>
    <xf numFmtId="171" fontId="41" fillId="53" borderId="57" xfId="1" applyNumberFormat="1" applyFont="1" applyFill="1" applyBorder="1"/>
    <xf numFmtId="43" fontId="41" fillId="53" borderId="35" xfId="1" applyFont="1" applyFill="1" applyBorder="1" applyAlignment="1">
      <alignment horizontal="right"/>
    </xf>
    <xf numFmtId="185" fontId="41" fillId="53" borderId="57" xfId="1" applyNumberFormat="1" applyFont="1" applyFill="1" applyBorder="1" applyAlignment="1">
      <alignment horizontal="right"/>
    </xf>
    <xf numFmtId="178" fontId="41" fillId="53" borderId="57" xfId="1" applyNumberFormat="1" applyFont="1" applyFill="1" applyBorder="1" applyAlignment="1">
      <alignment horizontal="center"/>
    </xf>
    <xf numFmtId="165" fontId="41" fillId="53" borderId="35" xfId="0" applyNumberFormat="1" applyFont="1" applyFill="1" applyBorder="1"/>
    <xf numFmtId="165" fontId="41" fillId="108" borderId="57" xfId="0" applyNumberFormat="1" applyFont="1" applyFill="1" applyBorder="1"/>
    <xf numFmtId="166" fontId="41" fillId="108" borderId="57" xfId="0" applyNumberFormat="1" applyFont="1" applyFill="1" applyBorder="1"/>
    <xf numFmtId="43" fontId="41" fillId="53" borderId="56" xfId="1" applyFont="1" applyFill="1" applyBorder="1" applyAlignment="1">
      <alignment horizontal="left"/>
    </xf>
    <xf numFmtId="43" fontId="41" fillId="53" borderId="39" xfId="1" applyFont="1" applyFill="1" applyBorder="1" applyAlignment="1">
      <alignment horizontal="right"/>
    </xf>
    <xf numFmtId="185" fontId="41" fillId="53" borderId="0" xfId="1" applyNumberFormat="1" applyFont="1" applyFill="1" applyBorder="1" applyAlignment="1">
      <alignment horizontal="right"/>
    </xf>
    <xf numFmtId="178" fontId="41" fillId="53" borderId="0" xfId="1" applyNumberFormat="1" applyFont="1" applyFill="1" applyBorder="1" applyAlignment="1">
      <alignment horizontal="center"/>
    </xf>
    <xf numFmtId="165" fontId="41" fillId="108" borderId="0" xfId="0" applyNumberFormat="1" applyFont="1" applyFill="1" applyBorder="1"/>
    <xf numFmtId="166" fontId="41" fillId="108" borderId="0" xfId="0" applyNumberFormat="1" applyFont="1" applyFill="1" applyBorder="1"/>
    <xf numFmtId="43" fontId="41" fillId="53" borderId="54" xfId="1" applyFont="1" applyFill="1" applyBorder="1" applyAlignment="1">
      <alignment horizontal="left"/>
    </xf>
    <xf numFmtId="43" fontId="41" fillId="53" borderId="37" xfId="1" applyFont="1" applyFill="1" applyBorder="1" applyAlignment="1">
      <alignment horizontal="right"/>
    </xf>
    <xf numFmtId="185" fontId="41" fillId="53" borderId="58" xfId="1" applyNumberFormat="1" applyFont="1" applyFill="1" applyBorder="1" applyAlignment="1">
      <alignment horizontal="right"/>
    </xf>
    <xf numFmtId="178" fontId="41" fillId="53" borderId="58" xfId="1" applyNumberFormat="1" applyFont="1" applyFill="1" applyBorder="1" applyAlignment="1">
      <alignment horizontal="center"/>
    </xf>
    <xf numFmtId="165" fontId="41" fillId="108" borderId="58" xfId="0" applyNumberFormat="1" applyFont="1" applyFill="1" applyBorder="1"/>
    <xf numFmtId="166" fontId="41" fillId="108" borderId="58" xfId="0" applyNumberFormat="1" applyFont="1" applyFill="1" applyBorder="1"/>
    <xf numFmtId="43" fontId="41" fillId="53" borderId="57" xfId="1" applyFont="1" applyFill="1" applyBorder="1" applyAlignment="1">
      <alignment horizontal="right"/>
    </xf>
    <xf numFmtId="43" fontId="41" fillId="53" borderId="0" xfId="1" applyFont="1" applyFill="1" applyBorder="1" applyAlignment="1">
      <alignment horizontal="right"/>
    </xf>
    <xf numFmtId="43" fontId="41" fillId="53" borderId="58" xfId="1" applyFont="1" applyFill="1" applyBorder="1" applyAlignment="1">
      <alignment horizontal="right"/>
    </xf>
    <xf numFmtId="43" fontId="41" fillId="109" borderId="55" xfId="1" applyFont="1" applyFill="1" applyBorder="1" applyAlignment="1">
      <alignment horizontal="left"/>
    </xf>
    <xf numFmtId="0" fontId="46" fillId="109" borderId="57" xfId="0" applyFont="1" applyFill="1" applyBorder="1" applyAlignment="1">
      <alignment horizontal="center"/>
    </xf>
    <xf numFmtId="171" fontId="45" fillId="109" borderId="35" xfId="1" applyNumberFormat="1" applyFont="1" applyFill="1" applyBorder="1"/>
    <xf numFmtId="171" fontId="41" fillId="109" borderId="36" xfId="1" applyNumberFormat="1" applyFont="1" applyFill="1" applyBorder="1" applyAlignment="1">
      <alignment horizontal="right"/>
    </xf>
    <xf numFmtId="43" fontId="41" fillId="109" borderId="57" xfId="1" applyFont="1" applyFill="1" applyBorder="1" applyAlignment="1">
      <alignment horizontal="right"/>
    </xf>
    <xf numFmtId="185" fontId="41" fillId="109" borderId="57" xfId="1" applyNumberFormat="1" applyFont="1" applyFill="1" applyBorder="1" applyAlignment="1">
      <alignment horizontal="right"/>
    </xf>
    <xf numFmtId="178" fontId="41" fillId="109" borderId="57" xfId="1" applyNumberFormat="1" applyFont="1" applyFill="1" applyBorder="1" applyAlignment="1">
      <alignment horizontal="right"/>
    </xf>
    <xf numFmtId="166" fontId="41" fillId="109" borderId="35" xfId="0" applyNumberFormat="1" applyFont="1" applyFill="1" applyBorder="1"/>
    <xf numFmtId="166" fontId="41" fillId="109" borderId="57" xfId="0" applyNumberFormat="1" applyFont="1" applyFill="1" applyBorder="1"/>
    <xf numFmtId="9" fontId="41" fillId="109" borderId="57" xfId="2" applyFont="1" applyFill="1" applyBorder="1"/>
    <xf numFmtId="171" fontId="41" fillId="109" borderId="36" xfId="1" applyNumberFormat="1" applyFont="1" applyFill="1" applyBorder="1" applyAlignment="1">
      <alignment wrapText="1"/>
    </xf>
    <xf numFmtId="0" fontId="41" fillId="109" borderId="0" xfId="27" applyFont="1" applyFill="1"/>
    <xf numFmtId="43" fontId="41" fillId="109" borderId="56" xfId="1" applyFont="1" applyFill="1" applyBorder="1" applyAlignment="1">
      <alignment horizontal="left"/>
    </xf>
    <xf numFmtId="0" fontId="46" fillId="109" borderId="0" xfId="0" applyFont="1" applyFill="1" applyBorder="1" applyAlignment="1">
      <alignment horizontal="center"/>
    </xf>
    <xf numFmtId="171" fontId="45" fillId="109" borderId="39" xfId="1" applyNumberFormat="1" applyFont="1" applyFill="1" applyBorder="1"/>
    <xf numFmtId="171" fontId="41" fillId="109" borderId="34" xfId="1" applyNumberFormat="1" applyFont="1" applyFill="1" applyBorder="1" applyAlignment="1">
      <alignment horizontal="right"/>
    </xf>
    <xf numFmtId="43" fontId="41" fillId="109" borderId="0" xfId="1" applyFont="1" applyFill="1" applyBorder="1" applyAlignment="1">
      <alignment horizontal="right"/>
    </xf>
    <xf numFmtId="185" fontId="41" fillId="109" borderId="0" xfId="1" applyNumberFormat="1" applyFont="1" applyFill="1" applyBorder="1" applyAlignment="1">
      <alignment horizontal="right"/>
    </xf>
    <xf numFmtId="178" fontId="41" fillId="109" borderId="0" xfId="1" applyNumberFormat="1" applyFont="1" applyFill="1" applyBorder="1" applyAlignment="1">
      <alignment horizontal="right"/>
    </xf>
    <xf numFmtId="166" fontId="41" fillId="109" borderId="39" xfId="0" applyNumberFormat="1" applyFont="1" applyFill="1" applyBorder="1"/>
    <xf numFmtId="166" fontId="41" fillId="109" borderId="0" xfId="0" applyNumberFormat="1" applyFont="1" applyFill="1" applyBorder="1"/>
    <xf numFmtId="9" fontId="41" fillId="109" borderId="0" xfId="2" applyFont="1" applyFill="1" applyBorder="1"/>
    <xf numFmtId="171" fontId="41" fillId="109" borderId="34" xfId="1" applyNumberFormat="1" applyFont="1" applyFill="1" applyBorder="1" applyAlignment="1">
      <alignment wrapText="1"/>
    </xf>
    <xf numFmtId="43" fontId="41" fillId="109" borderId="54" xfId="1" applyFont="1" applyFill="1" applyBorder="1" applyAlignment="1">
      <alignment horizontal="left"/>
    </xf>
    <xf numFmtId="0" fontId="46" fillId="109" borderId="58" xfId="0" applyFont="1" applyFill="1" applyBorder="1" applyAlignment="1">
      <alignment horizontal="center"/>
    </xf>
    <xf numFmtId="171" fontId="45" fillId="109" borderId="37" xfId="1" applyNumberFormat="1" applyFont="1" applyFill="1" applyBorder="1"/>
    <xf numFmtId="171" fontId="41" fillId="109" borderId="38" xfId="1" applyNumberFormat="1" applyFont="1" applyFill="1" applyBorder="1" applyAlignment="1">
      <alignment horizontal="right"/>
    </xf>
    <xf numFmtId="43" fontId="41" fillId="109" borderId="58" xfId="1" applyFont="1" applyFill="1" applyBorder="1" applyAlignment="1">
      <alignment horizontal="right"/>
    </xf>
    <xf numFmtId="185" fontId="41" fillId="109" borderId="58" xfId="1" applyNumberFormat="1" applyFont="1" applyFill="1" applyBorder="1" applyAlignment="1">
      <alignment horizontal="right"/>
    </xf>
    <xf numFmtId="178" fontId="41" fillId="109" borderId="58" xfId="1" applyNumberFormat="1" applyFont="1" applyFill="1" applyBorder="1" applyAlignment="1">
      <alignment horizontal="right"/>
    </xf>
    <xf numFmtId="166" fontId="41" fillId="109" borderId="37" xfId="0" applyNumberFormat="1" applyFont="1" applyFill="1" applyBorder="1"/>
    <xf numFmtId="166" fontId="41" fillId="109" borderId="58" xfId="0" applyNumberFormat="1" applyFont="1" applyFill="1" applyBorder="1"/>
    <xf numFmtId="9" fontId="41" fillId="109" borderId="58" xfId="2" applyFont="1" applyFill="1" applyBorder="1"/>
    <xf numFmtId="171" fontId="41" fillId="109" borderId="38" xfId="1" applyNumberFormat="1" applyFont="1" applyFill="1" applyBorder="1" applyAlignment="1">
      <alignment wrapText="1"/>
    </xf>
    <xf numFmtId="178" fontId="41" fillId="53" borderId="36" xfId="1" applyNumberFormat="1" applyFont="1" applyFill="1" applyBorder="1" applyAlignment="1">
      <alignment horizontal="center"/>
    </xf>
    <xf numFmtId="0" fontId="46" fillId="109" borderId="55" xfId="0" applyFont="1" applyFill="1" applyBorder="1" applyAlignment="1">
      <alignment horizontal="center"/>
    </xf>
    <xf numFmtId="43" fontId="41" fillId="109" borderId="35" xfId="1" applyFont="1" applyFill="1" applyBorder="1" applyAlignment="1">
      <alignment horizontal="right"/>
    </xf>
    <xf numFmtId="178" fontId="41" fillId="109" borderId="36" xfId="1" applyNumberFormat="1" applyFont="1" applyFill="1" applyBorder="1" applyAlignment="1">
      <alignment horizontal="right"/>
    </xf>
    <xf numFmtId="171" fontId="41" fillId="109" borderId="55" xfId="1" applyNumberFormat="1" applyFont="1" applyFill="1" applyBorder="1" applyAlignment="1">
      <alignment wrapText="1"/>
    </xf>
    <xf numFmtId="0" fontId="46" fillId="109" borderId="56" xfId="0" applyFont="1" applyFill="1" applyBorder="1" applyAlignment="1">
      <alignment horizontal="center"/>
    </xf>
    <xf numFmtId="43" fontId="41" fillId="109" borderId="39" xfId="1" applyFont="1" applyFill="1" applyBorder="1" applyAlignment="1">
      <alignment horizontal="right"/>
    </xf>
    <xf numFmtId="178" fontId="41" fillId="109" borderId="34" xfId="1" applyNumberFormat="1" applyFont="1" applyFill="1" applyBorder="1" applyAlignment="1">
      <alignment horizontal="right"/>
    </xf>
    <xf numFmtId="171" fontId="41" fillId="109" borderId="56" xfId="1" applyNumberFormat="1" applyFont="1" applyFill="1" applyBorder="1" applyAlignment="1">
      <alignment wrapText="1"/>
    </xf>
    <xf numFmtId="0" fontId="45" fillId="109" borderId="0" xfId="0" applyFont="1" applyFill="1"/>
    <xf numFmtId="0" fontId="46" fillId="109" borderId="54" xfId="0" applyFont="1" applyFill="1" applyBorder="1" applyAlignment="1">
      <alignment horizontal="center"/>
    </xf>
    <xf numFmtId="43" fontId="41" fillId="109" borderId="37" xfId="1" applyFont="1" applyFill="1" applyBorder="1" applyAlignment="1">
      <alignment horizontal="right"/>
    </xf>
    <xf numFmtId="178" fontId="41" fillId="109" borderId="38" xfId="1" applyNumberFormat="1" applyFont="1" applyFill="1" applyBorder="1" applyAlignment="1">
      <alignment horizontal="right"/>
    </xf>
    <xf numFmtId="171" fontId="41" fillId="109" borderId="54" xfId="1" applyNumberFormat="1" applyFont="1" applyFill="1" applyBorder="1" applyAlignment="1">
      <alignment wrapText="1"/>
    </xf>
    <xf numFmtId="0" fontId="47" fillId="53" borderId="58" xfId="1" applyNumberFormat="1" applyFont="1" applyFill="1" applyBorder="1" applyAlignment="1">
      <alignment horizontal="center"/>
    </xf>
    <xf numFmtId="43" fontId="41" fillId="53" borderId="35" xfId="1" applyFont="1" applyFill="1" applyBorder="1" applyAlignment="1">
      <alignment horizontal="left"/>
    </xf>
    <xf numFmtId="9" fontId="41" fillId="108" borderId="57" xfId="2" applyFont="1" applyFill="1" applyBorder="1"/>
    <xf numFmtId="171" fontId="41" fillId="53" borderId="57" xfId="1" applyNumberFormat="1" applyFont="1" applyFill="1" applyBorder="1" applyAlignment="1">
      <alignment wrapText="1"/>
    </xf>
    <xf numFmtId="0" fontId="41" fillId="0" borderId="0" xfId="27" applyFont="1" applyFill="1"/>
    <xf numFmtId="43" fontId="41" fillId="53" borderId="37" xfId="1" applyFont="1" applyFill="1" applyBorder="1" applyAlignment="1">
      <alignment horizontal="left"/>
    </xf>
    <xf numFmtId="178" fontId="41" fillId="53" borderId="38" xfId="1" applyNumberFormat="1" applyFont="1" applyFill="1" applyBorder="1" applyAlignment="1">
      <alignment horizontal="center"/>
    </xf>
    <xf numFmtId="9" fontId="41" fillId="108" borderId="58" xfId="2" applyFont="1" applyFill="1" applyBorder="1"/>
    <xf numFmtId="171" fontId="41" fillId="53" borderId="58" xfId="1" applyNumberFormat="1" applyFont="1" applyFill="1" applyBorder="1" applyAlignment="1">
      <alignment wrapText="1"/>
    </xf>
    <xf numFmtId="165" fontId="41" fillId="108" borderId="39" xfId="0" applyNumberFormat="1" applyFont="1" applyFill="1" applyBorder="1"/>
    <xf numFmtId="9" fontId="41" fillId="108" borderId="0" xfId="2" applyFont="1" applyFill="1" applyBorder="1"/>
    <xf numFmtId="165" fontId="41" fillId="108" borderId="37" xfId="0" applyNumberFormat="1" applyFont="1" applyFill="1" applyBorder="1"/>
    <xf numFmtId="43" fontId="41" fillId="0" borderId="55" xfId="1" applyFont="1" applyFill="1" applyBorder="1" applyAlignment="1">
      <alignment horizontal="left"/>
    </xf>
    <xf numFmtId="0" fontId="47" fillId="0" borderId="57" xfId="1" applyNumberFormat="1" applyFont="1" applyFill="1" applyBorder="1" applyAlignment="1">
      <alignment horizontal="center"/>
    </xf>
    <xf numFmtId="171" fontId="41" fillId="0" borderId="35" xfId="1" applyNumberFormat="1" applyFont="1" applyFill="1" applyBorder="1"/>
    <xf numFmtId="171" fontId="41" fillId="0" borderId="36" xfId="1" applyNumberFormat="1" applyFont="1" applyFill="1" applyBorder="1"/>
    <xf numFmtId="43" fontId="41" fillId="0" borderId="57" xfId="1" applyFont="1" applyFill="1" applyBorder="1" applyAlignment="1">
      <alignment horizontal="right"/>
    </xf>
    <xf numFmtId="185" fontId="41" fillId="0" borderId="57" xfId="1" applyNumberFormat="1" applyFont="1" applyFill="1" applyBorder="1" applyAlignment="1">
      <alignment horizontal="right"/>
    </xf>
    <xf numFmtId="178" fontId="41" fillId="0" borderId="57" xfId="1" applyNumberFormat="1" applyFont="1" applyFill="1" applyBorder="1" applyAlignment="1">
      <alignment horizontal="center"/>
    </xf>
    <xf numFmtId="165" fontId="41" fillId="0" borderId="35" xfId="0" applyNumberFormat="1" applyFont="1" applyFill="1" applyBorder="1"/>
    <xf numFmtId="165" fontId="41" fillId="0" borderId="57" xfId="0" applyNumberFormat="1" applyFont="1" applyFill="1" applyBorder="1"/>
    <xf numFmtId="166" fontId="41" fillId="0" borderId="57" xfId="0" applyNumberFormat="1" applyFont="1" applyFill="1" applyBorder="1"/>
    <xf numFmtId="9" fontId="41" fillId="0" borderId="57" xfId="2" applyFont="1" applyFill="1" applyBorder="1"/>
    <xf numFmtId="171" fontId="41" fillId="0" borderId="36" xfId="1" applyNumberFormat="1" applyFont="1" applyFill="1" applyBorder="1" applyAlignment="1">
      <alignment wrapText="1"/>
    </xf>
    <xf numFmtId="171" fontId="41" fillId="0" borderId="55" xfId="1" applyNumberFormat="1" applyFont="1" applyFill="1" applyBorder="1" applyAlignment="1">
      <alignment wrapText="1"/>
    </xf>
    <xf numFmtId="43" fontId="41" fillId="0" borderId="56" xfId="1" applyFont="1" applyFill="1" applyBorder="1" applyAlignment="1">
      <alignment horizontal="left"/>
    </xf>
    <xf numFmtId="0" fontId="47" fillId="0" borderId="0" xfId="1" applyNumberFormat="1" applyFont="1" applyFill="1" applyBorder="1" applyAlignment="1">
      <alignment horizontal="center"/>
    </xf>
    <xf numFmtId="171" fontId="41" fillId="0" borderId="39" xfId="1" applyNumberFormat="1" applyFont="1" applyFill="1" applyBorder="1"/>
    <xf numFmtId="171" fontId="41" fillId="0" borderId="34" xfId="1" applyNumberFormat="1" applyFont="1" applyFill="1" applyBorder="1"/>
    <xf numFmtId="43" fontId="41" fillId="0" borderId="0" xfId="1" applyFont="1" applyFill="1" applyBorder="1" applyAlignment="1">
      <alignment horizontal="right"/>
    </xf>
    <xf numFmtId="185" fontId="41" fillId="0" borderId="0" xfId="1" applyNumberFormat="1" applyFont="1" applyFill="1" applyBorder="1" applyAlignment="1">
      <alignment horizontal="right"/>
    </xf>
    <xf numFmtId="178" fontId="41" fillId="0" borderId="0" xfId="1" applyNumberFormat="1" applyFont="1" applyFill="1" applyBorder="1" applyAlignment="1">
      <alignment horizontal="center"/>
    </xf>
    <xf numFmtId="165" fontId="41" fillId="0" borderId="39" xfId="0" applyNumberFormat="1" applyFont="1" applyFill="1" applyBorder="1"/>
    <xf numFmtId="165" fontId="41" fillId="0" borderId="0" xfId="0" applyNumberFormat="1" applyFont="1" applyFill="1" applyBorder="1"/>
    <xf numFmtId="166" fontId="41" fillId="0" borderId="0" xfId="0" applyNumberFormat="1" applyFont="1" applyFill="1" applyBorder="1"/>
    <xf numFmtId="9" fontId="41" fillId="0" borderId="0" xfId="2" applyFont="1" applyFill="1" applyBorder="1"/>
    <xf numFmtId="171" fontId="41" fillId="0" borderId="34" xfId="1" applyNumberFormat="1" applyFont="1" applyFill="1" applyBorder="1" applyAlignment="1">
      <alignment wrapText="1"/>
    </xf>
    <xf numFmtId="171" fontId="41" fillId="0" borderId="56" xfId="1" applyNumberFormat="1" applyFont="1" applyFill="1" applyBorder="1" applyAlignment="1">
      <alignment wrapText="1"/>
    </xf>
    <xf numFmtId="171" fontId="41" fillId="0" borderId="37" xfId="1" applyNumberFormat="1" applyFont="1" applyFill="1" applyBorder="1"/>
    <xf numFmtId="171" fontId="41" fillId="0" borderId="38" xfId="1" applyNumberFormat="1" applyFont="1" applyFill="1" applyBorder="1"/>
    <xf numFmtId="165" fontId="41" fillId="0" borderId="37" xfId="0" applyNumberFormat="1" applyFont="1" applyFill="1" applyBorder="1"/>
    <xf numFmtId="165" fontId="41" fillId="0" borderId="58" xfId="0" applyNumberFormat="1" applyFont="1" applyFill="1" applyBorder="1"/>
    <xf numFmtId="166" fontId="41" fillId="0" borderId="58" xfId="0" applyNumberFormat="1" applyFont="1" applyFill="1" applyBorder="1"/>
    <xf numFmtId="9" fontId="41" fillId="0" borderId="58" xfId="2" applyFont="1" applyFill="1" applyBorder="1"/>
    <xf numFmtId="171" fontId="41" fillId="0" borderId="38" xfId="1" applyNumberFormat="1" applyFont="1" applyFill="1" applyBorder="1" applyAlignment="1">
      <alignment wrapText="1"/>
    </xf>
    <xf numFmtId="171" fontId="41" fillId="0" borderId="54" xfId="1" applyNumberFormat="1" applyFont="1" applyFill="1" applyBorder="1" applyAlignment="1">
      <alignment wrapText="1"/>
    </xf>
    <xf numFmtId="43" fontId="45" fillId="53" borderId="35" xfId="1" applyFont="1" applyFill="1" applyBorder="1" applyAlignment="1">
      <alignment horizontal="left" vertical="center" wrapText="1"/>
    </xf>
    <xf numFmtId="165" fontId="45" fillId="108" borderId="35" xfId="0" applyNumberFormat="1" applyFont="1" applyFill="1" applyBorder="1" applyAlignment="1">
      <alignment horizontal="right" vertical="center"/>
    </xf>
    <xf numFmtId="165" fontId="41" fillId="108" borderId="57" xfId="0" applyNumberFormat="1" applyFont="1" applyFill="1" applyBorder="1" applyAlignment="1">
      <alignment horizontal="right" vertical="center"/>
    </xf>
    <xf numFmtId="165" fontId="41" fillId="108" borderId="57" xfId="27" applyNumberFormat="1" applyFont="1" applyFill="1" applyBorder="1" applyAlignment="1">
      <alignment horizontal="right"/>
    </xf>
    <xf numFmtId="9" fontId="41" fillId="108" borderId="57" xfId="2" applyFont="1" applyFill="1" applyBorder="1" applyAlignment="1">
      <alignment horizontal="right"/>
    </xf>
    <xf numFmtId="43" fontId="45" fillId="53" borderId="39" xfId="1" applyFont="1" applyFill="1" applyBorder="1" applyAlignment="1">
      <alignment horizontal="left" vertical="center" wrapText="1"/>
    </xf>
    <xf numFmtId="165" fontId="45" fillId="108" borderId="39" xfId="0" applyNumberFormat="1" applyFont="1" applyFill="1" applyBorder="1" applyAlignment="1">
      <alignment horizontal="right" vertical="center"/>
    </xf>
    <xf numFmtId="165" fontId="41" fillId="108" borderId="0" xfId="0" applyNumberFormat="1" applyFont="1" applyFill="1" applyBorder="1" applyAlignment="1">
      <alignment horizontal="right" vertical="center"/>
    </xf>
    <xf numFmtId="165" fontId="41" fillId="108" borderId="0" xfId="27" applyNumberFormat="1" applyFont="1" applyFill="1" applyBorder="1" applyAlignment="1">
      <alignment horizontal="right"/>
    </xf>
    <xf numFmtId="9" fontId="41" fillId="108" borderId="0" xfId="2" applyFont="1" applyFill="1" applyBorder="1" applyAlignment="1">
      <alignment horizontal="right"/>
    </xf>
    <xf numFmtId="43" fontId="45" fillId="53" borderId="37" xfId="1" applyFont="1" applyFill="1" applyBorder="1" applyAlignment="1">
      <alignment horizontal="left" vertical="center" wrapText="1"/>
    </xf>
    <xf numFmtId="165" fontId="45" fillId="108" borderId="37" xfId="0" applyNumberFormat="1" applyFont="1" applyFill="1" applyBorder="1" applyAlignment="1">
      <alignment horizontal="right" vertical="center"/>
    </xf>
    <xf numFmtId="165" fontId="41" fillId="108" borderId="58" xfId="0" applyNumberFormat="1" applyFont="1" applyFill="1" applyBorder="1" applyAlignment="1">
      <alignment horizontal="right" vertical="center"/>
    </xf>
    <xf numFmtId="165" fontId="41" fillId="108" borderId="58" xfId="27" applyNumberFormat="1" applyFont="1" applyFill="1" applyBorder="1" applyAlignment="1">
      <alignment horizontal="right"/>
    </xf>
    <xf numFmtId="9" fontId="41" fillId="108" borderId="58" xfId="2" applyFont="1" applyFill="1" applyBorder="1" applyAlignment="1">
      <alignment horizontal="right"/>
    </xf>
    <xf numFmtId="43" fontId="45" fillId="53" borderId="0" xfId="1" applyFont="1" applyFill="1" applyBorder="1" applyAlignment="1">
      <alignment horizontal="left" vertical="center" wrapText="1"/>
    </xf>
    <xf numFmtId="178" fontId="41" fillId="53" borderId="34" xfId="1" applyNumberFormat="1" applyFont="1" applyFill="1" applyBorder="1" applyAlignment="1">
      <alignment horizontal="center"/>
    </xf>
    <xf numFmtId="43" fontId="45" fillId="53" borderId="58" xfId="1" applyFont="1" applyFill="1" applyBorder="1" applyAlignment="1">
      <alignment horizontal="left" vertical="center" wrapText="1"/>
    </xf>
    <xf numFmtId="43" fontId="45" fillId="109" borderId="35" xfId="1" applyFont="1" applyFill="1" applyBorder="1" applyAlignment="1">
      <alignment horizontal="left" vertical="center" wrapText="1"/>
    </xf>
    <xf numFmtId="0" fontId="46" fillId="109" borderId="55" xfId="0" applyFont="1" applyFill="1" applyBorder="1" applyAlignment="1">
      <alignment horizontal="center" vertical="center" wrapText="1"/>
    </xf>
    <xf numFmtId="171" fontId="45" fillId="109" borderId="35" xfId="1" applyNumberFormat="1" applyFont="1" applyFill="1" applyBorder="1" applyAlignment="1">
      <alignment horizontal="right" vertical="center"/>
    </xf>
    <xf numFmtId="171" fontId="45" fillId="109" borderId="36" xfId="1" applyNumberFormat="1" applyFont="1" applyFill="1" applyBorder="1" applyAlignment="1">
      <alignment horizontal="right" vertical="center"/>
    </xf>
    <xf numFmtId="178" fontId="41" fillId="109" borderId="57" xfId="1" applyNumberFormat="1" applyFont="1" applyFill="1" applyBorder="1" applyAlignment="1">
      <alignment horizontal="center"/>
    </xf>
    <xf numFmtId="165" fontId="45" fillId="109" borderId="35" xfId="0" applyNumberFormat="1" applyFont="1" applyFill="1" applyBorder="1" applyAlignment="1">
      <alignment horizontal="right" vertical="center"/>
    </xf>
    <xf numFmtId="165" fontId="41" fillId="109" borderId="57" xfId="0" applyNumberFormat="1" applyFont="1" applyFill="1" applyBorder="1" applyAlignment="1">
      <alignment horizontal="right" vertical="center"/>
    </xf>
    <xf numFmtId="165" fontId="41" fillId="109" borderId="57" xfId="27" applyNumberFormat="1" applyFont="1" applyFill="1" applyBorder="1" applyAlignment="1">
      <alignment horizontal="right"/>
    </xf>
    <xf numFmtId="9" fontId="41" fillId="109" borderId="57" xfId="2" applyFont="1" applyFill="1" applyBorder="1" applyAlignment="1">
      <alignment horizontal="right"/>
    </xf>
    <xf numFmtId="43" fontId="45" fillId="109" borderId="37" xfId="1" applyFont="1" applyFill="1" applyBorder="1" applyAlignment="1">
      <alignment horizontal="left" vertical="center" wrapText="1"/>
    </xf>
    <xf numFmtId="0" fontId="46" fillId="109" borderId="54" xfId="0" applyFont="1" applyFill="1" applyBorder="1" applyAlignment="1">
      <alignment horizontal="center" vertical="center" wrapText="1"/>
    </xf>
    <xf numFmtId="171" fontId="45" fillId="109" borderId="37" xfId="1" applyNumberFormat="1" applyFont="1" applyFill="1" applyBorder="1" applyAlignment="1">
      <alignment horizontal="right" vertical="center"/>
    </xf>
    <xf numFmtId="171" fontId="45" fillId="109" borderId="38" xfId="1" applyNumberFormat="1" applyFont="1" applyFill="1" applyBorder="1" applyAlignment="1">
      <alignment horizontal="right" vertical="center"/>
    </xf>
    <xf numFmtId="178" fontId="41" fillId="109" borderId="58" xfId="1" applyNumberFormat="1" applyFont="1" applyFill="1" applyBorder="1" applyAlignment="1">
      <alignment horizontal="center"/>
    </xf>
    <xf numFmtId="165" fontId="45" fillId="109" borderId="37" xfId="0" applyNumberFormat="1" applyFont="1" applyFill="1" applyBorder="1" applyAlignment="1">
      <alignment horizontal="right" vertical="center"/>
    </xf>
    <xf numFmtId="165" fontId="41" fillId="109" borderId="58" xfId="0" applyNumberFormat="1" applyFont="1" applyFill="1" applyBorder="1" applyAlignment="1">
      <alignment horizontal="right" vertical="center"/>
    </xf>
    <xf numFmtId="165" fontId="41" fillId="109" borderId="58" xfId="27" applyNumberFormat="1" applyFont="1" applyFill="1" applyBorder="1" applyAlignment="1">
      <alignment horizontal="right"/>
    </xf>
    <xf numFmtId="9" fontId="41" fillId="109" borderId="58" xfId="2" applyFont="1" applyFill="1" applyBorder="1" applyAlignment="1">
      <alignment horizontal="right"/>
    </xf>
    <xf numFmtId="0" fontId="47" fillId="109" borderId="55" xfId="1" applyNumberFormat="1" applyFont="1" applyFill="1" applyBorder="1" applyAlignment="1">
      <alignment horizontal="center"/>
    </xf>
    <xf numFmtId="171" fontId="41" fillId="109" borderId="35" xfId="1" applyNumberFormat="1" applyFont="1" applyFill="1" applyBorder="1"/>
    <xf numFmtId="171" fontId="41" fillId="109" borderId="36" xfId="1" applyNumberFormat="1" applyFont="1" applyFill="1" applyBorder="1"/>
    <xf numFmtId="178" fontId="41" fillId="109" borderId="36" xfId="1" applyNumberFormat="1" applyFont="1" applyFill="1" applyBorder="1" applyAlignment="1">
      <alignment horizontal="center"/>
    </xf>
    <xf numFmtId="165" fontId="41" fillId="109" borderId="35" xfId="0" applyNumberFormat="1" applyFont="1" applyFill="1" applyBorder="1"/>
    <xf numFmtId="165" fontId="41" fillId="109" borderId="57" xfId="0" applyNumberFormat="1" applyFont="1" applyFill="1" applyBorder="1"/>
    <xf numFmtId="171" fontId="41" fillId="109" borderId="57" xfId="1" applyNumberFormat="1" applyFont="1" applyFill="1" applyBorder="1" applyAlignment="1">
      <alignment wrapText="1"/>
    </xf>
    <xf numFmtId="43" fontId="45" fillId="109" borderId="54" xfId="1" applyFont="1" applyFill="1" applyBorder="1" applyAlignment="1">
      <alignment horizontal="left" vertical="center" wrapText="1"/>
    </xf>
    <xf numFmtId="178" fontId="41" fillId="109" borderId="38" xfId="1" applyNumberFormat="1" applyFont="1" applyFill="1" applyBorder="1" applyAlignment="1">
      <alignment horizontal="center"/>
    </xf>
    <xf numFmtId="171" fontId="41" fillId="109" borderId="58" xfId="1" applyNumberFormat="1" applyFont="1" applyFill="1" applyBorder="1" applyAlignment="1">
      <alignment horizontal="right"/>
    </xf>
    <xf numFmtId="43" fontId="45" fillId="53" borderId="55" xfId="1" applyFont="1" applyFill="1" applyBorder="1" applyAlignment="1">
      <alignment horizontal="left" vertical="center" wrapText="1"/>
    </xf>
    <xf numFmtId="0" fontId="46" fillId="53" borderId="36" xfId="0" applyFont="1" applyFill="1" applyBorder="1" applyAlignment="1">
      <alignment horizontal="center" vertical="center" wrapText="1"/>
    </xf>
    <xf numFmtId="171" fontId="41" fillId="53" borderId="57" xfId="1" applyNumberFormat="1" applyFont="1" applyFill="1" applyBorder="1" applyAlignment="1">
      <alignment horizontal="right"/>
    </xf>
    <xf numFmtId="43" fontId="45" fillId="53" borderId="56" xfId="1" applyFont="1" applyFill="1" applyBorder="1" applyAlignment="1">
      <alignment horizontal="left" vertical="center" wrapText="1"/>
    </xf>
    <xf numFmtId="0" fontId="46" fillId="53" borderId="34" xfId="0" applyFont="1" applyFill="1" applyBorder="1" applyAlignment="1">
      <alignment horizontal="center" vertical="center" wrapText="1"/>
    </xf>
    <xf numFmtId="171" fontId="41" fillId="53" borderId="0" xfId="1" applyNumberFormat="1" applyFont="1" applyFill="1" applyBorder="1" applyAlignment="1">
      <alignment horizontal="right"/>
    </xf>
    <xf numFmtId="43" fontId="45" fillId="53" borderId="54" xfId="1" applyFont="1" applyFill="1" applyBorder="1" applyAlignment="1">
      <alignment horizontal="left" vertical="center" wrapText="1"/>
    </xf>
    <xf numFmtId="0" fontId="46" fillId="53" borderId="38" xfId="0" applyFont="1" applyFill="1" applyBorder="1" applyAlignment="1">
      <alignment horizontal="center" vertical="center" wrapText="1"/>
    </xf>
    <xf numFmtId="171" fontId="41" fillId="53" borderId="58" xfId="1" applyNumberFormat="1" applyFont="1" applyFill="1" applyBorder="1" applyAlignment="1">
      <alignment horizontal="right"/>
    </xf>
    <xf numFmtId="43" fontId="41" fillId="53" borderId="45" xfId="1" applyFont="1" applyFill="1" applyBorder="1" applyAlignment="1">
      <alignment horizontal="left"/>
    </xf>
    <xf numFmtId="0" fontId="47" fillId="53" borderId="43" xfId="1" applyNumberFormat="1" applyFont="1" applyFill="1" applyBorder="1" applyAlignment="1">
      <alignment horizontal="center"/>
    </xf>
    <xf numFmtId="171" fontId="41" fillId="53" borderId="42" xfId="1" applyNumberFormat="1" applyFont="1" applyFill="1" applyBorder="1"/>
    <xf numFmtId="171" fontId="41" fillId="53" borderId="44" xfId="1" applyNumberFormat="1" applyFont="1" applyFill="1" applyBorder="1"/>
    <xf numFmtId="165" fontId="41" fillId="53" borderId="42" xfId="0" applyNumberFormat="1" applyFont="1" applyFill="1" applyBorder="1"/>
    <xf numFmtId="165" fontId="41" fillId="108" borderId="43" xfId="0" applyNumberFormat="1" applyFont="1" applyFill="1" applyBorder="1"/>
    <xf numFmtId="166" fontId="41" fillId="108" borderId="43" xfId="0" applyNumberFormat="1" applyFont="1" applyFill="1" applyBorder="1"/>
    <xf numFmtId="9" fontId="41" fillId="53" borderId="43" xfId="2" applyFont="1" applyFill="1" applyBorder="1"/>
    <xf numFmtId="171" fontId="41" fillId="53" borderId="44" xfId="1" applyNumberFormat="1" applyFont="1" applyFill="1" applyBorder="1" applyAlignment="1">
      <alignment wrapText="1"/>
    </xf>
    <xf numFmtId="43" fontId="41" fillId="53" borderId="42" xfId="1" applyFont="1" applyFill="1" applyBorder="1" applyAlignment="1">
      <alignment horizontal="right"/>
    </xf>
    <xf numFmtId="185" fontId="41" fillId="53" borderId="43" xfId="1" applyNumberFormat="1" applyFont="1" applyFill="1" applyBorder="1" applyAlignment="1">
      <alignment horizontal="right"/>
    </xf>
    <xf numFmtId="178" fontId="41" fillId="53" borderId="44" xfId="1" applyNumberFormat="1" applyFont="1" applyFill="1" applyBorder="1" applyAlignment="1">
      <alignment horizontal="center"/>
    </xf>
    <xf numFmtId="43" fontId="41" fillId="53" borderId="43" xfId="1" applyFont="1" applyFill="1" applyBorder="1" applyAlignment="1">
      <alignment horizontal="right"/>
    </xf>
    <xf numFmtId="178" fontId="41" fillId="53" borderId="43" xfId="1" applyNumberFormat="1" applyFont="1" applyFill="1" applyBorder="1" applyAlignment="1">
      <alignment horizontal="center"/>
    </xf>
    <xf numFmtId="171" fontId="42" fillId="53" borderId="55" xfId="1" applyNumberFormat="1" applyFont="1" applyFill="1" applyBorder="1" applyAlignment="1">
      <alignment horizontal="center" vertical="center" wrapText="1"/>
    </xf>
    <xf numFmtId="171" fontId="42" fillId="53" borderId="35" xfId="1" applyNumberFormat="1" applyFont="1" applyFill="1" applyBorder="1" applyAlignment="1">
      <alignment horizontal="center" vertical="center" wrapText="1"/>
    </xf>
    <xf numFmtId="171" fontId="42" fillId="53" borderId="42" xfId="1" applyNumberFormat="1" applyFont="1" applyFill="1" applyBorder="1" applyAlignment="1">
      <alignment horizontal="center" vertical="center" wrapText="1"/>
    </xf>
    <xf numFmtId="171" fontId="42" fillId="53" borderId="44" xfId="1" applyNumberFormat="1" applyFont="1" applyFill="1" applyBorder="1" applyAlignment="1">
      <alignment horizontal="center" vertical="center" wrapText="1"/>
    </xf>
    <xf numFmtId="185" fontId="42" fillId="53" borderId="43" xfId="1" applyNumberFormat="1" applyFont="1" applyFill="1" applyBorder="1" applyAlignment="1">
      <alignment horizontal="center" vertical="center" wrapText="1"/>
    </xf>
    <xf numFmtId="165" fontId="42" fillId="53" borderId="42" xfId="1" applyNumberFormat="1" applyFont="1" applyFill="1" applyBorder="1" applyAlignment="1">
      <alignment horizontal="center" vertical="center" wrapText="1"/>
    </xf>
    <xf numFmtId="165" fontId="42" fillId="53" borderId="43" xfId="1" applyNumberFormat="1" applyFont="1" applyFill="1" applyBorder="1" applyAlignment="1">
      <alignment horizontal="center" vertical="center" wrapText="1"/>
    </xf>
    <xf numFmtId="0" fontId="41" fillId="8" borderId="0" xfId="27" applyFont="1" applyFill="1" applyAlignment="1">
      <alignment horizontal="center" vertical="center"/>
    </xf>
    <xf numFmtId="0" fontId="41" fillId="8" borderId="0" xfId="27" applyFont="1" applyFill="1" applyAlignment="1">
      <alignment vertical="center"/>
    </xf>
    <xf numFmtId="0" fontId="45" fillId="8" borderId="0" xfId="0" applyFont="1" applyFill="1" applyAlignment="1">
      <alignment vertical="center"/>
    </xf>
    <xf numFmtId="41" fontId="0" fillId="0" borderId="0" xfId="0" applyNumberFormat="1"/>
    <xf numFmtId="0" fontId="7" fillId="110" borderId="1" xfId="0" applyFont="1" applyFill="1" applyBorder="1" applyAlignment="1">
      <alignment horizontal="left"/>
    </xf>
    <xf numFmtId="0" fontId="7" fillId="110" borderId="2" xfId="0" applyFont="1" applyFill="1" applyBorder="1" applyAlignment="1">
      <alignment horizontal="left"/>
    </xf>
    <xf numFmtId="3" fontId="0" fillId="110" borderId="3" xfId="0" applyNumberFormat="1" applyFill="1" applyBorder="1"/>
    <xf numFmtId="6" fontId="0" fillId="110" borderId="1" xfId="0" applyNumberFormat="1" applyFill="1" applyBorder="1"/>
    <xf numFmtId="9" fontId="41" fillId="19" borderId="54" xfId="2" applyNumberFormat="1" applyFont="1" applyFill="1" applyBorder="1" applyAlignment="1">
      <alignment wrapText="1"/>
    </xf>
    <xf numFmtId="0" fontId="3" fillId="4" borderId="83" xfId="2" applyNumberFormat="1" applyFont="1" applyFill="1" applyBorder="1" applyAlignment="1">
      <alignment horizontal="center" vertical="center" wrapText="1"/>
    </xf>
    <xf numFmtId="0" fontId="3" fillId="4" borderId="31" xfId="2" applyNumberFormat="1" applyFont="1" applyFill="1" applyBorder="1" applyAlignment="1">
      <alignment horizontal="center" vertical="center" wrapText="1"/>
    </xf>
    <xf numFmtId="0" fontId="3" fillId="4" borderId="84" xfId="2" applyNumberFormat="1" applyFont="1" applyFill="1" applyBorder="1" applyAlignment="1">
      <alignment horizontal="center" vertical="center" wrapText="1"/>
    </xf>
    <xf numFmtId="166" fontId="0" fillId="0" borderId="45" xfId="41" applyNumberFormat="1" applyFont="1" applyBorder="1"/>
    <xf numFmtId="9" fontId="0" fillId="0" borderId="45" xfId="2" applyFont="1" applyBorder="1"/>
    <xf numFmtId="9" fontId="0" fillId="0" borderId="45" xfId="2" applyFont="1" applyFill="1" applyBorder="1"/>
    <xf numFmtId="165" fontId="0" fillId="0" borderId="45" xfId="41" applyNumberFormat="1" applyFont="1" applyBorder="1"/>
    <xf numFmtId="166" fontId="0" fillId="110" borderId="45" xfId="41" applyNumberFormat="1" applyFont="1" applyFill="1" applyBorder="1"/>
    <xf numFmtId="9" fontId="0" fillId="110" borderId="45" xfId="2" applyFont="1" applyFill="1" applyBorder="1"/>
    <xf numFmtId="165" fontId="0" fillId="110" borderId="45" xfId="41" applyNumberFormat="1" applyFont="1" applyFill="1" applyBorder="1"/>
    <xf numFmtId="171" fontId="7" fillId="5" borderId="1" xfId="1" applyNumberFormat="1" applyFont="1" applyFill="1" applyBorder="1" applyAlignment="1">
      <alignment horizontal="right" vertical="center"/>
    </xf>
    <xf numFmtId="43" fontId="7" fillId="5" borderId="5" xfId="1" applyNumberFormat="1" applyFont="1" applyFill="1" applyBorder="1" applyAlignment="1">
      <alignment horizontal="right" vertical="center"/>
    </xf>
    <xf numFmtId="171" fontId="7" fillId="5" borderId="5" xfId="1" applyNumberFormat="1" applyFont="1" applyFill="1" applyBorder="1" applyAlignment="1">
      <alignment horizontal="right" vertical="center"/>
    </xf>
    <xf numFmtId="4" fontId="7" fillId="5" borderId="1" xfId="1" applyNumberFormat="1" applyFont="1" applyFill="1" applyBorder="1" applyAlignment="1">
      <alignment horizontal="right" vertical="center"/>
    </xf>
    <xf numFmtId="4" fontId="7" fillId="5" borderId="5" xfId="1" applyNumberFormat="1" applyFont="1" applyFill="1" applyBorder="1" applyAlignment="1">
      <alignment horizontal="right" vertical="center"/>
    </xf>
    <xf numFmtId="0" fontId="3" fillId="4" borderId="0" xfId="2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0" fillId="0" borderId="1" xfId="0" applyFont="1" applyBorder="1"/>
    <xf numFmtId="165" fontId="0" fillId="0" borderId="1" xfId="1" applyNumberFormat="1" applyFont="1" applyBorder="1"/>
    <xf numFmtId="0" fontId="5" fillId="3" borderId="85" xfId="0" applyFont="1" applyFill="1" applyBorder="1" applyAlignment="1">
      <alignment horizontal="center"/>
    </xf>
    <xf numFmtId="241" fontId="0" fillId="0" borderId="1" xfId="1" applyNumberFormat="1" applyFont="1" applyBorder="1"/>
    <xf numFmtId="242" fontId="0" fillId="0" borderId="1" xfId="41" applyNumberFormat="1" applyFont="1" applyBorder="1"/>
    <xf numFmtId="0" fontId="0" fillId="5" borderId="0" xfId="0" applyFill="1"/>
    <xf numFmtId="241" fontId="0" fillId="0" borderId="0" xfId="0" applyNumberFormat="1"/>
    <xf numFmtId="0" fontId="7" fillId="111" borderId="1" xfId="0" applyFont="1" applyFill="1" applyBorder="1" applyAlignment="1">
      <alignment horizontal="left"/>
    </xf>
    <xf numFmtId="0" fontId="7" fillId="111" borderId="2" xfId="0" applyFont="1" applyFill="1" applyBorder="1" applyAlignment="1">
      <alignment horizontal="left"/>
    </xf>
    <xf numFmtId="3" fontId="0" fillId="111" borderId="3" xfId="0" applyNumberFormat="1" applyFill="1" applyBorder="1"/>
    <xf numFmtId="6" fontId="0" fillId="111" borderId="1" xfId="0" applyNumberFormat="1" applyFill="1" applyBorder="1"/>
    <xf numFmtId="6" fontId="20" fillId="111" borderId="1" xfId="0" applyNumberFormat="1" applyFont="1" applyFill="1" applyBorder="1"/>
    <xf numFmtId="168" fontId="0" fillId="0" borderId="0" xfId="41" applyNumberFormat="1" applyFont="1"/>
    <xf numFmtId="10" fontId="0" fillId="0" borderId="1" xfId="2" applyNumberFormat="1" applyFont="1" applyFill="1" applyBorder="1"/>
    <xf numFmtId="243" fontId="7" fillId="0" borderId="1" xfId="0" applyNumberFormat="1" applyFont="1" applyFill="1" applyBorder="1" applyAlignment="1"/>
    <xf numFmtId="178" fontId="41" fillId="112" borderId="55" xfId="0" applyNumberFormat="1" applyFont="1" applyFill="1" applyBorder="1"/>
    <xf numFmtId="171" fontId="41" fillId="112" borderId="56" xfId="0" applyNumberFormat="1" applyFont="1" applyFill="1" applyBorder="1"/>
    <xf numFmtId="43" fontId="41" fillId="112" borderId="55" xfId="32" applyNumberFormat="1" applyFont="1" applyFill="1" applyBorder="1" applyAlignment="1">
      <alignment horizontal="right"/>
    </xf>
    <xf numFmtId="43" fontId="41" fillId="112" borderId="56" xfId="32" applyNumberFormat="1" applyFont="1" applyFill="1" applyBorder="1" applyAlignment="1">
      <alignment horizontal="right"/>
    </xf>
    <xf numFmtId="0" fontId="41" fillId="112" borderId="0" xfId="0" applyFont="1" applyFill="1"/>
    <xf numFmtId="171" fontId="41" fillId="112" borderId="0" xfId="1" applyNumberFormat="1" applyFont="1" applyFill="1"/>
    <xf numFmtId="9" fontId="0" fillId="111" borderId="45" xfId="2" applyFont="1" applyFill="1" applyBorder="1"/>
    <xf numFmtId="0" fontId="3" fillId="10" borderId="1" xfId="0" applyFont="1" applyFill="1" applyBorder="1" applyAlignment="1">
      <alignment horizontal="center" vertical="center"/>
    </xf>
    <xf numFmtId="0" fontId="3" fillId="9" borderId="16" xfId="0" applyFont="1" applyFill="1" applyBorder="1" applyAlignment="1">
      <alignment horizontal="center" vertical="center" wrapText="1"/>
    </xf>
    <xf numFmtId="0" fontId="3" fillId="9" borderId="3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7" xfId="1" applyNumberFormat="1" applyFont="1" applyFill="1" applyBorder="1" applyAlignment="1">
      <alignment horizontal="center" vertical="center" wrapText="1"/>
    </xf>
    <xf numFmtId="0" fontId="3" fillId="3" borderId="14" xfId="1" applyNumberFormat="1" applyFont="1" applyFill="1" applyBorder="1" applyAlignment="1">
      <alignment horizontal="center" vertical="center" wrapText="1"/>
    </xf>
    <xf numFmtId="0" fontId="3" fillId="3" borderId="11" xfId="1" applyNumberFormat="1" applyFont="1" applyFill="1" applyBorder="1" applyAlignment="1">
      <alignment horizontal="center" vertical="center" wrapText="1"/>
    </xf>
    <xf numFmtId="0" fontId="3" fillId="3" borderId="41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center" vertical="center" wrapText="1"/>
    </xf>
    <xf numFmtId="0" fontId="3" fillId="3" borderId="31" xfId="1" applyNumberFormat="1" applyFont="1" applyFill="1" applyBorder="1" applyAlignment="1">
      <alignment horizontal="center" vertical="center" wrapText="1"/>
    </xf>
    <xf numFmtId="164" fontId="5" fillId="3" borderId="6" xfId="1" applyNumberFormat="1" applyFont="1" applyFill="1" applyBorder="1" applyAlignment="1">
      <alignment horizontal="center" vertical="center" wrapText="1"/>
    </xf>
    <xf numFmtId="164" fontId="5" fillId="3" borderId="0" xfId="1" applyNumberFormat="1" applyFont="1" applyFill="1" applyBorder="1" applyAlignment="1">
      <alignment horizontal="center" vertical="center" wrapText="1"/>
    </xf>
    <xf numFmtId="164" fontId="5" fillId="3" borderId="7" xfId="1" applyNumberFormat="1" applyFont="1" applyFill="1" applyBorder="1" applyAlignment="1">
      <alignment horizontal="center" vertical="center" wrapText="1"/>
    </xf>
    <xf numFmtId="164" fontId="5" fillId="3" borderId="26" xfId="1" applyNumberFormat="1" applyFont="1" applyFill="1" applyBorder="1" applyAlignment="1">
      <alignment horizontal="center" vertical="center" wrapText="1"/>
    </xf>
    <xf numFmtId="164" fontId="5" fillId="3" borderId="8" xfId="1" applyNumberFormat="1" applyFont="1" applyFill="1" applyBorder="1" applyAlignment="1">
      <alignment horizontal="center" vertical="center" wrapText="1"/>
    </xf>
    <xf numFmtId="164" fontId="5" fillId="3" borderId="25" xfId="1" applyNumberFormat="1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5" fillId="22" borderId="42" xfId="0" applyFont="1" applyFill="1" applyBorder="1" applyAlignment="1">
      <alignment horizontal="center"/>
    </xf>
    <xf numFmtId="0" fontId="5" fillId="22" borderId="43" xfId="0" applyFont="1" applyFill="1" applyBorder="1" applyAlignment="1">
      <alignment horizontal="center"/>
    </xf>
    <xf numFmtId="0" fontId="5" fillId="22" borderId="44" xfId="0" applyFont="1" applyFill="1" applyBorder="1" applyAlignment="1">
      <alignment horizontal="center"/>
    </xf>
    <xf numFmtId="0" fontId="5" fillId="22" borderId="45" xfId="0" applyFont="1" applyFill="1" applyBorder="1" applyAlignment="1">
      <alignment horizontal="center"/>
    </xf>
    <xf numFmtId="164" fontId="5" fillId="3" borderId="2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4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5" xfId="1" applyNumberFormat="1" applyFont="1" applyFill="1" applyBorder="1" applyAlignment="1" applyProtection="1">
      <alignment horizontal="center" vertical="center" wrapText="1"/>
      <protection locked="0"/>
    </xf>
    <xf numFmtId="165" fontId="5" fillId="3" borderId="9" xfId="0" applyNumberFormat="1" applyFont="1" applyFill="1" applyBorder="1" applyAlignment="1" applyProtection="1">
      <alignment horizontal="center" vertical="center" wrapText="1"/>
      <protection locked="0"/>
    </xf>
    <xf numFmtId="165" fontId="5" fillId="3" borderId="10" xfId="0" applyNumberFormat="1" applyFont="1" applyFill="1" applyBorder="1" applyAlignment="1" applyProtection="1">
      <alignment horizontal="center" vertical="center" wrapText="1"/>
      <protection locked="0"/>
    </xf>
    <xf numFmtId="165" fontId="5" fillId="3" borderId="32" xfId="0" applyNumberFormat="1" applyFont="1" applyFill="1" applyBorder="1" applyAlignment="1" applyProtection="1">
      <alignment horizontal="center" vertical="center" wrapText="1"/>
      <protection locked="0"/>
    </xf>
    <xf numFmtId="165" fontId="5" fillId="3" borderId="8" xfId="0" applyNumberFormat="1" applyFont="1" applyFill="1" applyBorder="1" applyAlignment="1" applyProtection="1">
      <alignment horizontal="center" vertical="center" wrapText="1"/>
      <protection locked="0"/>
    </xf>
    <xf numFmtId="164" fontId="5" fillId="3" borderId="9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10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16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42" fillId="54" borderId="42" xfId="27" applyFont="1" applyFill="1" applyBorder="1" applyAlignment="1">
      <alignment horizontal="center"/>
    </xf>
    <xf numFmtId="0" fontId="42" fillId="54" borderId="43" xfId="27" applyFont="1" applyFill="1" applyBorder="1" applyAlignment="1">
      <alignment horizontal="center"/>
    </xf>
    <xf numFmtId="0" fontId="42" fillId="54" borderId="44" xfId="27" applyFont="1" applyFill="1" applyBorder="1" applyAlignment="1">
      <alignment horizontal="center"/>
    </xf>
    <xf numFmtId="0" fontId="42" fillId="107" borderId="42" xfId="0" applyFont="1" applyFill="1" applyBorder="1" applyAlignment="1">
      <alignment horizontal="center"/>
    </xf>
    <xf numFmtId="0" fontId="42" fillId="107" borderId="44" xfId="0" applyFont="1" applyFill="1" applyBorder="1" applyAlignment="1">
      <alignment horizontal="center"/>
    </xf>
    <xf numFmtId="0" fontId="42" fillId="19" borderId="42" xfId="0" applyFont="1" applyFill="1" applyBorder="1" applyAlignment="1">
      <alignment horizontal="center" wrapText="1"/>
    </xf>
    <xf numFmtId="0" fontId="42" fillId="19" borderId="44" xfId="0" applyFont="1" applyFill="1" applyBorder="1" applyAlignment="1">
      <alignment horizontal="center" wrapText="1"/>
    </xf>
  </cellXfs>
  <cellStyles count="50300">
    <cellStyle name=" 1" xfId="5"/>
    <cellStyle name=" _x0007_LÓ_x0018_ÄþÍN^NuNVþˆHÁ_x0001__x0018_(n" xfId="4"/>
    <cellStyle name="%" xfId="44"/>
    <cellStyle name="% 10" xfId="45"/>
    <cellStyle name="% 10 2" xfId="46"/>
    <cellStyle name="% 10 3" xfId="47"/>
    <cellStyle name="% 11" xfId="48"/>
    <cellStyle name="% 11 2" xfId="49"/>
    <cellStyle name="% 11 3" xfId="50"/>
    <cellStyle name="% 12" xfId="51"/>
    <cellStyle name="% 12 2" xfId="52"/>
    <cellStyle name="% 12 3" xfId="53"/>
    <cellStyle name="% 13" xfId="54"/>
    <cellStyle name="% 13 2" xfId="55"/>
    <cellStyle name="% 13 3" xfId="56"/>
    <cellStyle name="% 14" xfId="57"/>
    <cellStyle name="% 14 2" xfId="58"/>
    <cellStyle name="% 14 3" xfId="59"/>
    <cellStyle name="% 15" xfId="60"/>
    <cellStyle name="% 15 2" xfId="61"/>
    <cellStyle name="% 15 3" xfId="62"/>
    <cellStyle name="% 16" xfId="63"/>
    <cellStyle name="% 16 2" xfId="64"/>
    <cellStyle name="% 16 3" xfId="65"/>
    <cellStyle name="% 17" xfId="66"/>
    <cellStyle name="% 17 2" xfId="67"/>
    <cellStyle name="% 17 3" xfId="68"/>
    <cellStyle name="% 18" xfId="69"/>
    <cellStyle name="% 18 2" xfId="70"/>
    <cellStyle name="% 18 3" xfId="71"/>
    <cellStyle name="% 19" xfId="72"/>
    <cellStyle name="% 19 2" xfId="73"/>
    <cellStyle name="% 19 3" xfId="74"/>
    <cellStyle name="% 2" xfId="75"/>
    <cellStyle name="% 2 10" xfId="76"/>
    <cellStyle name="% 2 11" xfId="77"/>
    <cellStyle name="% 2 12" xfId="78"/>
    <cellStyle name="% 2 13" xfId="79"/>
    <cellStyle name="% 2 14" xfId="80"/>
    <cellStyle name="% 2 2" xfId="81"/>
    <cellStyle name="% 2 2 2" xfId="82"/>
    <cellStyle name="% 2 2 2 2" xfId="83"/>
    <cellStyle name="% 2 2 3" xfId="84"/>
    <cellStyle name="% 2 3" xfId="85"/>
    <cellStyle name="% 2 3 2" xfId="86"/>
    <cellStyle name="% 2 3 3" xfId="87"/>
    <cellStyle name="% 2 3 4" xfId="88"/>
    <cellStyle name="% 2 4" xfId="89"/>
    <cellStyle name="% 2 4 2" xfId="90"/>
    <cellStyle name="% 2 4 3" xfId="91"/>
    <cellStyle name="% 2 5" xfId="92"/>
    <cellStyle name="% 2 5 2" xfId="93"/>
    <cellStyle name="% 2 5 3" xfId="94"/>
    <cellStyle name="% 2 6" xfId="95"/>
    <cellStyle name="% 2 7" xfId="96"/>
    <cellStyle name="% 2 8" xfId="97"/>
    <cellStyle name="% 2 9" xfId="98"/>
    <cellStyle name="% 2_2009 Actual" xfId="99"/>
    <cellStyle name="% 20" xfId="100"/>
    <cellStyle name="% 20 2" xfId="101"/>
    <cellStyle name="% 20 3" xfId="102"/>
    <cellStyle name="% 21" xfId="103"/>
    <cellStyle name="% 21 2" xfId="104"/>
    <cellStyle name="% 21 3" xfId="105"/>
    <cellStyle name="% 22" xfId="106"/>
    <cellStyle name="% 22 2" xfId="107"/>
    <cellStyle name="% 23" xfId="108"/>
    <cellStyle name="% 24" xfId="109"/>
    <cellStyle name="% 25" xfId="110"/>
    <cellStyle name="% 26" xfId="111"/>
    <cellStyle name="% 27" xfId="112"/>
    <cellStyle name="% 28" xfId="113"/>
    <cellStyle name="% 29" xfId="114"/>
    <cellStyle name="% 3" xfId="115"/>
    <cellStyle name="% 3 10" xfId="116"/>
    <cellStyle name="% 3 11" xfId="117"/>
    <cellStyle name="% 3 12" xfId="118"/>
    <cellStyle name="% 3 13" xfId="119"/>
    <cellStyle name="% 3 2" xfId="120"/>
    <cellStyle name="% 3 2 2" xfId="121"/>
    <cellStyle name="% 3 2 3" xfId="122"/>
    <cellStyle name="% 3 2 4" xfId="123"/>
    <cellStyle name="% 3 3" xfId="124"/>
    <cellStyle name="% 3 3 2" xfId="125"/>
    <cellStyle name="% 3 3 3" xfId="126"/>
    <cellStyle name="% 3 4" xfId="127"/>
    <cellStyle name="% 3 4 2" xfId="128"/>
    <cellStyle name="% 3 4 3" xfId="129"/>
    <cellStyle name="% 3 5" xfId="130"/>
    <cellStyle name="% 3 5 2" xfId="131"/>
    <cellStyle name="% 3 5 3" xfId="132"/>
    <cellStyle name="% 3 6" xfId="133"/>
    <cellStyle name="% 3 7" xfId="134"/>
    <cellStyle name="% 3 8" xfId="135"/>
    <cellStyle name="% 3 9" xfId="136"/>
    <cellStyle name="% 3_2009 Actual" xfId="137"/>
    <cellStyle name="% 30" xfId="138"/>
    <cellStyle name="% 31" xfId="139"/>
    <cellStyle name="% 32" xfId="140"/>
    <cellStyle name="% 33" xfId="141"/>
    <cellStyle name="% 4" xfId="142"/>
    <cellStyle name="% 4 10" xfId="143"/>
    <cellStyle name="% 4 11" xfId="144"/>
    <cellStyle name="% 4 12" xfId="145"/>
    <cellStyle name="% 4 13" xfId="146"/>
    <cellStyle name="% 4 14" xfId="147"/>
    <cellStyle name="% 4 15" xfId="148"/>
    <cellStyle name="% 4 16" xfId="149"/>
    <cellStyle name="% 4 17" xfId="150"/>
    <cellStyle name="% 4 18" xfId="151"/>
    <cellStyle name="% 4 19" xfId="152"/>
    <cellStyle name="% 4 2" xfId="153"/>
    <cellStyle name="% 4 20" xfId="154"/>
    <cellStyle name="% 4 21" xfId="155"/>
    <cellStyle name="% 4 22" xfId="156"/>
    <cellStyle name="% 4 23" xfId="157"/>
    <cellStyle name="% 4 3" xfId="158"/>
    <cellStyle name="% 4 4" xfId="159"/>
    <cellStyle name="% 4 5" xfId="160"/>
    <cellStyle name="% 4 6" xfId="161"/>
    <cellStyle name="% 4 7" xfId="162"/>
    <cellStyle name="% 4 8" xfId="163"/>
    <cellStyle name="% 4 9" xfId="164"/>
    <cellStyle name="% 4_2010 Actual" xfId="165"/>
    <cellStyle name="% 5" xfId="166"/>
    <cellStyle name="% 5 10" xfId="167"/>
    <cellStyle name="% 5 11" xfId="168"/>
    <cellStyle name="% 5 12" xfId="169"/>
    <cellStyle name="% 5 13" xfId="170"/>
    <cellStyle name="% 5 14" xfId="171"/>
    <cellStyle name="% 5 15" xfId="172"/>
    <cellStyle name="% 5 16" xfId="173"/>
    <cellStyle name="% 5 17" xfId="174"/>
    <cellStyle name="% 5 18" xfId="175"/>
    <cellStyle name="% 5 19" xfId="176"/>
    <cellStyle name="% 5 2" xfId="177"/>
    <cellStyle name="% 5 20" xfId="178"/>
    <cellStyle name="% 5 21" xfId="179"/>
    <cellStyle name="% 5 22" xfId="180"/>
    <cellStyle name="% 5 3" xfId="181"/>
    <cellStyle name="% 5 4" xfId="182"/>
    <cellStyle name="% 5 5" xfId="183"/>
    <cellStyle name="% 5 6" xfId="184"/>
    <cellStyle name="% 5 7" xfId="185"/>
    <cellStyle name="% 5 8" xfId="186"/>
    <cellStyle name="% 5 9" xfId="187"/>
    <cellStyle name="% 5_2010 Actual" xfId="188"/>
    <cellStyle name="% 6" xfId="189"/>
    <cellStyle name="% 6 10" xfId="190"/>
    <cellStyle name="% 6 11" xfId="191"/>
    <cellStyle name="% 6 12" xfId="192"/>
    <cellStyle name="% 6 13" xfId="193"/>
    <cellStyle name="% 6 14" xfId="194"/>
    <cellStyle name="% 6 15" xfId="195"/>
    <cellStyle name="% 6 16" xfId="196"/>
    <cellStyle name="% 6 17" xfId="197"/>
    <cellStyle name="% 6 18" xfId="198"/>
    <cellStyle name="% 6 19" xfId="199"/>
    <cellStyle name="% 6 2" xfId="200"/>
    <cellStyle name="% 6 20" xfId="201"/>
    <cellStyle name="% 6 21" xfId="202"/>
    <cellStyle name="% 6 22" xfId="203"/>
    <cellStyle name="% 6 3" xfId="204"/>
    <cellStyle name="% 6 4" xfId="205"/>
    <cellStyle name="% 6 5" xfId="206"/>
    <cellStyle name="% 6 6" xfId="207"/>
    <cellStyle name="% 6 7" xfId="208"/>
    <cellStyle name="% 6 8" xfId="209"/>
    <cellStyle name="% 6 9" xfId="210"/>
    <cellStyle name="% 6_2010 Actual" xfId="211"/>
    <cellStyle name="% 7" xfId="212"/>
    <cellStyle name="% 7 2" xfId="213"/>
    <cellStyle name="% 7 3" xfId="214"/>
    <cellStyle name="% 8" xfId="215"/>
    <cellStyle name="% 8 2" xfId="216"/>
    <cellStyle name="% 8 3" xfId="217"/>
    <cellStyle name="% 9" xfId="218"/>
    <cellStyle name="% 9 2" xfId="219"/>
    <cellStyle name="% 9 3" xfId="220"/>
    <cellStyle name="%_1-10 BHU IS" xfId="221"/>
    <cellStyle name="%_2010 Actual" xfId="222"/>
    <cellStyle name="%_2010 Rating Agency Plan 04 26 10" xfId="223"/>
    <cellStyle name="%_2011 Budget 09 10 10" xfId="224"/>
    <cellStyle name="%_BH Electric Utilities 2010 Strategic Plan" xfId="225"/>
    <cellStyle name="%_BHCOE" xfId="226"/>
    <cellStyle name="%_BHCOE 2" xfId="227"/>
    <cellStyle name="%_BHIAG.2010.09.Sep.NewEXEC" xfId="228"/>
    <cellStyle name="%_BHIAG.2010.09.Sep.NewEXEC 2" xfId="229"/>
    <cellStyle name="%_BHIAG.2010.09.Sep.NewEXEC 3" xfId="230"/>
    <cellStyle name="%_BHKSG.2010.09.Sep.NewEXEC" xfId="231"/>
    <cellStyle name="%_BHKSG.2010.09.Sep.NewEXEC 2" xfId="232"/>
    <cellStyle name="%_BHKSG.2010.09.Sep.NewEXEC 3" xfId="233"/>
    <cellStyle name="%_BHKSG.2011.03.Mar.NewEXEC" xfId="234"/>
    <cellStyle name="%_BHNEG.2010.07.July.EXEC" xfId="235"/>
    <cellStyle name="%_BHNEG.2010.07.July.EXEC 2" xfId="236"/>
    <cellStyle name="%_BHNEG.2010.07.July.EXEC 3" xfId="237"/>
    <cellStyle name="%_BHP Detail" xfId="238"/>
    <cellStyle name="%_BHP Detail 2" xfId="239"/>
    <cellStyle name="%_BHP Detail 3" xfId="240"/>
    <cellStyle name="%_BUDGET YEAR 2009 $-BY CC" xfId="241"/>
    <cellStyle name="%_CapX" xfId="242"/>
    <cellStyle name="%_CapX 2" xfId="243"/>
    <cellStyle name="%_CapX 3" xfId="244"/>
    <cellStyle name="%_CLFP Executive Summary - 2009 December" xfId="245"/>
    <cellStyle name="%_Colo Gas" xfId="246"/>
    <cellStyle name="%_Colo Gas 2" xfId="247"/>
    <cellStyle name="%_Colo Gas 3" xfId="248"/>
    <cellStyle name="%_Colo IPP" xfId="249"/>
    <cellStyle name="%_Colo IPP 2" xfId="250"/>
    <cellStyle name="%_Colo IPP 3" xfId="251"/>
    <cellStyle name="%_CURRENT YEAR 2009 $-BY CC" xfId="252"/>
    <cellStyle name="%_CURRENT YEAR 2009 $-BY CC 2" xfId="253"/>
    <cellStyle name="%_CURRENT YEAR 2009 $-BY CC 3" xfId="254"/>
    <cellStyle name="%_CURRENT YEAR 2010 $-BY CC" xfId="255"/>
    <cellStyle name="%_Current Year Actual " xfId="6"/>
    <cellStyle name="%_Current Year Actual _1" xfId="256"/>
    <cellStyle name="%_Dakota Panel" xfId="257"/>
    <cellStyle name="%_Dakota Panel 2" xfId="258"/>
    <cellStyle name="%_Data Input" xfId="259"/>
    <cellStyle name="%_Data Input_1" xfId="260"/>
    <cellStyle name="%_Data Input_1 2" xfId="261"/>
    <cellStyle name="%_Data Input_1_2010 Actual" xfId="262"/>
    <cellStyle name="%_Explanations" xfId="263"/>
    <cellStyle name="%_NGU 2010 3Q Ops Review.Oct22,2010" xfId="264"/>
    <cellStyle name="%_NGU 2010 3Q Ops Review.Oct22,2010_Ops Review UIP_Metrics Gas &amp; Electric 2011" xfId="265"/>
    <cellStyle name="%_NGU 2010 3Q Ops Review.Oct22,2010_Ops Review UIP_Metrics Gas &amp; Electric 2011 2" xfId="266"/>
    <cellStyle name="%_NGU 2010 3Q Ops Review.Oct22,2010_Ops Review UIP_Metrics Gas &amp; Electric 2011 3" xfId="267"/>
    <cellStyle name="%_Other Income_Expense" xfId="268"/>
    <cellStyle name="%_Other Income_Expense 2" xfId="269"/>
    <cellStyle name="%_Other Income_Expense_2010 Actual" xfId="270"/>
    <cellStyle name="%_Other Income_Expense_Explanations" xfId="271"/>
    <cellStyle name="%_R&amp;O_2010_NE0101810" xfId="272"/>
    <cellStyle name="%_R&amp;O_2010_NE0101810 2" xfId="273"/>
    <cellStyle name="%_R&amp;O_2010_NE0101810 3" xfId="274"/>
    <cellStyle name="%_Revenue and COGS" xfId="275"/>
    <cellStyle name="%_Revenue and COGS 2" xfId="276"/>
    <cellStyle name="%_Revenue and COGS_2010 Actual" xfId="277"/>
    <cellStyle name="%_Revenue and COGS_Explanations" xfId="278"/>
    <cellStyle name="%_Summary IS" xfId="279"/>
    <cellStyle name="%_Summary IS 2" xfId="280"/>
    <cellStyle name="%_Summary IS_2010 Actual" xfId="281"/>
    <cellStyle name="%_Summary IS_Explanations" xfId="282"/>
    <cellStyle name=";;;" xfId="283"/>
    <cellStyle name="\" xfId="284"/>
    <cellStyle name="\_bluebirdacdil13" xfId="285"/>
    <cellStyle name="\_data" xfId="286"/>
    <cellStyle name="\_ecomps7w" xfId="287"/>
    <cellStyle name="\_equitycomps8" xfId="288"/>
    <cellStyle name="\_equitycomps9" xfId="289"/>
    <cellStyle name="\_houston Isabel" xfId="290"/>
    <cellStyle name="\_hybrid2" xfId="291"/>
    <cellStyle name="\_ITXCcomps" xfId="292"/>
    <cellStyle name="\_newcomps16" xfId="293"/>
    <cellStyle name="\_ravenpitch3" xfId="294"/>
    <cellStyle name="\_ravenpitch32" xfId="295"/>
    <cellStyle name="__CO CAPEX Strat Plan 2010-14_v5a" xfId="296"/>
    <cellStyle name="__CO CAPEX Strat Plan 2010-14_v5a 2" xfId="297"/>
    <cellStyle name="__CO CAPEX Strat Plan 2010-14_v5a 3" xfId="298"/>
    <cellStyle name="_033103 13 week CF1" xfId="299"/>
    <cellStyle name="_033103 13 week CF1 2" xfId="300"/>
    <cellStyle name="_033103 13 week CF1 2 2" xfId="301"/>
    <cellStyle name="_033103 13 week CF1 2 3" xfId="302"/>
    <cellStyle name="_033103 13 week CF1 3" xfId="303"/>
    <cellStyle name="_033103 13 week CF1 3 2" xfId="304"/>
    <cellStyle name="_033103 13 week CF1 3 3" xfId="305"/>
    <cellStyle name="_033103 13 week CF1 4" xfId="306"/>
    <cellStyle name="_033103 13 week CF1 4 2" xfId="307"/>
    <cellStyle name="_033103 13 week CF1 4 3" xfId="308"/>
    <cellStyle name="_033103 13 week CF1 5" xfId="309"/>
    <cellStyle name="_181000-189000" xfId="310"/>
    <cellStyle name="_181000-189000 2" xfId="311"/>
    <cellStyle name="_181000-189000 2 2" xfId="312"/>
    <cellStyle name="_181000-189000 2 3" xfId="313"/>
    <cellStyle name="_181000-189000 3" xfId="314"/>
    <cellStyle name="_181000-189000 3 2" xfId="315"/>
    <cellStyle name="_181000-189000 3 3" xfId="316"/>
    <cellStyle name="_181000-189000 4" xfId="317"/>
    <cellStyle name="_181000-189000 4 2" xfId="318"/>
    <cellStyle name="_181000-189000 4 3" xfId="319"/>
    <cellStyle name="_181000-189000 5" xfId="320"/>
    <cellStyle name="_2002  What- No Cap X Morgan" xfId="321"/>
    <cellStyle name="_2002  What- No Cap X Morgan 2" xfId="322"/>
    <cellStyle name="_2002  What- No Cap X Morgan 2 2" xfId="323"/>
    <cellStyle name="_2002  What- No Cap X Morgan 2 3" xfId="324"/>
    <cellStyle name="_2002  What- No Cap X Morgan 3" xfId="325"/>
    <cellStyle name="_2002  What- No Cap X Morgan 3 2" xfId="326"/>
    <cellStyle name="_2002  What- No Cap X Morgan 3 3" xfId="327"/>
    <cellStyle name="_2002  What- No Cap X Morgan 4" xfId="328"/>
    <cellStyle name="_2002  What- No Cap X Morgan 4 2" xfId="329"/>
    <cellStyle name="_2002  What- No Cap X Morgan 4 3" xfId="330"/>
    <cellStyle name="_2002  What- No Cap X Morgan 5" xfId="331"/>
    <cellStyle name="_2008 GDM ALLOCATIONS-Oct2007 (3)" xfId="332"/>
    <cellStyle name="_2009-2013 Strategic Plan 7 15 08 Final" xfId="333"/>
    <cellStyle name="_2009-2013 Strategic Plan 7 15 08 Final (2)" xfId="334"/>
    <cellStyle name="_2009-2013 Strategic Plan 7 15 08 Final (2) 2" xfId="335"/>
    <cellStyle name="_2009-2013 Strategic Plan 7 15 08 Final (2) 3" xfId="336"/>
    <cellStyle name="_2009-2013 Strategic Plan 7 15 08 Final (2)_11 NGU 1Q Ops Review 04_2011 DRAFT New" xfId="337"/>
    <cellStyle name="_2009-2013 Strategic Plan 7 15 08 Final (2)_BHIAG 2011 Q1 Ops Highlights_Outlook" xfId="338"/>
    <cellStyle name="_2009-2013 Strategic Plan 7 15 08 Final (2)_BHKSG 2011 Q1 Ops Highlights_Outlook" xfId="339"/>
    <cellStyle name="_2009-2013 Strategic Plan 7 15 08 Final (2)_BHKSG.2010.12.Dec.NewEXEC" xfId="340"/>
    <cellStyle name="_2009-2013 Strategic Plan 7 15 08 Final (2)_BHKSG.2010.12.Dec.NewEXEC 2" xfId="341"/>
    <cellStyle name="_2009-2013 Strategic Plan 7 15 08 Final (2)_BHKSG.2010.12.Dec.NewEXEC 3" xfId="342"/>
    <cellStyle name="_2009-2013 Strategic Plan 7 15 08 Final (2)_BHKSG.2011.03.Mar.NewEXEC" xfId="343"/>
    <cellStyle name="_2009-2013 Strategic Plan 7 15 08 Final (2)_NGU 2011 Apr NewEXEC DRAFT FORMAT" xfId="344"/>
    <cellStyle name="_2009-2013 Strategic Plan 7 15 08 Final (2)_NGU.2011Budget.BHKSG" xfId="345"/>
    <cellStyle name="_2009-2013 Strategic Plan 7 15 08 Final 10" xfId="346"/>
    <cellStyle name="_2009-2013 Strategic Plan 7 15 08 Final 11" xfId="347"/>
    <cellStyle name="_2009-2013 Strategic Plan 7 15 08 Final 12" xfId="348"/>
    <cellStyle name="_2009-2013 Strategic Plan 7 15 08 Final 13" xfId="349"/>
    <cellStyle name="_2009-2013 Strategic Plan 7 15 08 Final 2" xfId="350"/>
    <cellStyle name="_2009-2013 Strategic Plan 7 15 08 Final 3" xfId="351"/>
    <cellStyle name="_2009-2013 Strategic Plan 7 15 08 Final 4" xfId="352"/>
    <cellStyle name="_2009-2013 Strategic Plan 7 15 08 Final 5" xfId="353"/>
    <cellStyle name="_2009-2013 Strategic Plan 7 15 08 Final 6" xfId="354"/>
    <cellStyle name="_2009-2013 Strategic Plan 7 15 08 Final 7" xfId="355"/>
    <cellStyle name="_2009-2013 Strategic Plan 7 15 08 Final 8" xfId="356"/>
    <cellStyle name="_2009-2013 Strategic Plan 7 15 08 Final 9" xfId="357"/>
    <cellStyle name="_2009-2013 Strategic Plan 7 15 08 Final_11 NGU 1Q Ops Review 04_2011 DRAFT New" xfId="358"/>
    <cellStyle name="_2009-2013 Strategic Plan 7 15 08 Final_BHIAG 2011 Q1 Ops Highlights_Outlook" xfId="359"/>
    <cellStyle name="_2009-2013 Strategic Plan 7 15 08 Final_BHKSG 2011 Q1 Ops Highlights_Outlook" xfId="360"/>
    <cellStyle name="_2009-2013 Strategic Plan 7 15 08 Final_BHKSG.2010.12.Dec.NewEXEC" xfId="361"/>
    <cellStyle name="_2009-2013 Strategic Plan 7 15 08 Final_BHKSG.2010.12.Dec.NewEXEC 2" xfId="362"/>
    <cellStyle name="_2009-2013 Strategic Plan 7 15 08 Final_BHKSG.2010.12.Dec.NewEXEC 3" xfId="363"/>
    <cellStyle name="_2009-2013 Strategic Plan 7 15 08 Final_BHKSG.2011.03.Mar.NewEXEC" xfId="364"/>
    <cellStyle name="_2009-2013 Strategic Plan 7 15 08 Final_NGU 2011 Apr NewEXEC DRAFT FORMAT" xfId="365"/>
    <cellStyle name="_2009-2013 Strategic Plan 7 15 08 Final_NGU.2011Budget.BHKSG" xfId="366"/>
    <cellStyle name="_2010 Budget -- Net Plant Work_NE 09222009" xfId="367"/>
    <cellStyle name="_2010 Budget OM Summary for Pella 20100112 For 4th Qtr" xfId="368"/>
    <cellStyle name="_2010 Budget OM Summary for Pella 20100112 For 4th Qtr_Ops Review UIP_Metrics Gas &amp; Electric 2011" xfId="369"/>
    <cellStyle name="_2010 Budget OM Summary for Pella 20100112 For 4th Qtr_Ops Review UIP_Metrics Gas &amp; Electric 2011 2" xfId="370"/>
    <cellStyle name="_2010 Budget OM Summary for Pella 20100112 For 4th Qtr_Ops Review UIP_Metrics Gas &amp; Electric 2011 3" xfId="371"/>
    <cellStyle name="_2010 BUDGET Presentation 09172009" xfId="372"/>
    <cellStyle name="_2011 Budget 09 10 10" xfId="373"/>
    <cellStyle name="_2011 Budget Bridge 9 1 10" xfId="374"/>
    <cellStyle name="_AOC EAC Summary" xfId="375"/>
    <cellStyle name="_Appendix D- IT-INF Rate Cards" xfId="376"/>
    <cellStyle name="_Baseline Rollforward Support 050817" xfId="377"/>
    <cellStyle name="_Baseline Rollforward Support 050817 2" xfId="378"/>
    <cellStyle name="_Baseline Rollforward Support 050817 2 2" xfId="379"/>
    <cellStyle name="_Baseline Rollforward Support 050817 2 3" xfId="380"/>
    <cellStyle name="_Baseline Rollforward Support 050817 3" xfId="381"/>
    <cellStyle name="_Baseline Rollforward Support 050817 3 2" xfId="382"/>
    <cellStyle name="_Baseline Rollforward Support 050817 3 3" xfId="383"/>
    <cellStyle name="_Baseline Rollforward Support 050817 4" xfId="384"/>
    <cellStyle name="_Baseline Rollforward Support 050817 4 2" xfId="385"/>
    <cellStyle name="_Baseline Rollforward Support 050817 4 3" xfId="386"/>
    <cellStyle name="_Baseline Rollforward Support 050817 5" xfId="387"/>
    <cellStyle name="_BHIAG.2010.03.Mar.BOYForecast" xfId="388"/>
    <cellStyle name="_BHIAG.2010.08.Aug.NewEXEC" xfId="389"/>
    <cellStyle name="_BHNEG.RegMargins&amp;Stats.2010" xfId="390"/>
    <cellStyle name="_Book1" xfId="391"/>
    <cellStyle name="_Book2" xfId="392"/>
    <cellStyle name="_BP Recompete General Pricing v02" xfId="393"/>
    <cellStyle name="_BP TGEM General Pricing v01" xfId="394"/>
    <cellStyle name="_Cabernet Valuation Backup" xfId="395"/>
    <cellStyle name="_Cabernet Valuation Backup 2" xfId="396"/>
    <cellStyle name="_Cabernet Valuation Backup 3" xfId="397"/>
    <cellStyle name="_Cabernet Valuation Backup 4" xfId="398"/>
    <cellStyle name="_Court QRAMs v2" xfId="399"/>
    <cellStyle name="_Credit Memo - CO21 version" xfId="400"/>
    <cellStyle name="_CSFB MergerCon D-CMS 5 18 02" xfId="401"/>
    <cellStyle name="_CSFB MergerCon D-CMS 5 18 02 2" xfId="402"/>
    <cellStyle name="_CSFB MergerCon D-CMS 5 18 02 3" xfId="403"/>
    <cellStyle name="_CSFB MergerCon D-CMS 5 18 02 4" xfId="404"/>
    <cellStyle name="_Direct_O&amp;M_BHCOE_2010_2014_v2" xfId="405"/>
    <cellStyle name="_Direct_O&amp;M_BHCOE_2010_2014_v2 2" xfId="406"/>
    <cellStyle name="_Direct_O&amp;M_BHCOE_2010_2014_v2 3" xfId="407"/>
    <cellStyle name="_Duke Pricing Model v03" xfId="408"/>
    <cellStyle name="_EGTG_2003_YTD_Cash_Flow" xfId="409"/>
    <cellStyle name="_EGTG_2003_YTD_Cash_Flow 2" xfId="410"/>
    <cellStyle name="_EGTG_2003_YTD_Cash_Flow 2 2" xfId="411"/>
    <cellStyle name="_EGTG_2003_YTD_Cash_Flow 2 3" xfId="412"/>
    <cellStyle name="_EGTG_2003_YTD_Cash_Flow 3" xfId="413"/>
    <cellStyle name="_EGTG_2003_YTD_Cash_Flow 3 2" xfId="414"/>
    <cellStyle name="_EGTG_2003_YTD_Cash_Flow 3 3" xfId="415"/>
    <cellStyle name="_EGTG_2003_YTD_Cash_Flow 4" xfId="416"/>
    <cellStyle name="_EGTG_2003_YTD_Cash_Flow 4 2" xfId="417"/>
    <cellStyle name="_EGTG_2003_YTD_Cash_Flow 4 3" xfId="418"/>
    <cellStyle name="_EGTG_2003_YTD_Cash_Flow 5" xfId="419"/>
    <cellStyle name="_Everest_Board_Book_2003_FINAL" xfId="420"/>
    <cellStyle name="_Everest_Board_Book_2003_FINAL 2" xfId="421"/>
    <cellStyle name="_Everest_Board_Book_2003_FINAL 2 2" xfId="422"/>
    <cellStyle name="_Everest_Board_Book_2003_FINAL 2 3" xfId="423"/>
    <cellStyle name="_Everest_Board_Book_2003_FINAL 3" xfId="424"/>
    <cellStyle name="_Everest_Board_Book_2003_FINAL 3 2" xfId="425"/>
    <cellStyle name="_Everest_Board_Book_2003_FINAL 3 3" xfId="426"/>
    <cellStyle name="_Everest_Board_Book_2003_FINAL 4" xfId="427"/>
    <cellStyle name="_Everest_Board_Book_2003_FINAL 4 2" xfId="428"/>
    <cellStyle name="_Everest_Board_Book_2003_FINAL 4 3" xfId="429"/>
    <cellStyle name="_Everest_Board_Book_2003_FINAL 5" xfId="430"/>
    <cellStyle name="_Exelon General Pricing v03" xfId="431"/>
    <cellStyle name="_FP Revenue 12628 INEOS P08-08" xfId="432"/>
    <cellStyle name="_FTE by tower by location.v.3 sdm" xfId="433"/>
    <cellStyle name="_HA Pricing Assumptions-FINAL drk ok" xfId="434"/>
    <cellStyle name="_hours and tickets" xfId="435"/>
    <cellStyle name="_hours and tickets_Calpine Pricing Model v12" xfId="436"/>
    <cellStyle name="_IFOX" xfId="437"/>
    <cellStyle name="_Inv #21-13849-25 Jul'08 True Up FY09 P08 Approved 081508" xfId="438"/>
    <cellStyle name="_Iowa_EssBase_2008.12.Dec" xfId="439"/>
    <cellStyle name="_Iowa_EssBase_2009.04.Apr" xfId="440"/>
    <cellStyle name="_IS and EBITDA Reconciliation_vr7" xfId="441"/>
    <cellStyle name="_IS and EBITDA Reconciliation_vr7 2" xfId="442"/>
    <cellStyle name="_IS and EBITDA Reconciliation_vr7 2 2" xfId="443"/>
    <cellStyle name="_IS and EBITDA Reconciliation_vr7 2 3" xfId="444"/>
    <cellStyle name="_IS and EBITDA Reconciliation_vr7 3" xfId="445"/>
    <cellStyle name="_IS and EBITDA Reconciliation_vr7 3 2" xfId="446"/>
    <cellStyle name="_IS and EBITDA Reconciliation_vr7 3 3" xfId="447"/>
    <cellStyle name="_IS and EBITDA Reconciliation_vr7 4" xfId="448"/>
    <cellStyle name="_IS and EBITDA Reconciliation_vr7 4 2" xfId="449"/>
    <cellStyle name="_IS and EBITDA Reconciliation_vr7 4 3" xfId="450"/>
    <cellStyle name="_IS and EBITDA Reconciliation_vr7 5" xfId="451"/>
    <cellStyle name="_ITS Sourcing General Pricing v01" xfId="452"/>
    <cellStyle name="_ITS Sourcing Pricing Model v07" xfId="453"/>
    <cellStyle name="_Labor Build Up Template v01" xfId="454"/>
    <cellStyle name="_LE_201001_SAIC_MDM_UGBU_Gantt_Final" xfId="455"/>
    <cellStyle name="_Nebraska StratPlan 2010-2014" xfId="456"/>
    <cellStyle name="_Nebraska StratPlan 2010-2014 2" xfId="457"/>
    <cellStyle name="_Nebraska StratPlan 2010-2014 3" xfId="458"/>
    <cellStyle name="_NEBRASKA_Budget 2011_Bridge to 2Q FC" xfId="459"/>
    <cellStyle name="_Network Costs" xfId="460"/>
    <cellStyle name="_NGU 2010.02.Feb.Forecast" xfId="461"/>
    <cellStyle name="_NGU.FM.Calendar.Sept7,2010" xfId="462"/>
    <cellStyle name="_November 2008 SLR Performance Summary" xfId="463"/>
    <cellStyle name="_Oct03_Everest_Board_Financial_Operating_Report" xfId="464"/>
    <cellStyle name="_Oct03_Everest_Board_Financial_Operating_Report 2" xfId="465"/>
    <cellStyle name="_Oct03_Everest_Board_Financial_Operating_Report 2 2" xfId="466"/>
    <cellStyle name="_Oct03_Everest_Board_Financial_Operating_Report 2 3" xfId="467"/>
    <cellStyle name="_Oct03_Everest_Board_Financial_Operating_Report 3" xfId="468"/>
    <cellStyle name="_Oct03_Everest_Board_Financial_Operating_Report 3 2" xfId="469"/>
    <cellStyle name="_Oct03_Everest_Board_Financial_Operating_Report 3 3" xfId="470"/>
    <cellStyle name="_Oct03_Everest_Board_Financial_Operating_Report 4" xfId="471"/>
    <cellStyle name="_Oct03_Everest_Board_Financial_Operating_Report 4 2" xfId="472"/>
    <cellStyle name="_Oct03_Everest_Board_Financial_Operating_Report 4 3" xfId="473"/>
    <cellStyle name="_Oct03_Everest_Board_Financial_Operating_Report 5" xfId="474"/>
    <cellStyle name="_Paramount CONTRACT Cost Build Version 081206 - GETRONICS" xfId="475"/>
    <cellStyle name="_Paramount CONTRACT Cost Build Version 081206 - GETRONICS_Calpine Pricing Model v12" xfId="476"/>
    <cellStyle name="_PepsiCo Annex C-2 (Pricing Model - TRANSITION) 23 May 06_Final" xfId="477"/>
    <cellStyle name="_PI Data Center Data Collection Template 11.17.04" xfId="478"/>
    <cellStyle name="_PI Data Center Data Collection Template 11.17.04_Calpine Pricing Model v12" xfId="479"/>
    <cellStyle name="_PI Network Data Collection Template 11.16.04" xfId="480"/>
    <cellStyle name="_PI Network Data Collection Template 11.16.04_Calpine Pricing Model v12" xfId="481"/>
    <cellStyle name="_PNMR Cumulative Invoice Dollar Value Summary" xfId="482"/>
    <cellStyle name="_PNMR General Pricing v01" xfId="483"/>
    <cellStyle name="_Pricing Model to tie to SAIC 2007 FTE Submission 9-17-06" xfId="484"/>
    <cellStyle name="_Project 132 CapEx Detail 2007-2014 Budget (2)" xfId="485"/>
    <cellStyle name="_Project 132 CapEx Detail 2007-2014 Budget (2) 2" xfId="486"/>
    <cellStyle name="_Project 132 CapEx Detail 2007-2014 Budget (2) 2 2" xfId="487"/>
    <cellStyle name="_Project 132 CapEx Detail 2007-2014 Budget (2) 2 3" xfId="488"/>
    <cellStyle name="_Project 132 CapEx Detail 2007-2014 Budget (2) 3" xfId="489"/>
    <cellStyle name="_Project 132 CapEx Detail 2007-2014 Budget (2) 3 2" xfId="490"/>
    <cellStyle name="_Project 132 CapEx Detail 2007-2014 Budget (2) 3 3" xfId="491"/>
    <cellStyle name="_Project 132 CapEx Detail 2007-2014 Budget (2) 4" xfId="492"/>
    <cellStyle name="_Project 132 CapEx Detail 2007-2014 Budget (2) 4 2" xfId="493"/>
    <cellStyle name="_Project 132 CapEx Detail 2007-2014 Budget (2) 4 3" xfId="494"/>
    <cellStyle name="_Project 132 CapEx Detail 2007-2014 Budget (2) 5" xfId="495"/>
    <cellStyle name="_Project 132 Capital Expenditures Detail" xfId="496"/>
    <cellStyle name="_Project 132 Capital Expenditures Detail 2" xfId="497"/>
    <cellStyle name="_Project 132 Capital Expenditures Detail 2 2" xfId="498"/>
    <cellStyle name="_Project 132 Capital Expenditures Detail 2 3" xfId="499"/>
    <cellStyle name="_Project 132 Capital Expenditures Detail 3" xfId="500"/>
    <cellStyle name="_Project 132 Capital Expenditures Detail 3 2" xfId="501"/>
    <cellStyle name="_Project 132 Capital Expenditures Detail 3 3" xfId="502"/>
    <cellStyle name="_Project 132 Capital Expenditures Detail 4" xfId="503"/>
    <cellStyle name="_Project 132 Capital Expenditures Detail 4 2" xfId="504"/>
    <cellStyle name="_Project 132 Capital Expenditures Detail 4 3" xfId="505"/>
    <cellStyle name="_Project 132 Capital Expenditures Detail 5" xfId="506"/>
    <cellStyle name="_Rating Agency Analysis v2" xfId="507"/>
    <cellStyle name="_Rating Agency Analysis v2 2" xfId="508"/>
    <cellStyle name="_Rating Agency Analysis v2 3" xfId="509"/>
    <cellStyle name="_Rating Agency Analysis v2 4" xfId="510"/>
    <cellStyle name="_Rating Agency Analysis v2_BH Electric Utilities 2010 Strategic Plan" xfId="511"/>
    <cellStyle name="_Rating Agency Analysis v2_BHCOE" xfId="512"/>
    <cellStyle name="_Rating Agency Analysis v2_BHCOE 2" xfId="513"/>
    <cellStyle name="_Rating Agency Analysis v2_Colo IPP" xfId="514"/>
    <cellStyle name="_Rating Agency Analysis v2_Colo IPP 2" xfId="515"/>
    <cellStyle name="_Rating Agency Analysis v2_Colo IPP 3" xfId="516"/>
    <cellStyle name="_Rating Agency Analysis v2_Ops Review UIP_Metrics Gas &amp; Electric 2011" xfId="517"/>
    <cellStyle name="_Rating Agency Analysis v2_Ops Review UIP_Metrics Gas &amp; Electric 2011 2" xfId="518"/>
    <cellStyle name="_Rating Agency Analysis v2_Ops Review UIP_Metrics Gas &amp; Electric 2011 3" xfId="519"/>
    <cellStyle name="_Rating Agency Analysis v2_Other Income_Expense" xfId="520"/>
    <cellStyle name="_Rating Agency Analysis v2_Other Income_Expense 2" xfId="521"/>
    <cellStyle name="_Rating Agency Analysis v2_Other Income_Expense_2010 Actual" xfId="522"/>
    <cellStyle name="_Rating Agency Analysis v2_Other Income_Expense_Explanations" xfId="523"/>
    <cellStyle name="_Rating Agency Analysis v2_Summary IS" xfId="524"/>
    <cellStyle name="_Rating Agency Analysis v2_Summary IS 2" xfId="525"/>
    <cellStyle name="_Rating Agency Analysis v2_Summary IS_2010 Actual" xfId="526"/>
    <cellStyle name="_Rating Agency Analysis v2_Summary IS_Explanations" xfId="527"/>
    <cellStyle name="_Revision III to Capital Budget 5 yr" xfId="528"/>
    <cellStyle name="_Revision III to Capital Budget 5 yr_090810" xfId="529"/>
    <cellStyle name="_SCSD Pricing Model v20" xfId="530"/>
    <cellStyle name="_SCSD Pricing Model_BAFO r4_BARFO gdw" xfId="531"/>
    <cellStyle name="_Semco Model 5-03-03_v2" xfId="532"/>
    <cellStyle name="_Semco Model 5-03-03_v2 2" xfId="533"/>
    <cellStyle name="_Semco Model 5-03-03_v2 2 2" xfId="534"/>
    <cellStyle name="_Semco Model 5-03-03_v2 2 3" xfId="535"/>
    <cellStyle name="_Semco Model 5-03-03_v2 3" xfId="536"/>
    <cellStyle name="_Semco Model 5-03-03_v2 3 2" xfId="537"/>
    <cellStyle name="_Semco Model 5-03-03_v2 3 3" xfId="538"/>
    <cellStyle name="_Semco Model 5-03-03_v2 4" xfId="539"/>
    <cellStyle name="_Semco Model 5-03-03_v2 4 2" xfId="540"/>
    <cellStyle name="_Semco Model 5-03-03_v2 4 3" xfId="541"/>
    <cellStyle name="_Semco Model 5-03-03_v2 5" xfId="542"/>
    <cellStyle name="_Semco Model 5-03-03_v21" xfId="543"/>
    <cellStyle name="_Semco Model 5-03-03_v21 2" xfId="544"/>
    <cellStyle name="_Semco Model 5-03-03_v21 2 2" xfId="545"/>
    <cellStyle name="_Semco Model 5-03-03_v21 2 3" xfId="546"/>
    <cellStyle name="_Semco Model 5-03-03_v21 3" xfId="547"/>
    <cellStyle name="_Semco Model 5-03-03_v21 3 2" xfId="548"/>
    <cellStyle name="_Semco Model 5-03-03_v21 3 3" xfId="549"/>
    <cellStyle name="_Semco Model 5-03-03_v21 4" xfId="550"/>
    <cellStyle name="_Semco Model 5-03-03_v21 4 2" xfId="551"/>
    <cellStyle name="_Semco Model 5-03-03_v21 4 3" xfId="552"/>
    <cellStyle name="_Semco Model 5-03-03_v21 5" xfId="553"/>
    <cellStyle name="_Semco Model 7-21-03" xfId="554"/>
    <cellStyle name="_Semco Model 7-21-03 2" xfId="555"/>
    <cellStyle name="_Semco Model 7-21-03 3" xfId="556"/>
    <cellStyle name="_Semco Model 7-21-03 4" xfId="557"/>
    <cellStyle name="_Semco Model 7-21-03_BH Electric Utilities 2010 Strategic Plan" xfId="558"/>
    <cellStyle name="_Semco Model 7-21-03_BHCOE" xfId="559"/>
    <cellStyle name="_Semco Model 7-21-03_BHCOE 2" xfId="560"/>
    <cellStyle name="_Semco Model 7-21-03_Colo IPP" xfId="561"/>
    <cellStyle name="_Semco Model 7-21-03_Colo IPP 2" xfId="562"/>
    <cellStyle name="_Semco Model 7-21-03_Colo IPP 3" xfId="563"/>
    <cellStyle name="_Semco Model 7-21-03_Ops Review UIP_Metrics Gas &amp; Electric 2011" xfId="564"/>
    <cellStyle name="_Semco Model 7-21-03_Ops Review UIP_Metrics Gas &amp; Electric 2011 2" xfId="565"/>
    <cellStyle name="_Semco Model 7-21-03_Ops Review UIP_Metrics Gas &amp; Electric 2011 3" xfId="566"/>
    <cellStyle name="_Semco Model 7-21-03_Other Income_Expense" xfId="567"/>
    <cellStyle name="_Semco Model 7-21-03_Other Income_Expense 2" xfId="568"/>
    <cellStyle name="_Semco Model 7-21-03_Other Income_Expense_2010 Actual" xfId="569"/>
    <cellStyle name="_Semco Model 7-21-03_Other Income_Expense_Explanations" xfId="570"/>
    <cellStyle name="_Semco Model 7-21-03_Summary IS" xfId="571"/>
    <cellStyle name="_Semco Model 7-21-03_Summary IS 2" xfId="572"/>
    <cellStyle name="_Semco Model 7-21-03_Summary IS_2010 Actual" xfId="573"/>
    <cellStyle name="_Semco Model 7-21-03_Summary IS_Explanations" xfId="574"/>
    <cellStyle name="_Semco Model 8-11-03" xfId="575"/>
    <cellStyle name="_Semco Model 8-11-03 2" xfId="576"/>
    <cellStyle name="_Semco Model 8-11-03 2 2" xfId="577"/>
    <cellStyle name="_Semco Model 8-11-03 2 3" xfId="578"/>
    <cellStyle name="_Semco Model 8-11-03 3" xfId="579"/>
    <cellStyle name="_Semco Model 8-11-03 3 2" xfId="580"/>
    <cellStyle name="_Semco Model 8-11-03 3 3" xfId="581"/>
    <cellStyle name="_Semco Model 8-11-03 4" xfId="582"/>
    <cellStyle name="_Semco Model 8-11-03 4 2" xfId="583"/>
    <cellStyle name="_Semco Model 8-11-03 4 3" xfId="584"/>
    <cellStyle name="_Semco Model 8-11-03 5" xfId="585"/>
    <cellStyle name="_Site Data" xfId="586"/>
    <cellStyle name="_SpreadSM" xfId="587"/>
    <cellStyle name="_SpreadSM 2" xfId="588"/>
    <cellStyle name="_SpreadSM 2 2" xfId="589"/>
    <cellStyle name="_SpreadSM 2 3" xfId="590"/>
    <cellStyle name="_SpreadSM 3" xfId="591"/>
    <cellStyle name="_SpreadSM 3 2" xfId="592"/>
    <cellStyle name="_SpreadSM 3 3" xfId="593"/>
    <cellStyle name="_SpreadSM 4" xfId="594"/>
    <cellStyle name="_SpreadSM 4 2" xfId="595"/>
    <cellStyle name="_SpreadSM 4 3" xfId="596"/>
    <cellStyle name="_SpreadSM 5" xfId="597"/>
    <cellStyle name="_Summary" xfId="598"/>
    <cellStyle name="_TDSP-Network Hardware Estimates_v01 (12)sdm" xfId="599"/>
    <cellStyle name="_WACC DLJ" xfId="600"/>
    <cellStyle name="_WACC DLJ 2" xfId="601"/>
    <cellStyle name="_WACC DLJ 2 2" xfId="602"/>
    <cellStyle name="_WACC DLJ 3" xfId="603"/>
    <cellStyle name="_WACC DLJ 3 2" xfId="604"/>
    <cellStyle name="_WACC DLJ 4" xfId="605"/>
    <cellStyle name="_WACC DLJ 4 2" xfId="606"/>
    <cellStyle name="_WACC DLJ_2011 Budget 11 16 10 June30Issuance" xfId="607"/>
    <cellStyle name="_WACC DLJ_2011 Budget 11 16 10 June30Issuance 2" xfId="608"/>
    <cellStyle name="_WACC DLJ_2011 Budget 11 16 10 June30Issuance 3" xfId="609"/>
    <cellStyle name="_WACC DLJ_BH Electric Utilities 2010 Strategic Plan" xfId="610"/>
    <cellStyle name="_WACC DLJ_BH Electric Utilities 2010 Strategic Plan 2" xfId="611"/>
    <cellStyle name="_WACC DLJ_BHCOE" xfId="612"/>
    <cellStyle name="_WACC DLJ_BHCOE 2" xfId="613"/>
    <cellStyle name="_WACC DLJ_BHCOG.2010.09.Sep.NewEXEC" xfId="614"/>
    <cellStyle name="_WACC DLJ_BHCOG.2010.09.Sep.NewEXEC_BHCOG 2010 12 Dec NewEXEC" xfId="615"/>
    <cellStyle name="_WACC DLJ_BHCOG.2010.09.Sep.NewEXEC_BHCOG 2011 03 March NewEXEC (4)" xfId="616"/>
    <cellStyle name="_WACC DLJ_BHCOG.2010.09.Sep.NewEXEC_BHCOG 2011 03 March NewEXEC (5)" xfId="617"/>
    <cellStyle name="_WACC DLJ_BHCOG.2010.09.Sep.NewEXEC_BHKSG.2010.12.Dec.NewEXEC" xfId="618"/>
    <cellStyle name="_WACC DLJ_BHCOG.2010.09.Sep.NewEXEC_BHKSG.2011.01.Jan.NewEXEC" xfId="619"/>
    <cellStyle name="_WACC DLJ_BHCOG.2010.09.Sep.NewEXEC_BHKSG.2011.02.Feb.NewEXEC" xfId="620"/>
    <cellStyle name="_WACC DLJ_BHCOG.2010.09.Sep.NewEXEC_BHNEG.2010.12.Dec.NewEXEC" xfId="621"/>
    <cellStyle name="_WACC DLJ_BHCOG.2010.09.Sep.NewEXEC_Capex for ExecSummary" xfId="622"/>
    <cellStyle name="_WACC DLJ_BHCOG.2010.09.Sep.NewEXEC_Exec Sum PY2010" xfId="623"/>
    <cellStyle name="_WACC DLJ_Book4 (2)" xfId="624"/>
    <cellStyle name="_WACC DLJ_Colo IPP" xfId="625"/>
    <cellStyle name="_WACC DLJ_Other Income_Expense" xfId="626"/>
    <cellStyle name="_WACC DLJ_Other Income_Expense 2" xfId="627"/>
    <cellStyle name="_WACC DLJ_Other Income_Expense_2010 Actual" xfId="628"/>
    <cellStyle name="_WACC DLJ_Other Income_Expense_Explanations" xfId="629"/>
    <cellStyle name="_WACC DLJ_Summary IS" xfId="630"/>
    <cellStyle name="_WACC DLJ_Summary IS 2" xfId="631"/>
    <cellStyle name="_WACC DLJ_Summary IS_2010 Actual" xfId="632"/>
    <cellStyle name="_WACC DLJ_Summary IS_Explanations" xfId="633"/>
    <cellStyle name="¨_x000c_ LŒB" xfId="634"/>
    <cellStyle name="£ BP" xfId="635"/>
    <cellStyle name="£ BP 2" xfId="636"/>
    <cellStyle name="£ BP 3" xfId="637"/>
    <cellStyle name="£ BP 4" xfId="638"/>
    <cellStyle name="¥ JY" xfId="639"/>
    <cellStyle name="¥ JY 2" xfId="640"/>
    <cellStyle name="¥ JY 3" xfId="641"/>
    <cellStyle name="¥ JY 4" xfId="642"/>
    <cellStyle name="=C:\WINNT35\SYSTEM32\COMMAND.COM" xfId="643"/>
    <cellStyle name="=C:\WINNT35\SYSTEM32\COMMAND.COM 2" xfId="644"/>
    <cellStyle name="=C:\WINNT35\SYSTEM32\COMMAND.COM 3" xfId="645"/>
    <cellStyle name="=C:\WINNT35\SYSTEM32\COMMAND.COM 4" xfId="646"/>
    <cellStyle name="=C:\WINNT35\SYSTEM32\COMMAND.COM 5" xfId="647"/>
    <cellStyle name="=C:\WINNT35\SYSTEM32\COMMAND.COM_BH Electric Utilities 2010 Strategic Plan" xfId="648"/>
    <cellStyle name="•W€_GE 3 MINIMUM" xfId="649"/>
    <cellStyle name="•W_GE 3 MINIMUM" xfId="650"/>
    <cellStyle name="0" xfId="651"/>
    <cellStyle name="0 2" xfId="652"/>
    <cellStyle name="0 3" xfId="653"/>
    <cellStyle name="0 4" xfId="654"/>
    <cellStyle name="0,0_x000d__x000a_NA_x000d__x000a_" xfId="655"/>
    <cellStyle name="0_BH Electric Utilities 2010 Strategic Plan" xfId="656"/>
    <cellStyle name="0_BHCOE" xfId="657"/>
    <cellStyle name="0_BHCOE 2" xfId="658"/>
    <cellStyle name="0_Colo IPP" xfId="659"/>
    <cellStyle name="0_Colo IPP 2" xfId="660"/>
    <cellStyle name="0_Colo IPP 3" xfId="661"/>
    <cellStyle name="0_Ops Review UIP_Metrics Gas &amp; Electric 2011" xfId="662"/>
    <cellStyle name="0_Ops Review UIP_Metrics Gas &amp; Electric 2011 2" xfId="663"/>
    <cellStyle name="0_Ops Review UIP_Metrics Gas &amp; Electric 2011 3" xfId="664"/>
    <cellStyle name="0_Other Income_Expense" xfId="665"/>
    <cellStyle name="0_Other Income_Expense 2" xfId="666"/>
    <cellStyle name="0_Other Income_Expense_2010 Actual" xfId="667"/>
    <cellStyle name="0_Other Income_Expense_Explanations" xfId="668"/>
    <cellStyle name="0_Summary IS" xfId="669"/>
    <cellStyle name="0_Summary IS 2" xfId="670"/>
    <cellStyle name="0_Summary IS_2010 Actual" xfId="671"/>
    <cellStyle name="0_Summary IS_Explanations" xfId="672"/>
    <cellStyle name="1" xfId="673"/>
    <cellStyle name="1-Black-Formula on Sheet" xfId="674"/>
    <cellStyle name="2" xfId="675"/>
    <cellStyle name="20% - Accent1 10" xfId="676"/>
    <cellStyle name="20% - Accent1 10 2" xfId="677"/>
    <cellStyle name="20% - Accent1 10 2 2" xfId="678"/>
    <cellStyle name="20% - Accent1 10 2_4Q Ops Metrics Gas &amp; Electric 2010" xfId="679"/>
    <cellStyle name="20% - Accent1 10 3" xfId="680"/>
    <cellStyle name="20% - Accent1 10 3 2" xfId="681"/>
    <cellStyle name="20% - Accent1 10 3_4Q Ops Metrics Gas &amp; Electric 2010" xfId="682"/>
    <cellStyle name="20% - Accent1 10 4" xfId="683"/>
    <cellStyle name="20% - Accent1 10 4 2" xfId="684"/>
    <cellStyle name="20% - Accent1 10 4_4Q Ops Metrics Gas &amp; Electric 2010" xfId="685"/>
    <cellStyle name="20% - Accent1 10 5" xfId="686"/>
    <cellStyle name="20% - Accent1 10 5 2" xfId="687"/>
    <cellStyle name="20% - Accent1 10 5 3" xfId="688"/>
    <cellStyle name="20% - Accent1 10 5 4" xfId="689"/>
    <cellStyle name="20% - Accent1 10 5 5" xfId="690"/>
    <cellStyle name="20% - Accent1 10 5_4Q Ops Metrics Gas &amp; Electric 2010" xfId="691"/>
    <cellStyle name="20% - Accent1 10 6" xfId="692"/>
    <cellStyle name="20% - Accent1 10 6 2" xfId="693"/>
    <cellStyle name="20% - Accent1 10 7" xfId="694"/>
    <cellStyle name="20% - Accent1 10 7 2" xfId="695"/>
    <cellStyle name="20% - Accent1 10_2009 Actual" xfId="696"/>
    <cellStyle name="20% - Accent1 100" xfId="697"/>
    <cellStyle name="20% - Accent1 100 2" xfId="698"/>
    <cellStyle name="20% - Accent1 101" xfId="699"/>
    <cellStyle name="20% - Accent1 101 2" xfId="700"/>
    <cellStyle name="20% - Accent1 102" xfId="701"/>
    <cellStyle name="20% - Accent1 102 2" xfId="702"/>
    <cellStyle name="20% - Accent1 103" xfId="703"/>
    <cellStyle name="20% - Accent1 103 2" xfId="704"/>
    <cellStyle name="20% - Accent1 104" xfId="705"/>
    <cellStyle name="20% - Accent1 104 2" xfId="706"/>
    <cellStyle name="20% - Accent1 105" xfId="707"/>
    <cellStyle name="20% - Accent1 105 2" xfId="708"/>
    <cellStyle name="20% - Accent1 106" xfId="709"/>
    <cellStyle name="20% - Accent1 107" xfId="710"/>
    <cellStyle name="20% - Accent1 108" xfId="711"/>
    <cellStyle name="20% - Accent1 109" xfId="712"/>
    <cellStyle name="20% - Accent1 11" xfId="713"/>
    <cellStyle name="20% - Accent1 11 2" xfId="714"/>
    <cellStyle name="20% - Accent1 11 2 2" xfId="715"/>
    <cellStyle name="20% - Accent1 11 2_4Q Ops Metrics Gas &amp; Electric 2010" xfId="716"/>
    <cellStyle name="20% - Accent1 11 3" xfId="717"/>
    <cellStyle name="20% - Accent1 11 3 2" xfId="718"/>
    <cellStyle name="20% - Accent1 11 3_4Q Ops Metrics Gas &amp; Electric 2010" xfId="719"/>
    <cellStyle name="20% - Accent1 11 4" xfId="720"/>
    <cellStyle name="20% - Accent1 11 4 2" xfId="721"/>
    <cellStyle name="20% - Accent1 11 4_4Q Ops Metrics Gas &amp; Electric 2010" xfId="722"/>
    <cellStyle name="20% - Accent1 11 5" xfId="723"/>
    <cellStyle name="20% - Accent1 11 5 2" xfId="724"/>
    <cellStyle name="20% - Accent1 11 5 3" xfId="725"/>
    <cellStyle name="20% - Accent1 11 5 4" xfId="726"/>
    <cellStyle name="20% - Accent1 11 5 5" xfId="727"/>
    <cellStyle name="20% - Accent1 11 5_4Q Ops Metrics Gas &amp; Electric 2010" xfId="728"/>
    <cellStyle name="20% - Accent1 11 6" xfId="729"/>
    <cellStyle name="20% - Accent1 11 6 2" xfId="730"/>
    <cellStyle name="20% - Accent1 11 7" xfId="731"/>
    <cellStyle name="20% - Accent1 11 7 2" xfId="732"/>
    <cellStyle name="20% - Accent1 11_2009 Actual" xfId="733"/>
    <cellStyle name="20% - Accent1 110" xfId="734"/>
    <cellStyle name="20% - Accent1 111" xfId="735"/>
    <cellStyle name="20% - Accent1 112" xfId="736"/>
    <cellStyle name="20% - Accent1 113" xfId="737"/>
    <cellStyle name="20% - Accent1 114" xfId="738"/>
    <cellStyle name="20% - Accent1 115" xfId="739"/>
    <cellStyle name="20% - Accent1 116" xfId="740"/>
    <cellStyle name="20% - Accent1 117" xfId="741"/>
    <cellStyle name="20% - Accent1 118" xfId="742"/>
    <cellStyle name="20% - Accent1 119" xfId="743"/>
    <cellStyle name="20% - Accent1 12" xfId="744"/>
    <cellStyle name="20% - Accent1 12 10" xfId="745"/>
    <cellStyle name="20% - Accent1 12 11" xfId="746"/>
    <cellStyle name="20% - Accent1 12 2" xfId="747"/>
    <cellStyle name="20% - Accent1 12 2 2" xfId="748"/>
    <cellStyle name="20% - Accent1 12 2 2 2" xfId="749"/>
    <cellStyle name="20% - Accent1 12 2 2 3" xfId="750"/>
    <cellStyle name="20% - Accent1 12 2 2 4" xfId="751"/>
    <cellStyle name="20% - Accent1 12 2 2_4Q Ops Metrics Gas &amp; Electric 2010" xfId="752"/>
    <cellStyle name="20% - Accent1 12 2 3" xfId="753"/>
    <cellStyle name="20% - Accent1 12 2 4" xfId="754"/>
    <cellStyle name="20% - Accent1 12 2_2010 Actual" xfId="755"/>
    <cellStyle name="20% - Accent1 12 3" xfId="756"/>
    <cellStyle name="20% - Accent1 12 3 2" xfId="757"/>
    <cellStyle name="20% - Accent1 12 3 2 2" xfId="758"/>
    <cellStyle name="20% - Accent1 12 3 2 3" xfId="759"/>
    <cellStyle name="20% - Accent1 12 3 2 4" xfId="760"/>
    <cellStyle name="20% - Accent1 12 3 2_4Q Ops Metrics Gas &amp; Electric 2010" xfId="761"/>
    <cellStyle name="20% - Accent1 12 3 3" xfId="762"/>
    <cellStyle name="20% - Accent1 12 3 4" xfId="763"/>
    <cellStyle name="20% - Accent1 12 3_2010 Actual" xfId="764"/>
    <cellStyle name="20% - Accent1 12 4" xfId="765"/>
    <cellStyle name="20% - Accent1 12 4 2" xfId="766"/>
    <cellStyle name="20% - Accent1 12 4 2 2" xfId="767"/>
    <cellStyle name="20% - Accent1 12 4 2 3" xfId="768"/>
    <cellStyle name="20% - Accent1 12 4 2 4" xfId="769"/>
    <cellStyle name="20% - Accent1 12 4 2_4Q Ops Metrics Gas &amp; Electric 2010" xfId="770"/>
    <cellStyle name="20% - Accent1 12 4 3" xfId="771"/>
    <cellStyle name="20% - Accent1 12 4 4" xfId="772"/>
    <cellStyle name="20% - Accent1 12 4_2010 Actual" xfId="773"/>
    <cellStyle name="20% - Accent1 12 5" xfId="774"/>
    <cellStyle name="20% - Accent1 12 5 2" xfId="775"/>
    <cellStyle name="20% - Accent1 12 5 3" xfId="776"/>
    <cellStyle name="20% - Accent1 12 5 4" xfId="777"/>
    <cellStyle name="20% - Accent1 12 5_2010 Actual" xfId="778"/>
    <cellStyle name="20% - Accent1 12 6" xfId="779"/>
    <cellStyle name="20% - Accent1 12 6 2" xfId="780"/>
    <cellStyle name="20% - Accent1 12 6 3" xfId="781"/>
    <cellStyle name="20% - Accent1 12 6 4" xfId="782"/>
    <cellStyle name="20% - Accent1 12 6_BHP" xfId="783"/>
    <cellStyle name="20% - Accent1 12 7" xfId="784"/>
    <cellStyle name="20% - Accent1 12 8" xfId="785"/>
    <cellStyle name="20% - Accent1 12 9" xfId="786"/>
    <cellStyle name="20% - Accent1 12_2009 Actual" xfId="787"/>
    <cellStyle name="20% - Accent1 120" xfId="788"/>
    <cellStyle name="20% - Accent1 121" xfId="789"/>
    <cellStyle name="20% - Accent1 122" xfId="790"/>
    <cellStyle name="20% - Accent1 123" xfId="791"/>
    <cellStyle name="20% - Accent1 124" xfId="792"/>
    <cellStyle name="20% - Accent1 125" xfId="793"/>
    <cellStyle name="20% - Accent1 126" xfId="794"/>
    <cellStyle name="20% - Accent1 127" xfId="795"/>
    <cellStyle name="20% - Accent1 13" xfId="796"/>
    <cellStyle name="20% - Accent1 13 2" xfId="797"/>
    <cellStyle name="20% - Accent1 13 2 2" xfId="798"/>
    <cellStyle name="20% - Accent1 13 2 2 2" xfId="799"/>
    <cellStyle name="20% - Accent1 13 2 2 3" xfId="800"/>
    <cellStyle name="20% - Accent1 13 2 2 4" xfId="801"/>
    <cellStyle name="20% - Accent1 13 2 2_4Q Ops Metrics Gas &amp; Electric 2010" xfId="802"/>
    <cellStyle name="20% - Accent1 13 2 3" xfId="803"/>
    <cellStyle name="20% - Accent1 13 2 4" xfId="804"/>
    <cellStyle name="20% - Accent1 13 2_4Q Ops Metrics Gas &amp; Electric 2010" xfId="805"/>
    <cellStyle name="20% - Accent1 13 3" xfId="806"/>
    <cellStyle name="20% - Accent1 13 3 2" xfId="807"/>
    <cellStyle name="20% - Accent1 13 3 2 2" xfId="808"/>
    <cellStyle name="20% - Accent1 13 3 2 3" xfId="809"/>
    <cellStyle name="20% - Accent1 13 3 2 4" xfId="810"/>
    <cellStyle name="20% - Accent1 13 3 2_4Q Ops Metrics Gas &amp; Electric 2010" xfId="811"/>
    <cellStyle name="20% - Accent1 13 3 3" xfId="812"/>
    <cellStyle name="20% - Accent1 13 3 4" xfId="813"/>
    <cellStyle name="20% - Accent1 13 3_4Q Ops Metrics Gas &amp; Electric 2010" xfId="814"/>
    <cellStyle name="20% - Accent1 13 4" xfId="815"/>
    <cellStyle name="20% - Accent1 13 4 2" xfId="816"/>
    <cellStyle name="20% - Accent1 13 4 2 2" xfId="817"/>
    <cellStyle name="20% - Accent1 13 4 2 3" xfId="818"/>
    <cellStyle name="20% - Accent1 13 4 2 4" xfId="819"/>
    <cellStyle name="20% - Accent1 13 4 2_4Q Ops Metrics Gas &amp; Electric 2010" xfId="820"/>
    <cellStyle name="20% - Accent1 13 4 3" xfId="821"/>
    <cellStyle name="20% - Accent1 13 4 4" xfId="822"/>
    <cellStyle name="20% - Accent1 13 4_4Q Ops Metrics Gas &amp; Electric 2010" xfId="823"/>
    <cellStyle name="20% - Accent1 13 5" xfId="824"/>
    <cellStyle name="20% - Accent1 13 5 2" xfId="825"/>
    <cellStyle name="20% - Accent1 13 5 3" xfId="826"/>
    <cellStyle name="20% - Accent1 13 5 4" xfId="827"/>
    <cellStyle name="20% - Accent1 13 5_4Q Ops Metrics Gas &amp; Electric 2010" xfId="828"/>
    <cellStyle name="20% - Accent1 13 6" xfId="829"/>
    <cellStyle name="20% - Accent1 13 7" xfId="830"/>
    <cellStyle name="20% - Accent1 13_2009 Actual" xfId="831"/>
    <cellStyle name="20% - Accent1 14" xfId="832"/>
    <cellStyle name="20% - Accent1 14 2" xfId="833"/>
    <cellStyle name="20% - Accent1 14 2 2" xfId="834"/>
    <cellStyle name="20% - Accent1 14 2 2 2" xfId="835"/>
    <cellStyle name="20% - Accent1 14 2 2 3" xfId="836"/>
    <cellStyle name="20% - Accent1 14 2 2 4" xfId="837"/>
    <cellStyle name="20% - Accent1 14 2 2_4Q Ops Metrics Gas &amp; Electric 2010" xfId="838"/>
    <cellStyle name="20% - Accent1 14 2 3" xfId="839"/>
    <cellStyle name="20% - Accent1 14 2 4" xfId="840"/>
    <cellStyle name="20% - Accent1 14 2_4Q Ops Metrics Gas &amp; Electric 2010" xfId="841"/>
    <cellStyle name="20% - Accent1 14 3" xfId="842"/>
    <cellStyle name="20% - Accent1 14 3 2" xfId="843"/>
    <cellStyle name="20% - Accent1 14 3 2 2" xfId="844"/>
    <cellStyle name="20% - Accent1 14 3 2 3" xfId="845"/>
    <cellStyle name="20% - Accent1 14 3 2 4" xfId="846"/>
    <cellStyle name="20% - Accent1 14 3 2_4Q Ops Metrics Gas &amp; Electric 2010" xfId="847"/>
    <cellStyle name="20% - Accent1 14 3 3" xfId="848"/>
    <cellStyle name="20% - Accent1 14 3 4" xfId="849"/>
    <cellStyle name="20% - Accent1 14 3_4Q Ops Metrics Gas &amp; Electric 2010" xfId="850"/>
    <cellStyle name="20% - Accent1 14 4" xfId="851"/>
    <cellStyle name="20% - Accent1 14 4 2" xfId="852"/>
    <cellStyle name="20% - Accent1 14 4 2 2" xfId="853"/>
    <cellStyle name="20% - Accent1 14 4 2 3" xfId="854"/>
    <cellStyle name="20% - Accent1 14 4 2 4" xfId="855"/>
    <cellStyle name="20% - Accent1 14 4 2_4Q Ops Metrics Gas &amp; Electric 2010" xfId="856"/>
    <cellStyle name="20% - Accent1 14 4 3" xfId="857"/>
    <cellStyle name="20% - Accent1 14 4 4" xfId="858"/>
    <cellStyle name="20% - Accent1 14 4_4Q Ops Metrics Gas &amp; Electric 2010" xfId="859"/>
    <cellStyle name="20% - Accent1 14 5" xfId="860"/>
    <cellStyle name="20% - Accent1 14 5 2" xfId="861"/>
    <cellStyle name="20% - Accent1 14 5 3" xfId="862"/>
    <cellStyle name="20% - Accent1 14 5 4" xfId="863"/>
    <cellStyle name="20% - Accent1 14 5_4Q Ops Metrics Gas &amp; Electric 2010" xfId="864"/>
    <cellStyle name="20% - Accent1 14 6" xfId="865"/>
    <cellStyle name="20% - Accent1 14 7" xfId="866"/>
    <cellStyle name="20% - Accent1 14_2009 Actual" xfId="867"/>
    <cellStyle name="20% - Accent1 15" xfId="868"/>
    <cellStyle name="20% - Accent1 15 2" xfId="869"/>
    <cellStyle name="20% - Accent1 15 2 2" xfId="870"/>
    <cellStyle name="20% - Accent1 15 2 3" xfId="871"/>
    <cellStyle name="20% - Accent1 15 2 4" xfId="872"/>
    <cellStyle name="20% - Accent1 15 2 5" xfId="873"/>
    <cellStyle name="20% - Accent1 15 2_4Q Ops Metrics Gas &amp; Electric 2010" xfId="874"/>
    <cellStyle name="20% - Accent1 15 3" xfId="875"/>
    <cellStyle name="20% - Accent1 15 3 2" xfId="876"/>
    <cellStyle name="20% - Accent1 15 4" xfId="877"/>
    <cellStyle name="20% - Accent1 15 4 2" xfId="878"/>
    <cellStyle name="20% - Accent1 15 5" xfId="879"/>
    <cellStyle name="20% - Accent1 15 6" xfId="880"/>
    <cellStyle name="20% - Accent1 15_4Q Ops Metrics Gas &amp; Electric 2010" xfId="881"/>
    <cellStyle name="20% - Accent1 16" xfId="882"/>
    <cellStyle name="20% - Accent1 16 2" xfId="883"/>
    <cellStyle name="20% - Accent1 16 3" xfId="884"/>
    <cellStyle name="20% - Accent1 17" xfId="885"/>
    <cellStyle name="20% - Accent1 17 2" xfId="886"/>
    <cellStyle name="20% - Accent1 17 3" xfId="887"/>
    <cellStyle name="20% - Accent1 18" xfId="888"/>
    <cellStyle name="20% - Accent1 18 2" xfId="889"/>
    <cellStyle name="20% - Accent1 18 3" xfId="890"/>
    <cellStyle name="20% - Accent1 19" xfId="891"/>
    <cellStyle name="20% - Accent1 19 2" xfId="892"/>
    <cellStyle name="20% - Accent1 19 3" xfId="893"/>
    <cellStyle name="20% - Accent1 19 4" xfId="894"/>
    <cellStyle name="20% - Accent1 19_2010 Actual" xfId="895"/>
    <cellStyle name="20% - Accent1 2" xfId="896"/>
    <cellStyle name="20% - Accent1 2 10" xfId="897"/>
    <cellStyle name="20% - Accent1 2 10 2" xfId="898"/>
    <cellStyle name="20% - Accent1 2 10 2 2" xfId="899"/>
    <cellStyle name="20% - Accent1 2 10 3" xfId="900"/>
    <cellStyle name="20% - Accent1 2 10 4" xfId="901"/>
    <cellStyle name="20% - Accent1 2 10 5" xfId="902"/>
    <cellStyle name="20% - Accent1 2 10 5 2" xfId="903"/>
    <cellStyle name="20% - Accent1 2 10_2010 Actual" xfId="904"/>
    <cellStyle name="20% - Accent1 2 100" xfId="905"/>
    <cellStyle name="20% - Accent1 2 100 2" xfId="906"/>
    <cellStyle name="20% - Accent1 2 100 2 2" xfId="907"/>
    <cellStyle name="20% - Accent1 2 100 3" xfId="908"/>
    <cellStyle name="20% - Accent1 2 100 4" xfId="909"/>
    <cellStyle name="20% - Accent1 2 101" xfId="910"/>
    <cellStyle name="20% - Accent1 2 101 2" xfId="911"/>
    <cellStyle name="20% - Accent1 2 101 2 2" xfId="912"/>
    <cellStyle name="20% - Accent1 2 101 3" xfId="913"/>
    <cellStyle name="20% - Accent1 2 101 4" xfId="914"/>
    <cellStyle name="20% - Accent1 2 102" xfId="915"/>
    <cellStyle name="20% - Accent1 2 102 2" xfId="916"/>
    <cellStyle name="20% - Accent1 2 102 2 2" xfId="917"/>
    <cellStyle name="20% - Accent1 2 102 3" xfId="918"/>
    <cellStyle name="20% - Accent1 2 102 4" xfId="919"/>
    <cellStyle name="20% - Accent1 2 103" xfId="920"/>
    <cellStyle name="20% - Accent1 2 103 2" xfId="921"/>
    <cellStyle name="20% - Accent1 2 103 2 2" xfId="922"/>
    <cellStyle name="20% - Accent1 2 103 3" xfId="923"/>
    <cellStyle name="20% - Accent1 2 103 4" xfId="924"/>
    <cellStyle name="20% - Accent1 2 104" xfId="925"/>
    <cellStyle name="20% - Accent1 2 104 2" xfId="926"/>
    <cellStyle name="20% - Accent1 2 104 2 2" xfId="927"/>
    <cellStyle name="20% - Accent1 2 104 3" xfId="928"/>
    <cellStyle name="20% - Accent1 2 104 4" xfId="929"/>
    <cellStyle name="20% - Accent1 2 105" xfId="930"/>
    <cellStyle name="20% - Accent1 2 105 2" xfId="931"/>
    <cellStyle name="20% - Accent1 2 105 2 2" xfId="932"/>
    <cellStyle name="20% - Accent1 2 105 3" xfId="933"/>
    <cellStyle name="20% - Accent1 2 105 4" xfId="934"/>
    <cellStyle name="20% - Accent1 2 106" xfId="935"/>
    <cellStyle name="20% - Accent1 2 106 2" xfId="936"/>
    <cellStyle name="20% - Accent1 2 106 2 2" xfId="937"/>
    <cellStyle name="20% - Accent1 2 106 3" xfId="938"/>
    <cellStyle name="20% - Accent1 2 106 4" xfId="939"/>
    <cellStyle name="20% - Accent1 2 107" xfId="940"/>
    <cellStyle name="20% - Accent1 2 107 2" xfId="941"/>
    <cellStyle name="20% - Accent1 2 107 2 2" xfId="942"/>
    <cellStyle name="20% - Accent1 2 107 3" xfId="943"/>
    <cellStyle name="20% - Accent1 2 107 4" xfId="944"/>
    <cellStyle name="20% - Accent1 2 108" xfId="945"/>
    <cellStyle name="20% - Accent1 2 108 2" xfId="946"/>
    <cellStyle name="20% - Accent1 2 108 2 2" xfId="947"/>
    <cellStyle name="20% - Accent1 2 108 3" xfId="948"/>
    <cellStyle name="20% - Accent1 2 108 4" xfId="949"/>
    <cellStyle name="20% - Accent1 2 109" xfId="950"/>
    <cellStyle name="20% - Accent1 2 109 2" xfId="951"/>
    <cellStyle name="20% - Accent1 2 109 2 2" xfId="952"/>
    <cellStyle name="20% - Accent1 2 109 3" xfId="953"/>
    <cellStyle name="20% - Accent1 2 109 4" xfId="954"/>
    <cellStyle name="20% - Accent1 2 11" xfId="955"/>
    <cellStyle name="20% - Accent1 2 11 2" xfId="956"/>
    <cellStyle name="20% - Accent1 2 11 2 2" xfId="957"/>
    <cellStyle name="20% - Accent1 2 11 3" xfId="958"/>
    <cellStyle name="20% - Accent1 2 11_4Q Ops Metrics Gas &amp; Electric 2010" xfId="959"/>
    <cellStyle name="20% - Accent1 2 110" xfId="960"/>
    <cellStyle name="20% - Accent1 2 110 2" xfId="961"/>
    <cellStyle name="20% - Accent1 2 110 2 2" xfId="962"/>
    <cellStyle name="20% - Accent1 2 110 3" xfId="963"/>
    <cellStyle name="20% - Accent1 2 110 4" xfId="964"/>
    <cellStyle name="20% - Accent1 2 111" xfId="965"/>
    <cellStyle name="20% - Accent1 2 111 2" xfId="966"/>
    <cellStyle name="20% - Accent1 2 111 2 2" xfId="967"/>
    <cellStyle name="20% - Accent1 2 111 3" xfId="968"/>
    <cellStyle name="20% - Accent1 2 111 4" xfId="969"/>
    <cellStyle name="20% - Accent1 2 112" xfId="970"/>
    <cellStyle name="20% - Accent1 2 112 2" xfId="971"/>
    <cellStyle name="20% - Accent1 2 112 2 2" xfId="972"/>
    <cellStyle name="20% - Accent1 2 112 3" xfId="973"/>
    <cellStyle name="20% - Accent1 2 112 4" xfId="974"/>
    <cellStyle name="20% - Accent1 2 113" xfId="975"/>
    <cellStyle name="20% - Accent1 2 113 2" xfId="976"/>
    <cellStyle name="20% - Accent1 2 113 2 2" xfId="977"/>
    <cellStyle name="20% - Accent1 2 113 3" xfId="978"/>
    <cellStyle name="20% - Accent1 2 113 4" xfId="979"/>
    <cellStyle name="20% - Accent1 2 114" xfId="980"/>
    <cellStyle name="20% - Accent1 2 114 2" xfId="981"/>
    <cellStyle name="20% - Accent1 2 114 2 2" xfId="982"/>
    <cellStyle name="20% - Accent1 2 114 3" xfId="983"/>
    <cellStyle name="20% - Accent1 2 114 4" xfId="984"/>
    <cellStyle name="20% - Accent1 2 115" xfId="985"/>
    <cellStyle name="20% - Accent1 2 115 2" xfId="986"/>
    <cellStyle name="20% - Accent1 2 115 2 2" xfId="987"/>
    <cellStyle name="20% - Accent1 2 115 3" xfId="988"/>
    <cellStyle name="20% - Accent1 2 115 4" xfId="989"/>
    <cellStyle name="20% - Accent1 2 116" xfId="990"/>
    <cellStyle name="20% - Accent1 2 116 2" xfId="991"/>
    <cellStyle name="20% - Accent1 2 116 2 2" xfId="992"/>
    <cellStyle name="20% - Accent1 2 116 3" xfId="993"/>
    <cellStyle name="20% - Accent1 2 116 4" xfId="994"/>
    <cellStyle name="20% - Accent1 2 117" xfId="995"/>
    <cellStyle name="20% - Accent1 2 117 2" xfId="996"/>
    <cellStyle name="20% - Accent1 2 117 2 2" xfId="997"/>
    <cellStyle name="20% - Accent1 2 117 3" xfId="998"/>
    <cellStyle name="20% - Accent1 2 117 4" xfId="999"/>
    <cellStyle name="20% - Accent1 2 118" xfId="1000"/>
    <cellStyle name="20% - Accent1 2 118 2" xfId="1001"/>
    <cellStyle name="20% - Accent1 2 118 2 2" xfId="1002"/>
    <cellStyle name="20% - Accent1 2 118 3" xfId="1003"/>
    <cellStyle name="20% - Accent1 2 118 4" xfId="1004"/>
    <cellStyle name="20% - Accent1 2 119" xfId="1005"/>
    <cellStyle name="20% - Accent1 2 119 2" xfId="1006"/>
    <cellStyle name="20% - Accent1 2 119 2 2" xfId="1007"/>
    <cellStyle name="20% - Accent1 2 119 3" xfId="1008"/>
    <cellStyle name="20% - Accent1 2 119 4" xfId="1009"/>
    <cellStyle name="20% - Accent1 2 12" xfId="1010"/>
    <cellStyle name="20% - Accent1 2 12 2" xfId="1011"/>
    <cellStyle name="20% - Accent1 2 12 3" xfId="1012"/>
    <cellStyle name="20% - Accent1 2 12_4Q Ops Metrics Gas &amp; Electric 2010" xfId="1013"/>
    <cellStyle name="20% - Accent1 2 120" xfId="1014"/>
    <cellStyle name="20% - Accent1 2 120 2" xfId="1015"/>
    <cellStyle name="20% - Accent1 2 120 2 2" xfId="1016"/>
    <cellStyle name="20% - Accent1 2 120 3" xfId="1017"/>
    <cellStyle name="20% - Accent1 2 120 4" xfId="1018"/>
    <cellStyle name="20% - Accent1 2 121" xfId="1019"/>
    <cellStyle name="20% - Accent1 2 121 2" xfId="1020"/>
    <cellStyle name="20% - Accent1 2 122" xfId="1021"/>
    <cellStyle name="20% - Accent1 2 122 2" xfId="1022"/>
    <cellStyle name="20% - Accent1 2 123" xfId="1023"/>
    <cellStyle name="20% - Accent1 2 123 2" xfId="1024"/>
    <cellStyle name="20% - Accent1 2 124" xfId="1025"/>
    <cellStyle name="20% - Accent1 2 124 2" xfId="1026"/>
    <cellStyle name="20% - Accent1 2 125" xfId="1027"/>
    <cellStyle name="20% - Accent1 2 126" xfId="1028"/>
    <cellStyle name="20% - Accent1 2 127" xfId="1029"/>
    <cellStyle name="20% - Accent1 2 128" xfId="1030"/>
    <cellStyle name="20% - Accent1 2 129" xfId="1031"/>
    <cellStyle name="20% - Accent1 2 13" xfId="1032"/>
    <cellStyle name="20% - Accent1 2 13 2" xfId="1033"/>
    <cellStyle name="20% - Accent1 2 13 2 2" xfId="1034"/>
    <cellStyle name="20% - Accent1 2 13 2 3" xfId="1035"/>
    <cellStyle name="20% - Accent1 2 13 2 4" xfId="1036"/>
    <cellStyle name="20% - Accent1 2 13 2_4Q Ops Metrics Gas &amp; Electric 2010" xfId="1037"/>
    <cellStyle name="20% - Accent1 2 13 3" xfId="1038"/>
    <cellStyle name="20% - Accent1 2 13 4" xfId="1039"/>
    <cellStyle name="20% - Accent1 2 13_4Q Ops Metrics Gas &amp; Electric 2010" xfId="1040"/>
    <cellStyle name="20% - Accent1 2 130" xfId="1041"/>
    <cellStyle name="20% - Accent1 2 131" xfId="1042"/>
    <cellStyle name="20% - Accent1 2 132" xfId="1043"/>
    <cellStyle name="20% - Accent1 2 133" xfId="1044"/>
    <cellStyle name="20% - Accent1 2 134" xfId="1045"/>
    <cellStyle name="20% - Accent1 2 135" xfId="1046"/>
    <cellStyle name="20% - Accent1 2 136" xfId="1047"/>
    <cellStyle name="20% - Accent1 2 137" xfId="1048"/>
    <cellStyle name="20% - Accent1 2 138" xfId="1049"/>
    <cellStyle name="20% - Accent1 2 139" xfId="1050"/>
    <cellStyle name="20% - Accent1 2 14" xfId="1051"/>
    <cellStyle name="20% - Accent1 2 14 2" xfId="1052"/>
    <cellStyle name="20% - Accent1 2 14 2 2" xfId="1053"/>
    <cellStyle name="20% - Accent1 2 14 2 3" xfId="1054"/>
    <cellStyle name="20% - Accent1 2 14 2 4" xfId="1055"/>
    <cellStyle name="20% - Accent1 2 14 2_4Q Ops Metrics Gas &amp; Electric 2010" xfId="1056"/>
    <cellStyle name="20% - Accent1 2 14 3" xfId="1057"/>
    <cellStyle name="20% - Accent1 2 14 4" xfId="1058"/>
    <cellStyle name="20% - Accent1 2 14_4Q Ops Metrics Gas &amp; Electric 2010" xfId="1059"/>
    <cellStyle name="20% - Accent1 2 140" xfId="1060"/>
    <cellStyle name="20% - Accent1 2 141" xfId="1061"/>
    <cellStyle name="20% - Accent1 2 142" xfId="1062"/>
    <cellStyle name="20% - Accent1 2 143" xfId="1063"/>
    <cellStyle name="20% - Accent1 2 144" xfId="1064"/>
    <cellStyle name="20% - Accent1 2 145" xfId="1065"/>
    <cellStyle name="20% - Accent1 2 15" xfId="1066"/>
    <cellStyle name="20% - Accent1 2 15 2" xfId="1067"/>
    <cellStyle name="20% - Accent1 2 15 2 2" xfId="1068"/>
    <cellStyle name="20% - Accent1 2 15 2 3" xfId="1069"/>
    <cellStyle name="20% - Accent1 2 15 2 4" xfId="1070"/>
    <cellStyle name="20% - Accent1 2 15 2_4Q Ops Metrics Gas &amp; Electric 2010" xfId="1071"/>
    <cellStyle name="20% - Accent1 2 15 3" xfId="1072"/>
    <cellStyle name="20% - Accent1 2 15 4" xfId="1073"/>
    <cellStyle name="20% - Accent1 2 15 5" xfId="1074"/>
    <cellStyle name="20% - Accent1 2 15 6" xfId="1075"/>
    <cellStyle name="20% - Accent1 2 15_4Q Ops Metrics Gas &amp; Electric 2010" xfId="1076"/>
    <cellStyle name="20% - Accent1 2 16" xfId="1077"/>
    <cellStyle name="20% - Accent1 2 16 2" xfId="1078"/>
    <cellStyle name="20% - Accent1 2 16 3" xfId="1079"/>
    <cellStyle name="20% - Accent1 2 16 4" xfId="1080"/>
    <cellStyle name="20% - Accent1 2 16 5" xfId="1081"/>
    <cellStyle name="20% - Accent1 2 16_4Q Ops Metrics Gas &amp; Electric 2010" xfId="1082"/>
    <cellStyle name="20% - Accent1 2 17" xfId="1083"/>
    <cellStyle name="20% - Accent1 2 18" xfId="1084"/>
    <cellStyle name="20% - Accent1 2 19" xfId="1085"/>
    <cellStyle name="20% - Accent1 2 2" xfId="1086"/>
    <cellStyle name="20% - Accent1 2 2 10" xfId="1087"/>
    <cellStyle name="20% - Accent1 2 2 10 2" xfId="1088"/>
    <cellStyle name="20% - Accent1 2 2 10 2 2" xfId="1089"/>
    <cellStyle name="20% - Accent1 2 2 10 2 3" xfId="1090"/>
    <cellStyle name="20% - Accent1 2 2 10 2 4" xfId="1091"/>
    <cellStyle name="20% - Accent1 2 2 10 2_4Q Ops Metrics Gas &amp; Electric 2010" xfId="1092"/>
    <cellStyle name="20% - Accent1 2 2 10 3" xfId="1093"/>
    <cellStyle name="20% - Accent1 2 2 10 4" xfId="1094"/>
    <cellStyle name="20% - Accent1 2 2 10_4Q Ops Metrics Gas &amp; Electric 2010" xfId="1095"/>
    <cellStyle name="20% - Accent1 2 2 11" xfId="1096"/>
    <cellStyle name="20% - Accent1 2 2 12" xfId="1097"/>
    <cellStyle name="20% - Accent1 2 2 13" xfId="1098"/>
    <cellStyle name="20% - Accent1 2 2 14" xfId="1099"/>
    <cellStyle name="20% - Accent1 2 2 15" xfId="1100"/>
    <cellStyle name="20% - Accent1 2 2 16" xfId="1101"/>
    <cellStyle name="20% - Accent1 2 2 17" xfId="1102"/>
    <cellStyle name="20% - Accent1 2 2 18" xfId="1103"/>
    <cellStyle name="20% - Accent1 2 2 19" xfId="1104"/>
    <cellStyle name="20% - Accent1 2 2 2" xfId="1105"/>
    <cellStyle name="20% - Accent1 2 2 2 10" xfId="1106"/>
    <cellStyle name="20% - Accent1 2 2 2 10 2" xfId="1107"/>
    <cellStyle name="20% - Accent1 2 2 2 10_4Q Ops Metrics Gas &amp; Electric 2010" xfId="1108"/>
    <cellStyle name="20% - Accent1 2 2 2 11" xfId="1109"/>
    <cellStyle name="20% - Accent1 2 2 2 11 2" xfId="1110"/>
    <cellStyle name="20% - Accent1 2 2 2 11 3" xfId="1111"/>
    <cellStyle name="20% - Accent1 2 2 2 11 4" xfId="1112"/>
    <cellStyle name="20% - Accent1 2 2 2 11_4Q Ops Metrics Gas &amp; Electric 2010" xfId="1113"/>
    <cellStyle name="20% - Accent1 2 2 2 12" xfId="1114"/>
    <cellStyle name="20% - Accent1 2 2 2 13" xfId="1115"/>
    <cellStyle name="20% - Accent1 2 2 2 14" xfId="1116"/>
    <cellStyle name="20% - Accent1 2 2 2 15" xfId="1117"/>
    <cellStyle name="20% - Accent1 2 2 2 16" xfId="1118"/>
    <cellStyle name="20% - Accent1 2 2 2 17" xfId="1119"/>
    <cellStyle name="20% - Accent1 2 2 2 18" xfId="1120"/>
    <cellStyle name="20% - Accent1 2 2 2 2" xfId="1121"/>
    <cellStyle name="20% - Accent1 2 2 2 2 10" xfId="1122"/>
    <cellStyle name="20% - Accent1 2 2 2 2 11" xfId="1123"/>
    <cellStyle name="20% - Accent1 2 2 2 2 12" xfId="1124"/>
    <cellStyle name="20% - Accent1 2 2 2 2 2" xfId="1125"/>
    <cellStyle name="20% - Accent1 2 2 2 2 2 10" xfId="1126"/>
    <cellStyle name="20% - Accent1 2 2 2 2 2 11" xfId="1127"/>
    <cellStyle name="20% - Accent1 2 2 2 2 2 12" xfId="1128"/>
    <cellStyle name="20% - Accent1 2 2 2 2 2 2" xfId="1129"/>
    <cellStyle name="20% - Accent1 2 2 2 2 2 3" xfId="1130"/>
    <cellStyle name="20% - Accent1 2 2 2 2 2 4" xfId="1131"/>
    <cellStyle name="20% - Accent1 2 2 2 2 2 5" xfId="1132"/>
    <cellStyle name="20% - Accent1 2 2 2 2 2 6" xfId="1133"/>
    <cellStyle name="20% - Accent1 2 2 2 2 2 7" xfId="1134"/>
    <cellStyle name="20% - Accent1 2 2 2 2 2 8" xfId="1135"/>
    <cellStyle name="20% - Accent1 2 2 2 2 2 9" xfId="1136"/>
    <cellStyle name="20% - Accent1 2 2 2 2 2_GEN Slides COPY" xfId="1137"/>
    <cellStyle name="20% - Accent1 2 2 2 2 3" xfId="1138"/>
    <cellStyle name="20% - Accent1 2 2 2 2 4" xfId="1139"/>
    <cellStyle name="20% - Accent1 2 2 2 2 5" xfId="1140"/>
    <cellStyle name="20% - Accent1 2 2 2 2 6" xfId="1141"/>
    <cellStyle name="20% - Accent1 2 2 2 2 7" xfId="1142"/>
    <cellStyle name="20% - Accent1 2 2 2 2 8" xfId="1143"/>
    <cellStyle name="20% - Accent1 2 2 2 2 9" xfId="1144"/>
    <cellStyle name="20% - Accent1 2 2 2 2_4Q Ops Metrics Gas &amp; Electric 2010" xfId="1145"/>
    <cellStyle name="20% - Accent1 2 2 2 3" xfId="1146"/>
    <cellStyle name="20% - Accent1 2 2 2 3 2" xfId="1147"/>
    <cellStyle name="20% - Accent1 2 2 2 3_4Q Ops Metrics Gas &amp; Electric 2010" xfId="1148"/>
    <cellStyle name="20% - Accent1 2 2 2 4" xfId="1149"/>
    <cellStyle name="20% - Accent1 2 2 2 4 2" xfId="1150"/>
    <cellStyle name="20% - Accent1 2 2 2 4_4Q Ops Metrics Gas &amp; Electric 2010" xfId="1151"/>
    <cellStyle name="20% - Accent1 2 2 2 5" xfId="1152"/>
    <cellStyle name="20% - Accent1 2 2 2 5 2" xfId="1153"/>
    <cellStyle name="20% - Accent1 2 2 2 5_4Q Ops Metrics Gas &amp; Electric 2010" xfId="1154"/>
    <cellStyle name="20% - Accent1 2 2 2 6" xfId="1155"/>
    <cellStyle name="20% - Accent1 2 2 2 6 2" xfId="1156"/>
    <cellStyle name="20% - Accent1 2 2 2 6_4Q Ops Metrics Gas &amp; Electric 2010" xfId="1157"/>
    <cellStyle name="20% - Accent1 2 2 2 7" xfId="1158"/>
    <cellStyle name="20% - Accent1 2 2 2 7 2" xfId="1159"/>
    <cellStyle name="20% - Accent1 2 2 2 7_4Q Ops Metrics Gas &amp; Electric 2010" xfId="1160"/>
    <cellStyle name="20% - Accent1 2 2 2 8" xfId="1161"/>
    <cellStyle name="20% - Accent1 2 2 2 8 2" xfId="1162"/>
    <cellStyle name="20% - Accent1 2 2 2 8_4Q Ops Metrics Gas &amp; Electric 2010" xfId="1163"/>
    <cellStyle name="20% - Accent1 2 2 2 9" xfId="1164"/>
    <cellStyle name="20% - Accent1 2 2 2 9 2" xfId="1165"/>
    <cellStyle name="20% - Accent1 2 2 2 9_4Q Ops Metrics Gas &amp; Electric 2010" xfId="1166"/>
    <cellStyle name="20% - Accent1 2 2 2_4Q Ops Metrics Gas &amp; Electric 2010" xfId="1167"/>
    <cellStyle name="20% - Accent1 2 2 20" xfId="1168"/>
    <cellStyle name="20% - Accent1 2 2 21" xfId="1169"/>
    <cellStyle name="20% - Accent1 2 2 22" xfId="1170"/>
    <cellStyle name="20% - Accent1 2 2 23" xfId="1171"/>
    <cellStyle name="20% - Accent1 2 2 24" xfId="1172"/>
    <cellStyle name="20% - Accent1 2 2 25" xfId="1173"/>
    <cellStyle name="20% - Accent1 2 2 26" xfId="1174"/>
    <cellStyle name="20% - Accent1 2 2 27" xfId="1175"/>
    <cellStyle name="20% - Accent1 2 2 28" xfId="1176"/>
    <cellStyle name="20% - Accent1 2 2 28 2" xfId="1177"/>
    <cellStyle name="20% - Accent1 2 2 28 2 2" xfId="1178"/>
    <cellStyle name="20% - Accent1 2 2 28 2 2 2" xfId="1179"/>
    <cellStyle name="20% - Accent1 2 2 28 2 2 3" xfId="1180"/>
    <cellStyle name="20% - Accent1 2 2 28 2 3" xfId="1181"/>
    <cellStyle name="20% - Accent1 2 2 28 2 3 2" xfId="1182"/>
    <cellStyle name="20% - Accent1 2 2 28 2 4" xfId="1183"/>
    <cellStyle name="20% - Accent1 2 2 28 2 5" xfId="1184"/>
    <cellStyle name="20% - Accent1 2 2 28 3" xfId="1185"/>
    <cellStyle name="20% - Accent1 2 2 28 3 2" xfId="1186"/>
    <cellStyle name="20% - Accent1 2 2 28 3 2 2" xfId="1187"/>
    <cellStyle name="20% - Accent1 2 2 28 3 3" xfId="1188"/>
    <cellStyle name="20% - Accent1 2 2 28 3 4" xfId="1189"/>
    <cellStyle name="20% - Accent1 2 2 28 4" xfId="1190"/>
    <cellStyle name="20% - Accent1 2 2 28 4 2" xfId="1191"/>
    <cellStyle name="20% - Accent1 2 2 28 4 2 2" xfId="1192"/>
    <cellStyle name="20% - Accent1 2 2 28 4 3" xfId="1193"/>
    <cellStyle name="20% - Accent1 2 2 28 4 4" xfId="1194"/>
    <cellStyle name="20% - Accent1 2 2 28 5" xfId="1195"/>
    <cellStyle name="20% - Accent1 2 2 28 5 2" xfId="1196"/>
    <cellStyle name="20% - Accent1 2 2 28 6" xfId="1197"/>
    <cellStyle name="20% - Accent1 2 2 28 7" xfId="1198"/>
    <cellStyle name="20% - Accent1 2 2 28 8" xfId="1199"/>
    <cellStyle name="20% - Accent1 2 2 29" xfId="1200"/>
    <cellStyle name="20% - Accent1 2 2 29 2" xfId="1201"/>
    <cellStyle name="20% - Accent1 2 2 29 2 2" xfId="1202"/>
    <cellStyle name="20% - Accent1 2 2 29 2 2 2" xfId="1203"/>
    <cellStyle name="20% - Accent1 2 2 29 2 2 3" xfId="1204"/>
    <cellStyle name="20% - Accent1 2 2 29 2 3" xfId="1205"/>
    <cellStyle name="20% - Accent1 2 2 29 2 3 2" xfId="1206"/>
    <cellStyle name="20% - Accent1 2 2 29 2 4" xfId="1207"/>
    <cellStyle name="20% - Accent1 2 2 29 2 5" xfId="1208"/>
    <cellStyle name="20% - Accent1 2 2 29 3" xfId="1209"/>
    <cellStyle name="20% - Accent1 2 2 29 3 2" xfId="1210"/>
    <cellStyle name="20% - Accent1 2 2 29 3 2 2" xfId="1211"/>
    <cellStyle name="20% - Accent1 2 2 29 3 3" xfId="1212"/>
    <cellStyle name="20% - Accent1 2 2 29 3 4" xfId="1213"/>
    <cellStyle name="20% - Accent1 2 2 29 4" xfId="1214"/>
    <cellStyle name="20% - Accent1 2 2 29 4 2" xfId="1215"/>
    <cellStyle name="20% - Accent1 2 2 29 4 2 2" xfId="1216"/>
    <cellStyle name="20% - Accent1 2 2 29 4 3" xfId="1217"/>
    <cellStyle name="20% - Accent1 2 2 29 4 4" xfId="1218"/>
    <cellStyle name="20% - Accent1 2 2 29 5" xfId="1219"/>
    <cellStyle name="20% - Accent1 2 2 29 5 2" xfId="1220"/>
    <cellStyle name="20% - Accent1 2 2 29 6" xfId="1221"/>
    <cellStyle name="20% - Accent1 2 2 29 7" xfId="1222"/>
    <cellStyle name="20% - Accent1 2 2 29 8" xfId="1223"/>
    <cellStyle name="20% - Accent1 2 2 3" xfId="1224"/>
    <cellStyle name="20% - Accent1 2 2 3 2" xfId="1225"/>
    <cellStyle name="20% - Accent1 2 2 3 2 2" xfId="1226"/>
    <cellStyle name="20% - Accent1 2 2 3 2 3" xfId="1227"/>
    <cellStyle name="20% - Accent1 2 2 3 2 4" xfId="1228"/>
    <cellStyle name="20% - Accent1 2 2 3 2_4Q Ops Metrics Gas &amp; Electric 2010" xfId="1229"/>
    <cellStyle name="20% - Accent1 2 2 3 3" xfId="1230"/>
    <cellStyle name="20% - Accent1 2 2 3 4" xfId="1231"/>
    <cellStyle name="20% - Accent1 2 2 3 5" xfId="1232"/>
    <cellStyle name="20% - Accent1 2 2 3 6" xfId="1233"/>
    <cellStyle name="20% - Accent1 2 2 3_4Q Ops Metrics Gas &amp; Electric 2010" xfId="1234"/>
    <cellStyle name="20% - Accent1 2 2 30" xfId="1235"/>
    <cellStyle name="20% - Accent1 2 2 30 2" xfId="1236"/>
    <cellStyle name="20% - Accent1 2 2 30 2 2" xfId="1237"/>
    <cellStyle name="20% - Accent1 2 2 30 2 2 2" xfId="1238"/>
    <cellStyle name="20% - Accent1 2 2 30 2 2 3" xfId="1239"/>
    <cellStyle name="20% - Accent1 2 2 30 2 3" xfId="1240"/>
    <cellStyle name="20% - Accent1 2 2 30 2 3 2" xfId="1241"/>
    <cellStyle name="20% - Accent1 2 2 30 2 4" xfId="1242"/>
    <cellStyle name="20% - Accent1 2 2 30 2 5" xfId="1243"/>
    <cellStyle name="20% - Accent1 2 2 30 3" xfId="1244"/>
    <cellStyle name="20% - Accent1 2 2 30 3 2" xfId="1245"/>
    <cellStyle name="20% - Accent1 2 2 30 3 2 2" xfId="1246"/>
    <cellStyle name="20% - Accent1 2 2 30 3 3" xfId="1247"/>
    <cellStyle name="20% - Accent1 2 2 30 3 4" xfId="1248"/>
    <cellStyle name="20% - Accent1 2 2 30 4" xfId="1249"/>
    <cellStyle name="20% - Accent1 2 2 30 4 2" xfId="1250"/>
    <cellStyle name="20% - Accent1 2 2 30 4 2 2" xfId="1251"/>
    <cellStyle name="20% - Accent1 2 2 30 4 3" xfId="1252"/>
    <cellStyle name="20% - Accent1 2 2 30 4 4" xfId="1253"/>
    <cellStyle name="20% - Accent1 2 2 30 5" xfId="1254"/>
    <cellStyle name="20% - Accent1 2 2 30 5 2" xfId="1255"/>
    <cellStyle name="20% - Accent1 2 2 30 6" xfId="1256"/>
    <cellStyle name="20% - Accent1 2 2 30 7" xfId="1257"/>
    <cellStyle name="20% - Accent1 2 2 30 8" xfId="1258"/>
    <cellStyle name="20% - Accent1 2 2 31" xfId="1259"/>
    <cellStyle name="20% - Accent1 2 2 31 2" xfId="1260"/>
    <cellStyle name="20% - Accent1 2 2 31 2 2" xfId="1261"/>
    <cellStyle name="20% - Accent1 2 2 31 2 2 2" xfId="1262"/>
    <cellStyle name="20% - Accent1 2 2 31 2 2 3" xfId="1263"/>
    <cellStyle name="20% - Accent1 2 2 31 2 3" xfId="1264"/>
    <cellStyle name="20% - Accent1 2 2 31 2 3 2" xfId="1265"/>
    <cellStyle name="20% - Accent1 2 2 31 2 4" xfId="1266"/>
    <cellStyle name="20% - Accent1 2 2 31 2 5" xfId="1267"/>
    <cellStyle name="20% - Accent1 2 2 31 3" xfId="1268"/>
    <cellStyle name="20% - Accent1 2 2 31 3 2" xfId="1269"/>
    <cellStyle name="20% - Accent1 2 2 31 3 2 2" xfId="1270"/>
    <cellStyle name="20% - Accent1 2 2 31 3 3" xfId="1271"/>
    <cellStyle name="20% - Accent1 2 2 31 3 4" xfId="1272"/>
    <cellStyle name="20% - Accent1 2 2 31 4" xfId="1273"/>
    <cellStyle name="20% - Accent1 2 2 31 4 2" xfId="1274"/>
    <cellStyle name="20% - Accent1 2 2 31 4 2 2" xfId="1275"/>
    <cellStyle name="20% - Accent1 2 2 31 4 3" xfId="1276"/>
    <cellStyle name="20% - Accent1 2 2 31 4 4" xfId="1277"/>
    <cellStyle name="20% - Accent1 2 2 31 5" xfId="1278"/>
    <cellStyle name="20% - Accent1 2 2 31 5 2" xfId="1279"/>
    <cellStyle name="20% - Accent1 2 2 31 6" xfId="1280"/>
    <cellStyle name="20% - Accent1 2 2 31 7" xfId="1281"/>
    <cellStyle name="20% - Accent1 2 2 31 8" xfId="1282"/>
    <cellStyle name="20% - Accent1 2 2 32" xfId="1283"/>
    <cellStyle name="20% - Accent1 2 2 32 2" xfId="1284"/>
    <cellStyle name="20% - Accent1 2 2 32 2 2" xfId="1285"/>
    <cellStyle name="20% - Accent1 2 2 32 2 2 2" xfId="1286"/>
    <cellStyle name="20% - Accent1 2 2 32 2 2 3" xfId="1287"/>
    <cellStyle name="20% - Accent1 2 2 32 2 3" xfId="1288"/>
    <cellStyle name="20% - Accent1 2 2 32 2 3 2" xfId="1289"/>
    <cellStyle name="20% - Accent1 2 2 32 2 4" xfId="1290"/>
    <cellStyle name="20% - Accent1 2 2 32 2 5" xfId="1291"/>
    <cellStyle name="20% - Accent1 2 2 32 3" xfId="1292"/>
    <cellStyle name="20% - Accent1 2 2 32 3 2" xfId="1293"/>
    <cellStyle name="20% - Accent1 2 2 32 3 2 2" xfId="1294"/>
    <cellStyle name="20% - Accent1 2 2 32 3 3" xfId="1295"/>
    <cellStyle name="20% - Accent1 2 2 32 3 4" xfId="1296"/>
    <cellStyle name="20% - Accent1 2 2 32 4" xfId="1297"/>
    <cellStyle name="20% - Accent1 2 2 32 4 2" xfId="1298"/>
    <cellStyle name="20% - Accent1 2 2 32 4 2 2" xfId="1299"/>
    <cellStyle name="20% - Accent1 2 2 32 4 3" xfId="1300"/>
    <cellStyle name="20% - Accent1 2 2 32 4 4" xfId="1301"/>
    <cellStyle name="20% - Accent1 2 2 32 5" xfId="1302"/>
    <cellStyle name="20% - Accent1 2 2 32 5 2" xfId="1303"/>
    <cellStyle name="20% - Accent1 2 2 32 6" xfId="1304"/>
    <cellStyle name="20% - Accent1 2 2 32 7" xfId="1305"/>
    <cellStyle name="20% - Accent1 2 2 32 8" xfId="1306"/>
    <cellStyle name="20% - Accent1 2 2 33" xfId="1307"/>
    <cellStyle name="20% - Accent1 2 2 33 2" xfId="1308"/>
    <cellStyle name="20% - Accent1 2 2 33 2 2" xfId="1309"/>
    <cellStyle name="20% - Accent1 2 2 33 2 2 2" xfId="1310"/>
    <cellStyle name="20% - Accent1 2 2 33 2 2 3" xfId="1311"/>
    <cellStyle name="20% - Accent1 2 2 33 2 3" xfId="1312"/>
    <cellStyle name="20% - Accent1 2 2 33 2 3 2" xfId="1313"/>
    <cellStyle name="20% - Accent1 2 2 33 2 4" xfId="1314"/>
    <cellStyle name="20% - Accent1 2 2 33 2 5" xfId="1315"/>
    <cellStyle name="20% - Accent1 2 2 33 3" xfId="1316"/>
    <cellStyle name="20% - Accent1 2 2 33 3 2" xfId="1317"/>
    <cellStyle name="20% - Accent1 2 2 33 3 2 2" xfId="1318"/>
    <cellStyle name="20% - Accent1 2 2 33 3 3" xfId="1319"/>
    <cellStyle name="20% - Accent1 2 2 33 3 4" xfId="1320"/>
    <cellStyle name="20% - Accent1 2 2 33 4" xfId="1321"/>
    <cellStyle name="20% - Accent1 2 2 33 4 2" xfId="1322"/>
    <cellStyle name="20% - Accent1 2 2 33 4 2 2" xfId="1323"/>
    <cellStyle name="20% - Accent1 2 2 33 4 3" xfId="1324"/>
    <cellStyle name="20% - Accent1 2 2 33 4 4" xfId="1325"/>
    <cellStyle name="20% - Accent1 2 2 33 5" xfId="1326"/>
    <cellStyle name="20% - Accent1 2 2 33 5 2" xfId="1327"/>
    <cellStyle name="20% - Accent1 2 2 33 6" xfId="1328"/>
    <cellStyle name="20% - Accent1 2 2 33 7" xfId="1329"/>
    <cellStyle name="20% - Accent1 2 2 33 8" xfId="1330"/>
    <cellStyle name="20% - Accent1 2 2 34" xfId="1331"/>
    <cellStyle name="20% - Accent1 2 2 34 2" xfId="1332"/>
    <cellStyle name="20% - Accent1 2 2 34 2 2" xfId="1333"/>
    <cellStyle name="20% - Accent1 2 2 34 2 2 2" xfId="1334"/>
    <cellStyle name="20% - Accent1 2 2 34 2 2 3" xfId="1335"/>
    <cellStyle name="20% - Accent1 2 2 34 2 3" xfId="1336"/>
    <cellStyle name="20% - Accent1 2 2 34 2 3 2" xfId="1337"/>
    <cellStyle name="20% - Accent1 2 2 34 2 4" xfId="1338"/>
    <cellStyle name="20% - Accent1 2 2 34 2 5" xfId="1339"/>
    <cellStyle name="20% - Accent1 2 2 34 3" xfId="1340"/>
    <cellStyle name="20% - Accent1 2 2 34 3 2" xfId="1341"/>
    <cellStyle name="20% - Accent1 2 2 34 3 2 2" xfId="1342"/>
    <cellStyle name="20% - Accent1 2 2 34 3 3" xfId="1343"/>
    <cellStyle name="20% - Accent1 2 2 34 3 4" xfId="1344"/>
    <cellStyle name="20% - Accent1 2 2 34 4" xfId="1345"/>
    <cellStyle name="20% - Accent1 2 2 34 4 2" xfId="1346"/>
    <cellStyle name="20% - Accent1 2 2 34 4 2 2" xfId="1347"/>
    <cellStyle name="20% - Accent1 2 2 34 4 3" xfId="1348"/>
    <cellStyle name="20% - Accent1 2 2 34 4 4" xfId="1349"/>
    <cellStyle name="20% - Accent1 2 2 34 5" xfId="1350"/>
    <cellStyle name="20% - Accent1 2 2 34 5 2" xfId="1351"/>
    <cellStyle name="20% - Accent1 2 2 34 6" xfId="1352"/>
    <cellStyle name="20% - Accent1 2 2 34 7" xfId="1353"/>
    <cellStyle name="20% - Accent1 2 2 34 8" xfId="1354"/>
    <cellStyle name="20% - Accent1 2 2 35" xfId="1355"/>
    <cellStyle name="20% - Accent1 2 2 35 2" xfId="1356"/>
    <cellStyle name="20% - Accent1 2 2 35 2 2" xfId="1357"/>
    <cellStyle name="20% - Accent1 2 2 35 2 2 2" xfId="1358"/>
    <cellStyle name="20% - Accent1 2 2 35 2 2 3" xfId="1359"/>
    <cellStyle name="20% - Accent1 2 2 35 2 3" xfId="1360"/>
    <cellStyle name="20% - Accent1 2 2 35 2 3 2" xfId="1361"/>
    <cellStyle name="20% - Accent1 2 2 35 2 4" xfId="1362"/>
    <cellStyle name="20% - Accent1 2 2 35 2 5" xfId="1363"/>
    <cellStyle name="20% - Accent1 2 2 35 3" xfId="1364"/>
    <cellStyle name="20% - Accent1 2 2 35 3 2" xfId="1365"/>
    <cellStyle name="20% - Accent1 2 2 35 3 2 2" xfId="1366"/>
    <cellStyle name="20% - Accent1 2 2 35 3 3" xfId="1367"/>
    <cellStyle name="20% - Accent1 2 2 35 3 4" xfId="1368"/>
    <cellStyle name="20% - Accent1 2 2 35 4" xfId="1369"/>
    <cellStyle name="20% - Accent1 2 2 35 4 2" xfId="1370"/>
    <cellStyle name="20% - Accent1 2 2 35 4 2 2" xfId="1371"/>
    <cellStyle name="20% - Accent1 2 2 35 4 3" xfId="1372"/>
    <cellStyle name="20% - Accent1 2 2 35 4 4" xfId="1373"/>
    <cellStyle name="20% - Accent1 2 2 35 5" xfId="1374"/>
    <cellStyle name="20% - Accent1 2 2 35 5 2" xfId="1375"/>
    <cellStyle name="20% - Accent1 2 2 35 6" xfId="1376"/>
    <cellStyle name="20% - Accent1 2 2 35 7" xfId="1377"/>
    <cellStyle name="20% - Accent1 2 2 35 8" xfId="1378"/>
    <cellStyle name="20% - Accent1 2 2 36" xfId="1379"/>
    <cellStyle name="20% - Accent1 2 2 36 2" xfId="1380"/>
    <cellStyle name="20% - Accent1 2 2 36 2 2" xfId="1381"/>
    <cellStyle name="20% - Accent1 2 2 36 2 2 2" xfId="1382"/>
    <cellStyle name="20% - Accent1 2 2 36 2 2 3" xfId="1383"/>
    <cellStyle name="20% - Accent1 2 2 36 2 3" xfId="1384"/>
    <cellStyle name="20% - Accent1 2 2 36 2 3 2" xfId="1385"/>
    <cellStyle name="20% - Accent1 2 2 36 2 4" xfId="1386"/>
    <cellStyle name="20% - Accent1 2 2 36 2 5" xfId="1387"/>
    <cellStyle name="20% - Accent1 2 2 36 3" xfId="1388"/>
    <cellStyle name="20% - Accent1 2 2 36 3 2" xfId="1389"/>
    <cellStyle name="20% - Accent1 2 2 36 3 2 2" xfId="1390"/>
    <cellStyle name="20% - Accent1 2 2 36 3 3" xfId="1391"/>
    <cellStyle name="20% - Accent1 2 2 36 3 4" xfId="1392"/>
    <cellStyle name="20% - Accent1 2 2 36 4" xfId="1393"/>
    <cellStyle name="20% - Accent1 2 2 36 4 2" xfId="1394"/>
    <cellStyle name="20% - Accent1 2 2 36 4 2 2" xfId="1395"/>
    <cellStyle name="20% - Accent1 2 2 36 4 3" xfId="1396"/>
    <cellStyle name="20% - Accent1 2 2 36 4 4" xfId="1397"/>
    <cellStyle name="20% - Accent1 2 2 36 5" xfId="1398"/>
    <cellStyle name="20% - Accent1 2 2 36 5 2" xfId="1399"/>
    <cellStyle name="20% - Accent1 2 2 36 6" xfId="1400"/>
    <cellStyle name="20% - Accent1 2 2 36 7" xfId="1401"/>
    <cellStyle name="20% - Accent1 2 2 36 8" xfId="1402"/>
    <cellStyle name="20% - Accent1 2 2 37" xfId="1403"/>
    <cellStyle name="20% - Accent1 2 2 37 2" xfId="1404"/>
    <cellStyle name="20% - Accent1 2 2 37 2 2" xfId="1405"/>
    <cellStyle name="20% - Accent1 2 2 37 2 2 2" xfId="1406"/>
    <cellStyle name="20% - Accent1 2 2 37 2 2 3" xfId="1407"/>
    <cellStyle name="20% - Accent1 2 2 37 2 3" xfId="1408"/>
    <cellStyle name="20% - Accent1 2 2 37 2 3 2" xfId="1409"/>
    <cellStyle name="20% - Accent1 2 2 37 2 4" xfId="1410"/>
    <cellStyle name="20% - Accent1 2 2 37 2 5" xfId="1411"/>
    <cellStyle name="20% - Accent1 2 2 37 3" xfId="1412"/>
    <cellStyle name="20% - Accent1 2 2 37 3 2" xfId="1413"/>
    <cellStyle name="20% - Accent1 2 2 37 3 2 2" xfId="1414"/>
    <cellStyle name="20% - Accent1 2 2 37 3 3" xfId="1415"/>
    <cellStyle name="20% - Accent1 2 2 37 3 4" xfId="1416"/>
    <cellStyle name="20% - Accent1 2 2 37 4" xfId="1417"/>
    <cellStyle name="20% - Accent1 2 2 37 4 2" xfId="1418"/>
    <cellStyle name="20% - Accent1 2 2 37 4 2 2" xfId="1419"/>
    <cellStyle name="20% - Accent1 2 2 37 4 3" xfId="1420"/>
    <cellStyle name="20% - Accent1 2 2 37 4 4" xfId="1421"/>
    <cellStyle name="20% - Accent1 2 2 37 5" xfId="1422"/>
    <cellStyle name="20% - Accent1 2 2 37 5 2" xfId="1423"/>
    <cellStyle name="20% - Accent1 2 2 37 6" xfId="1424"/>
    <cellStyle name="20% - Accent1 2 2 37 7" xfId="1425"/>
    <cellStyle name="20% - Accent1 2 2 37 8" xfId="1426"/>
    <cellStyle name="20% - Accent1 2 2 4" xfId="1427"/>
    <cellStyle name="20% - Accent1 2 2 4 2" xfId="1428"/>
    <cellStyle name="20% - Accent1 2 2 4 2 2" xfId="1429"/>
    <cellStyle name="20% - Accent1 2 2 4 2 3" xfId="1430"/>
    <cellStyle name="20% - Accent1 2 2 4 2 4" xfId="1431"/>
    <cellStyle name="20% - Accent1 2 2 4 2_4Q Ops Metrics Gas &amp; Electric 2010" xfId="1432"/>
    <cellStyle name="20% - Accent1 2 2 4 3" xfId="1433"/>
    <cellStyle name="20% - Accent1 2 2 4 4" xfId="1434"/>
    <cellStyle name="20% - Accent1 2 2 4 5" xfId="1435"/>
    <cellStyle name="20% - Accent1 2 2 4 6" xfId="1436"/>
    <cellStyle name="20% - Accent1 2 2 4_4Q Ops Metrics Gas &amp; Electric 2010" xfId="1437"/>
    <cellStyle name="20% - Accent1 2 2 5" xfId="1438"/>
    <cellStyle name="20% - Accent1 2 2 5 2" xfId="1439"/>
    <cellStyle name="20% - Accent1 2 2 5 2 2" xfId="1440"/>
    <cellStyle name="20% - Accent1 2 2 5 2 3" xfId="1441"/>
    <cellStyle name="20% - Accent1 2 2 5 2 4" xfId="1442"/>
    <cellStyle name="20% - Accent1 2 2 5 2_4Q Ops Metrics Gas &amp; Electric 2010" xfId="1443"/>
    <cellStyle name="20% - Accent1 2 2 5 3" xfId="1444"/>
    <cellStyle name="20% - Accent1 2 2 5 4" xfId="1445"/>
    <cellStyle name="20% - Accent1 2 2 5 5" xfId="1446"/>
    <cellStyle name="20% - Accent1 2 2 5 6" xfId="1447"/>
    <cellStyle name="20% - Accent1 2 2 5_4Q Ops Metrics Gas &amp; Electric 2010" xfId="1448"/>
    <cellStyle name="20% - Accent1 2 2 6" xfId="1449"/>
    <cellStyle name="20% - Accent1 2 2 6 2" xfId="1450"/>
    <cellStyle name="20% - Accent1 2 2 6 2 2" xfId="1451"/>
    <cellStyle name="20% - Accent1 2 2 6 2 3" xfId="1452"/>
    <cellStyle name="20% - Accent1 2 2 6 2 4" xfId="1453"/>
    <cellStyle name="20% - Accent1 2 2 6 2_4Q Ops Metrics Gas &amp; Electric 2010" xfId="1454"/>
    <cellStyle name="20% - Accent1 2 2 6 3" xfId="1455"/>
    <cellStyle name="20% - Accent1 2 2 6 4" xfId="1456"/>
    <cellStyle name="20% - Accent1 2 2 6 5" xfId="1457"/>
    <cellStyle name="20% - Accent1 2 2 6 6" xfId="1458"/>
    <cellStyle name="20% - Accent1 2 2 6_4Q Ops Metrics Gas &amp; Electric 2010" xfId="1459"/>
    <cellStyle name="20% - Accent1 2 2 7" xfId="1460"/>
    <cellStyle name="20% - Accent1 2 2 7 2" xfId="1461"/>
    <cellStyle name="20% - Accent1 2 2 7 2 2" xfId="1462"/>
    <cellStyle name="20% - Accent1 2 2 7 2 3" xfId="1463"/>
    <cellStyle name="20% - Accent1 2 2 7 2 4" xfId="1464"/>
    <cellStyle name="20% - Accent1 2 2 7 2_4Q Ops Metrics Gas &amp; Electric 2010" xfId="1465"/>
    <cellStyle name="20% - Accent1 2 2 7 3" xfId="1466"/>
    <cellStyle name="20% - Accent1 2 2 7 4" xfId="1467"/>
    <cellStyle name="20% - Accent1 2 2 7 5" xfId="1468"/>
    <cellStyle name="20% - Accent1 2 2 7 6" xfId="1469"/>
    <cellStyle name="20% - Accent1 2 2 7_4Q Ops Metrics Gas &amp; Electric 2010" xfId="1470"/>
    <cellStyle name="20% - Accent1 2 2 8" xfId="1471"/>
    <cellStyle name="20% - Accent1 2 2 8 2" xfId="1472"/>
    <cellStyle name="20% - Accent1 2 2 8 2 2" xfId="1473"/>
    <cellStyle name="20% - Accent1 2 2 8 2 3" xfId="1474"/>
    <cellStyle name="20% - Accent1 2 2 8 2 4" xfId="1475"/>
    <cellStyle name="20% - Accent1 2 2 8 2_4Q Ops Metrics Gas &amp; Electric 2010" xfId="1476"/>
    <cellStyle name="20% - Accent1 2 2 8 3" xfId="1477"/>
    <cellStyle name="20% - Accent1 2 2 8 4" xfId="1478"/>
    <cellStyle name="20% - Accent1 2 2 8_4Q Ops Metrics Gas &amp; Electric 2010" xfId="1479"/>
    <cellStyle name="20% - Accent1 2 2 9" xfId="1480"/>
    <cellStyle name="20% - Accent1 2 2 9 2" xfId="1481"/>
    <cellStyle name="20% - Accent1 2 2 9 2 2" xfId="1482"/>
    <cellStyle name="20% - Accent1 2 2 9 2 3" xfId="1483"/>
    <cellStyle name="20% - Accent1 2 2 9 2 4" xfId="1484"/>
    <cellStyle name="20% - Accent1 2 2 9 2_4Q Ops Metrics Gas &amp; Electric 2010" xfId="1485"/>
    <cellStyle name="20% - Accent1 2 2 9 3" xfId="1486"/>
    <cellStyle name="20% - Accent1 2 2 9 4" xfId="1487"/>
    <cellStyle name="20% - Accent1 2 2 9_4Q Ops Metrics Gas &amp; Electric 2010" xfId="1488"/>
    <cellStyle name="20% - Accent1 2 2_2009 Actual" xfId="1489"/>
    <cellStyle name="20% - Accent1 2 20" xfId="1490"/>
    <cellStyle name="20% - Accent1 2 21" xfId="1491"/>
    <cellStyle name="20% - Accent1 2 21 2" xfId="1492"/>
    <cellStyle name="20% - Accent1 2 21 2 2" xfId="1493"/>
    <cellStyle name="20% - Accent1 2 21 2 2 2" xfId="1494"/>
    <cellStyle name="20% - Accent1 2 21 2 2 3" xfId="1495"/>
    <cellStyle name="20% - Accent1 2 21 2 3" xfId="1496"/>
    <cellStyle name="20% - Accent1 2 21 2 3 2" xfId="1497"/>
    <cellStyle name="20% - Accent1 2 21 2 4" xfId="1498"/>
    <cellStyle name="20% - Accent1 2 21 2 5" xfId="1499"/>
    <cellStyle name="20% - Accent1 2 21 3" xfId="1500"/>
    <cellStyle name="20% - Accent1 2 21 3 2" xfId="1501"/>
    <cellStyle name="20% - Accent1 2 21 3 2 2" xfId="1502"/>
    <cellStyle name="20% - Accent1 2 21 3 3" xfId="1503"/>
    <cellStyle name="20% - Accent1 2 21 3 4" xfId="1504"/>
    <cellStyle name="20% - Accent1 2 21 4" xfId="1505"/>
    <cellStyle name="20% - Accent1 2 21 4 2" xfId="1506"/>
    <cellStyle name="20% - Accent1 2 21 4 2 2" xfId="1507"/>
    <cellStyle name="20% - Accent1 2 21 4 3" xfId="1508"/>
    <cellStyle name="20% - Accent1 2 21 4 4" xfId="1509"/>
    <cellStyle name="20% - Accent1 2 21 5" xfId="1510"/>
    <cellStyle name="20% - Accent1 2 21 5 2" xfId="1511"/>
    <cellStyle name="20% - Accent1 2 21 6" xfId="1512"/>
    <cellStyle name="20% - Accent1 2 21 7" xfId="1513"/>
    <cellStyle name="20% - Accent1 2 21 8" xfId="1514"/>
    <cellStyle name="20% - Accent1 2 22" xfId="1515"/>
    <cellStyle name="20% - Accent1 2 22 2" xfId="1516"/>
    <cellStyle name="20% - Accent1 2 22 2 2" xfId="1517"/>
    <cellStyle name="20% - Accent1 2 22 2 2 2" xfId="1518"/>
    <cellStyle name="20% - Accent1 2 22 2 2 3" xfId="1519"/>
    <cellStyle name="20% - Accent1 2 22 2 3" xfId="1520"/>
    <cellStyle name="20% - Accent1 2 22 2 3 2" xfId="1521"/>
    <cellStyle name="20% - Accent1 2 22 2 4" xfId="1522"/>
    <cellStyle name="20% - Accent1 2 22 2 5" xfId="1523"/>
    <cellStyle name="20% - Accent1 2 22 3" xfId="1524"/>
    <cellStyle name="20% - Accent1 2 22 3 2" xfId="1525"/>
    <cellStyle name="20% - Accent1 2 22 3 2 2" xfId="1526"/>
    <cellStyle name="20% - Accent1 2 22 3 3" xfId="1527"/>
    <cellStyle name="20% - Accent1 2 22 3 4" xfId="1528"/>
    <cellStyle name="20% - Accent1 2 22 4" xfId="1529"/>
    <cellStyle name="20% - Accent1 2 22 4 2" xfId="1530"/>
    <cellStyle name="20% - Accent1 2 22 4 2 2" xfId="1531"/>
    <cellStyle name="20% - Accent1 2 22 4 3" xfId="1532"/>
    <cellStyle name="20% - Accent1 2 22 4 4" xfId="1533"/>
    <cellStyle name="20% - Accent1 2 22 5" xfId="1534"/>
    <cellStyle name="20% - Accent1 2 22 5 2" xfId="1535"/>
    <cellStyle name="20% - Accent1 2 22 6" xfId="1536"/>
    <cellStyle name="20% - Accent1 2 22 7" xfId="1537"/>
    <cellStyle name="20% - Accent1 2 22 8" xfId="1538"/>
    <cellStyle name="20% - Accent1 2 23" xfId="1539"/>
    <cellStyle name="20% - Accent1 2 23 2" xfId="1540"/>
    <cellStyle name="20% - Accent1 2 23 2 2" xfId="1541"/>
    <cellStyle name="20% - Accent1 2 23 2 2 2" xfId="1542"/>
    <cellStyle name="20% - Accent1 2 23 2 2 3" xfId="1543"/>
    <cellStyle name="20% - Accent1 2 23 2 3" xfId="1544"/>
    <cellStyle name="20% - Accent1 2 23 2 3 2" xfId="1545"/>
    <cellStyle name="20% - Accent1 2 23 2 4" xfId="1546"/>
    <cellStyle name="20% - Accent1 2 23 2 5" xfId="1547"/>
    <cellStyle name="20% - Accent1 2 23 3" xfId="1548"/>
    <cellStyle name="20% - Accent1 2 23 3 2" xfId="1549"/>
    <cellStyle name="20% - Accent1 2 23 3 2 2" xfId="1550"/>
    <cellStyle name="20% - Accent1 2 23 3 3" xfId="1551"/>
    <cellStyle name="20% - Accent1 2 23 3 4" xfId="1552"/>
    <cellStyle name="20% - Accent1 2 23 4" xfId="1553"/>
    <cellStyle name="20% - Accent1 2 23 4 2" xfId="1554"/>
    <cellStyle name="20% - Accent1 2 23 4 2 2" xfId="1555"/>
    <cellStyle name="20% - Accent1 2 23 4 3" xfId="1556"/>
    <cellStyle name="20% - Accent1 2 23 4 4" xfId="1557"/>
    <cellStyle name="20% - Accent1 2 23 5" xfId="1558"/>
    <cellStyle name="20% - Accent1 2 23 5 2" xfId="1559"/>
    <cellStyle name="20% - Accent1 2 23 6" xfId="1560"/>
    <cellStyle name="20% - Accent1 2 23 7" xfId="1561"/>
    <cellStyle name="20% - Accent1 2 23 8" xfId="1562"/>
    <cellStyle name="20% - Accent1 2 24" xfId="1563"/>
    <cellStyle name="20% - Accent1 2 24 2" xfId="1564"/>
    <cellStyle name="20% - Accent1 2 24 2 2" xfId="1565"/>
    <cellStyle name="20% - Accent1 2 24 2 2 2" xfId="1566"/>
    <cellStyle name="20% - Accent1 2 24 2 2 3" xfId="1567"/>
    <cellStyle name="20% - Accent1 2 24 2 3" xfId="1568"/>
    <cellStyle name="20% - Accent1 2 24 2 3 2" xfId="1569"/>
    <cellStyle name="20% - Accent1 2 24 2 4" xfId="1570"/>
    <cellStyle name="20% - Accent1 2 24 2 5" xfId="1571"/>
    <cellStyle name="20% - Accent1 2 24 3" xfId="1572"/>
    <cellStyle name="20% - Accent1 2 24 3 2" xfId="1573"/>
    <cellStyle name="20% - Accent1 2 24 3 2 2" xfId="1574"/>
    <cellStyle name="20% - Accent1 2 24 3 3" xfId="1575"/>
    <cellStyle name="20% - Accent1 2 24 3 4" xfId="1576"/>
    <cellStyle name="20% - Accent1 2 24 4" xfId="1577"/>
    <cellStyle name="20% - Accent1 2 24 4 2" xfId="1578"/>
    <cellStyle name="20% - Accent1 2 24 4 2 2" xfId="1579"/>
    <cellStyle name="20% - Accent1 2 24 4 3" xfId="1580"/>
    <cellStyle name="20% - Accent1 2 24 4 4" xfId="1581"/>
    <cellStyle name="20% - Accent1 2 24 5" xfId="1582"/>
    <cellStyle name="20% - Accent1 2 24 5 2" xfId="1583"/>
    <cellStyle name="20% - Accent1 2 24 6" xfId="1584"/>
    <cellStyle name="20% - Accent1 2 24 7" xfId="1585"/>
    <cellStyle name="20% - Accent1 2 24 8" xfId="1586"/>
    <cellStyle name="20% - Accent1 2 25" xfId="1587"/>
    <cellStyle name="20% - Accent1 2 25 2" xfId="1588"/>
    <cellStyle name="20% - Accent1 2 25 2 2" xfId="1589"/>
    <cellStyle name="20% - Accent1 2 25 2 2 2" xfId="1590"/>
    <cellStyle name="20% - Accent1 2 25 2 2 3" xfId="1591"/>
    <cellStyle name="20% - Accent1 2 25 2 3" xfId="1592"/>
    <cellStyle name="20% - Accent1 2 25 2 3 2" xfId="1593"/>
    <cellStyle name="20% - Accent1 2 25 2 4" xfId="1594"/>
    <cellStyle name="20% - Accent1 2 25 2 5" xfId="1595"/>
    <cellStyle name="20% - Accent1 2 25 3" xfId="1596"/>
    <cellStyle name="20% - Accent1 2 25 3 2" xfId="1597"/>
    <cellStyle name="20% - Accent1 2 25 3 2 2" xfId="1598"/>
    <cellStyle name="20% - Accent1 2 25 3 3" xfId="1599"/>
    <cellStyle name="20% - Accent1 2 25 3 4" xfId="1600"/>
    <cellStyle name="20% - Accent1 2 25 4" xfId="1601"/>
    <cellStyle name="20% - Accent1 2 25 4 2" xfId="1602"/>
    <cellStyle name="20% - Accent1 2 25 4 2 2" xfId="1603"/>
    <cellStyle name="20% - Accent1 2 25 4 3" xfId="1604"/>
    <cellStyle name="20% - Accent1 2 25 4 4" xfId="1605"/>
    <cellStyle name="20% - Accent1 2 25 5" xfId="1606"/>
    <cellStyle name="20% - Accent1 2 25 5 2" xfId="1607"/>
    <cellStyle name="20% - Accent1 2 25 6" xfId="1608"/>
    <cellStyle name="20% - Accent1 2 25 7" xfId="1609"/>
    <cellStyle name="20% - Accent1 2 25 8" xfId="1610"/>
    <cellStyle name="20% - Accent1 2 26" xfId="1611"/>
    <cellStyle name="20% - Accent1 2 26 2" xfId="1612"/>
    <cellStyle name="20% - Accent1 2 26 2 2" xfId="1613"/>
    <cellStyle name="20% - Accent1 2 26 2 2 2" xfId="1614"/>
    <cellStyle name="20% - Accent1 2 26 2 2 3" xfId="1615"/>
    <cellStyle name="20% - Accent1 2 26 2 3" xfId="1616"/>
    <cellStyle name="20% - Accent1 2 26 2 3 2" xfId="1617"/>
    <cellStyle name="20% - Accent1 2 26 2 4" xfId="1618"/>
    <cellStyle name="20% - Accent1 2 26 2 5" xfId="1619"/>
    <cellStyle name="20% - Accent1 2 26 3" xfId="1620"/>
    <cellStyle name="20% - Accent1 2 26 3 2" xfId="1621"/>
    <cellStyle name="20% - Accent1 2 26 3 2 2" xfId="1622"/>
    <cellStyle name="20% - Accent1 2 26 3 3" xfId="1623"/>
    <cellStyle name="20% - Accent1 2 26 3 4" xfId="1624"/>
    <cellStyle name="20% - Accent1 2 26 4" xfId="1625"/>
    <cellStyle name="20% - Accent1 2 26 4 2" xfId="1626"/>
    <cellStyle name="20% - Accent1 2 26 4 2 2" xfId="1627"/>
    <cellStyle name="20% - Accent1 2 26 4 3" xfId="1628"/>
    <cellStyle name="20% - Accent1 2 26 4 4" xfId="1629"/>
    <cellStyle name="20% - Accent1 2 26 5" xfId="1630"/>
    <cellStyle name="20% - Accent1 2 26 5 2" xfId="1631"/>
    <cellStyle name="20% - Accent1 2 26 6" xfId="1632"/>
    <cellStyle name="20% - Accent1 2 26 7" xfId="1633"/>
    <cellStyle name="20% - Accent1 2 26 8" xfId="1634"/>
    <cellStyle name="20% - Accent1 2 27" xfId="1635"/>
    <cellStyle name="20% - Accent1 2 27 2" xfId="1636"/>
    <cellStyle name="20% - Accent1 2 27 2 2" xfId="1637"/>
    <cellStyle name="20% - Accent1 2 27 2 2 2" xfId="1638"/>
    <cellStyle name="20% - Accent1 2 27 2 2 3" xfId="1639"/>
    <cellStyle name="20% - Accent1 2 27 2 3" xfId="1640"/>
    <cellStyle name="20% - Accent1 2 27 2 3 2" xfId="1641"/>
    <cellStyle name="20% - Accent1 2 27 2 4" xfId="1642"/>
    <cellStyle name="20% - Accent1 2 27 2 5" xfId="1643"/>
    <cellStyle name="20% - Accent1 2 27 3" xfId="1644"/>
    <cellStyle name="20% - Accent1 2 27 3 2" xfId="1645"/>
    <cellStyle name="20% - Accent1 2 27 3 2 2" xfId="1646"/>
    <cellStyle name="20% - Accent1 2 27 3 3" xfId="1647"/>
    <cellStyle name="20% - Accent1 2 27 3 4" xfId="1648"/>
    <cellStyle name="20% - Accent1 2 27 4" xfId="1649"/>
    <cellStyle name="20% - Accent1 2 27 4 2" xfId="1650"/>
    <cellStyle name="20% - Accent1 2 27 4 2 2" xfId="1651"/>
    <cellStyle name="20% - Accent1 2 27 4 3" xfId="1652"/>
    <cellStyle name="20% - Accent1 2 27 4 4" xfId="1653"/>
    <cellStyle name="20% - Accent1 2 27 5" xfId="1654"/>
    <cellStyle name="20% - Accent1 2 27 5 2" xfId="1655"/>
    <cellStyle name="20% - Accent1 2 27 6" xfId="1656"/>
    <cellStyle name="20% - Accent1 2 27 7" xfId="1657"/>
    <cellStyle name="20% - Accent1 2 27 8" xfId="1658"/>
    <cellStyle name="20% - Accent1 2 28" xfId="1659"/>
    <cellStyle name="20% - Accent1 2 28 2" xfId="1660"/>
    <cellStyle name="20% - Accent1 2 28 2 2" xfId="1661"/>
    <cellStyle name="20% - Accent1 2 28 2 2 2" xfId="1662"/>
    <cellStyle name="20% - Accent1 2 28 2 2 3" xfId="1663"/>
    <cellStyle name="20% - Accent1 2 28 2 3" xfId="1664"/>
    <cellStyle name="20% - Accent1 2 28 2 3 2" xfId="1665"/>
    <cellStyle name="20% - Accent1 2 28 2 4" xfId="1666"/>
    <cellStyle name="20% - Accent1 2 28 2 5" xfId="1667"/>
    <cellStyle name="20% - Accent1 2 28 3" xfId="1668"/>
    <cellStyle name="20% - Accent1 2 28 3 2" xfId="1669"/>
    <cellStyle name="20% - Accent1 2 28 3 2 2" xfId="1670"/>
    <cellStyle name="20% - Accent1 2 28 3 3" xfId="1671"/>
    <cellStyle name="20% - Accent1 2 28 3 4" xfId="1672"/>
    <cellStyle name="20% - Accent1 2 28 4" xfId="1673"/>
    <cellStyle name="20% - Accent1 2 28 4 2" xfId="1674"/>
    <cellStyle name="20% - Accent1 2 28 4 2 2" xfId="1675"/>
    <cellStyle name="20% - Accent1 2 28 4 3" xfId="1676"/>
    <cellStyle name="20% - Accent1 2 28 4 4" xfId="1677"/>
    <cellStyle name="20% - Accent1 2 28 5" xfId="1678"/>
    <cellStyle name="20% - Accent1 2 28 5 2" xfId="1679"/>
    <cellStyle name="20% - Accent1 2 28 6" xfId="1680"/>
    <cellStyle name="20% - Accent1 2 28 7" xfId="1681"/>
    <cellStyle name="20% - Accent1 2 28 8" xfId="1682"/>
    <cellStyle name="20% - Accent1 2 29" xfId="1683"/>
    <cellStyle name="20% - Accent1 2 29 2" xfId="1684"/>
    <cellStyle name="20% - Accent1 2 29 2 2" xfId="1685"/>
    <cellStyle name="20% - Accent1 2 29 2 2 2" xfId="1686"/>
    <cellStyle name="20% - Accent1 2 29 2 2 3" xfId="1687"/>
    <cellStyle name="20% - Accent1 2 29 2 3" xfId="1688"/>
    <cellStyle name="20% - Accent1 2 29 2 3 2" xfId="1689"/>
    <cellStyle name="20% - Accent1 2 29 2 4" xfId="1690"/>
    <cellStyle name="20% - Accent1 2 29 2 5" xfId="1691"/>
    <cellStyle name="20% - Accent1 2 29 3" xfId="1692"/>
    <cellStyle name="20% - Accent1 2 29 3 2" xfId="1693"/>
    <cellStyle name="20% - Accent1 2 29 3 2 2" xfId="1694"/>
    <cellStyle name="20% - Accent1 2 29 3 3" xfId="1695"/>
    <cellStyle name="20% - Accent1 2 29 3 4" xfId="1696"/>
    <cellStyle name="20% - Accent1 2 29 4" xfId="1697"/>
    <cellStyle name="20% - Accent1 2 29 4 2" xfId="1698"/>
    <cellStyle name="20% - Accent1 2 29 4 2 2" xfId="1699"/>
    <cellStyle name="20% - Accent1 2 29 4 3" xfId="1700"/>
    <cellStyle name="20% - Accent1 2 29 4 4" xfId="1701"/>
    <cellStyle name="20% - Accent1 2 29 5" xfId="1702"/>
    <cellStyle name="20% - Accent1 2 29 5 2" xfId="1703"/>
    <cellStyle name="20% - Accent1 2 29 6" xfId="1704"/>
    <cellStyle name="20% - Accent1 2 29 7" xfId="1705"/>
    <cellStyle name="20% - Accent1 2 29 8" xfId="1706"/>
    <cellStyle name="20% - Accent1 2 3" xfId="1707"/>
    <cellStyle name="20% - Accent1 2 3 10" xfId="1708"/>
    <cellStyle name="20% - Accent1 2 3 11" xfId="1709"/>
    <cellStyle name="20% - Accent1 2 3 12" xfId="1710"/>
    <cellStyle name="20% - Accent1 2 3 12 2" xfId="1711"/>
    <cellStyle name="20% - Accent1 2 3 2" xfId="1712"/>
    <cellStyle name="20% - Accent1 2 3 2 2" xfId="1713"/>
    <cellStyle name="20% - Accent1 2 3 2 2 2" xfId="1714"/>
    <cellStyle name="20% - Accent1 2 3 2 3" xfId="1715"/>
    <cellStyle name="20% - Accent1 2 3 3" xfId="1716"/>
    <cellStyle name="20% - Accent1 2 3 3 2" xfId="1717"/>
    <cellStyle name="20% - Accent1 2 3 3 2 2" xfId="1718"/>
    <cellStyle name="20% - Accent1 2 3 4" xfId="1719"/>
    <cellStyle name="20% - Accent1 2 3 4 2" xfId="1720"/>
    <cellStyle name="20% - Accent1 2 3 4 2 2" xfId="1721"/>
    <cellStyle name="20% - Accent1 2 3 5" xfId="1722"/>
    <cellStyle name="20% - Accent1 2 3 5 2" xfId="1723"/>
    <cellStyle name="20% - Accent1 2 3 5 2 2" xfId="1724"/>
    <cellStyle name="20% - Accent1 2 3 6" xfId="1725"/>
    <cellStyle name="20% - Accent1 2 3 6 2" xfId="1726"/>
    <cellStyle name="20% - Accent1 2 3 6 3" xfId="1727"/>
    <cellStyle name="20% - Accent1 2 3 6 4" xfId="1728"/>
    <cellStyle name="20% - Accent1 2 3 6 4 2" xfId="1729"/>
    <cellStyle name="20% - Accent1 2 3 6_2010 Actual" xfId="1730"/>
    <cellStyle name="20% - Accent1 2 3 7" xfId="1731"/>
    <cellStyle name="20% - Accent1 2 3 7 2" xfId="1732"/>
    <cellStyle name="20% - Accent1 2 3 7 2 2" xfId="1733"/>
    <cellStyle name="20% - Accent1 2 3 8" xfId="1734"/>
    <cellStyle name="20% - Accent1 2 3 8 2" xfId="1735"/>
    <cellStyle name="20% - Accent1 2 3 8 2 2" xfId="1736"/>
    <cellStyle name="20% - Accent1 2 3 9" xfId="1737"/>
    <cellStyle name="20% - Accent1 2 3_2009 Actual" xfId="1738"/>
    <cellStyle name="20% - Accent1 2 30" xfId="1739"/>
    <cellStyle name="20% - Accent1 2 30 2" xfId="1740"/>
    <cellStyle name="20% - Accent1 2 30 2 2" xfId="1741"/>
    <cellStyle name="20% - Accent1 2 30 2 2 2" xfId="1742"/>
    <cellStyle name="20% - Accent1 2 30 2 2 3" xfId="1743"/>
    <cellStyle name="20% - Accent1 2 30 2 3" xfId="1744"/>
    <cellStyle name="20% - Accent1 2 30 2 3 2" xfId="1745"/>
    <cellStyle name="20% - Accent1 2 30 2 4" xfId="1746"/>
    <cellStyle name="20% - Accent1 2 30 2 5" xfId="1747"/>
    <cellStyle name="20% - Accent1 2 30 3" xfId="1748"/>
    <cellStyle name="20% - Accent1 2 30 3 2" xfId="1749"/>
    <cellStyle name="20% - Accent1 2 30 3 2 2" xfId="1750"/>
    <cellStyle name="20% - Accent1 2 30 3 3" xfId="1751"/>
    <cellStyle name="20% - Accent1 2 30 3 4" xfId="1752"/>
    <cellStyle name="20% - Accent1 2 30 4" xfId="1753"/>
    <cellStyle name="20% - Accent1 2 30 4 2" xfId="1754"/>
    <cellStyle name="20% - Accent1 2 30 4 2 2" xfId="1755"/>
    <cellStyle name="20% - Accent1 2 30 4 3" xfId="1756"/>
    <cellStyle name="20% - Accent1 2 30 4 4" xfId="1757"/>
    <cellStyle name="20% - Accent1 2 30 5" xfId="1758"/>
    <cellStyle name="20% - Accent1 2 30 5 2" xfId="1759"/>
    <cellStyle name="20% - Accent1 2 30 6" xfId="1760"/>
    <cellStyle name="20% - Accent1 2 30 7" xfId="1761"/>
    <cellStyle name="20% - Accent1 2 30 8" xfId="1762"/>
    <cellStyle name="20% - Accent1 2 31" xfId="1763"/>
    <cellStyle name="20% - Accent1 2 31 2" xfId="1764"/>
    <cellStyle name="20% - Accent1 2 31 2 2" xfId="1765"/>
    <cellStyle name="20% - Accent1 2 31 2 3" xfId="1766"/>
    <cellStyle name="20% - Accent1 2 31 3" xfId="1767"/>
    <cellStyle name="20% - Accent1 2 31 3 2" xfId="1768"/>
    <cellStyle name="20% - Accent1 2 31 4" xfId="1769"/>
    <cellStyle name="20% - Accent1 2 31 5" xfId="1770"/>
    <cellStyle name="20% - Accent1 2 32" xfId="1771"/>
    <cellStyle name="20% - Accent1 2 32 2" xfId="1772"/>
    <cellStyle name="20% - Accent1 2 32 2 2" xfId="1773"/>
    <cellStyle name="20% - Accent1 2 32 2 3" xfId="1774"/>
    <cellStyle name="20% - Accent1 2 32 3" xfId="1775"/>
    <cellStyle name="20% - Accent1 2 32 3 2" xfId="1776"/>
    <cellStyle name="20% - Accent1 2 32 4" xfId="1777"/>
    <cellStyle name="20% - Accent1 2 32 5" xfId="1778"/>
    <cellStyle name="20% - Accent1 2 33" xfId="1779"/>
    <cellStyle name="20% - Accent1 2 33 2" xfId="1780"/>
    <cellStyle name="20% - Accent1 2 33 2 2" xfId="1781"/>
    <cellStyle name="20% - Accent1 2 33 2 3" xfId="1782"/>
    <cellStyle name="20% - Accent1 2 33 3" xfId="1783"/>
    <cellStyle name="20% - Accent1 2 33 3 2" xfId="1784"/>
    <cellStyle name="20% - Accent1 2 33 4" xfId="1785"/>
    <cellStyle name="20% - Accent1 2 33 5" xfId="1786"/>
    <cellStyle name="20% - Accent1 2 34" xfId="1787"/>
    <cellStyle name="20% - Accent1 2 34 2" xfId="1788"/>
    <cellStyle name="20% - Accent1 2 34 2 2" xfId="1789"/>
    <cellStyle name="20% - Accent1 2 34 2 3" xfId="1790"/>
    <cellStyle name="20% - Accent1 2 34 3" xfId="1791"/>
    <cellStyle name="20% - Accent1 2 34 3 2" xfId="1792"/>
    <cellStyle name="20% - Accent1 2 34 4" xfId="1793"/>
    <cellStyle name="20% - Accent1 2 34 5" xfId="1794"/>
    <cellStyle name="20% - Accent1 2 35" xfId="1795"/>
    <cellStyle name="20% - Accent1 2 35 2" xfId="1796"/>
    <cellStyle name="20% - Accent1 2 35 2 2" xfId="1797"/>
    <cellStyle name="20% - Accent1 2 35 2 3" xfId="1798"/>
    <cellStyle name="20% - Accent1 2 35 3" xfId="1799"/>
    <cellStyle name="20% - Accent1 2 35 3 2" xfId="1800"/>
    <cellStyle name="20% - Accent1 2 35 4" xfId="1801"/>
    <cellStyle name="20% - Accent1 2 35 5" xfId="1802"/>
    <cellStyle name="20% - Accent1 2 36" xfId="1803"/>
    <cellStyle name="20% - Accent1 2 36 2" xfId="1804"/>
    <cellStyle name="20% - Accent1 2 36 2 2" xfId="1805"/>
    <cellStyle name="20% - Accent1 2 36 2 3" xfId="1806"/>
    <cellStyle name="20% - Accent1 2 36 3" xfId="1807"/>
    <cellStyle name="20% - Accent1 2 36 3 2" xfId="1808"/>
    <cellStyle name="20% - Accent1 2 36 4" xfId="1809"/>
    <cellStyle name="20% - Accent1 2 36 5" xfId="1810"/>
    <cellStyle name="20% - Accent1 2 37" xfId="1811"/>
    <cellStyle name="20% - Accent1 2 37 2" xfId="1812"/>
    <cellStyle name="20% - Accent1 2 37 2 2" xfId="1813"/>
    <cellStyle name="20% - Accent1 2 37 2 3" xfId="1814"/>
    <cellStyle name="20% - Accent1 2 37 3" xfId="1815"/>
    <cellStyle name="20% - Accent1 2 37 3 2" xfId="1816"/>
    <cellStyle name="20% - Accent1 2 37 4" xfId="1817"/>
    <cellStyle name="20% - Accent1 2 37 5" xfId="1818"/>
    <cellStyle name="20% - Accent1 2 38" xfId="1819"/>
    <cellStyle name="20% - Accent1 2 38 2" xfId="1820"/>
    <cellStyle name="20% - Accent1 2 38 2 2" xfId="1821"/>
    <cellStyle name="20% - Accent1 2 38 2 3" xfId="1822"/>
    <cellStyle name="20% - Accent1 2 38 3" xfId="1823"/>
    <cellStyle name="20% - Accent1 2 38 3 2" xfId="1824"/>
    <cellStyle name="20% - Accent1 2 38 4" xfId="1825"/>
    <cellStyle name="20% - Accent1 2 38 5" xfId="1826"/>
    <cellStyle name="20% - Accent1 2 39" xfId="1827"/>
    <cellStyle name="20% - Accent1 2 39 2" xfId="1828"/>
    <cellStyle name="20% - Accent1 2 39 2 2" xfId="1829"/>
    <cellStyle name="20% - Accent1 2 39 2 3" xfId="1830"/>
    <cellStyle name="20% - Accent1 2 39 3" xfId="1831"/>
    <cellStyle name="20% - Accent1 2 39 3 2" xfId="1832"/>
    <cellStyle name="20% - Accent1 2 39 4" xfId="1833"/>
    <cellStyle name="20% - Accent1 2 39 5" xfId="1834"/>
    <cellStyle name="20% - Accent1 2 4" xfId="1835"/>
    <cellStyle name="20% - Accent1 2 4 2" xfId="1836"/>
    <cellStyle name="20% - Accent1 2 4 2 2" xfId="1837"/>
    <cellStyle name="20% - Accent1 2 4 3" xfId="1838"/>
    <cellStyle name="20% - Accent1 2 4 4" xfId="1839"/>
    <cellStyle name="20% - Accent1 2 4 5" xfId="1840"/>
    <cellStyle name="20% - Accent1 2 4 6" xfId="1841"/>
    <cellStyle name="20% - Accent1 2 4 7" xfId="1842"/>
    <cellStyle name="20% - Accent1 2 4 8" xfId="1843"/>
    <cellStyle name="20% - Accent1 2 4 8 2" xfId="1844"/>
    <cellStyle name="20% - Accent1 2 4_2009 Actual" xfId="1845"/>
    <cellStyle name="20% - Accent1 2 40" xfId="1846"/>
    <cellStyle name="20% - Accent1 2 40 2" xfId="1847"/>
    <cellStyle name="20% - Accent1 2 40 2 2" xfId="1848"/>
    <cellStyle name="20% - Accent1 2 40 2 3" xfId="1849"/>
    <cellStyle name="20% - Accent1 2 40 3" xfId="1850"/>
    <cellStyle name="20% - Accent1 2 40 3 2" xfId="1851"/>
    <cellStyle name="20% - Accent1 2 40 4" xfId="1852"/>
    <cellStyle name="20% - Accent1 2 40 5" xfId="1853"/>
    <cellStyle name="20% - Accent1 2 41" xfId="1854"/>
    <cellStyle name="20% - Accent1 2 41 2" xfId="1855"/>
    <cellStyle name="20% - Accent1 2 41 2 2" xfId="1856"/>
    <cellStyle name="20% - Accent1 2 41 2 3" xfId="1857"/>
    <cellStyle name="20% - Accent1 2 41 3" xfId="1858"/>
    <cellStyle name="20% - Accent1 2 41 3 2" xfId="1859"/>
    <cellStyle name="20% - Accent1 2 41 4" xfId="1860"/>
    <cellStyle name="20% - Accent1 2 41 5" xfId="1861"/>
    <cellStyle name="20% - Accent1 2 42" xfId="1862"/>
    <cellStyle name="20% - Accent1 2 42 2" xfId="1863"/>
    <cellStyle name="20% - Accent1 2 42 2 2" xfId="1864"/>
    <cellStyle name="20% - Accent1 2 42 2 3" xfId="1865"/>
    <cellStyle name="20% - Accent1 2 42 3" xfId="1866"/>
    <cellStyle name="20% - Accent1 2 42 3 2" xfId="1867"/>
    <cellStyle name="20% - Accent1 2 42 4" xfId="1868"/>
    <cellStyle name="20% - Accent1 2 42 5" xfId="1869"/>
    <cellStyle name="20% - Accent1 2 43" xfId="1870"/>
    <cellStyle name="20% - Accent1 2 43 2" xfId="1871"/>
    <cellStyle name="20% - Accent1 2 43 2 2" xfId="1872"/>
    <cellStyle name="20% - Accent1 2 43 2 3" xfId="1873"/>
    <cellStyle name="20% - Accent1 2 43 3" xfId="1874"/>
    <cellStyle name="20% - Accent1 2 43 3 2" xfId="1875"/>
    <cellStyle name="20% - Accent1 2 43 4" xfId="1876"/>
    <cellStyle name="20% - Accent1 2 43 5" xfId="1877"/>
    <cellStyle name="20% - Accent1 2 44" xfId="1878"/>
    <cellStyle name="20% - Accent1 2 44 2" xfId="1879"/>
    <cellStyle name="20% - Accent1 2 44 2 2" xfId="1880"/>
    <cellStyle name="20% - Accent1 2 44 2 3" xfId="1881"/>
    <cellStyle name="20% - Accent1 2 44 3" xfId="1882"/>
    <cellStyle name="20% - Accent1 2 44 3 2" xfId="1883"/>
    <cellStyle name="20% - Accent1 2 44 4" xfId="1884"/>
    <cellStyle name="20% - Accent1 2 44 5" xfId="1885"/>
    <cellStyle name="20% - Accent1 2 45" xfId="1886"/>
    <cellStyle name="20% - Accent1 2 45 2" xfId="1887"/>
    <cellStyle name="20% - Accent1 2 45 2 2" xfId="1888"/>
    <cellStyle name="20% - Accent1 2 45 2 3" xfId="1889"/>
    <cellStyle name="20% - Accent1 2 45 3" xfId="1890"/>
    <cellStyle name="20% - Accent1 2 45 3 2" xfId="1891"/>
    <cellStyle name="20% - Accent1 2 45 4" xfId="1892"/>
    <cellStyle name="20% - Accent1 2 45 5" xfId="1893"/>
    <cellStyle name="20% - Accent1 2 46" xfId="1894"/>
    <cellStyle name="20% - Accent1 2 46 2" xfId="1895"/>
    <cellStyle name="20% - Accent1 2 46 2 2" xfId="1896"/>
    <cellStyle name="20% - Accent1 2 46 2 3" xfId="1897"/>
    <cellStyle name="20% - Accent1 2 46 3" xfId="1898"/>
    <cellStyle name="20% - Accent1 2 46 3 2" xfId="1899"/>
    <cellStyle name="20% - Accent1 2 46 4" xfId="1900"/>
    <cellStyle name="20% - Accent1 2 46 5" xfId="1901"/>
    <cellStyle name="20% - Accent1 2 47" xfId="1902"/>
    <cellStyle name="20% - Accent1 2 47 2" xfId="1903"/>
    <cellStyle name="20% - Accent1 2 47 2 2" xfId="1904"/>
    <cellStyle name="20% - Accent1 2 47 2 3" xfId="1905"/>
    <cellStyle name="20% - Accent1 2 47 3" xfId="1906"/>
    <cellStyle name="20% - Accent1 2 47 3 2" xfId="1907"/>
    <cellStyle name="20% - Accent1 2 47 4" xfId="1908"/>
    <cellStyle name="20% - Accent1 2 47 5" xfId="1909"/>
    <cellStyle name="20% - Accent1 2 48" xfId="1910"/>
    <cellStyle name="20% - Accent1 2 48 2" xfId="1911"/>
    <cellStyle name="20% - Accent1 2 48 2 2" xfId="1912"/>
    <cellStyle name="20% - Accent1 2 48 2 3" xfId="1913"/>
    <cellStyle name="20% - Accent1 2 48 3" xfId="1914"/>
    <cellStyle name="20% - Accent1 2 48 3 2" xfId="1915"/>
    <cellStyle name="20% - Accent1 2 48 4" xfId="1916"/>
    <cellStyle name="20% - Accent1 2 48 5" xfId="1917"/>
    <cellStyle name="20% - Accent1 2 49" xfId="1918"/>
    <cellStyle name="20% - Accent1 2 49 2" xfId="1919"/>
    <cellStyle name="20% - Accent1 2 49 2 2" xfId="1920"/>
    <cellStyle name="20% - Accent1 2 49 2 3" xfId="1921"/>
    <cellStyle name="20% - Accent1 2 49 3" xfId="1922"/>
    <cellStyle name="20% - Accent1 2 49 3 2" xfId="1923"/>
    <cellStyle name="20% - Accent1 2 49 4" xfId="1924"/>
    <cellStyle name="20% - Accent1 2 49 5" xfId="1925"/>
    <cellStyle name="20% - Accent1 2 5" xfId="1926"/>
    <cellStyle name="20% - Accent1 2 5 2" xfId="1927"/>
    <cellStyle name="20% - Accent1 2 5 3" xfId="1928"/>
    <cellStyle name="20% - Accent1 2 5 4" xfId="1929"/>
    <cellStyle name="20% - Accent1 2 5 5" xfId="1930"/>
    <cellStyle name="20% - Accent1 2 5 6" xfId="1931"/>
    <cellStyle name="20% - Accent1 2 5 7" xfId="1932"/>
    <cellStyle name="20% - Accent1 2 5 8" xfId="1933"/>
    <cellStyle name="20% - Accent1 2 5 8 2" xfId="1934"/>
    <cellStyle name="20% - Accent1 2 5_2009 Actual" xfId="1935"/>
    <cellStyle name="20% - Accent1 2 50" xfId="1936"/>
    <cellStyle name="20% - Accent1 2 50 2" xfId="1937"/>
    <cellStyle name="20% - Accent1 2 50 2 2" xfId="1938"/>
    <cellStyle name="20% - Accent1 2 50 2 3" xfId="1939"/>
    <cellStyle name="20% - Accent1 2 50 3" xfId="1940"/>
    <cellStyle name="20% - Accent1 2 50 3 2" xfId="1941"/>
    <cellStyle name="20% - Accent1 2 50 4" xfId="1942"/>
    <cellStyle name="20% - Accent1 2 50 5" xfId="1943"/>
    <cellStyle name="20% - Accent1 2 51" xfId="1944"/>
    <cellStyle name="20% - Accent1 2 51 2" xfId="1945"/>
    <cellStyle name="20% - Accent1 2 51 2 2" xfId="1946"/>
    <cellStyle name="20% - Accent1 2 51 2 3" xfId="1947"/>
    <cellStyle name="20% - Accent1 2 51 3" xfId="1948"/>
    <cellStyle name="20% - Accent1 2 51 3 2" xfId="1949"/>
    <cellStyle name="20% - Accent1 2 51 4" xfId="1950"/>
    <cellStyle name="20% - Accent1 2 51 5" xfId="1951"/>
    <cellStyle name="20% - Accent1 2 52" xfId="1952"/>
    <cellStyle name="20% - Accent1 2 52 2" xfId="1953"/>
    <cellStyle name="20% - Accent1 2 52 2 2" xfId="1954"/>
    <cellStyle name="20% - Accent1 2 52 2 3" xfId="1955"/>
    <cellStyle name="20% - Accent1 2 52 3" xfId="1956"/>
    <cellStyle name="20% - Accent1 2 52 3 2" xfId="1957"/>
    <cellStyle name="20% - Accent1 2 52 4" xfId="1958"/>
    <cellStyle name="20% - Accent1 2 52 5" xfId="1959"/>
    <cellStyle name="20% - Accent1 2 53" xfId="1960"/>
    <cellStyle name="20% - Accent1 2 53 2" xfId="1961"/>
    <cellStyle name="20% - Accent1 2 53 2 2" xfId="1962"/>
    <cellStyle name="20% - Accent1 2 53 2 3" xfId="1963"/>
    <cellStyle name="20% - Accent1 2 53 3" xfId="1964"/>
    <cellStyle name="20% - Accent1 2 53 3 2" xfId="1965"/>
    <cellStyle name="20% - Accent1 2 53 4" xfId="1966"/>
    <cellStyle name="20% - Accent1 2 53 5" xfId="1967"/>
    <cellStyle name="20% - Accent1 2 54" xfId="1968"/>
    <cellStyle name="20% - Accent1 2 54 2" xfId="1969"/>
    <cellStyle name="20% - Accent1 2 54 2 2" xfId="1970"/>
    <cellStyle name="20% - Accent1 2 54 2 3" xfId="1971"/>
    <cellStyle name="20% - Accent1 2 54 3" xfId="1972"/>
    <cellStyle name="20% - Accent1 2 54 3 2" xfId="1973"/>
    <cellStyle name="20% - Accent1 2 54 4" xfId="1974"/>
    <cellStyle name="20% - Accent1 2 54 5" xfId="1975"/>
    <cellStyle name="20% - Accent1 2 55" xfId="1976"/>
    <cellStyle name="20% - Accent1 2 55 2" xfId="1977"/>
    <cellStyle name="20% - Accent1 2 55 2 2" xfId="1978"/>
    <cellStyle name="20% - Accent1 2 55 2 3" xfId="1979"/>
    <cellStyle name="20% - Accent1 2 55 3" xfId="1980"/>
    <cellStyle name="20% - Accent1 2 55 3 2" xfId="1981"/>
    <cellStyle name="20% - Accent1 2 55 4" xfId="1982"/>
    <cellStyle name="20% - Accent1 2 55 5" xfId="1983"/>
    <cellStyle name="20% - Accent1 2 56" xfId="1984"/>
    <cellStyle name="20% - Accent1 2 56 2" xfId="1985"/>
    <cellStyle name="20% - Accent1 2 56 2 2" xfId="1986"/>
    <cellStyle name="20% - Accent1 2 56 2 3" xfId="1987"/>
    <cellStyle name="20% - Accent1 2 56 3" xfId="1988"/>
    <cellStyle name="20% - Accent1 2 56 3 2" xfId="1989"/>
    <cellStyle name="20% - Accent1 2 56 4" xfId="1990"/>
    <cellStyle name="20% - Accent1 2 56 5" xfId="1991"/>
    <cellStyle name="20% - Accent1 2 57" xfId="1992"/>
    <cellStyle name="20% - Accent1 2 57 2" xfId="1993"/>
    <cellStyle name="20% - Accent1 2 57 2 2" xfId="1994"/>
    <cellStyle name="20% - Accent1 2 57 2 3" xfId="1995"/>
    <cellStyle name="20% - Accent1 2 57 3" xfId="1996"/>
    <cellStyle name="20% - Accent1 2 57 3 2" xfId="1997"/>
    <cellStyle name="20% - Accent1 2 57 4" xfId="1998"/>
    <cellStyle name="20% - Accent1 2 57 5" xfId="1999"/>
    <cellStyle name="20% - Accent1 2 58" xfId="2000"/>
    <cellStyle name="20% - Accent1 2 58 2" xfId="2001"/>
    <cellStyle name="20% - Accent1 2 58 2 2" xfId="2002"/>
    <cellStyle name="20% - Accent1 2 58 2 3" xfId="2003"/>
    <cellStyle name="20% - Accent1 2 58 3" xfId="2004"/>
    <cellStyle name="20% - Accent1 2 58 3 2" xfId="2005"/>
    <cellStyle name="20% - Accent1 2 58 4" xfId="2006"/>
    <cellStyle name="20% - Accent1 2 58 5" xfId="2007"/>
    <cellStyle name="20% - Accent1 2 59" xfId="2008"/>
    <cellStyle name="20% - Accent1 2 59 2" xfId="2009"/>
    <cellStyle name="20% - Accent1 2 59 2 2" xfId="2010"/>
    <cellStyle name="20% - Accent1 2 59 2 3" xfId="2011"/>
    <cellStyle name="20% - Accent1 2 59 3" xfId="2012"/>
    <cellStyle name="20% - Accent1 2 59 3 2" xfId="2013"/>
    <cellStyle name="20% - Accent1 2 59 4" xfId="2014"/>
    <cellStyle name="20% - Accent1 2 59 5" xfId="2015"/>
    <cellStyle name="20% - Accent1 2 6" xfId="2016"/>
    <cellStyle name="20% - Accent1 2 6 2" xfId="2017"/>
    <cellStyle name="20% - Accent1 2 6 3" xfId="2018"/>
    <cellStyle name="20% - Accent1 2 6 4" xfId="2019"/>
    <cellStyle name="20% - Accent1 2 6 5" xfId="2020"/>
    <cellStyle name="20% - Accent1 2 6 6" xfId="2021"/>
    <cellStyle name="20% - Accent1 2 6 7" xfId="2022"/>
    <cellStyle name="20% - Accent1 2 6 8" xfId="2023"/>
    <cellStyle name="20% - Accent1 2 6 8 2" xfId="2024"/>
    <cellStyle name="20% - Accent1 2 6_2009 Actual" xfId="2025"/>
    <cellStyle name="20% - Accent1 2 60" xfId="2026"/>
    <cellStyle name="20% - Accent1 2 60 2" xfId="2027"/>
    <cellStyle name="20% - Accent1 2 60 2 2" xfId="2028"/>
    <cellStyle name="20% - Accent1 2 60 2 3" xfId="2029"/>
    <cellStyle name="20% - Accent1 2 60 3" xfId="2030"/>
    <cellStyle name="20% - Accent1 2 60 3 2" xfId="2031"/>
    <cellStyle name="20% - Accent1 2 60 4" xfId="2032"/>
    <cellStyle name="20% - Accent1 2 60 5" xfId="2033"/>
    <cellStyle name="20% - Accent1 2 61" xfId="2034"/>
    <cellStyle name="20% - Accent1 2 61 2" xfId="2035"/>
    <cellStyle name="20% - Accent1 2 61 2 2" xfId="2036"/>
    <cellStyle name="20% - Accent1 2 61 2 3" xfId="2037"/>
    <cellStyle name="20% - Accent1 2 61 3" xfId="2038"/>
    <cellStyle name="20% - Accent1 2 61 3 2" xfId="2039"/>
    <cellStyle name="20% - Accent1 2 61 4" xfId="2040"/>
    <cellStyle name="20% - Accent1 2 61 5" xfId="2041"/>
    <cellStyle name="20% - Accent1 2 62" xfId="2042"/>
    <cellStyle name="20% - Accent1 2 62 2" xfId="2043"/>
    <cellStyle name="20% - Accent1 2 62 2 2" xfId="2044"/>
    <cellStyle name="20% - Accent1 2 62 2 3" xfId="2045"/>
    <cellStyle name="20% - Accent1 2 62 3" xfId="2046"/>
    <cellStyle name="20% - Accent1 2 62 3 2" xfId="2047"/>
    <cellStyle name="20% - Accent1 2 62 4" xfId="2048"/>
    <cellStyle name="20% - Accent1 2 62 5" xfId="2049"/>
    <cellStyle name="20% - Accent1 2 63" xfId="2050"/>
    <cellStyle name="20% - Accent1 2 63 2" xfId="2051"/>
    <cellStyle name="20% - Accent1 2 63 2 2" xfId="2052"/>
    <cellStyle name="20% - Accent1 2 63 2 3" xfId="2053"/>
    <cellStyle name="20% - Accent1 2 63 3" xfId="2054"/>
    <cellStyle name="20% - Accent1 2 63 3 2" xfId="2055"/>
    <cellStyle name="20% - Accent1 2 63 4" xfId="2056"/>
    <cellStyle name="20% - Accent1 2 63 5" xfId="2057"/>
    <cellStyle name="20% - Accent1 2 64" xfId="2058"/>
    <cellStyle name="20% - Accent1 2 64 2" xfId="2059"/>
    <cellStyle name="20% - Accent1 2 64 2 2" xfId="2060"/>
    <cellStyle name="20% - Accent1 2 64 2 3" xfId="2061"/>
    <cellStyle name="20% - Accent1 2 64 3" xfId="2062"/>
    <cellStyle name="20% - Accent1 2 64 3 2" xfId="2063"/>
    <cellStyle name="20% - Accent1 2 64 4" xfId="2064"/>
    <cellStyle name="20% - Accent1 2 64 5" xfId="2065"/>
    <cellStyle name="20% - Accent1 2 65" xfId="2066"/>
    <cellStyle name="20% - Accent1 2 65 2" xfId="2067"/>
    <cellStyle name="20% - Accent1 2 65 2 2" xfId="2068"/>
    <cellStyle name="20% - Accent1 2 65 2 3" xfId="2069"/>
    <cellStyle name="20% - Accent1 2 65 3" xfId="2070"/>
    <cellStyle name="20% - Accent1 2 65 3 2" xfId="2071"/>
    <cellStyle name="20% - Accent1 2 65 4" xfId="2072"/>
    <cellStyle name="20% - Accent1 2 65 5" xfId="2073"/>
    <cellStyle name="20% - Accent1 2 66" xfId="2074"/>
    <cellStyle name="20% - Accent1 2 66 2" xfId="2075"/>
    <cellStyle name="20% - Accent1 2 66 2 2" xfId="2076"/>
    <cellStyle name="20% - Accent1 2 66 2 3" xfId="2077"/>
    <cellStyle name="20% - Accent1 2 66 3" xfId="2078"/>
    <cellStyle name="20% - Accent1 2 66 3 2" xfId="2079"/>
    <cellStyle name="20% - Accent1 2 66 4" xfId="2080"/>
    <cellStyle name="20% - Accent1 2 66 5" xfId="2081"/>
    <cellStyle name="20% - Accent1 2 67" xfId="2082"/>
    <cellStyle name="20% - Accent1 2 67 2" xfId="2083"/>
    <cellStyle name="20% - Accent1 2 67 2 2" xfId="2084"/>
    <cellStyle name="20% - Accent1 2 67 2 3" xfId="2085"/>
    <cellStyle name="20% - Accent1 2 67 3" xfId="2086"/>
    <cellStyle name="20% - Accent1 2 67 3 2" xfId="2087"/>
    <cellStyle name="20% - Accent1 2 67 4" xfId="2088"/>
    <cellStyle name="20% - Accent1 2 67 5" xfId="2089"/>
    <cellStyle name="20% - Accent1 2 68" xfId="2090"/>
    <cellStyle name="20% - Accent1 2 68 2" xfId="2091"/>
    <cellStyle name="20% - Accent1 2 68 2 2" xfId="2092"/>
    <cellStyle name="20% - Accent1 2 68 2 3" xfId="2093"/>
    <cellStyle name="20% - Accent1 2 68 3" xfId="2094"/>
    <cellStyle name="20% - Accent1 2 68 3 2" xfId="2095"/>
    <cellStyle name="20% - Accent1 2 68 4" xfId="2096"/>
    <cellStyle name="20% - Accent1 2 68 5" xfId="2097"/>
    <cellStyle name="20% - Accent1 2 69" xfId="2098"/>
    <cellStyle name="20% - Accent1 2 69 2" xfId="2099"/>
    <cellStyle name="20% - Accent1 2 69 2 2" xfId="2100"/>
    <cellStyle name="20% - Accent1 2 69 2 3" xfId="2101"/>
    <cellStyle name="20% - Accent1 2 69 3" xfId="2102"/>
    <cellStyle name="20% - Accent1 2 69 3 2" xfId="2103"/>
    <cellStyle name="20% - Accent1 2 69 4" xfId="2104"/>
    <cellStyle name="20% - Accent1 2 69 5" xfId="2105"/>
    <cellStyle name="20% - Accent1 2 7" xfId="2106"/>
    <cellStyle name="20% - Accent1 2 7 2" xfId="2107"/>
    <cellStyle name="20% - Accent1 2 7 2 2" xfId="2108"/>
    <cellStyle name="20% - Accent1 2 7 3" xfId="2109"/>
    <cellStyle name="20% - Accent1 2 7 4" xfId="2110"/>
    <cellStyle name="20% - Accent1 2 7 5" xfId="2111"/>
    <cellStyle name="20% - Accent1 2 7 5 2" xfId="2112"/>
    <cellStyle name="20% - Accent1 2 7_2010 Actual" xfId="2113"/>
    <cellStyle name="20% - Accent1 2 70" xfId="2114"/>
    <cellStyle name="20% - Accent1 2 70 2" xfId="2115"/>
    <cellStyle name="20% - Accent1 2 70 2 2" xfId="2116"/>
    <cellStyle name="20% - Accent1 2 70 2 3" xfId="2117"/>
    <cellStyle name="20% - Accent1 2 70 3" xfId="2118"/>
    <cellStyle name="20% - Accent1 2 70 3 2" xfId="2119"/>
    <cellStyle name="20% - Accent1 2 70 4" xfId="2120"/>
    <cellStyle name="20% - Accent1 2 70 5" xfId="2121"/>
    <cellStyle name="20% - Accent1 2 71" xfId="2122"/>
    <cellStyle name="20% - Accent1 2 71 2" xfId="2123"/>
    <cellStyle name="20% - Accent1 2 71 2 2" xfId="2124"/>
    <cellStyle name="20% - Accent1 2 71 2 3" xfId="2125"/>
    <cellStyle name="20% - Accent1 2 71 3" xfId="2126"/>
    <cellStyle name="20% - Accent1 2 71 3 2" xfId="2127"/>
    <cellStyle name="20% - Accent1 2 71 4" xfId="2128"/>
    <cellStyle name="20% - Accent1 2 71 5" xfId="2129"/>
    <cellStyle name="20% - Accent1 2 72" xfId="2130"/>
    <cellStyle name="20% - Accent1 2 72 2" xfId="2131"/>
    <cellStyle name="20% - Accent1 2 72 2 2" xfId="2132"/>
    <cellStyle name="20% - Accent1 2 72 2 3" xfId="2133"/>
    <cellStyle name="20% - Accent1 2 72 3" xfId="2134"/>
    <cellStyle name="20% - Accent1 2 72 3 2" xfId="2135"/>
    <cellStyle name="20% - Accent1 2 72 4" xfId="2136"/>
    <cellStyle name="20% - Accent1 2 72 5" xfId="2137"/>
    <cellStyle name="20% - Accent1 2 73" xfId="2138"/>
    <cellStyle name="20% - Accent1 2 73 2" xfId="2139"/>
    <cellStyle name="20% - Accent1 2 73 2 2" xfId="2140"/>
    <cellStyle name="20% - Accent1 2 73 2 3" xfId="2141"/>
    <cellStyle name="20% - Accent1 2 73 3" xfId="2142"/>
    <cellStyle name="20% - Accent1 2 73 3 2" xfId="2143"/>
    <cellStyle name="20% - Accent1 2 73 4" xfId="2144"/>
    <cellStyle name="20% - Accent1 2 73 5" xfId="2145"/>
    <cellStyle name="20% - Accent1 2 74" xfId="2146"/>
    <cellStyle name="20% - Accent1 2 74 2" xfId="2147"/>
    <cellStyle name="20% - Accent1 2 74 2 2" xfId="2148"/>
    <cellStyle name="20% - Accent1 2 74 2 3" xfId="2149"/>
    <cellStyle name="20% - Accent1 2 74 3" xfId="2150"/>
    <cellStyle name="20% - Accent1 2 74 3 2" xfId="2151"/>
    <cellStyle name="20% - Accent1 2 74 4" xfId="2152"/>
    <cellStyle name="20% - Accent1 2 74 5" xfId="2153"/>
    <cellStyle name="20% - Accent1 2 75" xfId="2154"/>
    <cellStyle name="20% - Accent1 2 75 2" xfId="2155"/>
    <cellStyle name="20% - Accent1 2 75 2 2" xfId="2156"/>
    <cellStyle name="20% - Accent1 2 75 2 3" xfId="2157"/>
    <cellStyle name="20% - Accent1 2 75 3" xfId="2158"/>
    <cellStyle name="20% - Accent1 2 75 3 2" xfId="2159"/>
    <cellStyle name="20% - Accent1 2 75 4" xfId="2160"/>
    <cellStyle name="20% - Accent1 2 75 5" xfId="2161"/>
    <cellStyle name="20% - Accent1 2 76" xfId="2162"/>
    <cellStyle name="20% - Accent1 2 76 2" xfId="2163"/>
    <cellStyle name="20% - Accent1 2 76 2 2" xfId="2164"/>
    <cellStyle name="20% - Accent1 2 76 2 3" xfId="2165"/>
    <cellStyle name="20% - Accent1 2 76 3" xfId="2166"/>
    <cellStyle name="20% - Accent1 2 76 3 2" xfId="2167"/>
    <cellStyle name="20% - Accent1 2 76 4" xfId="2168"/>
    <cellStyle name="20% - Accent1 2 76 5" xfId="2169"/>
    <cellStyle name="20% - Accent1 2 77" xfId="2170"/>
    <cellStyle name="20% - Accent1 2 77 2" xfId="2171"/>
    <cellStyle name="20% - Accent1 2 77 2 2" xfId="2172"/>
    <cellStyle name="20% - Accent1 2 77 2 3" xfId="2173"/>
    <cellStyle name="20% - Accent1 2 77 3" xfId="2174"/>
    <cellStyle name="20% - Accent1 2 77 3 2" xfId="2175"/>
    <cellStyle name="20% - Accent1 2 77 4" xfId="2176"/>
    <cellStyle name="20% - Accent1 2 77 5" xfId="2177"/>
    <cellStyle name="20% - Accent1 2 78" xfId="2178"/>
    <cellStyle name="20% - Accent1 2 78 2" xfId="2179"/>
    <cellStyle name="20% - Accent1 2 78 2 2" xfId="2180"/>
    <cellStyle name="20% - Accent1 2 78 2 3" xfId="2181"/>
    <cellStyle name="20% - Accent1 2 78 3" xfId="2182"/>
    <cellStyle name="20% - Accent1 2 78 3 2" xfId="2183"/>
    <cellStyle name="20% - Accent1 2 78 4" xfId="2184"/>
    <cellStyle name="20% - Accent1 2 78 5" xfId="2185"/>
    <cellStyle name="20% - Accent1 2 79" xfId="2186"/>
    <cellStyle name="20% - Accent1 2 79 2" xfId="2187"/>
    <cellStyle name="20% - Accent1 2 79 2 2" xfId="2188"/>
    <cellStyle name="20% - Accent1 2 79 2 3" xfId="2189"/>
    <cellStyle name="20% - Accent1 2 79 3" xfId="2190"/>
    <cellStyle name="20% - Accent1 2 79 3 2" xfId="2191"/>
    <cellStyle name="20% - Accent1 2 79 4" xfId="2192"/>
    <cellStyle name="20% - Accent1 2 79 5" xfId="2193"/>
    <cellStyle name="20% - Accent1 2 8" xfId="2194"/>
    <cellStyle name="20% - Accent1 2 8 2" xfId="2195"/>
    <cellStyle name="20% - Accent1 2 8 2 2" xfId="2196"/>
    <cellStyle name="20% - Accent1 2 8 3" xfId="2197"/>
    <cellStyle name="20% - Accent1 2 8 4" xfId="2198"/>
    <cellStyle name="20% - Accent1 2 8 5" xfId="2199"/>
    <cellStyle name="20% - Accent1 2 8 5 2" xfId="2200"/>
    <cellStyle name="20% - Accent1 2 8_2010 Actual" xfId="2201"/>
    <cellStyle name="20% - Accent1 2 80" xfId="2202"/>
    <cellStyle name="20% - Accent1 2 80 2" xfId="2203"/>
    <cellStyle name="20% - Accent1 2 80 2 2" xfId="2204"/>
    <cellStyle name="20% - Accent1 2 80 2 3" xfId="2205"/>
    <cellStyle name="20% - Accent1 2 80 3" xfId="2206"/>
    <cellStyle name="20% - Accent1 2 80 3 2" xfId="2207"/>
    <cellStyle name="20% - Accent1 2 80 4" xfId="2208"/>
    <cellStyle name="20% - Accent1 2 80 5" xfId="2209"/>
    <cellStyle name="20% - Accent1 2 81" xfId="2210"/>
    <cellStyle name="20% - Accent1 2 81 2" xfId="2211"/>
    <cellStyle name="20% - Accent1 2 81 2 2" xfId="2212"/>
    <cellStyle name="20% - Accent1 2 81 2 3" xfId="2213"/>
    <cellStyle name="20% - Accent1 2 81 3" xfId="2214"/>
    <cellStyle name="20% - Accent1 2 81 3 2" xfId="2215"/>
    <cellStyle name="20% - Accent1 2 81 4" xfId="2216"/>
    <cellStyle name="20% - Accent1 2 81 5" xfId="2217"/>
    <cellStyle name="20% - Accent1 2 82" xfId="2218"/>
    <cellStyle name="20% - Accent1 2 82 2" xfId="2219"/>
    <cellStyle name="20% - Accent1 2 82 2 2" xfId="2220"/>
    <cellStyle name="20% - Accent1 2 82 2 3" xfId="2221"/>
    <cellStyle name="20% - Accent1 2 82 3" xfId="2222"/>
    <cellStyle name="20% - Accent1 2 82 3 2" xfId="2223"/>
    <cellStyle name="20% - Accent1 2 82 4" xfId="2224"/>
    <cellStyle name="20% - Accent1 2 82 5" xfId="2225"/>
    <cellStyle name="20% - Accent1 2 83" xfId="2226"/>
    <cellStyle name="20% - Accent1 2 83 2" xfId="2227"/>
    <cellStyle name="20% - Accent1 2 83 2 2" xfId="2228"/>
    <cellStyle name="20% - Accent1 2 83 2 3" xfId="2229"/>
    <cellStyle name="20% - Accent1 2 83 3" xfId="2230"/>
    <cellStyle name="20% - Accent1 2 83 3 2" xfId="2231"/>
    <cellStyle name="20% - Accent1 2 83 4" xfId="2232"/>
    <cellStyle name="20% - Accent1 2 83 5" xfId="2233"/>
    <cellStyle name="20% - Accent1 2 84" xfId="2234"/>
    <cellStyle name="20% - Accent1 2 84 2" xfId="2235"/>
    <cellStyle name="20% - Accent1 2 84 2 2" xfId="2236"/>
    <cellStyle name="20% - Accent1 2 84 2 3" xfId="2237"/>
    <cellStyle name="20% - Accent1 2 84 3" xfId="2238"/>
    <cellStyle name="20% - Accent1 2 84 3 2" xfId="2239"/>
    <cellStyle name="20% - Accent1 2 84 4" xfId="2240"/>
    <cellStyle name="20% - Accent1 2 84 5" xfId="2241"/>
    <cellStyle name="20% - Accent1 2 85" xfId="2242"/>
    <cellStyle name="20% - Accent1 2 85 2" xfId="2243"/>
    <cellStyle name="20% - Accent1 2 85 2 2" xfId="2244"/>
    <cellStyle name="20% - Accent1 2 85 2 3" xfId="2245"/>
    <cellStyle name="20% - Accent1 2 85 3" xfId="2246"/>
    <cellStyle name="20% - Accent1 2 85 3 2" xfId="2247"/>
    <cellStyle name="20% - Accent1 2 85 4" xfId="2248"/>
    <cellStyle name="20% - Accent1 2 85 5" xfId="2249"/>
    <cellStyle name="20% - Accent1 2 86" xfId="2250"/>
    <cellStyle name="20% - Accent1 2 86 2" xfId="2251"/>
    <cellStyle name="20% - Accent1 2 86 2 2" xfId="2252"/>
    <cellStyle name="20% - Accent1 2 86 2 3" xfId="2253"/>
    <cellStyle name="20% - Accent1 2 86 3" xfId="2254"/>
    <cellStyle name="20% - Accent1 2 86 3 2" xfId="2255"/>
    <cellStyle name="20% - Accent1 2 86 4" xfId="2256"/>
    <cellStyle name="20% - Accent1 2 86 5" xfId="2257"/>
    <cellStyle name="20% - Accent1 2 87" xfId="2258"/>
    <cellStyle name="20% - Accent1 2 87 2" xfId="2259"/>
    <cellStyle name="20% - Accent1 2 87 2 2" xfId="2260"/>
    <cellStyle name="20% - Accent1 2 87 2 3" xfId="2261"/>
    <cellStyle name="20% - Accent1 2 87 3" xfId="2262"/>
    <cellStyle name="20% - Accent1 2 87 3 2" xfId="2263"/>
    <cellStyle name="20% - Accent1 2 87 4" xfId="2264"/>
    <cellStyle name="20% - Accent1 2 87 5" xfId="2265"/>
    <cellStyle name="20% - Accent1 2 88" xfId="2266"/>
    <cellStyle name="20% - Accent1 2 88 2" xfId="2267"/>
    <cellStyle name="20% - Accent1 2 88 2 2" xfId="2268"/>
    <cellStyle name="20% - Accent1 2 88 2 3" xfId="2269"/>
    <cellStyle name="20% - Accent1 2 88 3" xfId="2270"/>
    <cellStyle name="20% - Accent1 2 88 3 2" xfId="2271"/>
    <cellStyle name="20% - Accent1 2 88 4" xfId="2272"/>
    <cellStyle name="20% - Accent1 2 88 5" xfId="2273"/>
    <cellStyle name="20% - Accent1 2 89" xfId="2274"/>
    <cellStyle name="20% - Accent1 2 89 2" xfId="2275"/>
    <cellStyle name="20% - Accent1 2 89 2 2" xfId="2276"/>
    <cellStyle name="20% - Accent1 2 89 2 3" xfId="2277"/>
    <cellStyle name="20% - Accent1 2 89 3" xfId="2278"/>
    <cellStyle name="20% - Accent1 2 89 3 2" xfId="2279"/>
    <cellStyle name="20% - Accent1 2 89 4" xfId="2280"/>
    <cellStyle name="20% - Accent1 2 89 5" xfId="2281"/>
    <cellStyle name="20% - Accent1 2 9" xfId="2282"/>
    <cellStyle name="20% - Accent1 2 9 2" xfId="2283"/>
    <cellStyle name="20% - Accent1 2 9 2 2" xfId="2284"/>
    <cellStyle name="20% - Accent1 2 9 3" xfId="2285"/>
    <cellStyle name="20% - Accent1 2 9 4" xfId="2286"/>
    <cellStyle name="20% - Accent1 2 9 5" xfId="2287"/>
    <cellStyle name="20% - Accent1 2 9 5 2" xfId="2288"/>
    <cellStyle name="20% - Accent1 2 9_2010 Actual" xfId="2289"/>
    <cellStyle name="20% - Accent1 2 90" xfId="2290"/>
    <cellStyle name="20% - Accent1 2 90 2" xfId="2291"/>
    <cellStyle name="20% - Accent1 2 90 2 2" xfId="2292"/>
    <cellStyle name="20% - Accent1 2 90 2 3" xfId="2293"/>
    <cellStyle name="20% - Accent1 2 90 3" xfId="2294"/>
    <cellStyle name="20% - Accent1 2 90 3 2" xfId="2295"/>
    <cellStyle name="20% - Accent1 2 90 4" xfId="2296"/>
    <cellStyle name="20% - Accent1 2 90 5" xfId="2297"/>
    <cellStyle name="20% - Accent1 2 91" xfId="2298"/>
    <cellStyle name="20% - Accent1 2 91 2" xfId="2299"/>
    <cellStyle name="20% - Accent1 2 91 2 2" xfId="2300"/>
    <cellStyle name="20% - Accent1 2 91 2 3" xfId="2301"/>
    <cellStyle name="20% - Accent1 2 91 3" xfId="2302"/>
    <cellStyle name="20% - Accent1 2 91 3 2" xfId="2303"/>
    <cellStyle name="20% - Accent1 2 91 4" xfId="2304"/>
    <cellStyle name="20% - Accent1 2 91 5" xfId="2305"/>
    <cellStyle name="20% - Accent1 2 92" xfId="2306"/>
    <cellStyle name="20% - Accent1 2 92 2" xfId="2307"/>
    <cellStyle name="20% - Accent1 2 92 2 2" xfId="2308"/>
    <cellStyle name="20% - Accent1 2 92 2 3" xfId="2309"/>
    <cellStyle name="20% - Accent1 2 92 3" xfId="2310"/>
    <cellStyle name="20% - Accent1 2 92 3 2" xfId="2311"/>
    <cellStyle name="20% - Accent1 2 92 4" xfId="2312"/>
    <cellStyle name="20% - Accent1 2 92 5" xfId="2313"/>
    <cellStyle name="20% - Accent1 2 93" xfId="2314"/>
    <cellStyle name="20% - Accent1 2 93 2" xfId="2315"/>
    <cellStyle name="20% - Accent1 2 93 2 2" xfId="2316"/>
    <cellStyle name="20% - Accent1 2 93 2 3" xfId="2317"/>
    <cellStyle name="20% - Accent1 2 93 3" xfId="2318"/>
    <cellStyle name="20% - Accent1 2 93 3 2" xfId="2319"/>
    <cellStyle name="20% - Accent1 2 93 4" xfId="2320"/>
    <cellStyle name="20% - Accent1 2 93 5" xfId="2321"/>
    <cellStyle name="20% - Accent1 2 94" xfId="2322"/>
    <cellStyle name="20% - Accent1 2 94 2" xfId="2323"/>
    <cellStyle name="20% - Accent1 2 94 2 2" xfId="2324"/>
    <cellStyle name="20% - Accent1 2 94 2 3" xfId="2325"/>
    <cellStyle name="20% - Accent1 2 94 3" xfId="2326"/>
    <cellStyle name="20% - Accent1 2 94 3 2" xfId="2327"/>
    <cellStyle name="20% - Accent1 2 94 4" xfId="2328"/>
    <cellStyle name="20% - Accent1 2 94 5" xfId="2329"/>
    <cellStyle name="20% - Accent1 2 95" xfId="2330"/>
    <cellStyle name="20% - Accent1 2 95 2" xfId="2331"/>
    <cellStyle name="20% - Accent1 2 95 2 2" xfId="2332"/>
    <cellStyle name="20% - Accent1 2 95 3" xfId="2333"/>
    <cellStyle name="20% - Accent1 2 95 4" xfId="2334"/>
    <cellStyle name="20% - Accent1 2 96" xfId="2335"/>
    <cellStyle name="20% - Accent1 2 96 2" xfId="2336"/>
    <cellStyle name="20% - Accent1 2 96 2 2" xfId="2337"/>
    <cellStyle name="20% - Accent1 2 96 3" xfId="2338"/>
    <cellStyle name="20% - Accent1 2 96 4" xfId="2339"/>
    <cellStyle name="20% - Accent1 2 97" xfId="2340"/>
    <cellStyle name="20% - Accent1 2 97 2" xfId="2341"/>
    <cellStyle name="20% - Accent1 2 97 2 2" xfId="2342"/>
    <cellStyle name="20% - Accent1 2 97 3" xfId="2343"/>
    <cellStyle name="20% - Accent1 2 97 4" xfId="2344"/>
    <cellStyle name="20% - Accent1 2 98" xfId="2345"/>
    <cellStyle name="20% - Accent1 2 98 2" xfId="2346"/>
    <cellStyle name="20% - Accent1 2 98 2 2" xfId="2347"/>
    <cellStyle name="20% - Accent1 2 98 3" xfId="2348"/>
    <cellStyle name="20% - Accent1 2 98 4" xfId="2349"/>
    <cellStyle name="20% - Accent1 2 99" xfId="2350"/>
    <cellStyle name="20% - Accent1 2 99 2" xfId="2351"/>
    <cellStyle name="20% - Accent1 2 99 2 2" xfId="2352"/>
    <cellStyle name="20% - Accent1 2 99 3" xfId="2353"/>
    <cellStyle name="20% - Accent1 2 99 4" xfId="2354"/>
    <cellStyle name="20% - Accent1 2_1-10 BHU IS" xfId="2355"/>
    <cellStyle name="20% - Accent1 20" xfId="2356"/>
    <cellStyle name="20% - Accent1 20 2" xfId="2357"/>
    <cellStyle name="20% - Accent1 20 3" xfId="2358"/>
    <cellStyle name="20% - Accent1 20_Data Input" xfId="2359"/>
    <cellStyle name="20% - Accent1 21" xfId="2360"/>
    <cellStyle name="20% - Accent1 21 2" xfId="2361"/>
    <cellStyle name="20% - Accent1 21 3" xfId="2362"/>
    <cellStyle name="20% - Accent1 22" xfId="2363"/>
    <cellStyle name="20% - Accent1 22 2" xfId="2364"/>
    <cellStyle name="20% - Accent1 22 3" xfId="2365"/>
    <cellStyle name="20% - Accent1 23" xfId="2366"/>
    <cellStyle name="20% - Accent1 23 2" xfId="2367"/>
    <cellStyle name="20% - Accent1 23 3" xfId="2368"/>
    <cellStyle name="20% - Accent1 23_Data Input" xfId="2369"/>
    <cellStyle name="20% - Accent1 24" xfId="2370"/>
    <cellStyle name="20% - Accent1 24 2" xfId="2371"/>
    <cellStyle name="20% - Accent1 24 3" xfId="2372"/>
    <cellStyle name="20% - Accent1 25" xfId="2373"/>
    <cellStyle name="20% - Accent1 25 2" xfId="2374"/>
    <cellStyle name="20% - Accent1 25 3" xfId="2375"/>
    <cellStyle name="20% - Accent1 26" xfId="2376"/>
    <cellStyle name="20% - Accent1 26 2" xfId="2377"/>
    <cellStyle name="20% - Accent1 26 3" xfId="2378"/>
    <cellStyle name="20% - Accent1 27" xfId="2379"/>
    <cellStyle name="20% - Accent1 27 2" xfId="2380"/>
    <cellStyle name="20% - Accent1 27 3" xfId="2381"/>
    <cellStyle name="20% - Accent1 28" xfId="2382"/>
    <cellStyle name="20% - Accent1 28 2" xfId="2383"/>
    <cellStyle name="20% - Accent1 28 3" xfId="2384"/>
    <cellStyle name="20% - Accent1 29" xfId="2385"/>
    <cellStyle name="20% - Accent1 29 2" xfId="2386"/>
    <cellStyle name="20% - Accent1 29 3" xfId="2387"/>
    <cellStyle name="20% - Accent1 3" xfId="2388"/>
    <cellStyle name="20% - Accent1 3 10" xfId="2389"/>
    <cellStyle name="20% - Accent1 3 10 2" xfId="2390"/>
    <cellStyle name="20% - Accent1 3 10 2 2" xfId="2391"/>
    <cellStyle name="20% - Accent1 3 10 2 2 2" xfId="2392"/>
    <cellStyle name="20% - Accent1 3 10 2 2 3" xfId="2393"/>
    <cellStyle name="20% - Accent1 3 10 2 3" xfId="2394"/>
    <cellStyle name="20% - Accent1 3 10 2 3 2" xfId="2395"/>
    <cellStyle name="20% - Accent1 3 10 2 4" xfId="2396"/>
    <cellStyle name="20% - Accent1 3 10 2 5" xfId="2397"/>
    <cellStyle name="20% - Accent1 3 10 3" xfId="2398"/>
    <cellStyle name="20% - Accent1 3 10 3 2" xfId="2399"/>
    <cellStyle name="20% - Accent1 3 10 3 2 2" xfId="2400"/>
    <cellStyle name="20% - Accent1 3 10 3 3" xfId="2401"/>
    <cellStyle name="20% - Accent1 3 10 3 4" xfId="2402"/>
    <cellStyle name="20% - Accent1 3 10 4" xfId="2403"/>
    <cellStyle name="20% - Accent1 3 10 4 2" xfId="2404"/>
    <cellStyle name="20% - Accent1 3 10 4 2 2" xfId="2405"/>
    <cellStyle name="20% - Accent1 3 10 4 3" xfId="2406"/>
    <cellStyle name="20% - Accent1 3 10 4 4" xfId="2407"/>
    <cellStyle name="20% - Accent1 3 10 5" xfId="2408"/>
    <cellStyle name="20% - Accent1 3 10 5 2" xfId="2409"/>
    <cellStyle name="20% - Accent1 3 10 6" xfId="2410"/>
    <cellStyle name="20% - Accent1 3 10 7" xfId="2411"/>
    <cellStyle name="20% - Accent1 3 10 8" xfId="2412"/>
    <cellStyle name="20% - Accent1 3 11" xfId="2413"/>
    <cellStyle name="20% - Accent1 3 11 2" xfId="2414"/>
    <cellStyle name="20% - Accent1 3 11 2 2" xfId="2415"/>
    <cellStyle name="20% - Accent1 3 11 2 2 2" xfId="2416"/>
    <cellStyle name="20% - Accent1 3 11 2 2 3" xfId="2417"/>
    <cellStyle name="20% - Accent1 3 11 2 3" xfId="2418"/>
    <cellStyle name="20% - Accent1 3 11 2 3 2" xfId="2419"/>
    <cellStyle name="20% - Accent1 3 11 2 4" xfId="2420"/>
    <cellStyle name="20% - Accent1 3 11 2 5" xfId="2421"/>
    <cellStyle name="20% - Accent1 3 11 3" xfId="2422"/>
    <cellStyle name="20% - Accent1 3 11 3 2" xfId="2423"/>
    <cellStyle name="20% - Accent1 3 11 3 2 2" xfId="2424"/>
    <cellStyle name="20% - Accent1 3 11 3 3" xfId="2425"/>
    <cellStyle name="20% - Accent1 3 11 3 4" xfId="2426"/>
    <cellStyle name="20% - Accent1 3 11 4" xfId="2427"/>
    <cellStyle name="20% - Accent1 3 11 4 2" xfId="2428"/>
    <cellStyle name="20% - Accent1 3 11 4 2 2" xfId="2429"/>
    <cellStyle name="20% - Accent1 3 11 4 3" xfId="2430"/>
    <cellStyle name="20% - Accent1 3 11 4 4" xfId="2431"/>
    <cellStyle name="20% - Accent1 3 11 5" xfId="2432"/>
    <cellStyle name="20% - Accent1 3 11 5 2" xfId="2433"/>
    <cellStyle name="20% - Accent1 3 11 6" xfId="2434"/>
    <cellStyle name="20% - Accent1 3 11 7" xfId="2435"/>
    <cellStyle name="20% - Accent1 3 11 8" xfId="2436"/>
    <cellStyle name="20% - Accent1 3 12" xfId="2437"/>
    <cellStyle name="20% - Accent1 3 12 2" xfId="2438"/>
    <cellStyle name="20% - Accent1 3 12 2 2" xfId="2439"/>
    <cellStyle name="20% - Accent1 3 12 2 2 2" xfId="2440"/>
    <cellStyle name="20% - Accent1 3 12 2 2 3" xfId="2441"/>
    <cellStyle name="20% - Accent1 3 12 2 3" xfId="2442"/>
    <cellStyle name="20% - Accent1 3 12 2 3 2" xfId="2443"/>
    <cellStyle name="20% - Accent1 3 12 2 4" xfId="2444"/>
    <cellStyle name="20% - Accent1 3 12 2 5" xfId="2445"/>
    <cellStyle name="20% - Accent1 3 12 3" xfId="2446"/>
    <cellStyle name="20% - Accent1 3 12 3 2" xfId="2447"/>
    <cellStyle name="20% - Accent1 3 12 3 2 2" xfId="2448"/>
    <cellStyle name="20% - Accent1 3 12 3 3" xfId="2449"/>
    <cellStyle name="20% - Accent1 3 12 3 4" xfId="2450"/>
    <cellStyle name="20% - Accent1 3 12 4" xfId="2451"/>
    <cellStyle name="20% - Accent1 3 12 4 2" xfId="2452"/>
    <cellStyle name="20% - Accent1 3 12 4 2 2" xfId="2453"/>
    <cellStyle name="20% - Accent1 3 12 4 3" xfId="2454"/>
    <cellStyle name="20% - Accent1 3 12 4 4" xfId="2455"/>
    <cellStyle name="20% - Accent1 3 12 5" xfId="2456"/>
    <cellStyle name="20% - Accent1 3 12 5 2" xfId="2457"/>
    <cellStyle name="20% - Accent1 3 12 6" xfId="2458"/>
    <cellStyle name="20% - Accent1 3 12 7" xfId="2459"/>
    <cellStyle name="20% - Accent1 3 12 8" xfId="2460"/>
    <cellStyle name="20% - Accent1 3 2" xfId="2461"/>
    <cellStyle name="20% - Accent1 3 2 2" xfId="2462"/>
    <cellStyle name="20% - Accent1 3 2 2 2" xfId="2463"/>
    <cellStyle name="20% - Accent1 3 2 3" xfId="2464"/>
    <cellStyle name="20% - Accent1 3 2 4" xfId="2465"/>
    <cellStyle name="20% - Accent1 3 2 5" xfId="2466"/>
    <cellStyle name="20% - Accent1 3 2 6" xfId="2467"/>
    <cellStyle name="20% - Accent1 3 2 7" xfId="2468"/>
    <cellStyle name="20% - Accent1 3 2 8" xfId="2469"/>
    <cellStyle name="20% - Accent1 3 2_2009 Actual" xfId="2470"/>
    <cellStyle name="20% - Accent1 3 3" xfId="2471"/>
    <cellStyle name="20% - Accent1 3 3 2" xfId="2472"/>
    <cellStyle name="20% - Accent1 3 4" xfId="2473"/>
    <cellStyle name="20% - Accent1 3 5" xfId="2474"/>
    <cellStyle name="20% - Accent1 3 6" xfId="2475"/>
    <cellStyle name="20% - Accent1 3 7" xfId="2476"/>
    <cellStyle name="20% - Accent1 3 8" xfId="2477"/>
    <cellStyle name="20% - Accent1 3 9" xfId="2478"/>
    <cellStyle name="20% - Accent1 3_2009 Actual" xfId="2479"/>
    <cellStyle name="20% - Accent1 30" xfId="2480"/>
    <cellStyle name="20% - Accent1 30 2" xfId="2481"/>
    <cellStyle name="20% - Accent1 30 3" xfId="2482"/>
    <cellStyle name="20% - Accent1 31" xfId="2483"/>
    <cellStyle name="20% - Accent1 32" xfId="2484"/>
    <cellStyle name="20% - Accent1 33" xfId="2485"/>
    <cellStyle name="20% - Accent1 33 2" xfId="2486"/>
    <cellStyle name="20% - Accent1 33 2 2" xfId="2487"/>
    <cellStyle name="20% - Accent1 33 2 2 2" xfId="2488"/>
    <cellStyle name="20% - Accent1 33 2 2 3" xfId="2489"/>
    <cellStyle name="20% - Accent1 33 2 3" xfId="2490"/>
    <cellStyle name="20% - Accent1 33 2 3 2" xfId="2491"/>
    <cellStyle name="20% - Accent1 33 2 4" xfId="2492"/>
    <cellStyle name="20% - Accent1 33 2 5" xfId="2493"/>
    <cellStyle name="20% - Accent1 33 3" xfId="2494"/>
    <cellStyle name="20% - Accent1 33 3 2" xfId="2495"/>
    <cellStyle name="20% - Accent1 33 3 2 2" xfId="2496"/>
    <cellStyle name="20% - Accent1 33 3 3" xfId="2497"/>
    <cellStyle name="20% - Accent1 33 3 4" xfId="2498"/>
    <cellStyle name="20% - Accent1 33 4" xfId="2499"/>
    <cellStyle name="20% - Accent1 33 4 2" xfId="2500"/>
    <cellStyle name="20% - Accent1 33 4 2 2" xfId="2501"/>
    <cellStyle name="20% - Accent1 33 4 3" xfId="2502"/>
    <cellStyle name="20% - Accent1 33 4 4" xfId="2503"/>
    <cellStyle name="20% - Accent1 33 5" xfId="2504"/>
    <cellStyle name="20% - Accent1 33 5 2" xfId="2505"/>
    <cellStyle name="20% - Accent1 33 6" xfId="2506"/>
    <cellStyle name="20% - Accent1 33 7" xfId="2507"/>
    <cellStyle name="20% - Accent1 33 8" xfId="2508"/>
    <cellStyle name="20% - Accent1 34" xfId="2509"/>
    <cellStyle name="20% - Accent1 34 2" xfId="2510"/>
    <cellStyle name="20% - Accent1 34 2 2" xfId="2511"/>
    <cellStyle name="20% - Accent1 34 2 2 2" xfId="2512"/>
    <cellStyle name="20% - Accent1 34 2 2 3" xfId="2513"/>
    <cellStyle name="20% - Accent1 34 2 3" xfId="2514"/>
    <cellStyle name="20% - Accent1 34 2 3 2" xfId="2515"/>
    <cellStyle name="20% - Accent1 34 2 4" xfId="2516"/>
    <cellStyle name="20% - Accent1 34 2 5" xfId="2517"/>
    <cellStyle name="20% - Accent1 34 3" xfId="2518"/>
    <cellStyle name="20% - Accent1 34 3 2" xfId="2519"/>
    <cellStyle name="20% - Accent1 34 3 2 2" xfId="2520"/>
    <cellStyle name="20% - Accent1 34 3 3" xfId="2521"/>
    <cellStyle name="20% - Accent1 34 3 4" xfId="2522"/>
    <cellStyle name="20% - Accent1 34 4" xfId="2523"/>
    <cellStyle name="20% - Accent1 34 4 2" xfId="2524"/>
    <cellStyle name="20% - Accent1 34 4 2 2" xfId="2525"/>
    <cellStyle name="20% - Accent1 34 4 3" xfId="2526"/>
    <cellStyle name="20% - Accent1 34 4 4" xfId="2527"/>
    <cellStyle name="20% - Accent1 34 5" xfId="2528"/>
    <cellStyle name="20% - Accent1 34 5 2" xfId="2529"/>
    <cellStyle name="20% - Accent1 34 6" xfId="2530"/>
    <cellStyle name="20% - Accent1 34 7" xfId="2531"/>
    <cellStyle name="20% - Accent1 34 8" xfId="2532"/>
    <cellStyle name="20% - Accent1 35" xfId="2533"/>
    <cellStyle name="20% - Accent1 35 2" xfId="2534"/>
    <cellStyle name="20% - Accent1 35 2 2" xfId="2535"/>
    <cellStyle name="20% - Accent1 35 2 2 2" xfId="2536"/>
    <cellStyle name="20% - Accent1 35 2 2 3" xfId="2537"/>
    <cellStyle name="20% - Accent1 35 2 3" xfId="2538"/>
    <cellStyle name="20% - Accent1 35 2 3 2" xfId="2539"/>
    <cellStyle name="20% - Accent1 35 2 4" xfId="2540"/>
    <cellStyle name="20% - Accent1 35 2 5" xfId="2541"/>
    <cellStyle name="20% - Accent1 35 3" xfId="2542"/>
    <cellStyle name="20% - Accent1 35 3 2" xfId="2543"/>
    <cellStyle name="20% - Accent1 35 3 2 2" xfId="2544"/>
    <cellStyle name="20% - Accent1 35 3 3" xfId="2545"/>
    <cellStyle name="20% - Accent1 35 3 4" xfId="2546"/>
    <cellStyle name="20% - Accent1 35 4" xfId="2547"/>
    <cellStyle name="20% - Accent1 35 4 2" xfId="2548"/>
    <cellStyle name="20% - Accent1 35 4 2 2" xfId="2549"/>
    <cellStyle name="20% - Accent1 35 4 3" xfId="2550"/>
    <cellStyle name="20% - Accent1 35 4 4" xfId="2551"/>
    <cellStyle name="20% - Accent1 35 5" xfId="2552"/>
    <cellStyle name="20% - Accent1 35 5 2" xfId="2553"/>
    <cellStyle name="20% - Accent1 35 6" xfId="2554"/>
    <cellStyle name="20% - Accent1 35 7" xfId="2555"/>
    <cellStyle name="20% - Accent1 35 8" xfId="2556"/>
    <cellStyle name="20% - Accent1 36" xfId="2557"/>
    <cellStyle name="20% - Accent1 36 2" xfId="2558"/>
    <cellStyle name="20% - Accent1 36 2 2" xfId="2559"/>
    <cellStyle name="20% - Accent1 36 2 2 2" xfId="2560"/>
    <cellStyle name="20% - Accent1 36 2 2 3" xfId="2561"/>
    <cellStyle name="20% - Accent1 36 2 3" xfId="2562"/>
    <cellStyle name="20% - Accent1 36 2 3 2" xfId="2563"/>
    <cellStyle name="20% - Accent1 36 2 4" xfId="2564"/>
    <cellStyle name="20% - Accent1 36 2 5" xfId="2565"/>
    <cellStyle name="20% - Accent1 36 3" xfId="2566"/>
    <cellStyle name="20% - Accent1 36 3 2" xfId="2567"/>
    <cellStyle name="20% - Accent1 36 3 2 2" xfId="2568"/>
    <cellStyle name="20% - Accent1 36 3 3" xfId="2569"/>
    <cellStyle name="20% - Accent1 36 3 4" xfId="2570"/>
    <cellStyle name="20% - Accent1 36 4" xfId="2571"/>
    <cellStyle name="20% - Accent1 36 4 2" xfId="2572"/>
    <cellStyle name="20% - Accent1 36 4 2 2" xfId="2573"/>
    <cellStyle name="20% - Accent1 36 4 3" xfId="2574"/>
    <cellStyle name="20% - Accent1 36 4 4" xfId="2575"/>
    <cellStyle name="20% - Accent1 36 5" xfId="2576"/>
    <cellStyle name="20% - Accent1 36 5 2" xfId="2577"/>
    <cellStyle name="20% - Accent1 36 6" xfId="2578"/>
    <cellStyle name="20% - Accent1 36 7" xfId="2579"/>
    <cellStyle name="20% - Accent1 36 8" xfId="2580"/>
    <cellStyle name="20% - Accent1 37" xfId="2581"/>
    <cellStyle name="20% - Accent1 37 2" xfId="2582"/>
    <cellStyle name="20% - Accent1 37 2 2" xfId="2583"/>
    <cellStyle name="20% - Accent1 37 2 2 2" xfId="2584"/>
    <cellStyle name="20% - Accent1 37 2 2 3" xfId="2585"/>
    <cellStyle name="20% - Accent1 37 2 3" xfId="2586"/>
    <cellStyle name="20% - Accent1 37 2 3 2" xfId="2587"/>
    <cellStyle name="20% - Accent1 37 2 4" xfId="2588"/>
    <cellStyle name="20% - Accent1 37 2 5" xfId="2589"/>
    <cellStyle name="20% - Accent1 37 3" xfId="2590"/>
    <cellStyle name="20% - Accent1 37 3 2" xfId="2591"/>
    <cellStyle name="20% - Accent1 37 3 2 2" xfId="2592"/>
    <cellStyle name="20% - Accent1 37 3 3" xfId="2593"/>
    <cellStyle name="20% - Accent1 37 3 4" xfId="2594"/>
    <cellStyle name="20% - Accent1 37 4" xfId="2595"/>
    <cellStyle name="20% - Accent1 37 4 2" xfId="2596"/>
    <cellStyle name="20% - Accent1 37 4 2 2" xfId="2597"/>
    <cellStyle name="20% - Accent1 37 4 3" xfId="2598"/>
    <cellStyle name="20% - Accent1 37 4 4" xfId="2599"/>
    <cellStyle name="20% - Accent1 37 5" xfId="2600"/>
    <cellStyle name="20% - Accent1 37 5 2" xfId="2601"/>
    <cellStyle name="20% - Accent1 37 6" xfId="2602"/>
    <cellStyle name="20% - Accent1 37 7" xfId="2603"/>
    <cellStyle name="20% - Accent1 37 8" xfId="2604"/>
    <cellStyle name="20% - Accent1 38" xfId="2605"/>
    <cellStyle name="20% - Accent1 38 2" xfId="2606"/>
    <cellStyle name="20% - Accent1 38 2 2" xfId="2607"/>
    <cellStyle name="20% - Accent1 38 2 3" xfId="2608"/>
    <cellStyle name="20% - Accent1 38 3" xfId="2609"/>
    <cellStyle name="20% - Accent1 38 3 2" xfId="2610"/>
    <cellStyle name="20% - Accent1 38 4" xfId="2611"/>
    <cellStyle name="20% - Accent1 38 5" xfId="2612"/>
    <cellStyle name="20% - Accent1 39" xfId="2613"/>
    <cellStyle name="20% - Accent1 39 2" xfId="2614"/>
    <cellStyle name="20% - Accent1 39 2 2" xfId="2615"/>
    <cellStyle name="20% - Accent1 39 2 3" xfId="2616"/>
    <cellStyle name="20% - Accent1 39 3" xfId="2617"/>
    <cellStyle name="20% - Accent1 39 3 2" xfId="2618"/>
    <cellStyle name="20% - Accent1 39 4" xfId="2619"/>
    <cellStyle name="20% - Accent1 39 5" xfId="2620"/>
    <cellStyle name="20% - Accent1 4" xfId="2621"/>
    <cellStyle name="20% - Accent1 4 2" xfId="2622"/>
    <cellStyle name="20% - Accent1 4 2 2" xfId="2623"/>
    <cellStyle name="20% - Accent1 4 2 3" xfId="2624"/>
    <cellStyle name="20% - Accent1 4 2 4" xfId="2625"/>
    <cellStyle name="20% - Accent1 4 2 5" xfId="2626"/>
    <cellStyle name="20% - Accent1 4 2 6" xfId="2627"/>
    <cellStyle name="20% - Accent1 4 2 7" xfId="2628"/>
    <cellStyle name="20% - Accent1 4 2_2009 Actual" xfId="2629"/>
    <cellStyle name="20% - Accent1 4 3" xfId="2630"/>
    <cellStyle name="20% - Accent1 4 4" xfId="2631"/>
    <cellStyle name="20% - Accent1 4 5" xfId="2632"/>
    <cellStyle name="20% - Accent1 4 6" xfId="2633"/>
    <cellStyle name="20% - Accent1 4 7" xfId="2634"/>
    <cellStyle name="20% - Accent1 4 8" xfId="2635"/>
    <cellStyle name="20% - Accent1 4_2009 Actual" xfId="2636"/>
    <cellStyle name="20% - Accent1 40" xfId="2637"/>
    <cellStyle name="20% - Accent1 40 2" xfId="2638"/>
    <cellStyle name="20% - Accent1 40 2 2" xfId="2639"/>
    <cellStyle name="20% - Accent1 40 2 3" xfId="2640"/>
    <cellStyle name="20% - Accent1 40 3" xfId="2641"/>
    <cellStyle name="20% - Accent1 40 3 2" xfId="2642"/>
    <cellStyle name="20% - Accent1 40 4" xfId="2643"/>
    <cellStyle name="20% - Accent1 40 5" xfId="2644"/>
    <cellStyle name="20% - Accent1 41" xfId="2645"/>
    <cellStyle name="20% - Accent1 41 2" xfId="2646"/>
    <cellStyle name="20% - Accent1 41 2 2" xfId="2647"/>
    <cellStyle name="20% - Accent1 41 2 3" xfId="2648"/>
    <cellStyle name="20% - Accent1 41 3" xfId="2649"/>
    <cellStyle name="20% - Accent1 41 3 2" xfId="2650"/>
    <cellStyle name="20% - Accent1 41 4" xfId="2651"/>
    <cellStyle name="20% - Accent1 41 5" xfId="2652"/>
    <cellStyle name="20% - Accent1 42" xfId="2653"/>
    <cellStyle name="20% - Accent1 42 2" xfId="2654"/>
    <cellStyle name="20% - Accent1 42 2 2" xfId="2655"/>
    <cellStyle name="20% - Accent1 42 2 3" xfId="2656"/>
    <cellStyle name="20% - Accent1 42 3" xfId="2657"/>
    <cellStyle name="20% - Accent1 42 3 2" xfId="2658"/>
    <cellStyle name="20% - Accent1 42 4" xfId="2659"/>
    <cellStyle name="20% - Accent1 42 5" xfId="2660"/>
    <cellStyle name="20% - Accent1 43" xfId="2661"/>
    <cellStyle name="20% - Accent1 43 2" xfId="2662"/>
    <cellStyle name="20% - Accent1 43 2 2" xfId="2663"/>
    <cellStyle name="20% - Accent1 43 2 3" xfId="2664"/>
    <cellStyle name="20% - Accent1 43 3" xfId="2665"/>
    <cellStyle name="20% - Accent1 43 3 2" xfId="2666"/>
    <cellStyle name="20% - Accent1 43 4" xfId="2667"/>
    <cellStyle name="20% - Accent1 43 5" xfId="2668"/>
    <cellStyle name="20% - Accent1 44" xfId="2669"/>
    <cellStyle name="20% - Accent1 44 2" xfId="2670"/>
    <cellStyle name="20% - Accent1 44 2 2" xfId="2671"/>
    <cellStyle name="20% - Accent1 44 2 3" xfId="2672"/>
    <cellStyle name="20% - Accent1 44 3" xfId="2673"/>
    <cellStyle name="20% - Accent1 44 3 2" xfId="2674"/>
    <cellStyle name="20% - Accent1 44 4" xfId="2675"/>
    <cellStyle name="20% - Accent1 44 5" xfId="2676"/>
    <cellStyle name="20% - Accent1 45" xfId="2677"/>
    <cellStyle name="20% - Accent1 45 2" xfId="2678"/>
    <cellStyle name="20% - Accent1 45 2 2" xfId="2679"/>
    <cellStyle name="20% - Accent1 45 2 3" xfId="2680"/>
    <cellStyle name="20% - Accent1 45 3" xfId="2681"/>
    <cellStyle name="20% - Accent1 45 3 2" xfId="2682"/>
    <cellStyle name="20% - Accent1 45 4" xfId="2683"/>
    <cellStyle name="20% - Accent1 45 5" xfId="2684"/>
    <cellStyle name="20% - Accent1 46" xfId="2685"/>
    <cellStyle name="20% - Accent1 46 2" xfId="2686"/>
    <cellStyle name="20% - Accent1 46 2 2" xfId="2687"/>
    <cellStyle name="20% - Accent1 46 2 3" xfId="2688"/>
    <cellStyle name="20% - Accent1 46 3" xfId="2689"/>
    <cellStyle name="20% - Accent1 46 3 2" xfId="2690"/>
    <cellStyle name="20% - Accent1 46 4" xfId="2691"/>
    <cellStyle name="20% - Accent1 46 5" xfId="2692"/>
    <cellStyle name="20% - Accent1 47" xfId="2693"/>
    <cellStyle name="20% - Accent1 47 2" xfId="2694"/>
    <cellStyle name="20% - Accent1 47 2 2" xfId="2695"/>
    <cellStyle name="20% - Accent1 47 2 3" xfId="2696"/>
    <cellStyle name="20% - Accent1 47 3" xfId="2697"/>
    <cellStyle name="20% - Accent1 47 3 2" xfId="2698"/>
    <cellStyle name="20% - Accent1 47 4" xfId="2699"/>
    <cellStyle name="20% - Accent1 47 5" xfId="2700"/>
    <cellStyle name="20% - Accent1 48" xfId="2701"/>
    <cellStyle name="20% - Accent1 48 2" xfId="2702"/>
    <cellStyle name="20% - Accent1 48 2 2" xfId="2703"/>
    <cellStyle name="20% - Accent1 48 2 3" xfId="2704"/>
    <cellStyle name="20% - Accent1 48 3" xfId="2705"/>
    <cellStyle name="20% - Accent1 48 3 2" xfId="2706"/>
    <cellStyle name="20% - Accent1 48 4" xfId="2707"/>
    <cellStyle name="20% - Accent1 48 5" xfId="2708"/>
    <cellStyle name="20% - Accent1 49" xfId="2709"/>
    <cellStyle name="20% - Accent1 49 2" xfId="2710"/>
    <cellStyle name="20% - Accent1 49 2 2" xfId="2711"/>
    <cellStyle name="20% - Accent1 49 2 3" xfId="2712"/>
    <cellStyle name="20% - Accent1 49 3" xfId="2713"/>
    <cellStyle name="20% - Accent1 49 3 2" xfId="2714"/>
    <cellStyle name="20% - Accent1 49 4" xfId="2715"/>
    <cellStyle name="20% - Accent1 49 5" xfId="2716"/>
    <cellStyle name="20% - Accent1 5" xfId="2717"/>
    <cellStyle name="20% - Accent1 5 2" xfId="2718"/>
    <cellStyle name="20% - Accent1 5 2 2" xfId="2719"/>
    <cellStyle name="20% - Accent1 5 2 3" xfId="2720"/>
    <cellStyle name="20% - Accent1 5 2 4" xfId="2721"/>
    <cellStyle name="20% - Accent1 5 2 5" xfId="2722"/>
    <cellStyle name="20% - Accent1 5 2 6" xfId="2723"/>
    <cellStyle name="20% - Accent1 5 2 7" xfId="2724"/>
    <cellStyle name="20% - Accent1 5 2_2009 Actual" xfId="2725"/>
    <cellStyle name="20% - Accent1 5 3" xfId="2726"/>
    <cellStyle name="20% - Accent1 5 4" xfId="2727"/>
    <cellStyle name="20% - Accent1 5 5" xfId="2728"/>
    <cellStyle name="20% - Accent1 5 6" xfId="2729"/>
    <cellStyle name="20% - Accent1 5 7" xfId="2730"/>
    <cellStyle name="20% - Accent1 5 8" xfId="2731"/>
    <cellStyle name="20% - Accent1 5_2009 Actual" xfId="2732"/>
    <cellStyle name="20% - Accent1 50" xfId="2733"/>
    <cellStyle name="20% - Accent1 50 2" xfId="2734"/>
    <cellStyle name="20% - Accent1 50 2 2" xfId="2735"/>
    <cellStyle name="20% - Accent1 50 2 3" xfId="2736"/>
    <cellStyle name="20% - Accent1 50 3" xfId="2737"/>
    <cellStyle name="20% - Accent1 50 3 2" xfId="2738"/>
    <cellStyle name="20% - Accent1 50 4" xfId="2739"/>
    <cellStyle name="20% - Accent1 50 5" xfId="2740"/>
    <cellStyle name="20% - Accent1 51" xfId="2741"/>
    <cellStyle name="20% - Accent1 51 2" xfId="2742"/>
    <cellStyle name="20% - Accent1 51 2 2" xfId="2743"/>
    <cellStyle name="20% - Accent1 51 2 3" xfId="2744"/>
    <cellStyle name="20% - Accent1 51 3" xfId="2745"/>
    <cellStyle name="20% - Accent1 51 3 2" xfId="2746"/>
    <cellStyle name="20% - Accent1 51 4" xfId="2747"/>
    <cellStyle name="20% - Accent1 51 5" xfId="2748"/>
    <cellStyle name="20% - Accent1 52" xfId="2749"/>
    <cellStyle name="20% - Accent1 52 2" xfId="2750"/>
    <cellStyle name="20% - Accent1 52 2 2" xfId="2751"/>
    <cellStyle name="20% - Accent1 52 2 3" xfId="2752"/>
    <cellStyle name="20% - Accent1 52 3" xfId="2753"/>
    <cellStyle name="20% - Accent1 52 3 2" xfId="2754"/>
    <cellStyle name="20% - Accent1 52 4" xfId="2755"/>
    <cellStyle name="20% - Accent1 52 5" xfId="2756"/>
    <cellStyle name="20% - Accent1 53" xfId="2757"/>
    <cellStyle name="20% - Accent1 53 2" xfId="2758"/>
    <cellStyle name="20% - Accent1 53 2 2" xfId="2759"/>
    <cellStyle name="20% - Accent1 53 2 3" xfId="2760"/>
    <cellStyle name="20% - Accent1 53 3" xfId="2761"/>
    <cellStyle name="20% - Accent1 53 3 2" xfId="2762"/>
    <cellStyle name="20% - Accent1 53 4" xfId="2763"/>
    <cellStyle name="20% - Accent1 53 5" xfId="2764"/>
    <cellStyle name="20% - Accent1 54" xfId="2765"/>
    <cellStyle name="20% - Accent1 54 2" xfId="2766"/>
    <cellStyle name="20% - Accent1 54 2 2" xfId="2767"/>
    <cellStyle name="20% - Accent1 54 2 3" xfId="2768"/>
    <cellStyle name="20% - Accent1 54 3" xfId="2769"/>
    <cellStyle name="20% - Accent1 54 3 2" xfId="2770"/>
    <cellStyle name="20% - Accent1 54 4" xfId="2771"/>
    <cellStyle name="20% - Accent1 54 5" xfId="2772"/>
    <cellStyle name="20% - Accent1 55" xfId="2773"/>
    <cellStyle name="20% - Accent1 55 2" xfId="2774"/>
    <cellStyle name="20% - Accent1 55 2 2" xfId="2775"/>
    <cellStyle name="20% - Accent1 55 2 3" xfId="2776"/>
    <cellStyle name="20% - Accent1 55 3" xfId="2777"/>
    <cellStyle name="20% - Accent1 55 3 2" xfId="2778"/>
    <cellStyle name="20% - Accent1 55 4" xfId="2779"/>
    <cellStyle name="20% - Accent1 55 5" xfId="2780"/>
    <cellStyle name="20% - Accent1 56" xfId="2781"/>
    <cellStyle name="20% - Accent1 56 2" xfId="2782"/>
    <cellStyle name="20% - Accent1 56 2 2" xfId="2783"/>
    <cellStyle name="20% - Accent1 56 2 3" xfId="2784"/>
    <cellStyle name="20% - Accent1 56 3" xfId="2785"/>
    <cellStyle name="20% - Accent1 56 3 2" xfId="2786"/>
    <cellStyle name="20% - Accent1 56 4" xfId="2787"/>
    <cellStyle name="20% - Accent1 56 5" xfId="2788"/>
    <cellStyle name="20% - Accent1 57" xfId="2789"/>
    <cellStyle name="20% - Accent1 57 2" xfId="2790"/>
    <cellStyle name="20% - Accent1 57 2 2" xfId="2791"/>
    <cellStyle name="20% - Accent1 57 2 3" xfId="2792"/>
    <cellStyle name="20% - Accent1 57 3" xfId="2793"/>
    <cellStyle name="20% - Accent1 57 3 2" xfId="2794"/>
    <cellStyle name="20% - Accent1 57 4" xfId="2795"/>
    <cellStyle name="20% - Accent1 57 5" xfId="2796"/>
    <cellStyle name="20% - Accent1 58" xfId="2797"/>
    <cellStyle name="20% - Accent1 58 2" xfId="2798"/>
    <cellStyle name="20% - Accent1 58 2 2" xfId="2799"/>
    <cellStyle name="20% - Accent1 58 2 3" xfId="2800"/>
    <cellStyle name="20% - Accent1 58 3" xfId="2801"/>
    <cellStyle name="20% - Accent1 58 3 2" xfId="2802"/>
    <cellStyle name="20% - Accent1 58 4" xfId="2803"/>
    <cellStyle name="20% - Accent1 58 5" xfId="2804"/>
    <cellStyle name="20% - Accent1 59" xfId="2805"/>
    <cellStyle name="20% - Accent1 59 2" xfId="2806"/>
    <cellStyle name="20% - Accent1 59 2 2" xfId="2807"/>
    <cellStyle name="20% - Accent1 59 2 3" xfId="2808"/>
    <cellStyle name="20% - Accent1 59 3" xfId="2809"/>
    <cellStyle name="20% - Accent1 59 3 2" xfId="2810"/>
    <cellStyle name="20% - Accent1 59 4" xfId="2811"/>
    <cellStyle name="20% - Accent1 59 5" xfId="2812"/>
    <cellStyle name="20% - Accent1 6" xfId="2813"/>
    <cellStyle name="20% - Accent1 6 2" xfId="2814"/>
    <cellStyle name="20% - Accent1 6 2 2" xfId="2815"/>
    <cellStyle name="20% - Accent1 6 2_4Q Ops Metrics Gas &amp; Electric 2010" xfId="2816"/>
    <cellStyle name="20% - Accent1 6 3" xfId="2817"/>
    <cellStyle name="20% - Accent1 6 3 2" xfId="2818"/>
    <cellStyle name="20% - Accent1 6 3_4Q Ops Metrics Gas &amp; Electric 2010" xfId="2819"/>
    <cellStyle name="20% - Accent1 6 4" xfId="2820"/>
    <cellStyle name="20% - Accent1 6 4 2" xfId="2821"/>
    <cellStyle name="20% - Accent1 6 4_4Q Ops Metrics Gas &amp; Electric 2010" xfId="2822"/>
    <cellStyle name="20% - Accent1 6 5" xfId="2823"/>
    <cellStyle name="20% - Accent1 6 5 2" xfId="2824"/>
    <cellStyle name="20% - Accent1 6 5 3" xfId="2825"/>
    <cellStyle name="20% - Accent1 6 5 4" xfId="2826"/>
    <cellStyle name="20% - Accent1 6 5 5" xfId="2827"/>
    <cellStyle name="20% - Accent1 6 5_4Q Ops Metrics Gas &amp; Electric 2010" xfId="2828"/>
    <cellStyle name="20% - Accent1 6 6" xfId="2829"/>
    <cellStyle name="20% - Accent1 6 6 2" xfId="2830"/>
    <cellStyle name="20% - Accent1 6 7" xfId="2831"/>
    <cellStyle name="20% - Accent1 6 7 2" xfId="2832"/>
    <cellStyle name="20% - Accent1 6_2009 Actual" xfId="2833"/>
    <cellStyle name="20% - Accent1 60" xfId="2834"/>
    <cellStyle name="20% - Accent1 60 2" xfId="2835"/>
    <cellStyle name="20% - Accent1 60 2 2" xfId="2836"/>
    <cellStyle name="20% - Accent1 60 2 3" xfId="2837"/>
    <cellStyle name="20% - Accent1 60 3" xfId="2838"/>
    <cellStyle name="20% - Accent1 60 3 2" xfId="2839"/>
    <cellStyle name="20% - Accent1 60 4" xfId="2840"/>
    <cellStyle name="20% - Accent1 60 5" xfId="2841"/>
    <cellStyle name="20% - Accent1 61" xfId="2842"/>
    <cellStyle name="20% - Accent1 61 2" xfId="2843"/>
    <cellStyle name="20% - Accent1 61 2 2" xfId="2844"/>
    <cellStyle name="20% - Accent1 61 2 3" xfId="2845"/>
    <cellStyle name="20% - Accent1 61 3" xfId="2846"/>
    <cellStyle name="20% - Accent1 61 3 2" xfId="2847"/>
    <cellStyle name="20% - Accent1 61 4" xfId="2848"/>
    <cellStyle name="20% - Accent1 61 5" xfId="2849"/>
    <cellStyle name="20% - Accent1 62" xfId="2850"/>
    <cellStyle name="20% - Accent1 62 2" xfId="2851"/>
    <cellStyle name="20% - Accent1 62 2 2" xfId="2852"/>
    <cellStyle name="20% - Accent1 62 2 3" xfId="2853"/>
    <cellStyle name="20% - Accent1 62 3" xfId="2854"/>
    <cellStyle name="20% - Accent1 62 3 2" xfId="2855"/>
    <cellStyle name="20% - Accent1 62 4" xfId="2856"/>
    <cellStyle name="20% - Accent1 62 5" xfId="2857"/>
    <cellStyle name="20% - Accent1 63" xfId="2858"/>
    <cellStyle name="20% - Accent1 63 2" xfId="2859"/>
    <cellStyle name="20% - Accent1 63 2 2" xfId="2860"/>
    <cellStyle name="20% - Accent1 63 2 3" xfId="2861"/>
    <cellStyle name="20% - Accent1 63 3" xfId="2862"/>
    <cellStyle name="20% - Accent1 63 3 2" xfId="2863"/>
    <cellStyle name="20% - Accent1 63 4" xfId="2864"/>
    <cellStyle name="20% - Accent1 63 5" xfId="2865"/>
    <cellStyle name="20% - Accent1 64" xfId="2866"/>
    <cellStyle name="20% - Accent1 64 2" xfId="2867"/>
    <cellStyle name="20% - Accent1 64 2 2" xfId="2868"/>
    <cellStyle name="20% - Accent1 64 2 3" xfId="2869"/>
    <cellStyle name="20% - Accent1 64 3" xfId="2870"/>
    <cellStyle name="20% - Accent1 64 3 2" xfId="2871"/>
    <cellStyle name="20% - Accent1 64 4" xfId="2872"/>
    <cellStyle name="20% - Accent1 64 5" xfId="2873"/>
    <cellStyle name="20% - Accent1 65" xfId="2874"/>
    <cellStyle name="20% - Accent1 65 2" xfId="2875"/>
    <cellStyle name="20% - Accent1 65 2 2" xfId="2876"/>
    <cellStyle name="20% - Accent1 65 2 3" xfId="2877"/>
    <cellStyle name="20% - Accent1 65 3" xfId="2878"/>
    <cellStyle name="20% - Accent1 65 3 2" xfId="2879"/>
    <cellStyle name="20% - Accent1 65 4" xfId="2880"/>
    <cellStyle name="20% - Accent1 65 5" xfId="2881"/>
    <cellStyle name="20% - Accent1 66" xfId="2882"/>
    <cellStyle name="20% - Accent1 66 2" xfId="2883"/>
    <cellStyle name="20% - Accent1 66 2 2" xfId="2884"/>
    <cellStyle name="20% - Accent1 66 2 3" xfId="2885"/>
    <cellStyle name="20% - Accent1 66 3" xfId="2886"/>
    <cellStyle name="20% - Accent1 66 3 2" xfId="2887"/>
    <cellStyle name="20% - Accent1 66 4" xfId="2888"/>
    <cellStyle name="20% - Accent1 66 5" xfId="2889"/>
    <cellStyle name="20% - Accent1 67" xfId="2890"/>
    <cellStyle name="20% - Accent1 67 2" xfId="2891"/>
    <cellStyle name="20% - Accent1 67 2 2" xfId="2892"/>
    <cellStyle name="20% - Accent1 67 2 3" xfId="2893"/>
    <cellStyle name="20% - Accent1 67 3" xfId="2894"/>
    <cellStyle name="20% - Accent1 67 3 2" xfId="2895"/>
    <cellStyle name="20% - Accent1 67 4" xfId="2896"/>
    <cellStyle name="20% - Accent1 67 5" xfId="2897"/>
    <cellStyle name="20% - Accent1 68" xfId="2898"/>
    <cellStyle name="20% - Accent1 68 2" xfId="2899"/>
    <cellStyle name="20% - Accent1 68 2 2" xfId="2900"/>
    <cellStyle name="20% - Accent1 68 2 3" xfId="2901"/>
    <cellStyle name="20% - Accent1 68 3" xfId="2902"/>
    <cellStyle name="20% - Accent1 68 3 2" xfId="2903"/>
    <cellStyle name="20% - Accent1 68 4" xfId="2904"/>
    <cellStyle name="20% - Accent1 68 5" xfId="2905"/>
    <cellStyle name="20% - Accent1 69" xfId="2906"/>
    <cellStyle name="20% - Accent1 69 2" xfId="2907"/>
    <cellStyle name="20% - Accent1 69 2 2" xfId="2908"/>
    <cellStyle name="20% - Accent1 69 2 3" xfId="2909"/>
    <cellStyle name="20% - Accent1 69 3" xfId="2910"/>
    <cellStyle name="20% - Accent1 69 3 2" xfId="2911"/>
    <cellStyle name="20% - Accent1 69 4" xfId="2912"/>
    <cellStyle name="20% - Accent1 69 5" xfId="2913"/>
    <cellStyle name="20% - Accent1 7" xfId="2914"/>
    <cellStyle name="20% - Accent1 7 2" xfId="2915"/>
    <cellStyle name="20% - Accent1 7 2 2" xfId="2916"/>
    <cellStyle name="20% - Accent1 7 2_4Q Ops Metrics Gas &amp; Electric 2010" xfId="2917"/>
    <cellStyle name="20% - Accent1 7 3" xfId="2918"/>
    <cellStyle name="20% - Accent1 7 3 2" xfId="2919"/>
    <cellStyle name="20% - Accent1 7 3_4Q Ops Metrics Gas &amp; Electric 2010" xfId="2920"/>
    <cellStyle name="20% - Accent1 7 4" xfId="2921"/>
    <cellStyle name="20% - Accent1 7 4 2" xfId="2922"/>
    <cellStyle name="20% - Accent1 7 4_4Q Ops Metrics Gas &amp; Electric 2010" xfId="2923"/>
    <cellStyle name="20% - Accent1 7 5" xfId="2924"/>
    <cellStyle name="20% - Accent1 7 5 2" xfId="2925"/>
    <cellStyle name="20% - Accent1 7 5 3" xfId="2926"/>
    <cellStyle name="20% - Accent1 7 5 4" xfId="2927"/>
    <cellStyle name="20% - Accent1 7 5 5" xfId="2928"/>
    <cellStyle name="20% - Accent1 7 5_4Q Ops Metrics Gas &amp; Electric 2010" xfId="2929"/>
    <cellStyle name="20% - Accent1 7 6" xfId="2930"/>
    <cellStyle name="20% - Accent1 7 6 2" xfId="2931"/>
    <cellStyle name="20% - Accent1 7 7" xfId="2932"/>
    <cellStyle name="20% - Accent1 7 7 2" xfId="2933"/>
    <cellStyle name="20% - Accent1 7_2009 Actual" xfId="2934"/>
    <cellStyle name="20% - Accent1 70" xfId="2935"/>
    <cellStyle name="20% - Accent1 70 2" xfId="2936"/>
    <cellStyle name="20% - Accent1 70 2 2" xfId="2937"/>
    <cellStyle name="20% - Accent1 70 2 3" xfId="2938"/>
    <cellStyle name="20% - Accent1 70 3" xfId="2939"/>
    <cellStyle name="20% - Accent1 70 3 2" xfId="2940"/>
    <cellStyle name="20% - Accent1 70 4" xfId="2941"/>
    <cellStyle name="20% - Accent1 70 5" xfId="2942"/>
    <cellStyle name="20% - Accent1 71" xfId="2943"/>
    <cellStyle name="20% - Accent1 71 2" xfId="2944"/>
    <cellStyle name="20% - Accent1 71 2 2" xfId="2945"/>
    <cellStyle name="20% - Accent1 71 3" xfId="2946"/>
    <cellStyle name="20% - Accent1 71 4" xfId="2947"/>
    <cellStyle name="20% - Accent1 72" xfId="2948"/>
    <cellStyle name="20% - Accent1 72 2" xfId="2949"/>
    <cellStyle name="20% - Accent1 72 2 2" xfId="2950"/>
    <cellStyle name="20% - Accent1 72 3" xfId="2951"/>
    <cellStyle name="20% - Accent1 72 4" xfId="2952"/>
    <cellStyle name="20% - Accent1 73" xfId="2953"/>
    <cellStyle name="20% - Accent1 73 2" xfId="2954"/>
    <cellStyle name="20% - Accent1 73 2 2" xfId="2955"/>
    <cellStyle name="20% - Accent1 73 3" xfId="2956"/>
    <cellStyle name="20% - Accent1 73 4" xfId="2957"/>
    <cellStyle name="20% - Accent1 74" xfId="2958"/>
    <cellStyle name="20% - Accent1 74 2" xfId="2959"/>
    <cellStyle name="20% - Accent1 74 2 2" xfId="2960"/>
    <cellStyle name="20% - Accent1 74 3" xfId="2961"/>
    <cellStyle name="20% - Accent1 74 4" xfId="2962"/>
    <cellStyle name="20% - Accent1 75" xfId="2963"/>
    <cellStyle name="20% - Accent1 75 2" xfId="2964"/>
    <cellStyle name="20% - Accent1 75 2 2" xfId="2965"/>
    <cellStyle name="20% - Accent1 75 3" xfId="2966"/>
    <cellStyle name="20% - Accent1 75 4" xfId="2967"/>
    <cellStyle name="20% - Accent1 76" xfId="2968"/>
    <cellStyle name="20% - Accent1 76 2" xfId="2969"/>
    <cellStyle name="20% - Accent1 76 2 2" xfId="2970"/>
    <cellStyle name="20% - Accent1 76 3" xfId="2971"/>
    <cellStyle name="20% - Accent1 76 4" xfId="2972"/>
    <cellStyle name="20% - Accent1 77" xfId="2973"/>
    <cellStyle name="20% - Accent1 77 2" xfId="2974"/>
    <cellStyle name="20% - Accent1 77 2 2" xfId="2975"/>
    <cellStyle name="20% - Accent1 77 3" xfId="2976"/>
    <cellStyle name="20% - Accent1 77 4" xfId="2977"/>
    <cellStyle name="20% - Accent1 78" xfId="2978"/>
    <cellStyle name="20% - Accent1 78 2" xfId="2979"/>
    <cellStyle name="20% - Accent1 78 2 2" xfId="2980"/>
    <cellStyle name="20% - Accent1 78 3" xfId="2981"/>
    <cellStyle name="20% - Accent1 78 4" xfId="2982"/>
    <cellStyle name="20% - Accent1 79" xfId="2983"/>
    <cellStyle name="20% - Accent1 79 2" xfId="2984"/>
    <cellStyle name="20% - Accent1 79 2 2" xfId="2985"/>
    <cellStyle name="20% - Accent1 79 3" xfId="2986"/>
    <cellStyle name="20% - Accent1 79 4" xfId="2987"/>
    <cellStyle name="20% - Accent1 8" xfId="2988"/>
    <cellStyle name="20% - Accent1 8 2" xfId="2989"/>
    <cellStyle name="20% - Accent1 8 2 2" xfId="2990"/>
    <cellStyle name="20% - Accent1 8 2_4Q Ops Metrics Gas &amp; Electric 2010" xfId="2991"/>
    <cellStyle name="20% - Accent1 8 3" xfId="2992"/>
    <cellStyle name="20% - Accent1 8 3 2" xfId="2993"/>
    <cellStyle name="20% - Accent1 8 3_4Q Ops Metrics Gas &amp; Electric 2010" xfId="2994"/>
    <cellStyle name="20% - Accent1 8 4" xfId="2995"/>
    <cellStyle name="20% - Accent1 8 4 2" xfId="2996"/>
    <cellStyle name="20% - Accent1 8 4_4Q Ops Metrics Gas &amp; Electric 2010" xfId="2997"/>
    <cellStyle name="20% - Accent1 8 5" xfId="2998"/>
    <cellStyle name="20% - Accent1 8 5 2" xfId="2999"/>
    <cellStyle name="20% - Accent1 8 5 3" xfId="3000"/>
    <cellStyle name="20% - Accent1 8 5 4" xfId="3001"/>
    <cellStyle name="20% - Accent1 8 5 5" xfId="3002"/>
    <cellStyle name="20% - Accent1 8 5_4Q Ops Metrics Gas &amp; Electric 2010" xfId="3003"/>
    <cellStyle name="20% - Accent1 8 6" xfId="3004"/>
    <cellStyle name="20% - Accent1 8 6 2" xfId="3005"/>
    <cellStyle name="20% - Accent1 8 7" xfId="3006"/>
    <cellStyle name="20% - Accent1 8 7 2" xfId="3007"/>
    <cellStyle name="20% - Accent1 8_2009 Actual" xfId="3008"/>
    <cellStyle name="20% - Accent1 80" xfId="3009"/>
    <cellStyle name="20% - Accent1 80 2" xfId="3010"/>
    <cellStyle name="20% - Accent1 80 2 2" xfId="3011"/>
    <cellStyle name="20% - Accent1 80 3" xfId="3012"/>
    <cellStyle name="20% - Accent1 80 4" xfId="3013"/>
    <cellStyle name="20% - Accent1 81" xfId="3014"/>
    <cellStyle name="20% - Accent1 81 2" xfId="3015"/>
    <cellStyle name="20% - Accent1 81 2 2" xfId="3016"/>
    <cellStyle name="20% - Accent1 81 3" xfId="3017"/>
    <cellStyle name="20% - Accent1 81 4" xfId="3018"/>
    <cellStyle name="20% - Accent1 82" xfId="3019"/>
    <cellStyle name="20% - Accent1 82 2" xfId="3020"/>
    <cellStyle name="20% - Accent1 82 2 2" xfId="3021"/>
    <cellStyle name="20% - Accent1 82 3" xfId="3022"/>
    <cellStyle name="20% - Accent1 82 4" xfId="3023"/>
    <cellStyle name="20% - Accent1 83" xfId="3024"/>
    <cellStyle name="20% - Accent1 83 2" xfId="3025"/>
    <cellStyle name="20% - Accent1 83 2 2" xfId="3026"/>
    <cellStyle name="20% - Accent1 83 3" xfId="3027"/>
    <cellStyle name="20% - Accent1 83 4" xfId="3028"/>
    <cellStyle name="20% - Accent1 84" xfId="3029"/>
    <cellStyle name="20% - Accent1 84 2" xfId="3030"/>
    <cellStyle name="20% - Accent1 84 2 2" xfId="3031"/>
    <cellStyle name="20% - Accent1 84 3" xfId="3032"/>
    <cellStyle name="20% - Accent1 84 4" xfId="3033"/>
    <cellStyle name="20% - Accent1 85" xfId="3034"/>
    <cellStyle name="20% - Accent1 85 2" xfId="3035"/>
    <cellStyle name="20% - Accent1 85 2 2" xfId="3036"/>
    <cellStyle name="20% - Accent1 85 3" xfId="3037"/>
    <cellStyle name="20% - Accent1 85 4" xfId="3038"/>
    <cellStyle name="20% - Accent1 86" xfId="3039"/>
    <cellStyle name="20% - Accent1 86 2" xfId="3040"/>
    <cellStyle name="20% - Accent1 86 2 2" xfId="3041"/>
    <cellStyle name="20% - Accent1 86 3" xfId="3042"/>
    <cellStyle name="20% - Accent1 86 4" xfId="3043"/>
    <cellStyle name="20% - Accent1 87" xfId="3044"/>
    <cellStyle name="20% - Accent1 87 2" xfId="3045"/>
    <cellStyle name="20% - Accent1 87 2 2" xfId="3046"/>
    <cellStyle name="20% - Accent1 87 3" xfId="3047"/>
    <cellStyle name="20% - Accent1 87 4" xfId="3048"/>
    <cellStyle name="20% - Accent1 88" xfId="3049"/>
    <cellStyle name="20% - Accent1 88 2" xfId="3050"/>
    <cellStyle name="20% - Accent1 88 2 2" xfId="3051"/>
    <cellStyle name="20% - Accent1 88 3" xfId="3052"/>
    <cellStyle name="20% - Accent1 88 4" xfId="3053"/>
    <cellStyle name="20% - Accent1 89" xfId="3054"/>
    <cellStyle name="20% - Accent1 89 2" xfId="3055"/>
    <cellStyle name="20% - Accent1 89 2 2" xfId="3056"/>
    <cellStyle name="20% - Accent1 89 3" xfId="3057"/>
    <cellStyle name="20% - Accent1 89 4" xfId="3058"/>
    <cellStyle name="20% - Accent1 9" xfId="3059"/>
    <cellStyle name="20% - Accent1 9 2" xfId="3060"/>
    <cellStyle name="20% - Accent1 9 2 2" xfId="3061"/>
    <cellStyle name="20% - Accent1 9 2_4Q Ops Metrics Gas &amp; Electric 2010" xfId="3062"/>
    <cellStyle name="20% - Accent1 9 3" xfId="3063"/>
    <cellStyle name="20% - Accent1 9 3 2" xfId="3064"/>
    <cellStyle name="20% - Accent1 9 3_4Q Ops Metrics Gas &amp; Electric 2010" xfId="3065"/>
    <cellStyle name="20% - Accent1 9 4" xfId="3066"/>
    <cellStyle name="20% - Accent1 9 4 2" xfId="3067"/>
    <cellStyle name="20% - Accent1 9 4_4Q Ops Metrics Gas &amp; Electric 2010" xfId="3068"/>
    <cellStyle name="20% - Accent1 9 5" xfId="3069"/>
    <cellStyle name="20% - Accent1 9 5 2" xfId="3070"/>
    <cellStyle name="20% - Accent1 9 5 3" xfId="3071"/>
    <cellStyle name="20% - Accent1 9 5 4" xfId="3072"/>
    <cellStyle name="20% - Accent1 9 5 5" xfId="3073"/>
    <cellStyle name="20% - Accent1 9 5_4Q Ops Metrics Gas &amp; Electric 2010" xfId="3074"/>
    <cellStyle name="20% - Accent1 9 6" xfId="3075"/>
    <cellStyle name="20% - Accent1 9 6 2" xfId="3076"/>
    <cellStyle name="20% - Accent1 9 7" xfId="3077"/>
    <cellStyle name="20% - Accent1 9 7 2" xfId="3078"/>
    <cellStyle name="20% - Accent1 9_2009 Actual" xfId="3079"/>
    <cellStyle name="20% - Accent1 90" xfId="3080"/>
    <cellStyle name="20% - Accent1 90 2" xfId="3081"/>
    <cellStyle name="20% - Accent1 90 2 2" xfId="3082"/>
    <cellStyle name="20% - Accent1 90 3" xfId="3083"/>
    <cellStyle name="20% - Accent1 90 4" xfId="3084"/>
    <cellStyle name="20% - Accent1 91" xfId="3085"/>
    <cellStyle name="20% - Accent1 91 2" xfId="3086"/>
    <cellStyle name="20% - Accent1 91 2 2" xfId="3087"/>
    <cellStyle name="20% - Accent1 91 3" xfId="3088"/>
    <cellStyle name="20% - Accent1 91 4" xfId="3089"/>
    <cellStyle name="20% - Accent1 92" xfId="3090"/>
    <cellStyle name="20% - Accent1 92 2" xfId="3091"/>
    <cellStyle name="20% - Accent1 92 2 2" xfId="3092"/>
    <cellStyle name="20% - Accent1 92 3" xfId="3093"/>
    <cellStyle name="20% - Accent1 92 4" xfId="3094"/>
    <cellStyle name="20% - Accent1 93" xfId="3095"/>
    <cellStyle name="20% - Accent1 93 2" xfId="3096"/>
    <cellStyle name="20% - Accent1 93 2 2" xfId="3097"/>
    <cellStyle name="20% - Accent1 93 3" xfId="3098"/>
    <cellStyle name="20% - Accent1 93 4" xfId="3099"/>
    <cellStyle name="20% - Accent1 94" xfId="3100"/>
    <cellStyle name="20% - Accent1 94 2" xfId="3101"/>
    <cellStyle name="20% - Accent1 94 2 2" xfId="3102"/>
    <cellStyle name="20% - Accent1 94 3" xfId="3103"/>
    <cellStyle name="20% - Accent1 94 4" xfId="3104"/>
    <cellStyle name="20% - Accent1 95" xfId="3105"/>
    <cellStyle name="20% - Accent1 95 2" xfId="3106"/>
    <cellStyle name="20% - Accent1 95 2 2" xfId="3107"/>
    <cellStyle name="20% - Accent1 95 3" xfId="3108"/>
    <cellStyle name="20% - Accent1 95 4" xfId="3109"/>
    <cellStyle name="20% - Accent1 96" xfId="3110"/>
    <cellStyle name="20% - Accent1 96 2" xfId="3111"/>
    <cellStyle name="20% - Accent1 96 3" xfId="3112"/>
    <cellStyle name="20% - Accent1 97" xfId="3113"/>
    <cellStyle name="20% - Accent1 97 2" xfId="3114"/>
    <cellStyle name="20% - Accent1 98" xfId="3115"/>
    <cellStyle name="20% - Accent1 98 2" xfId="3116"/>
    <cellStyle name="20% - Accent1 99" xfId="3117"/>
    <cellStyle name="20% - Accent1 99 2" xfId="3118"/>
    <cellStyle name="20% - Accent2 10" xfId="3119"/>
    <cellStyle name="20% - Accent2 10 2" xfId="3120"/>
    <cellStyle name="20% - Accent2 10 2 2" xfId="3121"/>
    <cellStyle name="20% - Accent2 10 2_4Q Ops Metrics Gas &amp; Electric 2010" xfId="3122"/>
    <cellStyle name="20% - Accent2 10 3" xfId="3123"/>
    <cellStyle name="20% - Accent2 10 3 2" xfId="3124"/>
    <cellStyle name="20% - Accent2 10 3_4Q Ops Metrics Gas &amp; Electric 2010" xfId="3125"/>
    <cellStyle name="20% - Accent2 10 4" xfId="3126"/>
    <cellStyle name="20% - Accent2 10 4 2" xfId="3127"/>
    <cellStyle name="20% - Accent2 10 4_4Q Ops Metrics Gas &amp; Electric 2010" xfId="3128"/>
    <cellStyle name="20% - Accent2 10 5" xfId="3129"/>
    <cellStyle name="20% - Accent2 10 5 2" xfId="3130"/>
    <cellStyle name="20% - Accent2 10 5 3" xfId="3131"/>
    <cellStyle name="20% - Accent2 10 5 4" xfId="3132"/>
    <cellStyle name="20% - Accent2 10 5 5" xfId="3133"/>
    <cellStyle name="20% - Accent2 10 5_4Q Ops Metrics Gas &amp; Electric 2010" xfId="3134"/>
    <cellStyle name="20% - Accent2 10 6" xfId="3135"/>
    <cellStyle name="20% - Accent2 10 6 2" xfId="3136"/>
    <cellStyle name="20% - Accent2 10 7" xfId="3137"/>
    <cellStyle name="20% - Accent2 10 7 2" xfId="3138"/>
    <cellStyle name="20% - Accent2 10_2009 Actual" xfId="3139"/>
    <cellStyle name="20% - Accent2 100" xfId="3140"/>
    <cellStyle name="20% - Accent2 101" xfId="3141"/>
    <cellStyle name="20% - Accent2 102" xfId="3142"/>
    <cellStyle name="20% - Accent2 103" xfId="3143"/>
    <cellStyle name="20% - Accent2 104" xfId="3144"/>
    <cellStyle name="20% - Accent2 105" xfId="3145"/>
    <cellStyle name="20% - Accent2 106" xfId="3146"/>
    <cellStyle name="20% - Accent2 107" xfId="3147"/>
    <cellStyle name="20% - Accent2 108" xfId="3148"/>
    <cellStyle name="20% - Accent2 109" xfId="3149"/>
    <cellStyle name="20% - Accent2 11" xfId="3150"/>
    <cellStyle name="20% - Accent2 11 2" xfId="3151"/>
    <cellStyle name="20% - Accent2 11 2 2" xfId="3152"/>
    <cellStyle name="20% - Accent2 11 2_4Q Ops Metrics Gas &amp; Electric 2010" xfId="3153"/>
    <cellStyle name="20% - Accent2 11 3" xfId="3154"/>
    <cellStyle name="20% - Accent2 11 3 2" xfId="3155"/>
    <cellStyle name="20% - Accent2 11 3_4Q Ops Metrics Gas &amp; Electric 2010" xfId="3156"/>
    <cellStyle name="20% - Accent2 11 4" xfId="3157"/>
    <cellStyle name="20% - Accent2 11 4 2" xfId="3158"/>
    <cellStyle name="20% - Accent2 11 4_4Q Ops Metrics Gas &amp; Electric 2010" xfId="3159"/>
    <cellStyle name="20% - Accent2 11 5" xfId="3160"/>
    <cellStyle name="20% - Accent2 11 5 2" xfId="3161"/>
    <cellStyle name="20% - Accent2 11 5 3" xfId="3162"/>
    <cellStyle name="20% - Accent2 11 5 4" xfId="3163"/>
    <cellStyle name="20% - Accent2 11 5 5" xfId="3164"/>
    <cellStyle name="20% - Accent2 11 5_4Q Ops Metrics Gas &amp; Electric 2010" xfId="3165"/>
    <cellStyle name="20% - Accent2 11 6" xfId="3166"/>
    <cellStyle name="20% - Accent2 11 6 2" xfId="3167"/>
    <cellStyle name="20% - Accent2 11 7" xfId="3168"/>
    <cellStyle name="20% - Accent2 11 7 2" xfId="3169"/>
    <cellStyle name="20% - Accent2 11_2009 Actual" xfId="3170"/>
    <cellStyle name="20% - Accent2 110" xfId="3171"/>
    <cellStyle name="20% - Accent2 111" xfId="3172"/>
    <cellStyle name="20% - Accent2 112" xfId="3173"/>
    <cellStyle name="20% - Accent2 113" xfId="3174"/>
    <cellStyle name="20% - Accent2 114" xfId="3175"/>
    <cellStyle name="20% - Accent2 115" xfId="3176"/>
    <cellStyle name="20% - Accent2 116" xfId="3177"/>
    <cellStyle name="20% - Accent2 117" xfId="3178"/>
    <cellStyle name="20% - Accent2 118" xfId="3179"/>
    <cellStyle name="20% - Accent2 119" xfId="3180"/>
    <cellStyle name="20% - Accent2 12" xfId="3181"/>
    <cellStyle name="20% - Accent2 12 10" xfId="3182"/>
    <cellStyle name="20% - Accent2 12 11" xfId="3183"/>
    <cellStyle name="20% - Accent2 12 2" xfId="3184"/>
    <cellStyle name="20% - Accent2 12 2 2" xfId="3185"/>
    <cellStyle name="20% - Accent2 12 2 2 2" xfId="3186"/>
    <cellStyle name="20% - Accent2 12 2 2 3" xfId="3187"/>
    <cellStyle name="20% - Accent2 12 2 2 4" xfId="3188"/>
    <cellStyle name="20% - Accent2 12 2 2_4Q Ops Metrics Gas &amp; Electric 2010" xfId="3189"/>
    <cellStyle name="20% - Accent2 12 2 3" xfId="3190"/>
    <cellStyle name="20% - Accent2 12 2 4" xfId="3191"/>
    <cellStyle name="20% - Accent2 12 2_2010 Actual" xfId="3192"/>
    <cellStyle name="20% - Accent2 12 3" xfId="3193"/>
    <cellStyle name="20% - Accent2 12 3 2" xfId="3194"/>
    <cellStyle name="20% - Accent2 12 3 2 2" xfId="3195"/>
    <cellStyle name="20% - Accent2 12 3 2 3" xfId="3196"/>
    <cellStyle name="20% - Accent2 12 3 2 4" xfId="3197"/>
    <cellStyle name="20% - Accent2 12 3 2_4Q Ops Metrics Gas &amp; Electric 2010" xfId="3198"/>
    <cellStyle name="20% - Accent2 12 3 3" xfId="3199"/>
    <cellStyle name="20% - Accent2 12 3 4" xfId="3200"/>
    <cellStyle name="20% - Accent2 12 3_2010 Actual" xfId="3201"/>
    <cellStyle name="20% - Accent2 12 4" xfId="3202"/>
    <cellStyle name="20% - Accent2 12 4 2" xfId="3203"/>
    <cellStyle name="20% - Accent2 12 4 2 2" xfId="3204"/>
    <cellStyle name="20% - Accent2 12 4 2 3" xfId="3205"/>
    <cellStyle name="20% - Accent2 12 4 2 4" xfId="3206"/>
    <cellStyle name="20% - Accent2 12 4 2_4Q Ops Metrics Gas &amp; Electric 2010" xfId="3207"/>
    <cellStyle name="20% - Accent2 12 4 3" xfId="3208"/>
    <cellStyle name="20% - Accent2 12 4 4" xfId="3209"/>
    <cellStyle name="20% - Accent2 12 4_2010 Actual" xfId="3210"/>
    <cellStyle name="20% - Accent2 12 5" xfId="3211"/>
    <cellStyle name="20% - Accent2 12 5 2" xfId="3212"/>
    <cellStyle name="20% - Accent2 12 5 3" xfId="3213"/>
    <cellStyle name="20% - Accent2 12 5 4" xfId="3214"/>
    <cellStyle name="20% - Accent2 12 5_2010 Actual" xfId="3215"/>
    <cellStyle name="20% - Accent2 12 6" xfId="3216"/>
    <cellStyle name="20% - Accent2 12 6 2" xfId="3217"/>
    <cellStyle name="20% - Accent2 12 6 3" xfId="3218"/>
    <cellStyle name="20% - Accent2 12 6 4" xfId="3219"/>
    <cellStyle name="20% - Accent2 12 6_BHP" xfId="3220"/>
    <cellStyle name="20% - Accent2 12 7" xfId="3221"/>
    <cellStyle name="20% - Accent2 12 8" xfId="3222"/>
    <cellStyle name="20% - Accent2 12 9" xfId="3223"/>
    <cellStyle name="20% - Accent2 12_2009 Actual" xfId="3224"/>
    <cellStyle name="20% - Accent2 120" xfId="3225"/>
    <cellStyle name="20% - Accent2 13" xfId="3226"/>
    <cellStyle name="20% - Accent2 13 2" xfId="3227"/>
    <cellStyle name="20% - Accent2 13 2 2" xfId="3228"/>
    <cellStyle name="20% - Accent2 13 2 2 2" xfId="3229"/>
    <cellStyle name="20% - Accent2 13 2 2 3" xfId="3230"/>
    <cellStyle name="20% - Accent2 13 2 2 4" xfId="3231"/>
    <cellStyle name="20% - Accent2 13 2 2_4Q Ops Metrics Gas &amp; Electric 2010" xfId="3232"/>
    <cellStyle name="20% - Accent2 13 2 3" xfId="3233"/>
    <cellStyle name="20% - Accent2 13 2 4" xfId="3234"/>
    <cellStyle name="20% - Accent2 13 2_4Q Ops Metrics Gas &amp; Electric 2010" xfId="3235"/>
    <cellStyle name="20% - Accent2 13 3" xfId="3236"/>
    <cellStyle name="20% - Accent2 13 3 2" xfId="3237"/>
    <cellStyle name="20% - Accent2 13 3 2 2" xfId="3238"/>
    <cellStyle name="20% - Accent2 13 3 2 3" xfId="3239"/>
    <cellStyle name="20% - Accent2 13 3 2 4" xfId="3240"/>
    <cellStyle name="20% - Accent2 13 3 2_4Q Ops Metrics Gas &amp; Electric 2010" xfId="3241"/>
    <cellStyle name="20% - Accent2 13 3 3" xfId="3242"/>
    <cellStyle name="20% - Accent2 13 3 4" xfId="3243"/>
    <cellStyle name="20% - Accent2 13 3_4Q Ops Metrics Gas &amp; Electric 2010" xfId="3244"/>
    <cellStyle name="20% - Accent2 13 4" xfId="3245"/>
    <cellStyle name="20% - Accent2 13 4 2" xfId="3246"/>
    <cellStyle name="20% - Accent2 13 4 2 2" xfId="3247"/>
    <cellStyle name="20% - Accent2 13 4 2 3" xfId="3248"/>
    <cellStyle name="20% - Accent2 13 4 2 4" xfId="3249"/>
    <cellStyle name="20% - Accent2 13 4 2_4Q Ops Metrics Gas &amp; Electric 2010" xfId="3250"/>
    <cellStyle name="20% - Accent2 13 4 3" xfId="3251"/>
    <cellStyle name="20% - Accent2 13 4 4" xfId="3252"/>
    <cellStyle name="20% - Accent2 13 4_4Q Ops Metrics Gas &amp; Electric 2010" xfId="3253"/>
    <cellStyle name="20% - Accent2 13 5" xfId="3254"/>
    <cellStyle name="20% - Accent2 13 5 2" xfId="3255"/>
    <cellStyle name="20% - Accent2 13 5 3" xfId="3256"/>
    <cellStyle name="20% - Accent2 13 5 4" xfId="3257"/>
    <cellStyle name="20% - Accent2 13 5_4Q Ops Metrics Gas &amp; Electric 2010" xfId="3258"/>
    <cellStyle name="20% - Accent2 13 6" xfId="3259"/>
    <cellStyle name="20% - Accent2 13 7" xfId="3260"/>
    <cellStyle name="20% - Accent2 13_2009 Actual" xfId="3261"/>
    <cellStyle name="20% - Accent2 14" xfId="3262"/>
    <cellStyle name="20% - Accent2 14 2" xfId="3263"/>
    <cellStyle name="20% - Accent2 14 2 2" xfId="3264"/>
    <cellStyle name="20% - Accent2 14 2 2 2" xfId="3265"/>
    <cellStyle name="20% - Accent2 14 2 2 3" xfId="3266"/>
    <cellStyle name="20% - Accent2 14 2 2 4" xfId="3267"/>
    <cellStyle name="20% - Accent2 14 2 2_4Q Ops Metrics Gas &amp; Electric 2010" xfId="3268"/>
    <cellStyle name="20% - Accent2 14 2 3" xfId="3269"/>
    <cellStyle name="20% - Accent2 14 2 4" xfId="3270"/>
    <cellStyle name="20% - Accent2 14 2_4Q Ops Metrics Gas &amp; Electric 2010" xfId="3271"/>
    <cellStyle name="20% - Accent2 14 3" xfId="3272"/>
    <cellStyle name="20% - Accent2 14 3 2" xfId="3273"/>
    <cellStyle name="20% - Accent2 14 3 2 2" xfId="3274"/>
    <cellStyle name="20% - Accent2 14 3 2 3" xfId="3275"/>
    <cellStyle name="20% - Accent2 14 3 2 4" xfId="3276"/>
    <cellStyle name="20% - Accent2 14 3 2_4Q Ops Metrics Gas &amp; Electric 2010" xfId="3277"/>
    <cellStyle name="20% - Accent2 14 3 3" xfId="3278"/>
    <cellStyle name="20% - Accent2 14 3 4" xfId="3279"/>
    <cellStyle name="20% - Accent2 14 3_4Q Ops Metrics Gas &amp; Electric 2010" xfId="3280"/>
    <cellStyle name="20% - Accent2 14 4" xfId="3281"/>
    <cellStyle name="20% - Accent2 14 4 2" xfId="3282"/>
    <cellStyle name="20% - Accent2 14 4 2 2" xfId="3283"/>
    <cellStyle name="20% - Accent2 14 4 2 3" xfId="3284"/>
    <cellStyle name="20% - Accent2 14 4 2 4" xfId="3285"/>
    <cellStyle name="20% - Accent2 14 4 2_4Q Ops Metrics Gas &amp; Electric 2010" xfId="3286"/>
    <cellStyle name="20% - Accent2 14 4 3" xfId="3287"/>
    <cellStyle name="20% - Accent2 14 4 4" xfId="3288"/>
    <cellStyle name="20% - Accent2 14 4_4Q Ops Metrics Gas &amp; Electric 2010" xfId="3289"/>
    <cellStyle name="20% - Accent2 14 5" xfId="3290"/>
    <cellStyle name="20% - Accent2 14 5 2" xfId="3291"/>
    <cellStyle name="20% - Accent2 14 5 3" xfId="3292"/>
    <cellStyle name="20% - Accent2 14 5 4" xfId="3293"/>
    <cellStyle name="20% - Accent2 14 5_4Q Ops Metrics Gas &amp; Electric 2010" xfId="3294"/>
    <cellStyle name="20% - Accent2 14 6" xfId="3295"/>
    <cellStyle name="20% - Accent2 14 7" xfId="3296"/>
    <cellStyle name="20% - Accent2 14_2009 Actual" xfId="3297"/>
    <cellStyle name="20% - Accent2 15" xfId="3298"/>
    <cellStyle name="20% - Accent2 15 2" xfId="3299"/>
    <cellStyle name="20% - Accent2 15 2 2" xfId="3300"/>
    <cellStyle name="20% - Accent2 15 2 3" xfId="3301"/>
    <cellStyle name="20% - Accent2 15 2 4" xfId="3302"/>
    <cellStyle name="20% - Accent2 15 2 5" xfId="3303"/>
    <cellStyle name="20% - Accent2 15 2_4Q Ops Metrics Gas &amp; Electric 2010" xfId="3304"/>
    <cellStyle name="20% - Accent2 15 3" xfId="3305"/>
    <cellStyle name="20% - Accent2 15 3 2" xfId="3306"/>
    <cellStyle name="20% - Accent2 15 4" xfId="3307"/>
    <cellStyle name="20% - Accent2 15 4 2" xfId="3308"/>
    <cellStyle name="20% - Accent2 15 5" xfId="3309"/>
    <cellStyle name="20% - Accent2 15 6" xfId="3310"/>
    <cellStyle name="20% - Accent2 15_4Q Ops Metrics Gas &amp; Electric 2010" xfId="3311"/>
    <cellStyle name="20% - Accent2 16" xfId="3312"/>
    <cellStyle name="20% - Accent2 17" xfId="3313"/>
    <cellStyle name="20% - Accent2 18" xfId="3314"/>
    <cellStyle name="20% - Accent2 19" xfId="3315"/>
    <cellStyle name="20% - Accent2 19 2" xfId="3316"/>
    <cellStyle name="20% - Accent2 19 3" xfId="3317"/>
    <cellStyle name="20% - Accent2 19_2010 Actual" xfId="3318"/>
    <cellStyle name="20% - Accent2 2" xfId="3319"/>
    <cellStyle name="20% - Accent2 2 10" xfId="3320"/>
    <cellStyle name="20% - Accent2 2 10 2" xfId="3321"/>
    <cellStyle name="20% - Accent2 2 10 2 2" xfId="3322"/>
    <cellStyle name="20% - Accent2 2 10 3" xfId="3323"/>
    <cellStyle name="20% - Accent2 2 10 4" xfId="3324"/>
    <cellStyle name="20% - Accent2 2 10 5" xfId="3325"/>
    <cellStyle name="20% - Accent2 2 10 5 2" xfId="3326"/>
    <cellStyle name="20% - Accent2 2 10_2010 Actual" xfId="3327"/>
    <cellStyle name="20% - Accent2 2 100" xfId="3328"/>
    <cellStyle name="20% - Accent2 2 100 2" xfId="3329"/>
    <cellStyle name="20% - Accent2 2 100 2 2" xfId="3330"/>
    <cellStyle name="20% - Accent2 2 100 3" xfId="3331"/>
    <cellStyle name="20% - Accent2 2 100 4" xfId="3332"/>
    <cellStyle name="20% - Accent2 2 101" xfId="3333"/>
    <cellStyle name="20% - Accent2 2 101 2" xfId="3334"/>
    <cellStyle name="20% - Accent2 2 101 2 2" xfId="3335"/>
    <cellStyle name="20% - Accent2 2 101 3" xfId="3336"/>
    <cellStyle name="20% - Accent2 2 101 4" xfId="3337"/>
    <cellStyle name="20% - Accent2 2 102" xfId="3338"/>
    <cellStyle name="20% - Accent2 2 102 2" xfId="3339"/>
    <cellStyle name="20% - Accent2 2 102 2 2" xfId="3340"/>
    <cellStyle name="20% - Accent2 2 102 3" xfId="3341"/>
    <cellStyle name="20% - Accent2 2 102 4" xfId="3342"/>
    <cellStyle name="20% - Accent2 2 103" xfId="3343"/>
    <cellStyle name="20% - Accent2 2 103 2" xfId="3344"/>
    <cellStyle name="20% - Accent2 2 103 2 2" xfId="3345"/>
    <cellStyle name="20% - Accent2 2 103 3" xfId="3346"/>
    <cellStyle name="20% - Accent2 2 103 4" xfId="3347"/>
    <cellStyle name="20% - Accent2 2 104" xfId="3348"/>
    <cellStyle name="20% - Accent2 2 104 2" xfId="3349"/>
    <cellStyle name="20% - Accent2 2 104 2 2" xfId="3350"/>
    <cellStyle name="20% - Accent2 2 104 3" xfId="3351"/>
    <cellStyle name="20% - Accent2 2 104 4" xfId="3352"/>
    <cellStyle name="20% - Accent2 2 105" xfId="3353"/>
    <cellStyle name="20% - Accent2 2 105 2" xfId="3354"/>
    <cellStyle name="20% - Accent2 2 105 2 2" xfId="3355"/>
    <cellStyle name="20% - Accent2 2 105 3" xfId="3356"/>
    <cellStyle name="20% - Accent2 2 105 4" xfId="3357"/>
    <cellStyle name="20% - Accent2 2 106" xfId="3358"/>
    <cellStyle name="20% - Accent2 2 106 2" xfId="3359"/>
    <cellStyle name="20% - Accent2 2 106 2 2" xfId="3360"/>
    <cellStyle name="20% - Accent2 2 106 3" xfId="3361"/>
    <cellStyle name="20% - Accent2 2 106 4" xfId="3362"/>
    <cellStyle name="20% - Accent2 2 107" xfId="3363"/>
    <cellStyle name="20% - Accent2 2 107 2" xfId="3364"/>
    <cellStyle name="20% - Accent2 2 107 2 2" xfId="3365"/>
    <cellStyle name="20% - Accent2 2 107 3" xfId="3366"/>
    <cellStyle name="20% - Accent2 2 107 4" xfId="3367"/>
    <cellStyle name="20% - Accent2 2 108" xfId="3368"/>
    <cellStyle name="20% - Accent2 2 108 2" xfId="3369"/>
    <cellStyle name="20% - Accent2 2 108 2 2" xfId="3370"/>
    <cellStyle name="20% - Accent2 2 108 3" xfId="3371"/>
    <cellStyle name="20% - Accent2 2 108 4" xfId="3372"/>
    <cellStyle name="20% - Accent2 2 109" xfId="3373"/>
    <cellStyle name="20% - Accent2 2 109 2" xfId="3374"/>
    <cellStyle name="20% - Accent2 2 109 2 2" xfId="3375"/>
    <cellStyle name="20% - Accent2 2 109 3" xfId="3376"/>
    <cellStyle name="20% - Accent2 2 109 4" xfId="3377"/>
    <cellStyle name="20% - Accent2 2 11" xfId="3378"/>
    <cellStyle name="20% - Accent2 2 11 2" xfId="3379"/>
    <cellStyle name="20% - Accent2 2 11 2 2" xfId="3380"/>
    <cellStyle name="20% - Accent2 2 11 3" xfId="3381"/>
    <cellStyle name="20% - Accent2 2 11_4Q Ops Metrics Gas &amp; Electric 2010" xfId="3382"/>
    <cellStyle name="20% - Accent2 2 110" xfId="3383"/>
    <cellStyle name="20% - Accent2 2 110 2" xfId="3384"/>
    <cellStyle name="20% - Accent2 2 110 2 2" xfId="3385"/>
    <cellStyle name="20% - Accent2 2 110 3" xfId="3386"/>
    <cellStyle name="20% - Accent2 2 110 4" xfId="3387"/>
    <cellStyle name="20% - Accent2 2 111" xfId="3388"/>
    <cellStyle name="20% - Accent2 2 111 2" xfId="3389"/>
    <cellStyle name="20% - Accent2 2 111 2 2" xfId="3390"/>
    <cellStyle name="20% - Accent2 2 111 3" xfId="3391"/>
    <cellStyle name="20% - Accent2 2 111 4" xfId="3392"/>
    <cellStyle name="20% - Accent2 2 112" xfId="3393"/>
    <cellStyle name="20% - Accent2 2 112 2" xfId="3394"/>
    <cellStyle name="20% - Accent2 2 112 2 2" xfId="3395"/>
    <cellStyle name="20% - Accent2 2 112 3" xfId="3396"/>
    <cellStyle name="20% - Accent2 2 112 4" xfId="3397"/>
    <cellStyle name="20% - Accent2 2 113" xfId="3398"/>
    <cellStyle name="20% - Accent2 2 113 2" xfId="3399"/>
    <cellStyle name="20% - Accent2 2 113 2 2" xfId="3400"/>
    <cellStyle name="20% - Accent2 2 113 3" xfId="3401"/>
    <cellStyle name="20% - Accent2 2 113 4" xfId="3402"/>
    <cellStyle name="20% - Accent2 2 114" xfId="3403"/>
    <cellStyle name="20% - Accent2 2 114 2" xfId="3404"/>
    <cellStyle name="20% - Accent2 2 114 2 2" xfId="3405"/>
    <cellStyle name="20% - Accent2 2 114 3" xfId="3406"/>
    <cellStyle name="20% - Accent2 2 114 4" xfId="3407"/>
    <cellStyle name="20% - Accent2 2 115" xfId="3408"/>
    <cellStyle name="20% - Accent2 2 115 2" xfId="3409"/>
    <cellStyle name="20% - Accent2 2 115 2 2" xfId="3410"/>
    <cellStyle name="20% - Accent2 2 115 3" xfId="3411"/>
    <cellStyle name="20% - Accent2 2 115 4" xfId="3412"/>
    <cellStyle name="20% - Accent2 2 116" xfId="3413"/>
    <cellStyle name="20% - Accent2 2 116 2" xfId="3414"/>
    <cellStyle name="20% - Accent2 2 116 2 2" xfId="3415"/>
    <cellStyle name="20% - Accent2 2 116 3" xfId="3416"/>
    <cellStyle name="20% - Accent2 2 116 4" xfId="3417"/>
    <cellStyle name="20% - Accent2 2 117" xfId="3418"/>
    <cellStyle name="20% - Accent2 2 117 2" xfId="3419"/>
    <cellStyle name="20% - Accent2 2 117 2 2" xfId="3420"/>
    <cellStyle name="20% - Accent2 2 117 3" xfId="3421"/>
    <cellStyle name="20% - Accent2 2 117 4" xfId="3422"/>
    <cellStyle name="20% - Accent2 2 118" xfId="3423"/>
    <cellStyle name="20% - Accent2 2 118 2" xfId="3424"/>
    <cellStyle name="20% - Accent2 2 118 2 2" xfId="3425"/>
    <cellStyle name="20% - Accent2 2 118 3" xfId="3426"/>
    <cellStyle name="20% - Accent2 2 118 4" xfId="3427"/>
    <cellStyle name="20% - Accent2 2 119" xfId="3428"/>
    <cellStyle name="20% - Accent2 2 119 2" xfId="3429"/>
    <cellStyle name="20% - Accent2 2 119 2 2" xfId="3430"/>
    <cellStyle name="20% - Accent2 2 119 3" xfId="3431"/>
    <cellStyle name="20% - Accent2 2 119 4" xfId="3432"/>
    <cellStyle name="20% - Accent2 2 12" xfId="3433"/>
    <cellStyle name="20% - Accent2 2 12 2" xfId="3434"/>
    <cellStyle name="20% - Accent2 2 12 3" xfId="3435"/>
    <cellStyle name="20% - Accent2 2 12_4Q Ops Metrics Gas &amp; Electric 2010" xfId="3436"/>
    <cellStyle name="20% - Accent2 2 120" xfId="3437"/>
    <cellStyle name="20% - Accent2 2 120 2" xfId="3438"/>
    <cellStyle name="20% - Accent2 2 120 2 2" xfId="3439"/>
    <cellStyle name="20% - Accent2 2 120 3" xfId="3440"/>
    <cellStyle name="20% - Accent2 2 120 4" xfId="3441"/>
    <cellStyle name="20% - Accent2 2 121" xfId="3442"/>
    <cellStyle name="20% - Accent2 2 121 2" xfId="3443"/>
    <cellStyle name="20% - Accent2 2 122" xfId="3444"/>
    <cellStyle name="20% - Accent2 2 122 2" xfId="3445"/>
    <cellStyle name="20% - Accent2 2 123" xfId="3446"/>
    <cellStyle name="20% - Accent2 2 123 2" xfId="3447"/>
    <cellStyle name="20% - Accent2 2 124" xfId="3448"/>
    <cellStyle name="20% - Accent2 2 124 2" xfId="3449"/>
    <cellStyle name="20% - Accent2 2 125" xfId="3450"/>
    <cellStyle name="20% - Accent2 2 126" xfId="3451"/>
    <cellStyle name="20% - Accent2 2 127" xfId="3452"/>
    <cellStyle name="20% - Accent2 2 128" xfId="3453"/>
    <cellStyle name="20% - Accent2 2 129" xfId="3454"/>
    <cellStyle name="20% - Accent2 2 13" xfId="3455"/>
    <cellStyle name="20% - Accent2 2 13 2" xfId="3456"/>
    <cellStyle name="20% - Accent2 2 13 2 2" xfId="3457"/>
    <cellStyle name="20% - Accent2 2 13 2 3" xfId="3458"/>
    <cellStyle name="20% - Accent2 2 13 2 4" xfId="3459"/>
    <cellStyle name="20% - Accent2 2 13 2_4Q Ops Metrics Gas &amp; Electric 2010" xfId="3460"/>
    <cellStyle name="20% - Accent2 2 13 3" xfId="3461"/>
    <cellStyle name="20% - Accent2 2 13 4" xfId="3462"/>
    <cellStyle name="20% - Accent2 2 13_4Q Ops Metrics Gas &amp; Electric 2010" xfId="3463"/>
    <cellStyle name="20% - Accent2 2 130" xfId="3464"/>
    <cellStyle name="20% - Accent2 2 131" xfId="3465"/>
    <cellStyle name="20% - Accent2 2 132" xfId="3466"/>
    <cellStyle name="20% - Accent2 2 133" xfId="3467"/>
    <cellStyle name="20% - Accent2 2 134" xfId="3468"/>
    <cellStyle name="20% - Accent2 2 135" xfId="3469"/>
    <cellStyle name="20% - Accent2 2 136" xfId="3470"/>
    <cellStyle name="20% - Accent2 2 137" xfId="3471"/>
    <cellStyle name="20% - Accent2 2 138" xfId="3472"/>
    <cellStyle name="20% - Accent2 2 139" xfId="3473"/>
    <cellStyle name="20% - Accent2 2 14" xfId="3474"/>
    <cellStyle name="20% - Accent2 2 14 2" xfId="3475"/>
    <cellStyle name="20% - Accent2 2 14 2 2" xfId="3476"/>
    <cellStyle name="20% - Accent2 2 14 2 3" xfId="3477"/>
    <cellStyle name="20% - Accent2 2 14 2 4" xfId="3478"/>
    <cellStyle name="20% - Accent2 2 14 2_4Q Ops Metrics Gas &amp; Electric 2010" xfId="3479"/>
    <cellStyle name="20% - Accent2 2 14 3" xfId="3480"/>
    <cellStyle name="20% - Accent2 2 14 4" xfId="3481"/>
    <cellStyle name="20% - Accent2 2 14_4Q Ops Metrics Gas &amp; Electric 2010" xfId="3482"/>
    <cellStyle name="20% - Accent2 2 140" xfId="3483"/>
    <cellStyle name="20% - Accent2 2 141" xfId="3484"/>
    <cellStyle name="20% - Accent2 2 142" xfId="3485"/>
    <cellStyle name="20% - Accent2 2 143" xfId="3486"/>
    <cellStyle name="20% - Accent2 2 144" xfId="3487"/>
    <cellStyle name="20% - Accent2 2 145" xfId="3488"/>
    <cellStyle name="20% - Accent2 2 15" xfId="3489"/>
    <cellStyle name="20% - Accent2 2 15 2" xfId="3490"/>
    <cellStyle name="20% - Accent2 2 15 2 2" xfId="3491"/>
    <cellStyle name="20% - Accent2 2 15 2 3" xfId="3492"/>
    <cellStyle name="20% - Accent2 2 15 2 4" xfId="3493"/>
    <cellStyle name="20% - Accent2 2 15 2_4Q Ops Metrics Gas &amp; Electric 2010" xfId="3494"/>
    <cellStyle name="20% - Accent2 2 15 3" xfId="3495"/>
    <cellStyle name="20% - Accent2 2 15 4" xfId="3496"/>
    <cellStyle name="20% - Accent2 2 15 5" xfId="3497"/>
    <cellStyle name="20% - Accent2 2 15 6" xfId="3498"/>
    <cellStyle name="20% - Accent2 2 15_4Q Ops Metrics Gas &amp; Electric 2010" xfId="3499"/>
    <cellStyle name="20% - Accent2 2 16" xfId="3500"/>
    <cellStyle name="20% - Accent2 2 16 2" xfId="3501"/>
    <cellStyle name="20% - Accent2 2 16 3" xfId="3502"/>
    <cellStyle name="20% - Accent2 2 16 4" xfId="3503"/>
    <cellStyle name="20% - Accent2 2 16_4Q Ops Metrics Gas &amp; Electric 2010" xfId="3504"/>
    <cellStyle name="20% - Accent2 2 17" xfId="3505"/>
    <cellStyle name="20% - Accent2 2 18" xfId="3506"/>
    <cellStyle name="20% - Accent2 2 19" xfId="3507"/>
    <cellStyle name="20% - Accent2 2 2" xfId="3508"/>
    <cellStyle name="20% - Accent2 2 2 10" xfId="3509"/>
    <cellStyle name="20% - Accent2 2 2 10 2" xfId="3510"/>
    <cellStyle name="20% - Accent2 2 2 10 2 2" xfId="3511"/>
    <cellStyle name="20% - Accent2 2 2 10 2 3" xfId="3512"/>
    <cellStyle name="20% - Accent2 2 2 10 2 4" xfId="3513"/>
    <cellStyle name="20% - Accent2 2 2 10 2_4Q Ops Metrics Gas &amp; Electric 2010" xfId="3514"/>
    <cellStyle name="20% - Accent2 2 2 10 3" xfId="3515"/>
    <cellStyle name="20% - Accent2 2 2 10 4" xfId="3516"/>
    <cellStyle name="20% - Accent2 2 2 10_4Q Ops Metrics Gas &amp; Electric 2010" xfId="3517"/>
    <cellStyle name="20% - Accent2 2 2 11" xfId="3518"/>
    <cellStyle name="20% - Accent2 2 2 12" xfId="3519"/>
    <cellStyle name="20% - Accent2 2 2 13" xfId="3520"/>
    <cellStyle name="20% - Accent2 2 2 14" xfId="3521"/>
    <cellStyle name="20% - Accent2 2 2 15" xfId="3522"/>
    <cellStyle name="20% - Accent2 2 2 16" xfId="3523"/>
    <cellStyle name="20% - Accent2 2 2 17" xfId="3524"/>
    <cellStyle name="20% - Accent2 2 2 18" xfId="3525"/>
    <cellStyle name="20% - Accent2 2 2 19" xfId="3526"/>
    <cellStyle name="20% - Accent2 2 2 2" xfId="3527"/>
    <cellStyle name="20% - Accent2 2 2 2 10" xfId="3528"/>
    <cellStyle name="20% - Accent2 2 2 2 10 2" xfId="3529"/>
    <cellStyle name="20% - Accent2 2 2 2 10_4Q Ops Metrics Gas &amp; Electric 2010" xfId="3530"/>
    <cellStyle name="20% - Accent2 2 2 2 11" xfId="3531"/>
    <cellStyle name="20% - Accent2 2 2 2 11 2" xfId="3532"/>
    <cellStyle name="20% - Accent2 2 2 2 11 3" xfId="3533"/>
    <cellStyle name="20% - Accent2 2 2 2 11 4" xfId="3534"/>
    <cellStyle name="20% - Accent2 2 2 2 11_4Q Ops Metrics Gas &amp; Electric 2010" xfId="3535"/>
    <cellStyle name="20% - Accent2 2 2 2 12" xfId="3536"/>
    <cellStyle name="20% - Accent2 2 2 2 13" xfId="3537"/>
    <cellStyle name="20% - Accent2 2 2 2 14" xfId="3538"/>
    <cellStyle name="20% - Accent2 2 2 2 2" xfId="3539"/>
    <cellStyle name="20% - Accent2 2 2 2 2 2" xfId="3540"/>
    <cellStyle name="20% - Accent2 2 2 2 2_4Q Ops Metrics Gas &amp; Electric 2010" xfId="3541"/>
    <cellStyle name="20% - Accent2 2 2 2 3" xfId="3542"/>
    <cellStyle name="20% - Accent2 2 2 2 3 2" xfId="3543"/>
    <cellStyle name="20% - Accent2 2 2 2 3_4Q Ops Metrics Gas &amp; Electric 2010" xfId="3544"/>
    <cellStyle name="20% - Accent2 2 2 2 4" xfId="3545"/>
    <cellStyle name="20% - Accent2 2 2 2 4 2" xfId="3546"/>
    <cellStyle name="20% - Accent2 2 2 2 4_4Q Ops Metrics Gas &amp; Electric 2010" xfId="3547"/>
    <cellStyle name="20% - Accent2 2 2 2 5" xfId="3548"/>
    <cellStyle name="20% - Accent2 2 2 2 5 2" xfId="3549"/>
    <cellStyle name="20% - Accent2 2 2 2 5_4Q Ops Metrics Gas &amp; Electric 2010" xfId="3550"/>
    <cellStyle name="20% - Accent2 2 2 2 6" xfId="3551"/>
    <cellStyle name="20% - Accent2 2 2 2 6 2" xfId="3552"/>
    <cellStyle name="20% - Accent2 2 2 2 6_4Q Ops Metrics Gas &amp; Electric 2010" xfId="3553"/>
    <cellStyle name="20% - Accent2 2 2 2 7" xfId="3554"/>
    <cellStyle name="20% - Accent2 2 2 2 7 2" xfId="3555"/>
    <cellStyle name="20% - Accent2 2 2 2 7_4Q Ops Metrics Gas &amp; Electric 2010" xfId="3556"/>
    <cellStyle name="20% - Accent2 2 2 2 8" xfId="3557"/>
    <cellStyle name="20% - Accent2 2 2 2 8 2" xfId="3558"/>
    <cellStyle name="20% - Accent2 2 2 2 8_4Q Ops Metrics Gas &amp; Electric 2010" xfId="3559"/>
    <cellStyle name="20% - Accent2 2 2 2 9" xfId="3560"/>
    <cellStyle name="20% - Accent2 2 2 2 9 2" xfId="3561"/>
    <cellStyle name="20% - Accent2 2 2 2 9_4Q Ops Metrics Gas &amp; Electric 2010" xfId="3562"/>
    <cellStyle name="20% - Accent2 2 2 2_4Q Ops Metrics Gas &amp; Electric 2010" xfId="3563"/>
    <cellStyle name="20% - Accent2 2 2 20" xfId="3564"/>
    <cellStyle name="20% - Accent2 2 2 21" xfId="3565"/>
    <cellStyle name="20% - Accent2 2 2 22" xfId="3566"/>
    <cellStyle name="20% - Accent2 2 2 22 2" xfId="3567"/>
    <cellStyle name="20% - Accent2 2 2 22 2 2" xfId="3568"/>
    <cellStyle name="20% - Accent2 2 2 22 2 2 2" xfId="3569"/>
    <cellStyle name="20% - Accent2 2 2 22 2 2 3" xfId="3570"/>
    <cellStyle name="20% - Accent2 2 2 22 2 3" xfId="3571"/>
    <cellStyle name="20% - Accent2 2 2 22 2 3 2" xfId="3572"/>
    <cellStyle name="20% - Accent2 2 2 22 2 4" xfId="3573"/>
    <cellStyle name="20% - Accent2 2 2 22 2 5" xfId="3574"/>
    <cellStyle name="20% - Accent2 2 2 22 3" xfId="3575"/>
    <cellStyle name="20% - Accent2 2 2 22 3 2" xfId="3576"/>
    <cellStyle name="20% - Accent2 2 2 22 3 2 2" xfId="3577"/>
    <cellStyle name="20% - Accent2 2 2 22 3 3" xfId="3578"/>
    <cellStyle name="20% - Accent2 2 2 22 3 4" xfId="3579"/>
    <cellStyle name="20% - Accent2 2 2 22 4" xfId="3580"/>
    <cellStyle name="20% - Accent2 2 2 22 4 2" xfId="3581"/>
    <cellStyle name="20% - Accent2 2 2 22 4 2 2" xfId="3582"/>
    <cellStyle name="20% - Accent2 2 2 22 4 3" xfId="3583"/>
    <cellStyle name="20% - Accent2 2 2 22 4 4" xfId="3584"/>
    <cellStyle name="20% - Accent2 2 2 22 5" xfId="3585"/>
    <cellStyle name="20% - Accent2 2 2 22 5 2" xfId="3586"/>
    <cellStyle name="20% - Accent2 2 2 22 6" xfId="3587"/>
    <cellStyle name="20% - Accent2 2 2 22 7" xfId="3588"/>
    <cellStyle name="20% - Accent2 2 2 22 8" xfId="3589"/>
    <cellStyle name="20% - Accent2 2 2 23" xfId="3590"/>
    <cellStyle name="20% - Accent2 2 2 23 2" xfId="3591"/>
    <cellStyle name="20% - Accent2 2 2 23 2 2" xfId="3592"/>
    <cellStyle name="20% - Accent2 2 2 23 2 2 2" xfId="3593"/>
    <cellStyle name="20% - Accent2 2 2 23 2 2 3" xfId="3594"/>
    <cellStyle name="20% - Accent2 2 2 23 2 3" xfId="3595"/>
    <cellStyle name="20% - Accent2 2 2 23 2 3 2" xfId="3596"/>
    <cellStyle name="20% - Accent2 2 2 23 2 4" xfId="3597"/>
    <cellStyle name="20% - Accent2 2 2 23 2 5" xfId="3598"/>
    <cellStyle name="20% - Accent2 2 2 23 3" xfId="3599"/>
    <cellStyle name="20% - Accent2 2 2 23 3 2" xfId="3600"/>
    <cellStyle name="20% - Accent2 2 2 23 3 2 2" xfId="3601"/>
    <cellStyle name="20% - Accent2 2 2 23 3 3" xfId="3602"/>
    <cellStyle name="20% - Accent2 2 2 23 3 4" xfId="3603"/>
    <cellStyle name="20% - Accent2 2 2 23 4" xfId="3604"/>
    <cellStyle name="20% - Accent2 2 2 23 4 2" xfId="3605"/>
    <cellStyle name="20% - Accent2 2 2 23 4 2 2" xfId="3606"/>
    <cellStyle name="20% - Accent2 2 2 23 4 3" xfId="3607"/>
    <cellStyle name="20% - Accent2 2 2 23 4 4" xfId="3608"/>
    <cellStyle name="20% - Accent2 2 2 23 5" xfId="3609"/>
    <cellStyle name="20% - Accent2 2 2 23 5 2" xfId="3610"/>
    <cellStyle name="20% - Accent2 2 2 23 6" xfId="3611"/>
    <cellStyle name="20% - Accent2 2 2 23 7" xfId="3612"/>
    <cellStyle name="20% - Accent2 2 2 23 8" xfId="3613"/>
    <cellStyle name="20% - Accent2 2 2 24" xfId="3614"/>
    <cellStyle name="20% - Accent2 2 2 24 2" xfId="3615"/>
    <cellStyle name="20% - Accent2 2 2 24 2 2" xfId="3616"/>
    <cellStyle name="20% - Accent2 2 2 24 2 2 2" xfId="3617"/>
    <cellStyle name="20% - Accent2 2 2 24 2 2 3" xfId="3618"/>
    <cellStyle name="20% - Accent2 2 2 24 2 3" xfId="3619"/>
    <cellStyle name="20% - Accent2 2 2 24 2 3 2" xfId="3620"/>
    <cellStyle name="20% - Accent2 2 2 24 2 4" xfId="3621"/>
    <cellStyle name="20% - Accent2 2 2 24 2 5" xfId="3622"/>
    <cellStyle name="20% - Accent2 2 2 24 3" xfId="3623"/>
    <cellStyle name="20% - Accent2 2 2 24 3 2" xfId="3624"/>
    <cellStyle name="20% - Accent2 2 2 24 3 2 2" xfId="3625"/>
    <cellStyle name="20% - Accent2 2 2 24 3 3" xfId="3626"/>
    <cellStyle name="20% - Accent2 2 2 24 3 4" xfId="3627"/>
    <cellStyle name="20% - Accent2 2 2 24 4" xfId="3628"/>
    <cellStyle name="20% - Accent2 2 2 24 4 2" xfId="3629"/>
    <cellStyle name="20% - Accent2 2 2 24 4 2 2" xfId="3630"/>
    <cellStyle name="20% - Accent2 2 2 24 4 3" xfId="3631"/>
    <cellStyle name="20% - Accent2 2 2 24 4 4" xfId="3632"/>
    <cellStyle name="20% - Accent2 2 2 24 5" xfId="3633"/>
    <cellStyle name="20% - Accent2 2 2 24 5 2" xfId="3634"/>
    <cellStyle name="20% - Accent2 2 2 24 6" xfId="3635"/>
    <cellStyle name="20% - Accent2 2 2 24 7" xfId="3636"/>
    <cellStyle name="20% - Accent2 2 2 24 8" xfId="3637"/>
    <cellStyle name="20% - Accent2 2 2 25" xfId="3638"/>
    <cellStyle name="20% - Accent2 2 2 25 2" xfId="3639"/>
    <cellStyle name="20% - Accent2 2 2 25 2 2" xfId="3640"/>
    <cellStyle name="20% - Accent2 2 2 25 2 2 2" xfId="3641"/>
    <cellStyle name="20% - Accent2 2 2 25 2 2 3" xfId="3642"/>
    <cellStyle name="20% - Accent2 2 2 25 2 3" xfId="3643"/>
    <cellStyle name="20% - Accent2 2 2 25 2 3 2" xfId="3644"/>
    <cellStyle name="20% - Accent2 2 2 25 2 4" xfId="3645"/>
    <cellStyle name="20% - Accent2 2 2 25 2 5" xfId="3646"/>
    <cellStyle name="20% - Accent2 2 2 25 3" xfId="3647"/>
    <cellStyle name="20% - Accent2 2 2 25 3 2" xfId="3648"/>
    <cellStyle name="20% - Accent2 2 2 25 3 2 2" xfId="3649"/>
    <cellStyle name="20% - Accent2 2 2 25 3 3" xfId="3650"/>
    <cellStyle name="20% - Accent2 2 2 25 3 4" xfId="3651"/>
    <cellStyle name="20% - Accent2 2 2 25 4" xfId="3652"/>
    <cellStyle name="20% - Accent2 2 2 25 4 2" xfId="3653"/>
    <cellStyle name="20% - Accent2 2 2 25 4 2 2" xfId="3654"/>
    <cellStyle name="20% - Accent2 2 2 25 4 3" xfId="3655"/>
    <cellStyle name="20% - Accent2 2 2 25 4 4" xfId="3656"/>
    <cellStyle name="20% - Accent2 2 2 25 5" xfId="3657"/>
    <cellStyle name="20% - Accent2 2 2 25 5 2" xfId="3658"/>
    <cellStyle name="20% - Accent2 2 2 25 6" xfId="3659"/>
    <cellStyle name="20% - Accent2 2 2 25 7" xfId="3660"/>
    <cellStyle name="20% - Accent2 2 2 25 8" xfId="3661"/>
    <cellStyle name="20% - Accent2 2 2 26" xfId="3662"/>
    <cellStyle name="20% - Accent2 2 2 26 2" xfId="3663"/>
    <cellStyle name="20% - Accent2 2 2 26 2 2" xfId="3664"/>
    <cellStyle name="20% - Accent2 2 2 26 2 2 2" xfId="3665"/>
    <cellStyle name="20% - Accent2 2 2 26 2 2 3" xfId="3666"/>
    <cellStyle name="20% - Accent2 2 2 26 2 3" xfId="3667"/>
    <cellStyle name="20% - Accent2 2 2 26 2 3 2" xfId="3668"/>
    <cellStyle name="20% - Accent2 2 2 26 2 4" xfId="3669"/>
    <cellStyle name="20% - Accent2 2 2 26 2 5" xfId="3670"/>
    <cellStyle name="20% - Accent2 2 2 26 3" xfId="3671"/>
    <cellStyle name="20% - Accent2 2 2 26 3 2" xfId="3672"/>
    <cellStyle name="20% - Accent2 2 2 26 3 2 2" xfId="3673"/>
    <cellStyle name="20% - Accent2 2 2 26 3 3" xfId="3674"/>
    <cellStyle name="20% - Accent2 2 2 26 3 4" xfId="3675"/>
    <cellStyle name="20% - Accent2 2 2 26 4" xfId="3676"/>
    <cellStyle name="20% - Accent2 2 2 26 4 2" xfId="3677"/>
    <cellStyle name="20% - Accent2 2 2 26 4 2 2" xfId="3678"/>
    <cellStyle name="20% - Accent2 2 2 26 4 3" xfId="3679"/>
    <cellStyle name="20% - Accent2 2 2 26 4 4" xfId="3680"/>
    <cellStyle name="20% - Accent2 2 2 26 5" xfId="3681"/>
    <cellStyle name="20% - Accent2 2 2 26 5 2" xfId="3682"/>
    <cellStyle name="20% - Accent2 2 2 26 6" xfId="3683"/>
    <cellStyle name="20% - Accent2 2 2 26 7" xfId="3684"/>
    <cellStyle name="20% - Accent2 2 2 26 8" xfId="3685"/>
    <cellStyle name="20% - Accent2 2 2 27" xfId="3686"/>
    <cellStyle name="20% - Accent2 2 2 27 2" xfId="3687"/>
    <cellStyle name="20% - Accent2 2 2 27 2 2" xfId="3688"/>
    <cellStyle name="20% - Accent2 2 2 27 2 2 2" xfId="3689"/>
    <cellStyle name="20% - Accent2 2 2 27 2 2 3" xfId="3690"/>
    <cellStyle name="20% - Accent2 2 2 27 2 3" xfId="3691"/>
    <cellStyle name="20% - Accent2 2 2 27 2 3 2" xfId="3692"/>
    <cellStyle name="20% - Accent2 2 2 27 2 4" xfId="3693"/>
    <cellStyle name="20% - Accent2 2 2 27 2 5" xfId="3694"/>
    <cellStyle name="20% - Accent2 2 2 27 3" xfId="3695"/>
    <cellStyle name="20% - Accent2 2 2 27 3 2" xfId="3696"/>
    <cellStyle name="20% - Accent2 2 2 27 3 2 2" xfId="3697"/>
    <cellStyle name="20% - Accent2 2 2 27 3 3" xfId="3698"/>
    <cellStyle name="20% - Accent2 2 2 27 3 4" xfId="3699"/>
    <cellStyle name="20% - Accent2 2 2 27 4" xfId="3700"/>
    <cellStyle name="20% - Accent2 2 2 27 4 2" xfId="3701"/>
    <cellStyle name="20% - Accent2 2 2 27 4 2 2" xfId="3702"/>
    <cellStyle name="20% - Accent2 2 2 27 4 3" xfId="3703"/>
    <cellStyle name="20% - Accent2 2 2 27 4 4" xfId="3704"/>
    <cellStyle name="20% - Accent2 2 2 27 5" xfId="3705"/>
    <cellStyle name="20% - Accent2 2 2 27 5 2" xfId="3706"/>
    <cellStyle name="20% - Accent2 2 2 27 6" xfId="3707"/>
    <cellStyle name="20% - Accent2 2 2 27 7" xfId="3708"/>
    <cellStyle name="20% - Accent2 2 2 27 8" xfId="3709"/>
    <cellStyle name="20% - Accent2 2 2 28" xfId="3710"/>
    <cellStyle name="20% - Accent2 2 2 28 2" xfId="3711"/>
    <cellStyle name="20% - Accent2 2 2 28 2 2" xfId="3712"/>
    <cellStyle name="20% - Accent2 2 2 28 2 2 2" xfId="3713"/>
    <cellStyle name="20% - Accent2 2 2 28 2 2 3" xfId="3714"/>
    <cellStyle name="20% - Accent2 2 2 28 2 3" xfId="3715"/>
    <cellStyle name="20% - Accent2 2 2 28 2 3 2" xfId="3716"/>
    <cellStyle name="20% - Accent2 2 2 28 2 4" xfId="3717"/>
    <cellStyle name="20% - Accent2 2 2 28 2 5" xfId="3718"/>
    <cellStyle name="20% - Accent2 2 2 28 3" xfId="3719"/>
    <cellStyle name="20% - Accent2 2 2 28 3 2" xfId="3720"/>
    <cellStyle name="20% - Accent2 2 2 28 3 2 2" xfId="3721"/>
    <cellStyle name="20% - Accent2 2 2 28 3 3" xfId="3722"/>
    <cellStyle name="20% - Accent2 2 2 28 3 4" xfId="3723"/>
    <cellStyle name="20% - Accent2 2 2 28 4" xfId="3724"/>
    <cellStyle name="20% - Accent2 2 2 28 4 2" xfId="3725"/>
    <cellStyle name="20% - Accent2 2 2 28 4 2 2" xfId="3726"/>
    <cellStyle name="20% - Accent2 2 2 28 4 3" xfId="3727"/>
    <cellStyle name="20% - Accent2 2 2 28 4 4" xfId="3728"/>
    <cellStyle name="20% - Accent2 2 2 28 5" xfId="3729"/>
    <cellStyle name="20% - Accent2 2 2 28 5 2" xfId="3730"/>
    <cellStyle name="20% - Accent2 2 2 28 6" xfId="3731"/>
    <cellStyle name="20% - Accent2 2 2 28 7" xfId="3732"/>
    <cellStyle name="20% - Accent2 2 2 28 8" xfId="3733"/>
    <cellStyle name="20% - Accent2 2 2 29" xfId="3734"/>
    <cellStyle name="20% - Accent2 2 2 29 2" xfId="3735"/>
    <cellStyle name="20% - Accent2 2 2 29 2 2" xfId="3736"/>
    <cellStyle name="20% - Accent2 2 2 29 2 2 2" xfId="3737"/>
    <cellStyle name="20% - Accent2 2 2 29 2 2 3" xfId="3738"/>
    <cellStyle name="20% - Accent2 2 2 29 2 3" xfId="3739"/>
    <cellStyle name="20% - Accent2 2 2 29 2 3 2" xfId="3740"/>
    <cellStyle name="20% - Accent2 2 2 29 2 4" xfId="3741"/>
    <cellStyle name="20% - Accent2 2 2 29 2 5" xfId="3742"/>
    <cellStyle name="20% - Accent2 2 2 29 3" xfId="3743"/>
    <cellStyle name="20% - Accent2 2 2 29 3 2" xfId="3744"/>
    <cellStyle name="20% - Accent2 2 2 29 3 2 2" xfId="3745"/>
    <cellStyle name="20% - Accent2 2 2 29 3 3" xfId="3746"/>
    <cellStyle name="20% - Accent2 2 2 29 3 4" xfId="3747"/>
    <cellStyle name="20% - Accent2 2 2 29 4" xfId="3748"/>
    <cellStyle name="20% - Accent2 2 2 29 4 2" xfId="3749"/>
    <cellStyle name="20% - Accent2 2 2 29 4 2 2" xfId="3750"/>
    <cellStyle name="20% - Accent2 2 2 29 4 3" xfId="3751"/>
    <cellStyle name="20% - Accent2 2 2 29 4 4" xfId="3752"/>
    <cellStyle name="20% - Accent2 2 2 29 5" xfId="3753"/>
    <cellStyle name="20% - Accent2 2 2 29 5 2" xfId="3754"/>
    <cellStyle name="20% - Accent2 2 2 29 6" xfId="3755"/>
    <cellStyle name="20% - Accent2 2 2 29 7" xfId="3756"/>
    <cellStyle name="20% - Accent2 2 2 29 8" xfId="3757"/>
    <cellStyle name="20% - Accent2 2 2 3" xfId="3758"/>
    <cellStyle name="20% - Accent2 2 2 3 2" xfId="3759"/>
    <cellStyle name="20% - Accent2 2 2 3 2 2" xfId="3760"/>
    <cellStyle name="20% - Accent2 2 2 3 2 3" xfId="3761"/>
    <cellStyle name="20% - Accent2 2 2 3 2 4" xfId="3762"/>
    <cellStyle name="20% - Accent2 2 2 3 2_4Q Ops Metrics Gas &amp; Electric 2010" xfId="3763"/>
    <cellStyle name="20% - Accent2 2 2 3 3" xfId="3764"/>
    <cellStyle name="20% - Accent2 2 2 3 4" xfId="3765"/>
    <cellStyle name="20% - Accent2 2 2 3 5" xfId="3766"/>
    <cellStyle name="20% - Accent2 2 2 3 6" xfId="3767"/>
    <cellStyle name="20% - Accent2 2 2 3_4Q Ops Metrics Gas &amp; Electric 2010" xfId="3768"/>
    <cellStyle name="20% - Accent2 2 2 30" xfId="3769"/>
    <cellStyle name="20% - Accent2 2 2 30 2" xfId="3770"/>
    <cellStyle name="20% - Accent2 2 2 30 2 2" xfId="3771"/>
    <cellStyle name="20% - Accent2 2 2 30 2 2 2" xfId="3772"/>
    <cellStyle name="20% - Accent2 2 2 30 2 2 3" xfId="3773"/>
    <cellStyle name="20% - Accent2 2 2 30 2 3" xfId="3774"/>
    <cellStyle name="20% - Accent2 2 2 30 2 3 2" xfId="3775"/>
    <cellStyle name="20% - Accent2 2 2 30 2 4" xfId="3776"/>
    <cellStyle name="20% - Accent2 2 2 30 2 5" xfId="3777"/>
    <cellStyle name="20% - Accent2 2 2 30 3" xfId="3778"/>
    <cellStyle name="20% - Accent2 2 2 30 3 2" xfId="3779"/>
    <cellStyle name="20% - Accent2 2 2 30 3 2 2" xfId="3780"/>
    <cellStyle name="20% - Accent2 2 2 30 3 3" xfId="3781"/>
    <cellStyle name="20% - Accent2 2 2 30 3 4" xfId="3782"/>
    <cellStyle name="20% - Accent2 2 2 30 4" xfId="3783"/>
    <cellStyle name="20% - Accent2 2 2 30 4 2" xfId="3784"/>
    <cellStyle name="20% - Accent2 2 2 30 4 2 2" xfId="3785"/>
    <cellStyle name="20% - Accent2 2 2 30 4 3" xfId="3786"/>
    <cellStyle name="20% - Accent2 2 2 30 4 4" xfId="3787"/>
    <cellStyle name="20% - Accent2 2 2 30 5" xfId="3788"/>
    <cellStyle name="20% - Accent2 2 2 30 5 2" xfId="3789"/>
    <cellStyle name="20% - Accent2 2 2 30 6" xfId="3790"/>
    <cellStyle name="20% - Accent2 2 2 30 7" xfId="3791"/>
    <cellStyle name="20% - Accent2 2 2 30 8" xfId="3792"/>
    <cellStyle name="20% - Accent2 2 2 31" xfId="3793"/>
    <cellStyle name="20% - Accent2 2 2 31 2" xfId="3794"/>
    <cellStyle name="20% - Accent2 2 2 31 2 2" xfId="3795"/>
    <cellStyle name="20% - Accent2 2 2 31 2 2 2" xfId="3796"/>
    <cellStyle name="20% - Accent2 2 2 31 2 2 3" xfId="3797"/>
    <cellStyle name="20% - Accent2 2 2 31 2 3" xfId="3798"/>
    <cellStyle name="20% - Accent2 2 2 31 2 3 2" xfId="3799"/>
    <cellStyle name="20% - Accent2 2 2 31 2 4" xfId="3800"/>
    <cellStyle name="20% - Accent2 2 2 31 2 5" xfId="3801"/>
    <cellStyle name="20% - Accent2 2 2 31 3" xfId="3802"/>
    <cellStyle name="20% - Accent2 2 2 31 3 2" xfId="3803"/>
    <cellStyle name="20% - Accent2 2 2 31 3 2 2" xfId="3804"/>
    <cellStyle name="20% - Accent2 2 2 31 3 3" xfId="3805"/>
    <cellStyle name="20% - Accent2 2 2 31 3 4" xfId="3806"/>
    <cellStyle name="20% - Accent2 2 2 31 4" xfId="3807"/>
    <cellStyle name="20% - Accent2 2 2 31 4 2" xfId="3808"/>
    <cellStyle name="20% - Accent2 2 2 31 4 2 2" xfId="3809"/>
    <cellStyle name="20% - Accent2 2 2 31 4 3" xfId="3810"/>
    <cellStyle name="20% - Accent2 2 2 31 4 4" xfId="3811"/>
    <cellStyle name="20% - Accent2 2 2 31 5" xfId="3812"/>
    <cellStyle name="20% - Accent2 2 2 31 5 2" xfId="3813"/>
    <cellStyle name="20% - Accent2 2 2 31 6" xfId="3814"/>
    <cellStyle name="20% - Accent2 2 2 31 7" xfId="3815"/>
    <cellStyle name="20% - Accent2 2 2 31 8" xfId="3816"/>
    <cellStyle name="20% - Accent2 2 2 4" xfId="3817"/>
    <cellStyle name="20% - Accent2 2 2 4 2" xfId="3818"/>
    <cellStyle name="20% - Accent2 2 2 4 2 2" xfId="3819"/>
    <cellStyle name="20% - Accent2 2 2 4 2 3" xfId="3820"/>
    <cellStyle name="20% - Accent2 2 2 4 2 4" xfId="3821"/>
    <cellStyle name="20% - Accent2 2 2 4 2_4Q Ops Metrics Gas &amp; Electric 2010" xfId="3822"/>
    <cellStyle name="20% - Accent2 2 2 4 3" xfId="3823"/>
    <cellStyle name="20% - Accent2 2 2 4 4" xfId="3824"/>
    <cellStyle name="20% - Accent2 2 2 4 5" xfId="3825"/>
    <cellStyle name="20% - Accent2 2 2 4 6" xfId="3826"/>
    <cellStyle name="20% - Accent2 2 2 4_4Q Ops Metrics Gas &amp; Electric 2010" xfId="3827"/>
    <cellStyle name="20% - Accent2 2 2 5" xfId="3828"/>
    <cellStyle name="20% - Accent2 2 2 5 2" xfId="3829"/>
    <cellStyle name="20% - Accent2 2 2 5 2 2" xfId="3830"/>
    <cellStyle name="20% - Accent2 2 2 5 2 3" xfId="3831"/>
    <cellStyle name="20% - Accent2 2 2 5 2 4" xfId="3832"/>
    <cellStyle name="20% - Accent2 2 2 5 2_4Q Ops Metrics Gas &amp; Electric 2010" xfId="3833"/>
    <cellStyle name="20% - Accent2 2 2 5 3" xfId="3834"/>
    <cellStyle name="20% - Accent2 2 2 5 4" xfId="3835"/>
    <cellStyle name="20% - Accent2 2 2 5 5" xfId="3836"/>
    <cellStyle name="20% - Accent2 2 2 5 6" xfId="3837"/>
    <cellStyle name="20% - Accent2 2 2 5_4Q Ops Metrics Gas &amp; Electric 2010" xfId="3838"/>
    <cellStyle name="20% - Accent2 2 2 6" xfId="3839"/>
    <cellStyle name="20% - Accent2 2 2 6 2" xfId="3840"/>
    <cellStyle name="20% - Accent2 2 2 6 2 2" xfId="3841"/>
    <cellStyle name="20% - Accent2 2 2 6 2 3" xfId="3842"/>
    <cellStyle name="20% - Accent2 2 2 6 2 4" xfId="3843"/>
    <cellStyle name="20% - Accent2 2 2 6 2_4Q Ops Metrics Gas &amp; Electric 2010" xfId="3844"/>
    <cellStyle name="20% - Accent2 2 2 6 3" xfId="3845"/>
    <cellStyle name="20% - Accent2 2 2 6 4" xfId="3846"/>
    <cellStyle name="20% - Accent2 2 2 6 5" xfId="3847"/>
    <cellStyle name="20% - Accent2 2 2 6 6" xfId="3848"/>
    <cellStyle name="20% - Accent2 2 2 6_4Q Ops Metrics Gas &amp; Electric 2010" xfId="3849"/>
    <cellStyle name="20% - Accent2 2 2 7" xfId="3850"/>
    <cellStyle name="20% - Accent2 2 2 7 2" xfId="3851"/>
    <cellStyle name="20% - Accent2 2 2 7 2 2" xfId="3852"/>
    <cellStyle name="20% - Accent2 2 2 7 2 3" xfId="3853"/>
    <cellStyle name="20% - Accent2 2 2 7 2 4" xfId="3854"/>
    <cellStyle name="20% - Accent2 2 2 7 2_4Q Ops Metrics Gas &amp; Electric 2010" xfId="3855"/>
    <cellStyle name="20% - Accent2 2 2 7 3" xfId="3856"/>
    <cellStyle name="20% - Accent2 2 2 7 4" xfId="3857"/>
    <cellStyle name="20% - Accent2 2 2 7 5" xfId="3858"/>
    <cellStyle name="20% - Accent2 2 2 7 6" xfId="3859"/>
    <cellStyle name="20% - Accent2 2 2 7_4Q Ops Metrics Gas &amp; Electric 2010" xfId="3860"/>
    <cellStyle name="20% - Accent2 2 2 8" xfId="3861"/>
    <cellStyle name="20% - Accent2 2 2 8 2" xfId="3862"/>
    <cellStyle name="20% - Accent2 2 2 8 2 2" xfId="3863"/>
    <cellStyle name="20% - Accent2 2 2 8 2 3" xfId="3864"/>
    <cellStyle name="20% - Accent2 2 2 8 2 4" xfId="3865"/>
    <cellStyle name="20% - Accent2 2 2 8 2_4Q Ops Metrics Gas &amp; Electric 2010" xfId="3866"/>
    <cellStyle name="20% - Accent2 2 2 8 3" xfId="3867"/>
    <cellStyle name="20% - Accent2 2 2 8 4" xfId="3868"/>
    <cellStyle name="20% - Accent2 2 2 8_4Q Ops Metrics Gas &amp; Electric 2010" xfId="3869"/>
    <cellStyle name="20% - Accent2 2 2 9" xfId="3870"/>
    <cellStyle name="20% - Accent2 2 2 9 2" xfId="3871"/>
    <cellStyle name="20% - Accent2 2 2 9 2 2" xfId="3872"/>
    <cellStyle name="20% - Accent2 2 2 9 2 3" xfId="3873"/>
    <cellStyle name="20% - Accent2 2 2 9 2 4" xfId="3874"/>
    <cellStyle name="20% - Accent2 2 2 9 2_4Q Ops Metrics Gas &amp; Electric 2010" xfId="3875"/>
    <cellStyle name="20% - Accent2 2 2 9 3" xfId="3876"/>
    <cellStyle name="20% - Accent2 2 2 9 4" xfId="3877"/>
    <cellStyle name="20% - Accent2 2 2 9_4Q Ops Metrics Gas &amp; Electric 2010" xfId="3878"/>
    <cellStyle name="20% - Accent2 2 2_2009 Actual" xfId="3879"/>
    <cellStyle name="20% - Accent2 2 20" xfId="3880"/>
    <cellStyle name="20% - Accent2 2 21" xfId="3881"/>
    <cellStyle name="20% - Accent2 2 21 2" xfId="3882"/>
    <cellStyle name="20% - Accent2 2 21 2 2" xfId="3883"/>
    <cellStyle name="20% - Accent2 2 21 2 2 2" xfId="3884"/>
    <cellStyle name="20% - Accent2 2 21 2 2 3" xfId="3885"/>
    <cellStyle name="20% - Accent2 2 21 2 3" xfId="3886"/>
    <cellStyle name="20% - Accent2 2 21 2 3 2" xfId="3887"/>
    <cellStyle name="20% - Accent2 2 21 2 4" xfId="3888"/>
    <cellStyle name="20% - Accent2 2 21 2 5" xfId="3889"/>
    <cellStyle name="20% - Accent2 2 21 3" xfId="3890"/>
    <cellStyle name="20% - Accent2 2 21 3 2" xfId="3891"/>
    <cellStyle name="20% - Accent2 2 21 3 2 2" xfId="3892"/>
    <cellStyle name="20% - Accent2 2 21 3 3" xfId="3893"/>
    <cellStyle name="20% - Accent2 2 21 3 4" xfId="3894"/>
    <cellStyle name="20% - Accent2 2 21 4" xfId="3895"/>
    <cellStyle name="20% - Accent2 2 21 4 2" xfId="3896"/>
    <cellStyle name="20% - Accent2 2 21 4 2 2" xfId="3897"/>
    <cellStyle name="20% - Accent2 2 21 4 3" xfId="3898"/>
    <cellStyle name="20% - Accent2 2 21 4 4" xfId="3899"/>
    <cellStyle name="20% - Accent2 2 21 5" xfId="3900"/>
    <cellStyle name="20% - Accent2 2 21 5 2" xfId="3901"/>
    <cellStyle name="20% - Accent2 2 21 6" xfId="3902"/>
    <cellStyle name="20% - Accent2 2 21 7" xfId="3903"/>
    <cellStyle name="20% - Accent2 2 21 8" xfId="3904"/>
    <cellStyle name="20% - Accent2 2 22" xfId="3905"/>
    <cellStyle name="20% - Accent2 2 22 2" xfId="3906"/>
    <cellStyle name="20% - Accent2 2 22 2 2" xfId="3907"/>
    <cellStyle name="20% - Accent2 2 22 2 2 2" xfId="3908"/>
    <cellStyle name="20% - Accent2 2 22 2 2 3" xfId="3909"/>
    <cellStyle name="20% - Accent2 2 22 2 3" xfId="3910"/>
    <cellStyle name="20% - Accent2 2 22 2 3 2" xfId="3911"/>
    <cellStyle name="20% - Accent2 2 22 2 4" xfId="3912"/>
    <cellStyle name="20% - Accent2 2 22 2 5" xfId="3913"/>
    <cellStyle name="20% - Accent2 2 22 3" xfId="3914"/>
    <cellStyle name="20% - Accent2 2 22 3 2" xfId="3915"/>
    <cellStyle name="20% - Accent2 2 22 3 2 2" xfId="3916"/>
    <cellStyle name="20% - Accent2 2 22 3 3" xfId="3917"/>
    <cellStyle name="20% - Accent2 2 22 3 4" xfId="3918"/>
    <cellStyle name="20% - Accent2 2 22 4" xfId="3919"/>
    <cellStyle name="20% - Accent2 2 22 4 2" xfId="3920"/>
    <cellStyle name="20% - Accent2 2 22 4 2 2" xfId="3921"/>
    <cellStyle name="20% - Accent2 2 22 4 3" xfId="3922"/>
    <cellStyle name="20% - Accent2 2 22 4 4" xfId="3923"/>
    <cellStyle name="20% - Accent2 2 22 5" xfId="3924"/>
    <cellStyle name="20% - Accent2 2 22 5 2" xfId="3925"/>
    <cellStyle name="20% - Accent2 2 22 6" xfId="3926"/>
    <cellStyle name="20% - Accent2 2 22 7" xfId="3927"/>
    <cellStyle name="20% - Accent2 2 22 8" xfId="3928"/>
    <cellStyle name="20% - Accent2 2 23" xfId="3929"/>
    <cellStyle name="20% - Accent2 2 23 2" xfId="3930"/>
    <cellStyle name="20% - Accent2 2 23 2 2" xfId="3931"/>
    <cellStyle name="20% - Accent2 2 23 2 2 2" xfId="3932"/>
    <cellStyle name="20% - Accent2 2 23 2 2 3" xfId="3933"/>
    <cellStyle name="20% - Accent2 2 23 2 3" xfId="3934"/>
    <cellStyle name="20% - Accent2 2 23 2 3 2" xfId="3935"/>
    <cellStyle name="20% - Accent2 2 23 2 4" xfId="3936"/>
    <cellStyle name="20% - Accent2 2 23 2 5" xfId="3937"/>
    <cellStyle name="20% - Accent2 2 23 3" xfId="3938"/>
    <cellStyle name="20% - Accent2 2 23 3 2" xfId="3939"/>
    <cellStyle name="20% - Accent2 2 23 3 2 2" xfId="3940"/>
    <cellStyle name="20% - Accent2 2 23 3 3" xfId="3941"/>
    <cellStyle name="20% - Accent2 2 23 3 4" xfId="3942"/>
    <cellStyle name="20% - Accent2 2 23 4" xfId="3943"/>
    <cellStyle name="20% - Accent2 2 23 4 2" xfId="3944"/>
    <cellStyle name="20% - Accent2 2 23 4 2 2" xfId="3945"/>
    <cellStyle name="20% - Accent2 2 23 4 3" xfId="3946"/>
    <cellStyle name="20% - Accent2 2 23 4 4" xfId="3947"/>
    <cellStyle name="20% - Accent2 2 23 5" xfId="3948"/>
    <cellStyle name="20% - Accent2 2 23 5 2" xfId="3949"/>
    <cellStyle name="20% - Accent2 2 23 6" xfId="3950"/>
    <cellStyle name="20% - Accent2 2 23 7" xfId="3951"/>
    <cellStyle name="20% - Accent2 2 23 8" xfId="3952"/>
    <cellStyle name="20% - Accent2 2 24" xfId="3953"/>
    <cellStyle name="20% - Accent2 2 24 2" xfId="3954"/>
    <cellStyle name="20% - Accent2 2 24 2 2" xfId="3955"/>
    <cellStyle name="20% - Accent2 2 24 2 2 2" xfId="3956"/>
    <cellStyle name="20% - Accent2 2 24 2 2 3" xfId="3957"/>
    <cellStyle name="20% - Accent2 2 24 2 3" xfId="3958"/>
    <cellStyle name="20% - Accent2 2 24 2 3 2" xfId="3959"/>
    <cellStyle name="20% - Accent2 2 24 2 4" xfId="3960"/>
    <cellStyle name="20% - Accent2 2 24 2 5" xfId="3961"/>
    <cellStyle name="20% - Accent2 2 24 3" xfId="3962"/>
    <cellStyle name="20% - Accent2 2 24 3 2" xfId="3963"/>
    <cellStyle name="20% - Accent2 2 24 3 2 2" xfId="3964"/>
    <cellStyle name="20% - Accent2 2 24 3 3" xfId="3965"/>
    <cellStyle name="20% - Accent2 2 24 3 4" xfId="3966"/>
    <cellStyle name="20% - Accent2 2 24 4" xfId="3967"/>
    <cellStyle name="20% - Accent2 2 24 4 2" xfId="3968"/>
    <cellStyle name="20% - Accent2 2 24 4 2 2" xfId="3969"/>
    <cellStyle name="20% - Accent2 2 24 4 3" xfId="3970"/>
    <cellStyle name="20% - Accent2 2 24 4 4" xfId="3971"/>
    <cellStyle name="20% - Accent2 2 24 5" xfId="3972"/>
    <cellStyle name="20% - Accent2 2 24 5 2" xfId="3973"/>
    <cellStyle name="20% - Accent2 2 24 6" xfId="3974"/>
    <cellStyle name="20% - Accent2 2 24 7" xfId="3975"/>
    <cellStyle name="20% - Accent2 2 24 8" xfId="3976"/>
    <cellStyle name="20% - Accent2 2 25" xfId="3977"/>
    <cellStyle name="20% - Accent2 2 25 2" xfId="3978"/>
    <cellStyle name="20% - Accent2 2 25 2 2" xfId="3979"/>
    <cellStyle name="20% - Accent2 2 25 2 2 2" xfId="3980"/>
    <cellStyle name="20% - Accent2 2 25 2 2 3" xfId="3981"/>
    <cellStyle name="20% - Accent2 2 25 2 3" xfId="3982"/>
    <cellStyle name="20% - Accent2 2 25 2 3 2" xfId="3983"/>
    <cellStyle name="20% - Accent2 2 25 2 4" xfId="3984"/>
    <cellStyle name="20% - Accent2 2 25 2 5" xfId="3985"/>
    <cellStyle name="20% - Accent2 2 25 3" xfId="3986"/>
    <cellStyle name="20% - Accent2 2 25 3 2" xfId="3987"/>
    <cellStyle name="20% - Accent2 2 25 3 2 2" xfId="3988"/>
    <cellStyle name="20% - Accent2 2 25 3 3" xfId="3989"/>
    <cellStyle name="20% - Accent2 2 25 3 4" xfId="3990"/>
    <cellStyle name="20% - Accent2 2 25 4" xfId="3991"/>
    <cellStyle name="20% - Accent2 2 25 4 2" xfId="3992"/>
    <cellStyle name="20% - Accent2 2 25 4 2 2" xfId="3993"/>
    <cellStyle name="20% - Accent2 2 25 4 3" xfId="3994"/>
    <cellStyle name="20% - Accent2 2 25 4 4" xfId="3995"/>
    <cellStyle name="20% - Accent2 2 25 5" xfId="3996"/>
    <cellStyle name="20% - Accent2 2 25 5 2" xfId="3997"/>
    <cellStyle name="20% - Accent2 2 25 6" xfId="3998"/>
    <cellStyle name="20% - Accent2 2 25 7" xfId="3999"/>
    <cellStyle name="20% - Accent2 2 25 8" xfId="4000"/>
    <cellStyle name="20% - Accent2 2 26" xfId="4001"/>
    <cellStyle name="20% - Accent2 2 26 2" xfId="4002"/>
    <cellStyle name="20% - Accent2 2 26 2 2" xfId="4003"/>
    <cellStyle name="20% - Accent2 2 26 2 2 2" xfId="4004"/>
    <cellStyle name="20% - Accent2 2 26 2 2 3" xfId="4005"/>
    <cellStyle name="20% - Accent2 2 26 2 3" xfId="4006"/>
    <cellStyle name="20% - Accent2 2 26 2 3 2" xfId="4007"/>
    <cellStyle name="20% - Accent2 2 26 2 4" xfId="4008"/>
    <cellStyle name="20% - Accent2 2 26 2 5" xfId="4009"/>
    <cellStyle name="20% - Accent2 2 26 3" xfId="4010"/>
    <cellStyle name="20% - Accent2 2 26 3 2" xfId="4011"/>
    <cellStyle name="20% - Accent2 2 26 3 2 2" xfId="4012"/>
    <cellStyle name="20% - Accent2 2 26 3 3" xfId="4013"/>
    <cellStyle name="20% - Accent2 2 26 3 4" xfId="4014"/>
    <cellStyle name="20% - Accent2 2 26 4" xfId="4015"/>
    <cellStyle name="20% - Accent2 2 26 4 2" xfId="4016"/>
    <cellStyle name="20% - Accent2 2 26 4 2 2" xfId="4017"/>
    <cellStyle name="20% - Accent2 2 26 4 3" xfId="4018"/>
    <cellStyle name="20% - Accent2 2 26 4 4" xfId="4019"/>
    <cellStyle name="20% - Accent2 2 26 5" xfId="4020"/>
    <cellStyle name="20% - Accent2 2 26 5 2" xfId="4021"/>
    <cellStyle name="20% - Accent2 2 26 6" xfId="4022"/>
    <cellStyle name="20% - Accent2 2 26 7" xfId="4023"/>
    <cellStyle name="20% - Accent2 2 26 8" xfId="4024"/>
    <cellStyle name="20% - Accent2 2 27" xfId="4025"/>
    <cellStyle name="20% - Accent2 2 27 2" xfId="4026"/>
    <cellStyle name="20% - Accent2 2 27 2 2" xfId="4027"/>
    <cellStyle name="20% - Accent2 2 27 2 2 2" xfId="4028"/>
    <cellStyle name="20% - Accent2 2 27 2 2 3" xfId="4029"/>
    <cellStyle name="20% - Accent2 2 27 2 3" xfId="4030"/>
    <cellStyle name="20% - Accent2 2 27 2 3 2" xfId="4031"/>
    <cellStyle name="20% - Accent2 2 27 2 4" xfId="4032"/>
    <cellStyle name="20% - Accent2 2 27 2 5" xfId="4033"/>
    <cellStyle name="20% - Accent2 2 27 3" xfId="4034"/>
    <cellStyle name="20% - Accent2 2 27 3 2" xfId="4035"/>
    <cellStyle name="20% - Accent2 2 27 3 2 2" xfId="4036"/>
    <cellStyle name="20% - Accent2 2 27 3 3" xfId="4037"/>
    <cellStyle name="20% - Accent2 2 27 3 4" xfId="4038"/>
    <cellStyle name="20% - Accent2 2 27 4" xfId="4039"/>
    <cellStyle name="20% - Accent2 2 27 4 2" xfId="4040"/>
    <cellStyle name="20% - Accent2 2 27 4 2 2" xfId="4041"/>
    <cellStyle name="20% - Accent2 2 27 4 3" xfId="4042"/>
    <cellStyle name="20% - Accent2 2 27 4 4" xfId="4043"/>
    <cellStyle name="20% - Accent2 2 27 5" xfId="4044"/>
    <cellStyle name="20% - Accent2 2 27 5 2" xfId="4045"/>
    <cellStyle name="20% - Accent2 2 27 6" xfId="4046"/>
    <cellStyle name="20% - Accent2 2 27 7" xfId="4047"/>
    <cellStyle name="20% - Accent2 2 27 8" xfId="4048"/>
    <cellStyle name="20% - Accent2 2 28" xfId="4049"/>
    <cellStyle name="20% - Accent2 2 28 2" xfId="4050"/>
    <cellStyle name="20% - Accent2 2 28 2 2" xfId="4051"/>
    <cellStyle name="20% - Accent2 2 28 2 2 2" xfId="4052"/>
    <cellStyle name="20% - Accent2 2 28 2 2 3" xfId="4053"/>
    <cellStyle name="20% - Accent2 2 28 2 3" xfId="4054"/>
    <cellStyle name="20% - Accent2 2 28 2 3 2" xfId="4055"/>
    <cellStyle name="20% - Accent2 2 28 2 4" xfId="4056"/>
    <cellStyle name="20% - Accent2 2 28 2 5" xfId="4057"/>
    <cellStyle name="20% - Accent2 2 28 3" xfId="4058"/>
    <cellStyle name="20% - Accent2 2 28 3 2" xfId="4059"/>
    <cellStyle name="20% - Accent2 2 28 3 2 2" xfId="4060"/>
    <cellStyle name="20% - Accent2 2 28 3 3" xfId="4061"/>
    <cellStyle name="20% - Accent2 2 28 3 4" xfId="4062"/>
    <cellStyle name="20% - Accent2 2 28 4" xfId="4063"/>
    <cellStyle name="20% - Accent2 2 28 4 2" xfId="4064"/>
    <cellStyle name="20% - Accent2 2 28 4 2 2" xfId="4065"/>
    <cellStyle name="20% - Accent2 2 28 4 3" xfId="4066"/>
    <cellStyle name="20% - Accent2 2 28 4 4" xfId="4067"/>
    <cellStyle name="20% - Accent2 2 28 5" xfId="4068"/>
    <cellStyle name="20% - Accent2 2 28 5 2" xfId="4069"/>
    <cellStyle name="20% - Accent2 2 28 6" xfId="4070"/>
    <cellStyle name="20% - Accent2 2 28 7" xfId="4071"/>
    <cellStyle name="20% - Accent2 2 28 8" xfId="4072"/>
    <cellStyle name="20% - Accent2 2 29" xfId="4073"/>
    <cellStyle name="20% - Accent2 2 29 2" xfId="4074"/>
    <cellStyle name="20% - Accent2 2 29 2 2" xfId="4075"/>
    <cellStyle name="20% - Accent2 2 29 2 2 2" xfId="4076"/>
    <cellStyle name="20% - Accent2 2 29 2 2 3" xfId="4077"/>
    <cellStyle name="20% - Accent2 2 29 2 3" xfId="4078"/>
    <cellStyle name="20% - Accent2 2 29 2 3 2" xfId="4079"/>
    <cellStyle name="20% - Accent2 2 29 2 4" xfId="4080"/>
    <cellStyle name="20% - Accent2 2 29 2 5" xfId="4081"/>
    <cellStyle name="20% - Accent2 2 29 3" xfId="4082"/>
    <cellStyle name="20% - Accent2 2 29 3 2" xfId="4083"/>
    <cellStyle name="20% - Accent2 2 29 3 2 2" xfId="4084"/>
    <cellStyle name="20% - Accent2 2 29 3 3" xfId="4085"/>
    <cellStyle name="20% - Accent2 2 29 3 4" xfId="4086"/>
    <cellStyle name="20% - Accent2 2 29 4" xfId="4087"/>
    <cellStyle name="20% - Accent2 2 29 4 2" xfId="4088"/>
    <cellStyle name="20% - Accent2 2 29 4 2 2" xfId="4089"/>
    <cellStyle name="20% - Accent2 2 29 4 3" xfId="4090"/>
    <cellStyle name="20% - Accent2 2 29 4 4" xfId="4091"/>
    <cellStyle name="20% - Accent2 2 29 5" xfId="4092"/>
    <cellStyle name="20% - Accent2 2 29 5 2" xfId="4093"/>
    <cellStyle name="20% - Accent2 2 29 6" xfId="4094"/>
    <cellStyle name="20% - Accent2 2 29 7" xfId="4095"/>
    <cellStyle name="20% - Accent2 2 29 8" xfId="4096"/>
    <cellStyle name="20% - Accent2 2 3" xfId="4097"/>
    <cellStyle name="20% - Accent2 2 3 10" xfId="4098"/>
    <cellStyle name="20% - Accent2 2 3 11" xfId="4099"/>
    <cellStyle name="20% - Accent2 2 3 12" xfId="4100"/>
    <cellStyle name="20% - Accent2 2 3 12 2" xfId="4101"/>
    <cellStyle name="20% - Accent2 2 3 2" xfId="4102"/>
    <cellStyle name="20% - Accent2 2 3 2 2" xfId="4103"/>
    <cellStyle name="20% - Accent2 2 3 2 2 2" xfId="4104"/>
    <cellStyle name="20% - Accent2 2 3 2 3" xfId="4105"/>
    <cellStyle name="20% - Accent2 2 3 3" xfId="4106"/>
    <cellStyle name="20% - Accent2 2 3 3 2" xfId="4107"/>
    <cellStyle name="20% - Accent2 2 3 3 2 2" xfId="4108"/>
    <cellStyle name="20% - Accent2 2 3 4" xfId="4109"/>
    <cellStyle name="20% - Accent2 2 3 4 2" xfId="4110"/>
    <cellStyle name="20% - Accent2 2 3 4 2 2" xfId="4111"/>
    <cellStyle name="20% - Accent2 2 3 5" xfId="4112"/>
    <cellStyle name="20% - Accent2 2 3 5 2" xfId="4113"/>
    <cellStyle name="20% - Accent2 2 3 5 2 2" xfId="4114"/>
    <cellStyle name="20% - Accent2 2 3 6" xfId="4115"/>
    <cellStyle name="20% - Accent2 2 3 6 2" xfId="4116"/>
    <cellStyle name="20% - Accent2 2 3 6 3" xfId="4117"/>
    <cellStyle name="20% - Accent2 2 3 6 4" xfId="4118"/>
    <cellStyle name="20% - Accent2 2 3 6 4 2" xfId="4119"/>
    <cellStyle name="20% - Accent2 2 3 6_Elec Margin Analysis" xfId="4120"/>
    <cellStyle name="20% - Accent2 2 3 7" xfId="4121"/>
    <cellStyle name="20% - Accent2 2 3 7 2" xfId="4122"/>
    <cellStyle name="20% - Accent2 2 3 7 2 2" xfId="4123"/>
    <cellStyle name="20% - Accent2 2 3 8" xfId="4124"/>
    <cellStyle name="20% - Accent2 2 3 8 2" xfId="4125"/>
    <cellStyle name="20% - Accent2 2 3 8 2 2" xfId="4126"/>
    <cellStyle name="20% - Accent2 2 3 9" xfId="4127"/>
    <cellStyle name="20% - Accent2 2 3_2009 Actual" xfId="4128"/>
    <cellStyle name="20% - Accent2 2 30" xfId="4129"/>
    <cellStyle name="20% - Accent2 2 30 2" xfId="4130"/>
    <cellStyle name="20% - Accent2 2 30 2 2" xfId="4131"/>
    <cellStyle name="20% - Accent2 2 30 2 2 2" xfId="4132"/>
    <cellStyle name="20% - Accent2 2 30 2 2 3" xfId="4133"/>
    <cellStyle name="20% - Accent2 2 30 2 3" xfId="4134"/>
    <cellStyle name="20% - Accent2 2 30 2 3 2" xfId="4135"/>
    <cellStyle name="20% - Accent2 2 30 2 4" xfId="4136"/>
    <cellStyle name="20% - Accent2 2 30 2 5" xfId="4137"/>
    <cellStyle name="20% - Accent2 2 30 3" xfId="4138"/>
    <cellStyle name="20% - Accent2 2 30 3 2" xfId="4139"/>
    <cellStyle name="20% - Accent2 2 30 3 2 2" xfId="4140"/>
    <cellStyle name="20% - Accent2 2 30 3 3" xfId="4141"/>
    <cellStyle name="20% - Accent2 2 30 3 4" xfId="4142"/>
    <cellStyle name="20% - Accent2 2 30 4" xfId="4143"/>
    <cellStyle name="20% - Accent2 2 30 4 2" xfId="4144"/>
    <cellStyle name="20% - Accent2 2 30 4 2 2" xfId="4145"/>
    <cellStyle name="20% - Accent2 2 30 4 3" xfId="4146"/>
    <cellStyle name="20% - Accent2 2 30 4 4" xfId="4147"/>
    <cellStyle name="20% - Accent2 2 30 5" xfId="4148"/>
    <cellStyle name="20% - Accent2 2 30 5 2" xfId="4149"/>
    <cellStyle name="20% - Accent2 2 30 6" xfId="4150"/>
    <cellStyle name="20% - Accent2 2 30 7" xfId="4151"/>
    <cellStyle name="20% - Accent2 2 30 8" xfId="4152"/>
    <cellStyle name="20% - Accent2 2 31" xfId="4153"/>
    <cellStyle name="20% - Accent2 2 31 2" xfId="4154"/>
    <cellStyle name="20% - Accent2 2 31 2 2" xfId="4155"/>
    <cellStyle name="20% - Accent2 2 31 2 3" xfId="4156"/>
    <cellStyle name="20% - Accent2 2 31 3" xfId="4157"/>
    <cellStyle name="20% - Accent2 2 31 3 2" xfId="4158"/>
    <cellStyle name="20% - Accent2 2 31 4" xfId="4159"/>
    <cellStyle name="20% - Accent2 2 31 5" xfId="4160"/>
    <cellStyle name="20% - Accent2 2 32" xfId="4161"/>
    <cellStyle name="20% - Accent2 2 32 2" xfId="4162"/>
    <cellStyle name="20% - Accent2 2 32 2 2" xfId="4163"/>
    <cellStyle name="20% - Accent2 2 32 2 3" xfId="4164"/>
    <cellStyle name="20% - Accent2 2 32 3" xfId="4165"/>
    <cellStyle name="20% - Accent2 2 32 3 2" xfId="4166"/>
    <cellStyle name="20% - Accent2 2 32 4" xfId="4167"/>
    <cellStyle name="20% - Accent2 2 32 5" xfId="4168"/>
    <cellStyle name="20% - Accent2 2 33" xfId="4169"/>
    <cellStyle name="20% - Accent2 2 33 2" xfId="4170"/>
    <cellStyle name="20% - Accent2 2 33 2 2" xfId="4171"/>
    <cellStyle name="20% - Accent2 2 33 2 3" xfId="4172"/>
    <cellStyle name="20% - Accent2 2 33 3" xfId="4173"/>
    <cellStyle name="20% - Accent2 2 33 3 2" xfId="4174"/>
    <cellStyle name="20% - Accent2 2 33 4" xfId="4175"/>
    <cellStyle name="20% - Accent2 2 33 5" xfId="4176"/>
    <cellStyle name="20% - Accent2 2 34" xfId="4177"/>
    <cellStyle name="20% - Accent2 2 34 2" xfId="4178"/>
    <cellStyle name="20% - Accent2 2 34 2 2" xfId="4179"/>
    <cellStyle name="20% - Accent2 2 34 2 3" xfId="4180"/>
    <cellStyle name="20% - Accent2 2 34 3" xfId="4181"/>
    <cellStyle name="20% - Accent2 2 34 3 2" xfId="4182"/>
    <cellStyle name="20% - Accent2 2 34 4" xfId="4183"/>
    <cellStyle name="20% - Accent2 2 34 5" xfId="4184"/>
    <cellStyle name="20% - Accent2 2 35" xfId="4185"/>
    <cellStyle name="20% - Accent2 2 35 2" xfId="4186"/>
    <cellStyle name="20% - Accent2 2 35 2 2" xfId="4187"/>
    <cellStyle name="20% - Accent2 2 35 2 3" xfId="4188"/>
    <cellStyle name="20% - Accent2 2 35 3" xfId="4189"/>
    <cellStyle name="20% - Accent2 2 35 3 2" xfId="4190"/>
    <cellStyle name="20% - Accent2 2 35 4" xfId="4191"/>
    <cellStyle name="20% - Accent2 2 35 5" xfId="4192"/>
    <cellStyle name="20% - Accent2 2 36" xfId="4193"/>
    <cellStyle name="20% - Accent2 2 36 2" xfId="4194"/>
    <cellStyle name="20% - Accent2 2 36 2 2" xfId="4195"/>
    <cellStyle name="20% - Accent2 2 36 2 3" xfId="4196"/>
    <cellStyle name="20% - Accent2 2 36 3" xfId="4197"/>
    <cellStyle name="20% - Accent2 2 36 3 2" xfId="4198"/>
    <cellStyle name="20% - Accent2 2 36 4" xfId="4199"/>
    <cellStyle name="20% - Accent2 2 36 5" xfId="4200"/>
    <cellStyle name="20% - Accent2 2 37" xfId="4201"/>
    <cellStyle name="20% - Accent2 2 37 2" xfId="4202"/>
    <cellStyle name="20% - Accent2 2 37 2 2" xfId="4203"/>
    <cellStyle name="20% - Accent2 2 37 2 3" xfId="4204"/>
    <cellStyle name="20% - Accent2 2 37 3" xfId="4205"/>
    <cellStyle name="20% - Accent2 2 37 3 2" xfId="4206"/>
    <cellStyle name="20% - Accent2 2 37 4" xfId="4207"/>
    <cellStyle name="20% - Accent2 2 37 5" xfId="4208"/>
    <cellStyle name="20% - Accent2 2 38" xfId="4209"/>
    <cellStyle name="20% - Accent2 2 38 2" xfId="4210"/>
    <cellStyle name="20% - Accent2 2 38 2 2" xfId="4211"/>
    <cellStyle name="20% - Accent2 2 38 2 3" xfId="4212"/>
    <cellStyle name="20% - Accent2 2 38 3" xfId="4213"/>
    <cellStyle name="20% - Accent2 2 38 3 2" xfId="4214"/>
    <cellStyle name="20% - Accent2 2 38 4" xfId="4215"/>
    <cellStyle name="20% - Accent2 2 38 5" xfId="4216"/>
    <cellStyle name="20% - Accent2 2 39" xfId="4217"/>
    <cellStyle name="20% - Accent2 2 39 2" xfId="4218"/>
    <cellStyle name="20% - Accent2 2 39 2 2" xfId="4219"/>
    <cellStyle name="20% - Accent2 2 39 2 3" xfId="4220"/>
    <cellStyle name="20% - Accent2 2 39 3" xfId="4221"/>
    <cellStyle name="20% - Accent2 2 39 3 2" xfId="4222"/>
    <cellStyle name="20% - Accent2 2 39 4" xfId="4223"/>
    <cellStyle name="20% - Accent2 2 39 5" xfId="4224"/>
    <cellStyle name="20% - Accent2 2 4" xfId="4225"/>
    <cellStyle name="20% - Accent2 2 4 2" xfId="4226"/>
    <cellStyle name="20% - Accent2 2 4 2 2" xfId="4227"/>
    <cellStyle name="20% - Accent2 2 4 3" xfId="4228"/>
    <cellStyle name="20% - Accent2 2 4 4" xfId="4229"/>
    <cellStyle name="20% - Accent2 2 4 5" xfId="4230"/>
    <cellStyle name="20% - Accent2 2 4 6" xfId="4231"/>
    <cellStyle name="20% - Accent2 2 4 7" xfId="4232"/>
    <cellStyle name="20% - Accent2 2 4 8" xfId="4233"/>
    <cellStyle name="20% - Accent2 2 4 8 2" xfId="4234"/>
    <cellStyle name="20% - Accent2 2 4_2009 Actual" xfId="4235"/>
    <cellStyle name="20% - Accent2 2 40" xfId="4236"/>
    <cellStyle name="20% - Accent2 2 40 2" xfId="4237"/>
    <cellStyle name="20% - Accent2 2 40 2 2" xfId="4238"/>
    <cellStyle name="20% - Accent2 2 40 2 3" xfId="4239"/>
    <cellStyle name="20% - Accent2 2 40 3" xfId="4240"/>
    <cellStyle name="20% - Accent2 2 40 3 2" xfId="4241"/>
    <cellStyle name="20% - Accent2 2 40 4" xfId="4242"/>
    <cellStyle name="20% - Accent2 2 40 5" xfId="4243"/>
    <cellStyle name="20% - Accent2 2 41" xfId="4244"/>
    <cellStyle name="20% - Accent2 2 41 2" xfId="4245"/>
    <cellStyle name="20% - Accent2 2 41 2 2" xfId="4246"/>
    <cellStyle name="20% - Accent2 2 41 2 3" xfId="4247"/>
    <cellStyle name="20% - Accent2 2 41 3" xfId="4248"/>
    <cellStyle name="20% - Accent2 2 41 3 2" xfId="4249"/>
    <cellStyle name="20% - Accent2 2 41 4" xfId="4250"/>
    <cellStyle name="20% - Accent2 2 41 5" xfId="4251"/>
    <cellStyle name="20% - Accent2 2 42" xfId="4252"/>
    <cellStyle name="20% - Accent2 2 42 2" xfId="4253"/>
    <cellStyle name="20% - Accent2 2 42 2 2" xfId="4254"/>
    <cellStyle name="20% - Accent2 2 42 2 3" xfId="4255"/>
    <cellStyle name="20% - Accent2 2 42 3" xfId="4256"/>
    <cellStyle name="20% - Accent2 2 42 3 2" xfId="4257"/>
    <cellStyle name="20% - Accent2 2 42 4" xfId="4258"/>
    <cellStyle name="20% - Accent2 2 42 5" xfId="4259"/>
    <cellStyle name="20% - Accent2 2 43" xfId="4260"/>
    <cellStyle name="20% - Accent2 2 43 2" xfId="4261"/>
    <cellStyle name="20% - Accent2 2 43 2 2" xfId="4262"/>
    <cellStyle name="20% - Accent2 2 43 2 3" xfId="4263"/>
    <cellStyle name="20% - Accent2 2 43 3" xfId="4264"/>
    <cellStyle name="20% - Accent2 2 43 3 2" xfId="4265"/>
    <cellStyle name="20% - Accent2 2 43 4" xfId="4266"/>
    <cellStyle name="20% - Accent2 2 43 5" xfId="4267"/>
    <cellStyle name="20% - Accent2 2 44" xfId="4268"/>
    <cellStyle name="20% - Accent2 2 44 2" xfId="4269"/>
    <cellStyle name="20% - Accent2 2 44 2 2" xfId="4270"/>
    <cellStyle name="20% - Accent2 2 44 2 3" xfId="4271"/>
    <cellStyle name="20% - Accent2 2 44 3" xfId="4272"/>
    <cellStyle name="20% - Accent2 2 44 3 2" xfId="4273"/>
    <cellStyle name="20% - Accent2 2 44 4" xfId="4274"/>
    <cellStyle name="20% - Accent2 2 44 5" xfId="4275"/>
    <cellStyle name="20% - Accent2 2 45" xfId="4276"/>
    <cellStyle name="20% - Accent2 2 45 2" xfId="4277"/>
    <cellStyle name="20% - Accent2 2 45 2 2" xfId="4278"/>
    <cellStyle name="20% - Accent2 2 45 2 3" xfId="4279"/>
    <cellStyle name="20% - Accent2 2 45 3" xfId="4280"/>
    <cellStyle name="20% - Accent2 2 45 3 2" xfId="4281"/>
    <cellStyle name="20% - Accent2 2 45 4" xfId="4282"/>
    <cellStyle name="20% - Accent2 2 45 5" xfId="4283"/>
    <cellStyle name="20% - Accent2 2 46" xfId="4284"/>
    <cellStyle name="20% - Accent2 2 46 2" xfId="4285"/>
    <cellStyle name="20% - Accent2 2 46 2 2" xfId="4286"/>
    <cellStyle name="20% - Accent2 2 46 2 3" xfId="4287"/>
    <cellStyle name="20% - Accent2 2 46 3" xfId="4288"/>
    <cellStyle name="20% - Accent2 2 46 3 2" xfId="4289"/>
    <cellStyle name="20% - Accent2 2 46 4" xfId="4290"/>
    <cellStyle name="20% - Accent2 2 46 5" xfId="4291"/>
    <cellStyle name="20% - Accent2 2 47" xfId="4292"/>
    <cellStyle name="20% - Accent2 2 47 2" xfId="4293"/>
    <cellStyle name="20% - Accent2 2 47 2 2" xfId="4294"/>
    <cellStyle name="20% - Accent2 2 47 2 3" xfId="4295"/>
    <cellStyle name="20% - Accent2 2 47 3" xfId="4296"/>
    <cellStyle name="20% - Accent2 2 47 3 2" xfId="4297"/>
    <cellStyle name="20% - Accent2 2 47 4" xfId="4298"/>
    <cellStyle name="20% - Accent2 2 47 5" xfId="4299"/>
    <cellStyle name="20% - Accent2 2 48" xfId="4300"/>
    <cellStyle name="20% - Accent2 2 48 2" xfId="4301"/>
    <cellStyle name="20% - Accent2 2 48 2 2" xfId="4302"/>
    <cellStyle name="20% - Accent2 2 48 2 3" xfId="4303"/>
    <cellStyle name="20% - Accent2 2 48 3" xfId="4304"/>
    <cellStyle name="20% - Accent2 2 48 3 2" xfId="4305"/>
    <cellStyle name="20% - Accent2 2 48 4" xfId="4306"/>
    <cellStyle name="20% - Accent2 2 48 5" xfId="4307"/>
    <cellStyle name="20% - Accent2 2 49" xfId="4308"/>
    <cellStyle name="20% - Accent2 2 49 2" xfId="4309"/>
    <cellStyle name="20% - Accent2 2 49 2 2" xfId="4310"/>
    <cellStyle name="20% - Accent2 2 49 2 3" xfId="4311"/>
    <cellStyle name="20% - Accent2 2 49 3" xfId="4312"/>
    <cellStyle name="20% - Accent2 2 49 3 2" xfId="4313"/>
    <cellStyle name="20% - Accent2 2 49 4" xfId="4314"/>
    <cellStyle name="20% - Accent2 2 49 5" xfId="4315"/>
    <cellStyle name="20% - Accent2 2 5" xfId="4316"/>
    <cellStyle name="20% - Accent2 2 5 2" xfId="4317"/>
    <cellStyle name="20% - Accent2 2 5 3" xfId="4318"/>
    <cellStyle name="20% - Accent2 2 5 4" xfId="4319"/>
    <cellStyle name="20% - Accent2 2 5 5" xfId="4320"/>
    <cellStyle name="20% - Accent2 2 5 6" xfId="4321"/>
    <cellStyle name="20% - Accent2 2 5 7" xfId="4322"/>
    <cellStyle name="20% - Accent2 2 5 8" xfId="4323"/>
    <cellStyle name="20% - Accent2 2 5 8 2" xfId="4324"/>
    <cellStyle name="20% - Accent2 2 5_2009 Actual" xfId="4325"/>
    <cellStyle name="20% - Accent2 2 50" xfId="4326"/>
    <cellStyle name="20% - Accent2 2 50 2" xfId="4327"/>
    <cellStyle name="20% - Accent2 2 50 2 2" xfId="4328"/>
    <cellStyle name="20% - Accent2 2 50 2 3" xfId="4329"/>
    <cellStyle name="20% - Accent2 2 50 3" xfId="4330"/>
    <cellStyle name="20% - Accent2 2 50 3 2" xfId="4331"/>
    <cellStyle name="20% - Accent2 2 50 4" xfId="4332"/>
    <cellStyle name="20% - Accent2 2 50 5" xfId="4333"/>
    <cellStyle name="20% - Accent2 2 51" xfId="4334"/>
    <cellStyle name="20% - Accent2 2 51 2" xfId="4335"/>
    <cellStyle name="20% - Accent2 2 51 2 2" xfId="4336"/>
    <cellStyle name="20% - Accent2 2 51 2 3" xfId="4337"/>
    <cellStyle name="20% - Accent2 2 51 3" xfId="4338"/>
    <cellStyle name="20% - Accent2 2 51 3 2" xfId="4339"/>
    <cellStyle name="20% - Accent2 2 51 4" xfId="4340"/>
    <cellStyle name="20% - Accent2 2 51 5" xfId="4341"/>
    <cellStyle name="20% - Accent2 2 52" xfId="4342"/>
    <cellStyle name="20% - Accent2 2 52 2" xfId="4343"/>
    <cellStyle name="20% - Accent2 2 52 2 2" xfId="4344"/>
    <cellStyle name="20% - Accent2 2 52 2 3" xfId="4345"/>
    <cellStyle name="20% - Accent2 2 52 3" xfId="4346"/>
    <cellStyle name="20% - Accent2 2 52 3 2" xfId="4347"/>
    <cellStyle name="20% - Accent2 2 52 4" xfId="4348"/>
    <cellStyle name="20% - Accent2 2 52 5" xfId="4349"/>
    <cellStyle name="20% - Accent2 2 53" xfId="4350"/>
    <cellStyle name="20% - Accent2 2 53 2" xfId="4351"/>
    <cellStyle name="20% - Accent2 2 53 2 2" xfId="4352"/>
    <cellStyle name="20% - Accent2 2 53 2 3" xfId="4353"/>
    <cellStyle name="20% - Accent2 2 53 3" xfId="4354"/>
    <cellStyle name="20% - Accent2 2 53 3 2" xfId="4355"/>
    <cellStyle name="20% - Accent2 2 53 4" xfId="4356"/>
    <cellStyle name="20% - Accent2 2 53 5" xfId="4357"/>
    <cellStyle name="20% - Accent2 2 54" xfId="4358"/>
    <cellStyle name="20% - Accent2 2 54 2" xfId="4359"/>
    <cellStyle name="20% - Accent2 2 54 2 2" xfId="4360"/>
    <cellStyle name="20% - Accent2 2 54 2 3" xfId="4361"/>
    <cellStyle name="20% - Accent2 2 54 3" xfId="4362"/>
    <cellStyle name="20% - Accent2 2 54 3 2" xfId="4363"/>
    <cellStyle name="20% - Accent2 2 54 4" xfId="4364"/>
    <cellStyle name="20% - Accent2 2 54 5" xfId="4365"/>
    <cellStyle name="20% - Accent2 2 55" xfId="4366"/>
    <cellStyle name="20% - Accent2 2 55 2" xfId="4367"/>
    <cellStyle name="20% - Accent2 2 55 2 2" xfId="4368"/>
    <cellStyle name="20% - Accent2 2 55 2 3" xfId="4369"/>
    <cellStyle name="20% - Accent2 2 55 3" xfId="4370"/>
    <cellStyle name="20% - Accent2 2 55 3 2" xfId="4371"/>
    <cellStyle name="20% - Accent2 2 55 4" xfId="4372"/>
    <cellStyle name="20% - Accent2 2 55 5" xfId="4373"/>
    <cellStyle name="20% - Accent2 2 56" xfId="4374"/>
    <cellStyle name="20% - Accent2 2 56 2" xfId="4375"/>
    <cellStyle name="20% - Accent2 2 56 2 2" xfId="4376"/>
    <cellStyle name="20% - Accent2 2 56 2 3" xfId="4377"/>
    <cellStyle name="20% - Accent2 2 56 3" xfId="4378"/>
    <cellStyle name="20% - Accent2 2 56 3 2" xfId="4379"/>
    <cellStyle name="20% - Accent2 2 56 4" xfId="4380"/>
    <cellStyle name="20% - Accent2 2 56 5" xfId="4381"/>
    <cellStyle name="20% - Accent2 2 57" xfId="4382"/>
    <cellStyle name="20% - Accent2 2 57 2" xfId="4383"/>
    <cellStyle name="20% - Accent2 2 57 2 2" xfId="4384"/>
    <cellStyle name="20% - Accent2 2 57 2 3" xfId="4385"/>
    <cellStyle name="20% - Accent2 2 57 3" xfId="4386"/>
    <cellStyle name="20% - Accent2 2 57 3 2" xfId="4387"/>
    <cellStyle name="20% - Accent2 2 57 4" xfId="4388"/>
    <cellStyle name="20% - Accent2 2 57 5" xfId="4389"/>
    <cellStyle name="20% - Accent2 2 58" xfId="4390"/>
    <cellStyle name="20% - Accent2 2 58 2" xfId="4391"/>
    <cellStyle name="20% - Accent2 2 58 2 2" xfId="4392"/>
    <cellStyle name="20% - Accent2 2 58 2 3" xfId="4393"/>
    <cellStyle name="20% - Accent2 2 58 3" xfId="4394"/>
    <cellStyle name="20% - Accent2 2 58 3 2" xfId="4395"/>
    <cellStyle name="20% - Accent2 2 58 4" xfId="4396"/>
    <cellStyle name="20% - Accent2 2 58 5" xfId="4397"/>
    <cellStyle name="20% - Accent2 2 59" xfId="4398"/>
    <cellStyle name="20% - Accent2 2 59 2" xfId="4399"/>
    <cellStyle name="20% - Accent2 2 59 2 2" xfId="4400"/>
    <cellStyle name="20% - Accent2 2 59 2 3" xfId="4401"/>
    <cellStyle name="20% - Accent2 2 59 3" xfId="4402"/>
    <cellStyle name="20% - Accent2 2 59 3 2" xfId="4403"/>
    <cellStyle name="20% - Accent2 2 59 4" xfId="4404"/>
    <cellStyle name="20% - Accent2 2 59 5" xfId="4405"/>
    <cellStyle name="20% - Accent2 2 6" xfId="4406"/>
    <cellStyle name="20% - Accent2 2 6 2" xfId="4407"/>
    <cellStyle name="20% - Accent2 2 6 3" xfId="4408"/>
    <cellStyle name="20% - Accent2 2 6 4" xfId="4409"/>
    <cellStyle name="20% - Accent2 2 6 5" xfId="4410"/>
    <cellStyle name="20% - Accent2 2 6 6" xfId="4411"/>
    <cellStyle name="20% - Accent2 2 6 7" xfId="4412"/>
    <cellStyle name="20% - Accent2 2 6 8" xfId="4413"/>
    <cellStyle name="20% - Accent2 2 6 8 2" xfId="4414"/>
    <cellStyle name="20% - Accent2 2 6_2009 Actual" xfId="4415"/>
    <cellStyle name="20% - Accent2 2 60" xfId="4416"/>
    <cellStyle name="20% - Accent2 2 60 2" xfId="4417"/>
    <cellStyle name="20% - Accent2 2 60 2 2" xfId="4418"/>
    <cellStyle name="20% - Accent2 2 60 2 3" xfId="4419"/>
    <cellStyle name="20% - Accent2 2 60 3" xfId="4420"/>
    <cellStyle name="20% - Accent2 2 60 3 2" xfId="4421"/>
    <cellStyle name="20% - Accent2 2 60 4" xfId="4422"/>
    <cellStyle name="20% - Accent2 2 60 5" xfId="4423"/>
    <cellStyle name="20% - Accent2 2 61" xfId="4424"/>
    <cellStyle name="20% - Accent2 2 61 2" xfId="4425"/>
    <cellStyle name="20% - Accent2 2 61 2 2" xfId="4426"/>
    <cellStyle name="20% - Accent2 2 61 2 3" xfId="4427"/>
    <cellStyle name="20% - Accent2 2 61 3" xfId="4428"/>
    <cellStyle name="20% - Accent2 2 61 3 2" xfId="4429"/>
    <cellStyle name="20% - Accent2 2 61 4" xfId="4430"/>
    <cellStyle name="20% - Accent2 2 61 5" xfId="4431"/>
    <cellStyle name="20% - Accent2 2 62" xfId="4432"/>
    <cellStyle name="20% - Accent2 2 62 2" xfId="4433"/>
    <cellStyle name="20% - Accent2 2 62 2 2" xfId="4434"/>
    <cellStyle name="20% - Accent2 2 62 2 3" xfId="4435"/>
    <cellStyle name="20% - Accent2 2 62 3" xfId="4436"/>
    <cellStyle name="20% - Accent2 2 62 3 2" xfId="4437"/>
    <cellStyle name="20% - Accent2 2 62 4" xfId="4438"/>
    <cellStyle name="20% - Accent2 2 62 5" xfId="4439"/>
    <cellStyle name="20% - Accent2 2 63" xfId="4440"/>
    <cellStyle name="20% - Accent2 2 63 2" xfId="4441"/>
    <cellStyle name="20% - Accent2 2 63 2 2" xfId="4442"/>
    <cellStyle name="20% - Accent2 2 63 2 3" xfId="4443"/>
    <cellStyle name="20% - Accent2 2 63 3" xfId="4444"/>
    <cellStyle name="20% - Accent2 2 63 3 2" xfId="4445"/>
    <cellStyle name="20% - Accent2 2 63 4" xfId="4446"/>
    <cellStyle name="20% - Accent2 2 63 5" xfId="4447"/>
    <cellStyle name="20% - Accent2 2 64" xfId="4448"/>
    <cellStyle name="20% - Accent2 2 64 2" xfId="4449"/>
    <cellStyle name="20% - Accent2 2 64 2 2" xfId="4450"/>
    <cellStyle name="20% - Accent2 2 64 2 3" xfId="4451"/>
    <cellStyle name="20% - Accent2 2 64 3" xfId="4452"/>
    <cellStyle name="20% - Accent2 2 64 3 2" xfId="4453"/>
    <cellStyle name="20% - Accent2 2 64 4" xfId="4454"/>
    <cellStyle name="20% - Accent2 2 64 5" xfId="4455"/>
    <cellStyle name="20% - Accent2 2 65" xfId="4456"/>
    <cellStyle name="20% - Accent2 2 65 2" xfId="4457"/>
    <cellStyle name="20% - Accent2 2 65 2 2" xfId="4458"/>
    <cellStyle name="20% - Accent2 2 65 2 3" xfId="4459"/>
    <cellStyle name="20% - Accent2 2 65 3" xfId="4460"/>
    <cellStyle name="20% - Accent2 2 65 3 2" xfId="4461"/>
    <cellStyle name="20% - Accent2 2 65 4" xfId="4462"/>
    <cellStyle name="20% - Accent2 2 65 5" xfId="4463"/>
    <cellStyle name="20% - Accent2 2 66" xfId="4464"/>
    <cellStyle name="20% - Accent2 2 66 2" xfId="4465"/>
    <cellStyle name="20% - Accent2 2 66 2 2" xfId="4466"/>
    <cellStyle name="20% - Accent2 2 66 2 3" xfId="4467"/>
    <cellStyle name="20% - Accent2 2 66 3" xfId="4468"/>
    <cellStyle name="20% - Accent2 2 66 3 2" xfId="4469"/>
    <cellStyle name="20% - Accent2 2 66 4" xfId="4470"/>
    <cellStyle name="20% - Accent2 2 66 5" xfId="4471"/>
    <cellStyle name="20% - Accent2 2 67" xfId="4472"/>
    <cellStyle name="20% - Accent2 2 67 2" xfId="4473"/>
    <cellStyle name="20% - Accent2 2 67 2 2" xfId="4474"/>
    <cellStyle name="20% - Accent2 2 67 2 3" xfId="4475"/>
    <cellStyle name="20% - Accent2 2 67 3" xfId="4476"/>
    <cellStyle name="20% - Accent2 2 67 3 2" xfId="4477"/>
    <cellStyle name="20% - Accent2 2 67 4" xfId="4478"/>
    <cellStyle name="20% - Accent2 2 67 5" xfId="4479"/>
    <cellStyle name="20% - Accent2 2 68" xfId="4480"/>
    <cellStyle name="20% - Accent2 2 68 2" xfId="4481"/>
    <cellStyle name="20% - Accent2 2 68 2 2" xfId="4482"/>
    <cellStyle name="20% - Accent2 2 68 2 3" xfId="4483"/>
    <cellStyle name="20% - Accent2 2 68 3" xfId="4484"/>
    <cellStyle name="20% - Accent2 2 68 3 2" xfId="4485"/>
    <cellStyle name="20% - Accent2 2 68 4" xfId="4486"/>
    <cellStyle name="20% - Accent2 2 68 5" xfId="4487"/>
    <cellStyle name="20% - Accent2 2 69" xfId="4488"/>
    <cellStyle name="20% - Accent2 2 69 2" xfId="4489"/>
    <cellStyle name="20% - Accent2 2 69 2 2" xfId="4490"/>
    <cellStyle name="20% - Accent2 2 69 2 3" xfId="4491"/>
    <cellStyle name="20% - Accent2 2 69 3" xfId="4492"/>
    <cellStyle name="20% - Accent2 2 69 3 2" xfId="4493"/>
    <cellStyle name="20% - Accent2 2 69 4" xfId="4494"/>
    <cellStyle name="20% - Accent2 2 69 5" xfId="4495"/>
    <cellStyle name="20% - Accent2 2 7" xfId="4496"/>
    <cellStyle name="20% - Accent2 2 7 2" xfId="4497"/>
    <cellStyle name="20% - Accent2 2 7 2 2" xfId="4498"/>
    <cellStyle name="20% - Accent2 2 7 3" xfId="4499"/>
    <cellStyle name="20% - Accent2 2 7 4" xfId="4500"/>
    <cellStyle name="20% - Accent2 2 7 5" xfId="4501"/>
    <cellStyle name="20% - Accent2 2 7 5 2" xfId="4502"/>
    <cellStyle name="20% - Accent2 2 7_4Q Ops Metrics Gas &amp; Electric 2010" xfId="4503"/>
    <cellStyle name="20% - Accent2 2 70" xfId="4504"/>
    <cellStyle name="20% - Accent2 2 70 2" xfId="4505"/>
    <cellStyle name="20% - Accent2 2 70 2 2" xfId="4506"/>
    <cellStyle name="20% - Accent2 2 70 2 3" xfId="4507"/>
    <cellStyle name="20% - Accent2 2 70 3" xfId="4508"/>
    <cellStyle name="20% - Accent2 2 70 3 2" xfId="4509"/>
    <cellStyle name="20% - Accent2 2 70 4" xfId="4510"/>
    <cellStyle name="20% - Accent2 2 70 5" xfId="4511"/>
    <cellStyle name="20% - Accent2 2 71" xfId="4512"/>
    <cellStyle name="20% - Accent2 2 71 2" xfId="4513"/>
    <cellStyle name="20% - Accent2 2 71 2 2" xfId="4514"/>
    <cellStyle name="20% - Accent2 2 71 2 3" xfId="4515"/>
    <cellStyle name="20% - Accent2 2 71 3" xfId="4516"/>
    <cellStyle name="20% - Accent2 2 71 3 2" xfId="4517"/>
    <cellStyle name="20% - Accent2 2 71 4" xfId="4518"/>
    <cellStyle name="20% - Accent2 2 71 5" xfId="4519"/>
    <cellStyle name="20% - Accent2 2 72" xfId="4520"/>
    <cellStyle name="20% - Accent2 2 72 2" xfId="4521"/>
    <cellStyle name="20% - Accent2 2 72 2 2" xfId="4522"/>
    <cellStyle name="20% - Accent2 2 72 2 3" xfId="4523"/>
    <cellStyle name="20% - Accent2 2 72 3" xfId="4524"/>
    <cellStyle name="20% - Accent2 2 72 3 2" xfId="4525"/>
    <cellStyle name="20% - Accent2 2 72 4" xfId="4526"/>
    <cellStyle name="20% - Accent2 2 72 5" xfId="4527"/>
    <cellStyle name="20% - Accent2 2 73" xfId="4528"/>
    <cellStyle name="20% - Accent2 2 73 2" xfId="4529"/>
    <cellStyle name="20% - Accent2 2 73 2 2" xfId="4530"/>
    <cellStyle name="20% - Accent2 2 73 2 3" xfId="4531"/>
    <cellStyle name="20% - Accent2 2 73 3" xfId="4532"/>
    <cellStyle name="20% - Accent2 2 73 3 2" xfId="4533"/>
    <cellStyle name="20% - Accent2 2 73 4" xfId="4534"/>
    <cellStyle name="20% - Accent2 2 73 5" xfId="4535"/>
    <cellStyle name="20% - Accent2 2 74" xfId="4536"/>
    <cellStyle name="20% - Accent2 2 74 2" xfId="4537"/>
    <cellStyle name="20% - Accent2 2 74 2 2" xfId="4538"/>
    <cellStyle name="20% - Accent2 2 74 2 3" xfId="4539"/>
    <cellStyle name="20% - Accent2 2 74 3" xfId="4540"/>
    <cellStyle name="20% - Accent2 2 74 3 2" xfId="4541"/>
    <cellStyle name="20% - Accent2 2 74 4" xfId="4542"/>
    <cellStyle name="20% - Accent2 2 74 5" xfId="4543"/>
    <cellStyle name="20% - Accent2 2 75" xfId="4544"/>
    <cellStyle name="20% - Accent2 2 75 2" xfId="4545"/>
    <cellStyle name="20% - Accent2 2 75 2 2" xfId="4546"/>
    <cellStyle name="20% - Accent2 2 75 2 3" xfId="4547"/>
    <cellStyle name="20% - Accent2 2 75 3" xfId="4548"/>
    <cellStyle name="20% - Accent2 2 75 3 2" xfId="4549"/>
    <cellStyle name="20% - Accent2 2 75 4" xfId="4550"/>
    <cellStyle name="20% - Accent2 2 75 5" xfId="4551"/>
    <cellStyle name="20% - Accent2 2 76" xfId="4552"/>
    <cellStyle name="20% - Accent2 2 76 2" xfId="4553"/>
    <cellStyle name="20% - Accent2 2 76 2 2" xfId="4554"/>
    <cellStyle name="20% - Accent2 2 76 2 3" xfId="4555"/>
    <cellStyle name="20% - Accent2 2 76 3" xfId="4556"/>
    <cellStyle name="20% - Accent2 2 76 3 2" xfId="4557"/>
    <cellStyle name="20% - Accent2 2 76 4" xfId="4558"/>
    <cellStyle name="20% - Accent2 2 76 5" xfId="4559"/>
    <cellStyle name="20% - Accent2 2 77" xfId="4560"/>
    <cellStyle name="20% - Accent2 2 77 2" xfId="4561"/>
    <cellStyle name="20% - Accent2 2 77 2 2" xfId="4562"/>
    <cellStyle name="20% - Accent2 2 77 2 3" xfId="4563"/>
    <cellStyle name="20% - Accent2 2 77 3" xfId="4564"/>
    <cellStyle name="20% - Accent2 2 77 3 2" xfId="4565"/>
    <cellStyle name="20% - Accent2 2 77 4" xfId="4566"/>
    <cellStyle name="20% - Accent2 2 77 5" xfId="4567"/>
    <cellStyle name="20% - Accent2 2 78" xfId="4568"/>
    <cellStyle name="20% - Accent2 2 78 2" xfId="4569"/>
    <cellStyle name="20% - Accent2 2 78 2 2" xfId="4570"/>
    <cellStyle name="20% - Accent2 2 78 2 3" xfId="4571"/>
    <cellStyle name="20% - Accent2 2 78 3" xfId="4572"/>
    <cellStyle name="20% - Accent2 2 78 3 2" xfId="4573"/>
    <cellStyle name="20% - Accent2 2 78 4" xfId="4574"/>
    <cellStyle name="20% - Accent2 2 78 5" xfId="4575"/>
    <cellStyle name="20% - Accent2 2 79" xfId="4576"/>
    <cellStyle name="20% - Accent2 2 79 2" xfId="4577"/>
    <cellStyle name="20% - Accent2 2 79 2 2" xfId="4578"/>
    <cellStyle name="20% - Accent2 2 79 2 3" xfId="4579"/>
    <cellStyle name="20% - Accent2 2 79 3" xfId="4580"/>
    <cellStyle name="20% - Accent2 2 79 3 2" xfId="4581"/>
    <cellStyle name="20% - Accent2 2 79 4" xfId="4582"/>
    <cellStyle name="20% - Accent2 2 79 5" xfId="4583"/>
    <cellStyle name="20% - Accent2 2 8" xfId="4584"/>
    <cellStyle name="20% - Accent2 2 8 2" xfId="4585"/>
    <cellStyle name="20% - Accent2 2 8 2 2" xfId="4586"/>
    <cellStyle name="20% - Accent2 2 8 3" xfId="4587"/>
    <cellStyle name="20% - Accent2 2 8 4" xfId="4588"/>
    <cellStyle name="20% - Accent2 2 8 5" xfId="4589"/>
    <cellStyle name="20% - Accent2 2 8 5 2" xfId="4590"/>
    <cellStyle name="20% - Accent2 2 8_4Q Ops Metrics Gas &amp; Electric 2010" xfId="4591"/>
    <cellStyle name="20% - Accent2 2 80" xfId="4592"/>
    <cellStyle name="20% - Accent2 2 80 2" xfId="4593"/>
    <cellStyle name="20% - Accent2 2 80 2 2" xfId="4594"/>
    <cellStyle name="20% - Accent2 2 80 2 3" xfId="4595"/>
    <cellStyle name="20% - Accent2 2 80 3" xfId="4596"/>
    <cellStyle name="20% - Accent2 2 80 3 2" xfId="4597"/>
    <cellStyle name="20% - Accent2 2 80 4" xfId="4598"/>
    <cellStyle name="20% - Accent2 2 80 5" xfId="4599"/>
    <cellStyle name="20% - Accent2 2 81" xfId="4600"/>
    <cellStyle name="20% - Accent2 2 81 2" xfId="4601"/>
    <cellStyle name="20% - Accent2 2 81 2 2" xfId="4602"/>
    <cellStyle name="20% - Accent2 2 81 2 3" xfId="4603"/>
    <cellStyle name="20% - Accent2 2 81 3" xfId="4604"/>
    <cellStyle name="20% - Accent2 2 81 3 2" xfId="4605"/>
    <cellStyle name="20% - Accent2 2 81 4" xfId="4606"/>
    <cellStyle name="20% - Accent2 2 81 5" xfId="4607"/>
    <cellStyle name="20% - Accent2 2 82" xfId="4608"/>
    <cellStyle name="20% - Accent2 2 82 2" xfId="4609"/>
    <cellStyle name="20% - Accent2 2 82 2 2" xfId="4610"/>
    <cellStyle name="20% - Accent2 2 82 2 3" xfId="4611"/>
    <cellStyle name="20% - Accent2 2 82 3" xfId="4612"/>
    <cellStyle name="20% - Accent2 2 82 3 2" xfId="4613"/>
    <cellStyle name="20% - Accent2 2 82 4" xfId="4614"/>
    <cellStyle name="20% - Accent2 2 82 5" xfId="4615"/>
    <cellStyle name="20% - Accent2 2 83" xfId="4616"/>
    <cellStyle name="20% - Accent2 2 83 2" xfId="4617"/>
    <cellStyle name="20% - Accent2 2 83 2 2" xfId="4618"/>
    <cellStyle name="20% - Accent2 2 83 2 3" xfId="4619"/>
    <cellStyle name="20% - Accent2 2 83 3" xfId="4620"/>
    <cellStyle name="20% - Accent2 2 83 3 2" xfId="4621"/>
    <cellStyle name="20% - Accent2 2 83 4" xfId="4622"/>
    <cellStyle name="20% - Accent2 2 83 5" xfId="4623"/>
    <cellStyle name="20% - Accent2 2 84" xfId="4624"/>
    <cellStyle name="20% - Accent2 2 84 2" xfId="4625"/>
    <cellStyle name="20% - Accent2 2 84 2 2" xfId="4626"/>
    <cellStyle name="20% - Accent2 2 84 2 3" xfId="4627"/>
    <cellStyle name="20% - Accent2 2 84 3" xfId="4628"/>
    <cellStyle name="20% - Accent2 2 84 3 2" xfId="4629"/>
    <cellStyle name="20% - Accent2 2 84 4" xfId="4630"/>
    <cellStyle name="20% - Accent2 2 84 5" xfId="4631"/>
    <cellStyle name="20% - Accent2 2 85" xfId="4632"/>
    <cellStyle name="20% - Accent2 2 85 2" xfId="4633"/>
    <cellStyle name="20% - Accent2 2 85 2 2" xfId="4634"/>
    <cellStyle name="20% - Accent2 2 85 2 3" xfId="4635"/>
    <cellStyle name="20% - Accent2 2 85 3" xfId="4636"/>
    <cellStyle name="20% - Accent2 2 85 3 2" xfId="4637"/>
    <cellStyle name="20% - Accent2 2 85 4" xfId="4638"/>
    <cellStyle name="20% - Accent2 2 85 5" xfId="4639"/>
    <cellStyle name="20% - Accent2 2 86" xfId="4640"/>
    <cellStyle name="20% - Accent2 2 86 2" xfId="4641"/>
    <cellStyle name="20% - Accent2 2 86 2 2" xfId="4642"/>
    <cellStyle name="20% - Accent2 2 86 2 3" xfId="4643"/>
    <cellStyle name="20% - Accent2 2 86 3" xfId="4644"/>
    <cellStyle name="20% - Accent2 2 86 3 2" xfId="4645"/>
    <cellStyle name="20% - Accent2 2 86 4" xfId="4646"/>
    <cellStyle name="20% - Accent2 2 86 5" xfId="4647"/>
    <cellStyle name="20% - Accent2 2 87" xfId="4648"/>
    <cellStyle name="20% - Accent2 2 87 2" xfId="4649"/>
    <cellStyle name="20% - Accent2 2 87 2 2" xfId="4650"/>
    <cellStyle name="20% - Accent2 2 87 2 3" xfId="4651"/>
    <cellStyle name="20% - Accent2 2 87 3" xfId="4652"/>
    <cellStyle name="20% - Accent2 2 87 3 2" xfId="4653"/>
    <cellStyle name="20% - Accent2 2 87 4" xfId="4654"/>
    <cellStyle name="20% - Accent2 2 87 5" xfId="4655"/>
    <cellStyle name="20% - Accent2 2 88" xfId="4656"/>
    <cellStyle name="20% - Accent2 2 88 2" xfId="4657"/>
    <cellStyle name="20% - Accent2 2 88 2 2" xfId="4658"/>
    <cellStyle name="20% - Accent2 2 88 2 3" xfId="4659"/>
    <cellStyle name="20% - Accent2 2 88 3" xfId="4660"/>
    <cellStyle name="20% - Accent2 2 88 3 2" xfId="4661"/>
    <cellStyle name="20% - Accent2 2 88 4" xfId="4662"/>
    <cellStyle name="20% - Accent2 2 88 5" xfId="4663"/>
    <cellStyle name="20% - Accent2 2 89" xfId="4664"/>
    <cellStyle name="20% - Accent2 2 89 2" xfId="4665"/>
    <cellStyle name="20% - Accent2 2 89 2 2" xfId="4666"/>
    <cellStyle name="20% - Accent2 2 89 2 3" xfId="4667"/>
    <cellStyle name="20% - Accent2 2 89 3" xfId="4668"/>
    <cellStyle name="20% - Accent2 2 89 3 2" xfId="4669"/>
    <cellStyle name="20% - Accent2 2 89 4" xfId="4670"/>
    <cellStyle name="20% - Accent2 2 89 5" xfId="4671"/>
    <cellStyle name="20% - Accent2 2 9" xfId="4672"/>
    <cellStyle name="20% - Accent2 2 9 2" xfId="4673"/>
    <cellStyle name="20% - Accent2 2 9 2 2" xfId="4674"/>
    <cellStyle name="20% - Accent2 2 9 3" xfId="4675"/>
    <cellStyle name="20% - Accent2 2 9 4" xfId="4676"/>
    <cellStyle name="20% - Accent2 2 9 5" xfId="4677"/>
    <cellStyle name="20% - Accent2 2 9 5 2" xfId="4678"/>
    <cellStyle name="20% - Accent2 2 9_4Q Ops Metrics Gas &amp; Electric 2010" xfId="4679"/>
    <cellStyle name="20% - Accent2 2 90" xfId="4680"/>
    <cellStyle name="20% - Accent2 2 90 2" xfId="4681"/>
    <cellStyle name="20% - Accent2 2 90 2 2" xfId="4682"/>
    <cellStyle name="20% - Accent2 2 90 2 3" xfId="4683"/>
    <cellStyle name="20% - Accent2 2 90 3" xfId="4684"/>
    <cellStyle name="20% - Accent2 2 90 3 2" xfId="4685"/>
    <cellStyle name="20% - Accent2 2 90 4" xfId="4686"/>
    <cellStyle name="20% - Accent2 2 90 5" xfId="4687"/>
    <cellStyle name="20% - Accent2 2 91" xfId="4688"/>
    <cellStyle name="20% - Accent2 2 91 2" xfId="4689"/>
    <cellStyle name="20% - Accent2 2 91 2 2" xfId="4690"/>
    <cellStyle name="20% - Accent2 2 91 2 3" xfId="4691"/>
    <cellStyle name="20% - Accent2 2 91 3" xfId="4692"/>
    <cellStyle name="20% - Accent2 2 91 3 2" xfId="4693"/>
    <cellStyle name="20% - Accent2 2 91 4" xfId="4694"/>
    <cellStyle name="20% - Accent2 2 91 5" xfId="4695"/>
    <cellStyle name="20% - Accent2 2 92" xfId="4696"/>
    <cellStyle name="20% - Accent2 2 92 2" xfId="4697"/>
    <cellStyle name="20% - Accent2 2 92 2 2" xfId="4698"/>
    <cellStyle name="20% - Accent2 2 92 2 3" xfId="4699"/>
    <cellStyle name="20% - Accent2 2 92 3" xfId="4700"/>
    <cellStyle name="20% - Accent2 2 92 3 2" xfId="4701"/>
    <cellStyle name="20% - Accent2 2 92 4" xfId="4702"/>
    <cellStyle name="20% - Accent2 2 92 5" xfId="4703"/>
    <cellStyle name="20% - Accent2 2 93" xfId="4704"/>
    <cellStyle name="20% - Accent2 2 93 2" xfId="4705"/>
    <cellStyle name="20% - Accent2 2 93 2 2" xfId="4706"/>
    <cellStyle name="20% - Accent2 2 93 2 3" xfId="4707"/>
    <cellStyle name="20% - Accent2 2 93 3" xfId="4708"/>
    <cellStyle name="20% - Accent2 2 93 3 2" xfId="4709"/>
    <cellStyle name="20% - Accent2 2 93 4" xfId="4710"/>
    <cellStyle name="20% - Accent2 2 93 5" xfId="4711"/>
    <cellStyle name="20% - Accent2 2 94" xfId="4712"/>
    <cellStyle name="20% - Accent2 2 94 2" xfId="4713"/>
    <cellStyle name="20% - Accent2 2 94 2 2" xfId="4714"/>
    <cellStyle name="20% - Accent2 2 94 2 3" xfId="4715"/>
    <cellStyle name="20% - Accent2 2 94 3" xfId="4716"/>
    <cellStyle name="20% - Accent2 2 94 3 2" xfId="4717"/>
    <cellStyle name="20% - Accent2 2 94 4" xfId="4718"/>
    <cellStyle name="20% - Accent2 2 94 5" xfId="4719"/>
    <cellStyle name="20% - Accent2 2 95" xfId="4720"/>
    <cellStyle name="20% - Accent2 2 95 2" xfId="4721"/>
    <cellStyle name="20% - Accent2 2 95 2 2" xfId="4722"/>
    <cellStyle name="20% - Accent2 2 95 3" xfId="4723"/>
    <cellStyle name="20% - Accent2 2 95 4" xfId="4724"/>
    <cellStyle name="20% - Accent2 2 96" xfId="4725"/>
    <cellStyle name="20% - Accent2 2 96 2" xfId="4726"/>
    <cellStyle name="20% - Accent2 2 96 2 2" xfId="4727"/>
    <cellStyle name="20% - Accent2 2 96 3" xfId="4728"/>
    <cellStyle name="20% - Accent2 2 96 4" xfId="4729"/>
    <cellStyle name="20% - Accent2 2 97" xfId="4730"/>
    <cellStyle name="20% - Accent2 2 97 2" xfId="4731"/>
    <cellStyle name="20% - Accent2 2 97 2 2" xfId="4732"/>
    <cellStyle name="20% - Accent2 2 97 3" xfId="4733"/>
    <cellStyle name="20% - Accent2 2 97 4" xfId="4734"/>
    <cellStyle name="20% - Accent2 2 98" xfId="4735"/>
    <cellStyle name="20% - Accent2 2 98 2" xfId="4736"/>
    <cellStyle name="20% - Accent2 2 98 2 2" xfId="4737"/>
    <cellStyle name="20% - Accent2 2 98 3" xfId="4738"/>
    <cellStyle name="20% - Accent2 2 98 4" xfId="4739"/>
    <cellStyle name="20% - Accent2 2 99" xfId="4740"/>
    <cellStyle name="20% - Accent2 2 99 2" xfId="4741"/>
    <cellStyle name="20% - Accent2 2 99 2 2" xfId="4742"/>
    <cellStyle name="20% - Accent2 2 99 3" xfId="4743"/>
    <cellStyle name="20% - Accent2 2 99 4" xfId="4744"/>
    <cellStyle name="20% - Accent2 2_1-10 BHU IS" xfId="4745"/>
    <cellStyle name="20% - Accent2 20" xfId="4746"/>
    <cellStyle name="20% - Accent2 21" xfId="4747"/>
    <cellStyle name="20% - Accent2 22" xfId="4748"/>
    <cellStyle name="20% - Accent2 23" xfId="4749"/>
    <cellStyle name="20% - Accent2 24" xfId="4750"/>
    <cellStyle name="20% - Accent2 25" xfId="4751"/>
    <cellStyle name="20% - Accent2 26" xfId="4752"/>
    <cellStyle name="20% - Accent2 26 2" xfId="4753"/>
    <cellStyle name="20% - Accent2 26 2 2" xfId="4754"/>
    <cellStyle name="20% - Accent2 26 2 2 2" xfId="4755"/>
    <cellStyle name="20% - Accent2 26 2 2 3" xfId="4756"/>
    <cellStyle name="20% - Accent2 26 2 3" xfId="4757"/>
    <cellStyle name="20% - Accent2 26 2 3 2" xfId="4758"/>
    <cellStyle name="20% - Accent2 26 2 4" xfId="4759"/>
    <cellStyle name="20% - Accent2 26 2 5" xfId="4760"/>
    <cellStyle name="20% - Accent2 26 3" xfId="4761"/>
    <cellStyle name="20% - Accent2 26 3 2" xfId="4762"/>
    <cellStyle name="20% - Accent2 26 3 2 2" xfId="4763"/>
    <cellStyle name="20% - Accent2 26 3 3" xfId="4764"/>
    <cellStyle name="20% - Accent2 26 3 4" xfId="4765"/>
    <cellStyle name="20% - Accent2 26 4" xfId="4766"/>
    <cellStyle name="20% - Accent2 26 4 2" xfId="4767"/>
    <cellStyle name="20% - Accent2 26 4 2 2" xfId="4768"/>
    <cellStyle name="20% - Accent2 26 4 3" xfId="4769"/>
    <cellStyle name="20% - Accent2 26 4 4" xfId="4770"/>
    <cellStyle name="20% - Accent2 26 5" xfId="4771"/>
    <cellStyle name="20% - Accent2 26 5 2" xfId="4772"/>
    <cellStyle name="20% - Accent2 26 6" xfId="4773"/>
    <cellStyle name="20% - Accent2 26 7" xfId="4774"/>
    <cellStyle name="20% - Accent2 26 8" xfId="4775"/>
    <cellStyle name="20% - Accent2 27" xfId="4776"/>
    <cellStyle name="20% - Accent2 27 2" xfId="4777"/>
    <cellStyle name="20% - Accent2 27 2 2" xfId="4778"/>
    <cellStyle name="20% - Accent2 27 2 2 2" xfId="4779"/>
    <cellStyle name="20% - Accent2 27 2 2 3" xfId="4780"/>
    <cellStyle name="20% - Accent2 27 2 3" xfId="4781"/>
    <cellStyle name="20% - Accent2 27 2 3 2" xfId="4782"/>
    <cellStyle name="20% - Accent2 27 2 4" xfId="4783"/>
    <cellStyle name="20% - Accent2 27 2 5" xfId="4784"/>
    <cellStyle name="20% - Accent2 27 3" xfId="4785"/>
    <cellStyle name="20% - Accent2 27 3 2" xfId="4786"/>
    <cellStyle name="20% - Accent2 27 3 2 2" xfId="4787"/>
    <cellStyle name="20% - Accent2 27 3 3" xfId="4788"/>
    <cellStyle name="20% - Accent2 27 3 4" xfId="4789"/>
    <cellStyle name="20% - Accent2 27 4" xfId="4790"/>
    <cellStyle name="20% - Accent2 27 4 2" xfId="4791"/>
    <cellStyle name="20% - Accent2 27 4 2 2" xfId="4792"/>
    <cellStyle name="20% - Accent2 27 4 3" xfId="4793"/>
    <cellStyle name="20% - Accent2 27 4 4" xfId="4794"/>
    <cellStyle name="20% - Accent2 27 5" xfId="4795"/>
    <cellStyle name="20% - Accent2 27 5 2" xfId="4796"/>
    <cellStyle name="20% - Accent2 27 6" xfId="4797"/>
    <cellStyle name="20% - Accent2 27 7" xfId="4798"/>
    <cellStyle name="20% - Accent2 27 8" xfId="4799"/>
    <cellStyle name="20% - Accent2 28" xfId="4800"/>
    <cellStyle name="20% - Accent2 28 2" xfId="4801"/>
    <cellStyle name="20% - Accent2 28 2 2" xfId="4802"/>
    <cellStyle name="20% - Accent2 28 2 2 2" xfId="4803"/>
    <cellStyle name="20% - Accent2 28 2 2 3" xfId="4804"/>
    <cellStyle name="20% - Accent2 28 2 3" xfId="4805"/>
    <cellStyle name="20% - Accent2 28 2 3 2" xfId="4806"/>
    <cellStyle name="20% - Accent2 28 2 4" xfId="4807"/>
    <cellStyle name="20% - Accent2 28 2 5" xfId="4808"/>
    <cellStyle name="20% - Accent2 28 3" xfId="4809"/>
    <cellStyle name="20% - Accent2 28 3 2" xfId="4810"/>
    <cellStyle name="20% - Accent2 28 3 2 2" xfId="4811"/>
    <cellStyle name="20% - Accent2 28 3 3" xfId="4812"/>
    <cellStyle name="20% - Accent2 28 3 4" xfId="4813"/>
    <cellStyle name="20% - Accent2 28 4" xfId="4814"/>
    <cellStyle name="20% - Accent2 28 4 2" xfId="4815"/>
    <cellStyle name="20% - Accent2 28 4 2 2" xfId="4816"/>
    <cellStyle name="20% - Accent2 28 4 3" xfId="4817"/>
    <cellStyle name="20% - Accent2 28 4 4" xfId="4818"/>
    <cellStyle name="20% - Accent2 28 5" xfId="4819"/>
    <cellStyle name="20% - Accent2 28 5 2" xfId="4820"/>
    <cellStyle name="20% - Accent2 28 6" xfId="4821"/>
    <cellStyle name="20% - Accent2 28 7" xfId="4822"/>
    <cellStyle name="20% - Accent2 28 8" xfId="4823"/>
    <cellStyle name="20% - Accent2 29" xfId="4824"/>
    <cellStyle name="20% - Accent2 29 2" xfId="4825"/>
    <cellStyle name="20% - Accent2 29 2 2" xfId="4826"/>
    <cellStyle name="20% - Accent2 29 2 2 2" xfId="4827"/>
    <cellStyle name="20% - Accent2 29 2 2 3" xfId="4828"/>
    <cellStyle name="20% - Accent2 29 2 3" xfId="4829"/>
    <cellStyle name="20% - Accent2 29 2 3 2" xfId="4830"/>
    <cellStyle name="20% - Accent2 29 2 4" xfId="4831"/>
    <cellStyle name="20% - Accent2 29 2 5" xfId="4832"/>
    <cellStyle name="20% - Accent2 29 3" xfId="4833"/>
    <cellStyle name="20% - Accent2 29 3 2" xfId="4834"/>
    <cellStyle name="20% - Accent2 29 3 2 2" xfId="4835"/>
    <cellStyle name="20% - Accent2 29 3 3" xfId="4836"/>
    <cellStyle name="20% - Accent2 29 3 4" xfId="4837"/>
    <cellStyle name="20% - Accent2 29 4" xfId="4838"/>
    <cellStyle name="20% - Accent2 29 4 2" xfId="4839"/>
    <cellStyle name="20% - Accent2 29 4 2 2" xfId="4840"/>
    <cellStyle name="20% - Accent2 29 4 3" xfId="4841"/>
    <cellStyle name="20% - Accent2 29 4 4" xfId="4842"/>
    <cellStyle name="20% - Accent2 29 5" xfId="4843"/>
    <cellStyle name="20% - Accent2 29 5 2" xfId="4844"/>
    <cellStyle name="20% - Accent2 29 6" xfId="4845"/>
    <cellStyle name="20% - Accent2 29 7" xfId="4846"/>
    <cellStyle name="20% - Accent2 29 8" xfId="4847"/>
    <cellStyle name="20% - Accent2 3" xfId="4848"/>
    <cellStyle name="20% - Accent2 3 10" xfId="4849"/>
    <cellStyle name="20% - Accent2 3 10 2" xfId="4850"/>
    <cellStyle name="20% - Accent2 3 10 2 2" xfId="4851"/>
    <cellStyle name="20% - Accent2 3 10 2 2 2" xfId="4852"/>
    <cellStyle name="20% - Accent2 3 10 2 2 3" xfId="4853"/>
    <cellStyle name="20% - Accent2 3 10 2 3" xfId="4854"/>
    <cellStyle name="20% - Accent2 3 10 2 3 2" xfId="4855"/>
    <cellStyle name="20% - Accent2 3 10 2 4" xfId="4856"/>
    <cellStyle name="20% - Accent2 3 10 2 5" xfId="4857"/>
    <cellStyle name="20% - Accent2 3 10 3" xfId="4858"/>
    <cellStyle name="20% - Accent2 3 10 3 2" xfId="4859"/>
    <cellStyle name="20% - Accent2 3 10 3 2 2" xfId="4860"/>
    <cellStyle name="20% - Accent2 3 10 3 3" xfId="4861"/>
    <cellStyle name="20% - Accent2 3 10 3 4" xfId="4862"/>
    <cellStyle name="20% - Accent2 3 10 4" xfId="4863"/>
    <cellStyle name="20% - Accent2 3 10 4 2" xfId="4864"/>
    <cellStyle name="20% - Accent2 3 10 4 2 2" xfId="4865"/>
    <cellStyle name="20% - Accent2 3 10 4 3" xfId="4866"/>
    <cellStyle name="20% - Accent2 3 10 4 4" xfId="4867"/>
    <cellStyle name="20% - Accent2 3 10 5" xfId="4868"/>
    <cellStyle name="20% - Accent2 3 10 5 2" xfId="4869"/>
    <cellStyle name="20% - Accent2 3 10 6" xfId="4870"/>
    <cellStyle name="20% - Accent2 3 10 7" xfId="4871"/>
    <cellStyle name="20% - Accent2 3 10 8" xfId="4872"/>
    <cellStyle name="20% - Accent2 3 11" xfId="4873"/>
    <cellStyle name="20% - Accent2 3 11 2" xfId="4874"/>
    <cellStyle name="20% - Accent2 3 11 2 2" xfId="4875"/>
    <cellStyle name="20% - Accent2 3 11 2 2 2" xfId="4876"/>
    <cellStyle name="20% - Accent2 3 11 2 2 3" xfId="4877"/>
    <cellStyle name="20% - Accent2 3 11 2 3" xfId="4878"/>
    <cellStyle name="20% - Accent2 3 11 2 3 2" xfId="4879"/>
    <cellStyle name="20% - Accent2 3 11 2 4" xfId="4880"/>
    <cellStyle name="20% - Accent2 3 11 2 5" xfId="4881"/>
    <cellStyle name="20% - Accent2 3 11 3" xfId="4882"/>
    <cellStyle name="20% - Accent2 3 11 3 2" xfId="4883"/>
    <cellStyle name="20% - Accent2 3 11 3 2 2" xfId="4884"/>
    <cellStyle name="20% - Accent2 3 11 3 3" xfId="4885"/>
    <cellStyle name="20% - Accent2 3 11 3 4" xfId="4886"/>
    <cellStyle name="20% - Accent2 3 11 4" xfId="4887"/>
    <cellStyle name="20% - Accent2 3 11 4 2" xfId="4888"/>
    <cellStyle name="20% - Accent2 3 11 4 2 2" xfId="4889"/>
    <cellStyle name="20% - Accent2 3 11 4 3" xfId="4890"/>
    <cellStyle name="20% - Accent2 3 11 4 4" xfId="4891"/>
    <cellStyle name="20% - Accent2 3 11 5" xfId="4892"/>
    <cellStyle name="20% - Accent2 3 11 5 2" xfId="4893"/>
    <cellStyle name="20% - Accent2 3 11 6" xfId="4894"/>
    <cellStyle name="20% - Accent2 3 11 7" xfId="4895"/>
    <cellStyle name="20% - Accent2 3 11 8" xfId="4896"/>
    <cellStyle name="20% - Accent2 3 12" xfId="4897"/>
    <cellStyle name="20% - Accent2 3 12 2" xfId="4898"/>
    <cellStyle name="20% - Accent2 3 12 2 2" xfId="4899"/>
    <cellStyle name="20% - Accent2 3 12 2 2 2" xfId="4900"/>
    <cellStyle name="20% - Accent2 3 12 2 2 3" xfId="4901"/>
    <cellStyle name="20% - Accent2 3 12 2 3" xfId="4902"/>
    <cellStyle name="20% - Accent2 3 12 2 3 2" xfId="4903"/>
    <cellStyle name="20% - Accent2 3 12 2 4" xfId="4904"/>
    <cellStyle name="20% - Accent2 3 12 2 5" xfId="4905"/>
    <cellStyle name="20% - Accent2 3 12 3" xfId="4906"/>
    <cellStyle name="20% - Accent2 3 12 3 2" xfId="4907"/>
    <cellStyle name="20% - Accent2 3 12 3 2 2" xfId="4908"/>
    <cellStyle name="20% - Accent2 3 12 3 3" xfId="4909"/>
    <cellStyle name="20% - Accent2 3 12 3 4" xfId="4910"/>
    <cellStyle name="20% - Accent2 3 12 4" xfId="4911"/>
    <cellStyle name="20% - Accent2 3 12 4 2" xfId="4912"/>
    <cellStyle name="20% - Accent2 3 12 4 2 2" xfId="4913"/>
    <cellStyle name="20% - Accent2 3 12 4 3" xfId="4914"/>
    <cellStyle name="20% - Accent2 3 12 4 4" xfId="4915"/>
    <cellStyle name="20% - Accent2 3 12 5" xfId="4916"/>
    <cellStyle name="20% - Accent2 3 12 5 2" xfId="4917"/>
    <cellStyle name="20% - Accent2 3 12 6" xfId="4918"/>
    <cellStyle name="20% - Accent2 3 12 7" xfId="4919"/>
    <cellStyle name="20% - Accent2 3 12 8" xfId="4920"/>
    <cellStyle name="20% - Accent2 3 2" xfId="4921"/>
    <cellStyle name="20% - Accent2 3 2 2" xfId="4922"/>
    <cellStyle name="20% - Accent2 3 2 2 2" xfId="4923"/>
    <cellStyle name="20% - Accent2 3 2 3" xfId="4924"/>
    <cellStyle name="20% - Accent2 3 2 4" xfId="4925"/>
    <cellStyle name="20% - Accent2 3 2 5" xfId="4926"/>
    <cellStyle name="20% - Accent2 3 2 6" xfId="4927"/>
    <cellStyle name="20% - Accent2 3 2 7" xfId="4928"/>
    <cellStyle name="20% - Accent2 3 2 8" xfId="4929"/>
    <cellStyle name="20% - Accent2 3 2_2009 Actual" xfId="4930"/>
    <cellStyle name="20% - Accent2 3 3" xfId="4931"/>
    <cellStyle name="20% - Accent2 3 3 2" xfId="4932"/>
    <cellStyle name="20% - Accent2 3 4" xfId="4933"/>
    <cellStyle name="20% - Accent2 3 5" xfId="4934"/>
    <cellStyle name="20% - Accent2 3 6" xfId="4935"/>
    <cellStyle name="20% - Accent2 3 7" xfId="4936"/>
    <cellStyle name="20% - Accent2 3 8" xfId="4937"/>
    <cellStyle name="20% - Accent2 3 9" xfId="4938"/>
    <cellStyle name="20% - Accent2 3_2009 Actual" xfId="4939"/>
    <cellStyle name="20% - Accent2 30" xfId="4940"/>
    <cellStyle name="20% - Accent2 30 2" xfId="4941"/>
    <cellStyle name="20% - Accent2 30 2 2" xfId="4942"/>
    <cellStyle name="20% - Accent2 30 2 2 2" xfId="4943"/>
    <cellStyle name="20% - Accent2 30 2 2 3" xfId="4944"/>
    <cellStyle name="20% - Accent2 30 2 3" xfId="4945"/>
    <cellStyle name="20% - Accent2 30 2 3 2" xfId="4946"/>
    <cellStyle name="20% - Accent2 30 2 4" xfId="4947"/>
    <cellStyle name="20% - Accent2 30 2 5" xfId="4948"/>
    <cellStyle name="20% - Accent2 30 3" xfId="4949"/>
    <cellStyle name="20% - Accent2 30 3 2" xfId="4950"/>
    <cellStyle name="20% - Accent2 30 3 2 2" xfId="4951"/>
    <cellStyle name="20% - Accent2 30 3 3" xfId="4952"/>
    <cellStyle name="20% - Accent2 30 3 4" xfId="4953"/>
    <cellStyle name="20% - Accent2 30 4" xfId="4954"/>
    <cellStyle name="20% - Accent2 30 4 2" xfId="4955"/>
    <cellStyle name="20% - Accent2 30 4 2 2" xfId="4956"/>
    <cellStyle name="20% - Accent2 30 4 3" xfId="4957"/>
    <cellStyle name="20% - Accent2 30 4 4" xfId="4958"/>
    <cellStyle name="20% - Accent2 30 5" xfId="4959"/>
    <cellStyle name="20% - Accent2 30 5 2" xfId="4960"/>
    <cellStyle name="20% - Accent2 30 6" xfId="4961"/>
    <cellStyle name="20% - Accent2 30 7" xfId="4962"/>
    <cellStyle name="20% - Accent2 30 8" xfId="4963"/>
    <cellStyle name="20% - Accent2 31" xfId="4964"/>
    <cellStyle name="20% - Accent2 31 2" xfId="4965"/>
    <cellStyle name="20% - Accent2 31 2 2" xfId="4966"/>
    <cellStyle name="20% - Accent2 31 2 3" xfId="4967"/>
    <cellStyle name="20% - Accent2 31 3" xfId="4968"/>
    <cellStyle name="20% - Accent2 31 3 2" xfId="4969"/>
    <cellStyle name="20% - Accent2 31 4" xfId="4970"/>
    <cellStyle name="20% - Accent2 31 5" xfId="4971"/>
    <cellStyle name="20% - Accent2 32" xfId="4972"/>
    <cellStyle name="20% - Accent2 32 2" xfId="4973"/>
    <cellStyle name="20% - Accent2 32 2 2" xfId="4974"/>
    <cellStyle name="20% - Accent2 32 2 3" xfId="4975"/>
    <cellStyle name="20% - Accent2 32 3" xfId="4976"/>
    <cellStyle name="20% - Accent2 32 3 2" xfId="4977"/>
    <cellStyle name="20% - Accent2 32 4" xfId="4978"/>
    <cellStyle name="20% - Accent2 32 5" xfId="4979"/>
    <cellStyle name="20% - Accent2 33" xfId="4980"/>
    <cellStyle name="20% - Accent2 33 2" xfId="4981"/>
    <cellStyle name="20% - Accent2 33 2 2" xfId="4982"/>
    <cellStyle name="20% - Accent2 33 2 3" xfId="4983"/>
    <cellStyle name="20% - Accent2 33 3" xfId="4984"/>
    <cellStyle name="20% - Accent2 33 3 2" xfId="4985"/>
    <cellStyle name="20% - Accent2 33 4" xfId="4986"/>
    <cellStyle name="20% - Accent2 33 5" xfId="4987"/>
    <cellStyle name="20% - Accent2 34" xfId="4988"/>
    <cellStyle name="20% - Accent2 34 2" xfId="4989"/>
    <cellStyle name="20% - Accent2 34 2 2" xfId="4990"/>
    <cellStyle name="20% - Accent2 34 2 3" xfId="4991"/>
    <cellStyle name="20% - Accent2 34 3" xfId="4992"/>
    <cellStyle name="20% - Accent2 34 3 2" xfId="4993"/>
    <cellStyle name="20% - Accent2 34 4" xfId="4994"/>
    <cellStyle name="20% - Accent2 34 5" xfId="4995"/>
    <cellStyle name="20% - Accent2 35" xfId="4996"/>
    <cellStyle name="20% - Accent2 35 2" xfId="4997"/>
    <cellStyle name="20% - Accent2 35 2 2" xfId="4998"/>
    <cellStyle name="20% - Accent2 35 2 3" xfId="4999"/>
    <cellStyle name="20% - Accent2 35 3" xfId="5000"/>
    <cellStyle name="20% - Accent2 35 3 2" xfId="5001"/>
    <cellStyle name="20% - Accent2 35 4" xfId="5002"/>
    <cellStyle name="20% - Accent2 35 5" xfId="5003"/>
    <cellStyle name="20% - Accent2 36" xfId="5004"/>
    <cellStyle name="20% - Accent2 36 2" xfId="5005"/>
    <cellStyle name="20% - Accent2 36 2 2" xfId="5006"/>
    <cellStyle name="20% - Accent2 36 2 3" xfId="5007"/>
    <cellStyle name="20% - Accent2 36 3" xfId="5008"/>
    <cellStyle name="20% - Accent2 36 3 2" xfId="5009"/>
    <cellStyle name="20% - Accent2 36 4" xfId="5010"/>
    <cellStyle name="20% - Accent2 36 5" xfId="5011"/>
    <cellStyle name="20% - Accent2 37" xfId="5012"/>
    <cellStyle name="20% - Accent2 37 2" xfId="5013"/>
    <cellStyle name="20% - Accent2 37 2 2" xfId="5014"/>
    <cellStyle name="20% - Accent2 37 2 3" xfId="5015"/>
    <cellStyle name="20% - Accent2 37 3" xfId="5016"/>
    <cellStyle name="20% - Accent2 37 3 2" xfId="5017"/>
    <cellStyle name="20% - Accent2 37 4" xfId="5018"/>
    <cellStyle name="20% - Accent2 37 5" xfId="5019"/>
    <cellStyle name="20% - Accent2 38" xfId="5020"/>
    <cellStyle name="20% - Accent2 38 2" xfId="5021"/>
    <cellStyle name="20% - Accent2 38 2 2" xfId="5022"/>
    <cellStyle name="20% - Accent2 38 2 3" xfId="5023"/>
    <cellStyle name="20% - Accent2 38 3" xfId="5024"/>
    <cellStyle name="20% - Accent2 38 3 2" xfId="5025"/>
    <cellStyle name="20% - Accent2 38 4" xfId="5026"/>
    <cellStyle name="20% - Accent2 38 5" xfId="5027"/>
    <cellStyle name="20% - Accent2 39" xfId="5028"/>
    <cellStyle name="20% - Accent2 39 2" xfId="5029"/>
    <cellStyle name="20% - Accent2 39 2 2" xfId="5030"/>
    <cellStyle name="20% - Accent2 39 2 3" xfId="5031"/>
    <cellStyle name="20% - Accent2 39 3" xfId="5032"/>
    <cellStyle name="20% - Accent2 39 3 2" xfId="5033"/>
    <cellStyle name="20% - Accent2 39 4" xfId="5034"/>
    <cellStyle name="20% - Accent2 39 5" xfId="5035"/>
    <cellStyle name="20% - Accent2 4" xfId="5036"/>
    <cellStyle name="20% - Accent2 4 2" xfId="5037"/>
    <cellStyle name="20% - Accent2 4 2 2" xfId="5038"/>
    <cellStyle name="20% - Accent2 4 2 3" xfId="5039"/>
    <cellStyle name="20% - Accent2 4 2 4" xfId="5040"/>
    <cellStyle name="20% - Accent2 4 2 5" xfId="5041"/>
    <cellStyle name="20% - Accent2 4 2 6" xfId="5042"/>
    <cellStyle name="20% - Accent2 4 2 7" xfId="5043"/>
    <cellStyle name="20% - Accent2 4 2_2009 Actual" xfId="5044"/>
    <cellStyle name="20% - Accent2 4 3" xfId="5045"/>
    <cellStyle name="20% - Accent2 4 4" xfId="5046"/>
    <cellStyle name="20% - Accent2 4 5" xfId="5047"/>
    <cellStyle name="20% - Accent2 4 6" xfId="5048"/>
    <cellStyle name="20% - Accent2 4 7" xfId="5049"/>
    <cellStyle name="20% - Accent2 4 8" xfId="5050"/>
    <cellStyle name="20% - Accent2 4_2009 Actual" xfId="5051"/>
    <cellStyle name="20% - Accent2 40" xfId="5052"/>
    <cellStyle name="20% - Accent2 40 2" xfId="5053"/>
    <cellStyle name="20% - Accent2 40 2 2" xfId="5054"/>
    <cellStyle name="20% - Accent2 40 2 3" xfId="5055"/>
    <cellStyle name="20% - Accent2 40 3" xfId="5056"/>
    <cellStyle name="20% - Accent2 40 3 2" xfId="5057"/>
    <cellStyle name="20% - Accent2 40 4" xfId="5058"/>
    <cellStyle name="20% - Accent2 40 5" xfId="5059"/>
    <cellStyle name="20% - Accent2 41" xfId="5060"/>
    <cellStyle name="20% - Accent2 41 2" xfId="5061"/>
    <cellStyle name="20% - Accent2 41 2 2" xfId="5062"/>
    <cellStyle name="20% - Accent2 41 2 3" xfId="5063"/>
    <cellStyle name="20% - Accent2 41 3" xfId="5064"/>
    <cellStyle name="20% - Accent2 41 3 2" xfId="5065"/>
    <cellStyle name="20% - Accent2 41 4" xfId="5066"/>
    <cellStyle name="20% - Accent2 41 5" xfId="5067"/>
    <cellStyle name="20% - Accent2 42" xfId="5068"/>
    <cellStyle name="20% - Accent2 42 2" xfId="5069"/>
    <cellStyle name="20% - Accent2 42 2 2" xfId="5070"/>
    <cellStyle name="20% - Accent2 42 2 3" xfId="5071"/>
    <cellStyle name="20% - Accent2 42 3" xfId="5072"/>
    <cellStyle name="20% - Accent2 42 3 2" xfId="5073"/>
    <cellStyle name="20% - Accent2 42 4" xfId="5074"/>
    <cellStyle name="20% - Accent2 42 5" xfId="5075"/>
    <cellStyle name="20% - Accent2 43" xfId="5076"/>
    <cellStyle name="20% - Accent2 43 2" xfId="5077"/>
    <cellStyle name="20% - Accent2 43 2 2" xfId="5078"/>
    <cellStyle name="20% - Accent2 43 2 3" xfId="5079"/>
    <cellStyle name="20% - Accent2 43 3" xfId="5080"/>
    <cellStyle name="20% - Accent2 43 3 2" xfId="5081"/>
    <cellStyle name="20% - Accent2 43 4" xfId="5082"/>
    <cellStyle name="20% - Accent2 43 5" xfId="5083"/>
    <cellStyle name="20% - Accent2 44" xfId="5084"/>
    <cellStyle name="20% - Accent2 44 2" xfId="5085"/>
    <cellStyle name="20% - Accent2 44 2 2" xfId="5086"/>
    <cellStyle name="20% - Accent2 44 2 3" xfId="5087"/>
    <cellStyle name="20% - Accent2 44 3" xfId="5088"/>
    <cellStyle name="20% - Accent2 44 3 2" xfId="5089"/>
    <cellStyle name="20% - Accent2 44 4" xfId="5090"/>
    <cellStyle name="20% - Accent2 44 5" xfId="5091"/>
    <cellStyle name="20% - Accent2 45" xfId="5092"/>
    <cellStyle name="20% - Accent2 45 2" xfId="5093"/>
    <cellStyle name="20% - Accent2 45 2 2" xfId="5094"/>
    <cellStyle name="20% - Accent2 45 2 3" xfId="5095"/>
    <cellStyle name="20% - Accent2 45 3" xfId="5096"/>
    <cellStyle name="20% - Accent2 45 3 2" xfId="5097"/>
    <cellStyle name="20% - Accent2 45 4" xfId="5098"/>
    <cellStyle name="20% - Accent2 45 5" xfId="5099"/>
    <cellStyle name="20% - Accent2 46" xfId="5100"/>
    <cellStyle name="20% - Accent2 46 2" xfId="5101"/>
    <cellStyle name="20% - Accent2 46 2 2" xfId="5102"/>
    <cellStyle name="20% - Accent2 46 2 3" xfId="5103"/>
    <cellStyle name="20% - Accent2 46 3" xfId="5104"/>
    <cellStyle name="20% - Accent2 46 3 2" xfId="5105"/>
    <cellStyle name="20% - Accent2 46 4" xfId="5106"/>
    <cellStyle name="20% - Accent2 46 5" xfId="5107"/>
    <cellStyle name="20% - Accent2 47" xfId="5108"/>
    <cellStyle name="20% - Accent2 47 2" xfId="5109"/>
    <cellStyle name="20% - Accent2 47 2 2" xfId="5110"/>
    <cellStyle name="20% - Accent2 47 2 3" xfId="5111"/>
    <cellStyle name="20% - Accent2 47 3" xfId="5112"/>
    <cellStyle name="20% - Accent2 47 3 2" xfId="5113"/>
    <cellStyle name="20% - Accent2 47 4" xfId="5114"/>
    <cellStyle name="20% - Accent2 47 5" xfId="5115"/>
    <cellStyle name="20% - Accent2 48" xfId="5116"/>
    <cellStyle name="20% - Accent2 48 2" xfId="5117"/>
    <cellStyle name="20% - Accent2 48 2 2" xfId="5118"/>
    <cellStyle name="20% - Accent2 48 2 3" xfId="5119"/>
    <cellStyle name="20% - Accent2 48 3" xfId="5120"/>
    <cellStyle name="20% - Accent2 48 3 2" xfId="5121"/>
    <cellStyle name="20% - Accent2 48 4" xfId="5122"/>
    <cellStyle name="20% - Accent2 48 5" xfId="5123"/>
    <cellStyle name="20% - Accent2 49" xfId="5124"/>
    <cellStyle name="20% - Accent2 49 2" xfId="5125"/>
    <cellStyle name="20% - Accent2 49 2 2" xfId="5126"/>
    <cellStyle name="20% - Accent2 49 2 3" xfId="5127"/>
    <cellStyle name="20% - Accent2 49 3" xfId="5128"/>
    <cellStyle name="20% - Accent2 49 3 2" xfId="5129"/>
    <cellStyle name="20% - Accent2 49 4" xfId="5130"/>
    <cellStyle name="20% - Accent2 49 5" xfId="5131"/>
    <cellStyle name="20% - Accent2 5" xfId="5132"/>
    <cellStyle name="20% - Accent2 5 2" xfId="5133"/>
    <cellStyle name="20% - Accent2 5 2 2" xfId="5134"/>
    <cellStyle name="20% - Accent2 5 2 3" xfId="5135"/>
    <cellStyle name="20% - Accent2 5 2 4" xfId="5136"/>
    <cellStyle name="20% - Accent2 5 2 5" xfId="5137"/>
    <cellStyle name="20% - Accent2 5 2 6" xfId="5138"/>
    <cellStyle name="20% - Accent2 5 2 7" xfId="5139"/>
    <cellStyle name="20% - Accent2 5 2_2009 Actual" xfId="5140"/>
    <cellStyle name="20% - Accent2 5 3" xfId="5141"/>
    <cellStyle name="20% - Accent2 5 4" xfId="5142"/>
    <cellStyle name="20% - Accent2 5 5" xfId="5143"/>
    <cellStyle name="20% - Accent2 5 6" xfId="5144"/>
    <cellStyle name="20% - Accent2 5 7" xfId="5145"/>
    <cellStyle name="20% - Accent2 5 8" xfId="5146"/>
    <cellStyle name="20% - Accent2 5_2009 Actual" xfId="5147"/>
    <cellStyle name="20% - Accent2 50" xfId="5148"/>
    <cellStyle name="20% - Accent2 50 2" xfId="5149"/>
    <cellStyle name="20% - Accent2 50 2 2" xfId="5150"/>
    <cellStyle name="20% - Accent2 50 2 3" xfId="5151"/>
    <cellStyle name="20% - Accent2 50 3" xfId="5152"/>
    <cellStyle name="20% - Accent2 50 3 2" xfId="5153"/>
    <cellStyle name="20% - Accent2 50 4" xfId="5154"/>
    <cellStyle name="20% - Accent2 50 5" xfId="5155"/>
    <cellStyle name="20% - Accent2 51" xfId="5156"/>
    <cellStyle name="20% - Accent2 51 2" xfId="5157"/>
    <cellStyle name="20% - Accent2 51 2 2" xfId="5158"/>
    <cellStyle name="20% - Accent2 51 2 3" xfId="5159"/>
    <cellStyle name="20% - Accent2 51 3" xfId="5160"/>
    <cellStyle name="20% - Accent2 51 3 2" xfId="5161"/>
    <cellStyle name="20% - Accent2 51 4" xfId="5162"/>
    <cellStyle name="20% - Accent2 51 5" xfId="5163"/>
    <cellStyle name="20% - Accent2 52" xfId="5164"/>
    <cellStyle name="20% - Accent2 52 2" xfId="5165"/>
    <cellStyle name="20% - Accent2 52 2 2" xfId="5166"/>
    <cellStyle name="20% - Accent2 52 2 3" xfId="5167"/>
    <cellStyle name="20% - Accent2 52 3" xfId="5168"/>
    <cellStyle name="20% - Accent2 52 3 2" xfId="5169"/>
    <cellStyle name="20% - Accent2 52 4" xfId="5170"/>
    <cellStyle name="20% - Accent2 52 5" xfId="5171"/>
    <cellStyle name="20% - Accent2 53" xfId="5172"/>
    <cellStyle name="20% - Accent2 53 2" xfId="5173"/>
    <cellStyle name="20% - Accent2 53 2 2" xfId="5174"/>
    <cellStyle name="20% - Accent2 53 2 3" xfId="5175"/>
    <cellStyle name="20% - Accent2 53 3" xfId="5176"/>
    <cellStyle name="20% - Accent2 53 3 2" xfId="5177"/>
    <cellStyle name="20% - Accent2 53 4" xfId="5178"/>
    <cellStyle name="20% - Accent2 53 5" xfId="5179"/>
    <cellStyle name="20% - Accent2 54" xfId="5180"/>
    <cellStyle name="20% - Accent2 54 2" xfId="5181"/>
    <cellStyle name="20% - Accent2 54 2 2" xfId="5182"/>
    <cellStyle name="20% - Accent2 54 2 3" xfId="5183"/>
    <cellStyle name="20% - Accent2 54 3" xfId="5184"/>
    <cellStyle name="20% - Accent2 54 3 2" xfId="5185"/>
    <cellStyle name="20% - Accent2 54 4" xfId="5186"/>
    <cellStyle name="20% - Accent2 54 5" xfId="5187"/>
    <cellStyle name="20% - Accent2 55" xfId="5188"/>
    <cellStyle name="20% - Accent2 55 2" xfId="5189"/>
    <cellStyle name="20% - Accent2 55 2 2" xfId="5190"/>
    <cellStyle name="20% - Accent2 55 2 3" xfId="5191"/>
    <cellStyle name="20% - Accent2 55 3" xfId="5192"/>
    <cellStyle name="20% - Accent2 55 3 2" xfId="5193"/>
    <cellStyle name="20% - Accent2 55 4" xfId="5194"/>
    <cellStyle name="20% - Accent2 55 5" xfId="5195"/>
    <cellStyle name="20% - Accent2 56" xfId="5196"/>
    <cellStyle name="20% - Accent2 56 2" xfId="5197"/>
    <cellStyle name="20% - Accent2 56 2 2" xfId="5198"/>
    <cellStyle name="20% - Accent2 56 2 3" xfId="5199"/>
    <cellStyle name="20% - Accent2 56 3" xfId="5200"/>
    <cellStyle name="20% - Accent2 56 3 2" xfId="5201"/>
    <cellStyle name="20% - Accent2 56 4" xfId="5202"/>
    <cellStyle name="20% - Accent2 56 5" xfId="5203"/>
    <cellStyle name="20% - Accent2 57" xfId="5204"/>
    <cellStyle name="20% - Accent2 57 2" xfId="5205"/>
    <cellStyle name="20% - Accent2 57 2 2" xfId="5206"/>
    <cellStyle name="20% - Accent2 57 2 3" xfId="5207"/>
    <cellStyle name="20% - Accent2 57 3" xfId="5208"/>
    <cellStyle name="20% - Accent2 57 3 2" xfId="5209"/>
    <cellStyle name="20% - Accent2 57 4" xfId="5210"/>
    <cellStyle name="20% - Accent2 57 5" xfId="5211"/>
    <cellStyle name="20% - Accent2 58" xfId="5212"/>
    <cellStyle name="20% - Accent2 58 2" xfId="5213"/>
    <cellStyle name="20% - Accent2 58 2 2" xfId="5214"/>
    <cellStyle name="20% - Accent2 58 2 3" xfId="5215"/>
    <cellStyle name="20% - Accent2 58 3" xfId="5216"/>
    <cellStyle name="20% - Accent2 58 3 2" xfId="5217"/>
    <cellStyle name="20% - Accent2 58 4" xfId="5218"/>
    <cellStyle name="20% - Accent2 58 5" xfId="5219"/>
    <cellStyle name="20% - Accent2 59" xfId="5220"/>
    <cellStyle name="20% - Accent2 59 2" xfId="5221"/>
    <cellStyle name="20% - Accent2 59 2 2" xfId="5222"/>
    <cellStyle name="20% - Accent2 59 2 3" xfId="5223"/>
    <cellStyle name="20% - Accent2 59 3" xfId="5224"/>
    <cellStyle name="20% - Accent2 59 3 2" xfId="5225"/>
    <cellStyle name="20% - Accent2 59 4" xfId="5226"/>
    <cellStyle name="20% - Accent2 59 5" xfId="5227"/>
    <cellStyle name="20% - Accent2 6" xfId="5228"/>
    <cellStyle name="20% - Accent2 6 2" xfId="5229"/>
    <cellStyle name="20% - Accent2 6 2 2" xfId="5230"/>
    <cellStyle name="20% - Accent2 6 2_4Q Ops Metrics Gas &amp; Electric 2010" xfId="5231"/>
    <cellStyle name="20% - Accent2 6 3" xfId="5232"/>
    <cellStyle name="20% - Accent2 6 3 2" xfId="5233"/>
    <cellStyle name="20% - Accent2 6 3_4Q Ops Metrics Gas &amp; Electric 2010" xfId="5234"/>
    <cellStyle name="20% - Accent2 6 4" xfId="5235"/>
    <cellStyle name="20% - Accent2 6 4 2" xfId="5236"/>
    <cellStyle name="20% - Accent2 6 4_4Q Ops Metrics Gas &amp; Electric 2010" xfId="5237"/>
    <cellStyle name="20% - Accent2 6 5" xfId="5238"/>
    <cellStyle name="20% - Accent2 6 5 2" xfId="5239"/>
    <cellStyle name="20% - Accent2 6 5 3" xfId="5240"/>
    <cellStyle name="20% - Accent2 6 5 4" xfId="5241"/>
    <cellStyle name="20% - Accent2 6 5 5" xfId="5242"/>
    <cellStyle name="20% - Accent2 6 5_4Q Ops Metrics Gas &amp; Electric 2010" xfId="5243"/>
    <cellStyle name="20% - Accent2 6 6" xfId="5244"/>
    <cellStyle name="20% - Accent2 6 6 2" xfId="5245"/>
    <cellStyle name="20% - Accent2 6 7" xfId="5246"/>
    <cellStyle name="20% - Accent2 6 7 2" xfId="5247"/>
    <cellStyle name="20% - Accent2 6_2009 Actual" xfId="5248"/>
    <cellStyle name="20% - Accent2 60" xfId="5249"/>
    <cellStyle name="20% - Accent2 60 2" xfId="5250"/>
    <cellStyle name="20% - Accent2 60 2 2" xfId="5251"/>
    <cellStyle name="20% - Accent2 60 2 3" xfId="5252"/>
    <cellStyle name="20% - Accent2 60 3" xfId="5253"/>
    <cellStyle name="20% - Accent2 60 3 2" xfId="5254"/>
    <cellStyle name="20% - Accent2 60 4" xfId="5255"/>
    <cellStyle name="20% - Accent2 60 5" xfId="5256"/>
    <cellStyle name="20% - Accent2 61" xfId="5257"/>
    <cellStyle name="20% - Accent2 61 2" xfId="5258"/>
    <cellStyle name="20% - Accent2 61 2 2" xfId="5259"/>
    <cellStyle name="20% - Accent2 61 2 3" xfId="5260"/>
    <cellStyle name="20% - Accent2 61 3" xfId="5261"/>
    <cellStyle name="20% - Accent2 61 3 2" xfId="5262"/>
    <cellStyle name="20% - Accent2 61 4" xfId="5263"/>
    <cellStyle name="20% - Accent2 61 5" xfId="5264"/>
    <cellStyle name="20% - Accent2 62" xfId="5265"/>
    <cellStyle name="20% - Accent2 62 2" xfId="5266"/>
    <cellStyle name="20% - Accent2 62 2 2" xfId="5267"/>
    <cellStyle name="20% - Accent2 62 2 3" xfId="5268"/>
    <cellStyle name="20% - Accent2 62 3" xfId="5269"/>
    <cellStyle name="20% - Accent2 62 3 2" xfId="5270"/>
    <cellStyle name="20% - Accent2 62 4" xfId="5271"/>
    <cellStyle name="20% - Accent2 62 5" xfId="5272"/>
    <cellStyle name="20% - Accent2 63" xfId="5273"/>
    <cellStyle name="20% - Accent2 63 2" xfId="5274"/>
    <cellStyle name="20% - Accent2 63 2 2" xfId="5275"/>
    <cellStyle name="20% - Accent2 63 2 3" xfId="5276"/>
    <cellStyle name="20% - Accent2 63 3" xfId="5277"/>
    <cellStyle name="20% - Accent2 63 3 2" xfId="5278"/>
    <cellStyle name="20% - Accent2 63 4" xfId="5279"/>
    <cellStyle name="20% - Accent2 63 5" xfId="5280"/>
    <cellStyle name="20% - Accent2 64" xfId="5281"/>
    <cellStyle name="20% - Accent2 64 2" xfId="5282"/>
    <cellStyle name="20% - Accent2 64 2 2" xfId="5283"/>
    <cellStyle name="20% - Accent2 64 3" xfId="5284"/>
    <cellStyle name="20% - Accent2 64 4" xfId="5285"/>
    <cellStyle name="20% - Accent2 65" xfId="5286"/>
    <cellStyle name="20% - Accent2 65 2" xfId="5287"/>
    <cellStyle name="20% - Accent2 65 2 2" xfId="5288"/>
    <cellStyle name="20% - Accent2 65 3" xfId="5289"/>
    <cellStyle name="20% - Accent2 65 4" xfId="5290"/>
    <cellStyle name="20% - Accent2 66" xfId="5291"/>
    <cellStyle name="20% - Accent2 66 2" xfId="5292"/>
    <cellStyle name="20% - Accent2 66 2 2" xfId="5293"/>
    <cellStyle name="20% - Accent2 66 3" xfId="5294"/>
    <cellStyle name="20% - Accent2 66 4" xfId="5295"/>
    <cellStyle name="20% - Accent2 67" xfId="5296"/>
    <cellStyle name="20% - Accent2 67 2" xfId="5297"/>
    <cellStyle name="20% - Accent2 67 2 2" xfId="5298"/>
    <cellStyle name="20% - Accent2 67 3" xfId="5299"/>
    <cellStyle name="20% - Accent2 67 4" xfId="5300"/>
    <cellStyle name="20% - Accent2 68" xfId="5301"/>
    <cellStyle name="20% - Accent2 68 2" xfId="5302"/>
    <cellStyle name="20% - Accent2 68 2 2" xfId="5303"/>
    <cellStyle name="20% - Accent2 68 3" xfId="5304"/>
    <cellStyle name="20% - Accent2 68 4" xfId="5305"/>
    <cellStyle name="20% - Accent2 69" xfId="5306"/>
    <cellStyle name="20% - Accent2 69 2" xfId="5307"/>
    <cellStyle name="20% - Accent2 69 2 2" xfId="5308"/>
    <cellStyle name="20% - Accent2 69 3" xfId="5309"/>
    <cellStyle name="20% - Accent2 69 4" xfId="5310"/>
    <cellStyle name="20% - Accent2 7" xfId="5311"/>
    <cellStyle name="20% - Accent2 7 2" xfId="5312"/>
    <cellStyle name="20% - Accent2 7 2 2" xfId="5313"/>
    <cellStyle name="20% - Accent2 7 2_4Q Ops Metrics Gas &amp; Electric 2010" xfId="5314"/>
    <cellStyle name="20% - Accent2 7 3" xfId="5315"/>
    <cellStyle name="20% - Accent2 7 3 2" xfId="5316"/>
    <cellStyle name="20% - Accent2 7 3_4Q Ops Metrics Gas &amp; Electric 2010" xfId="5317"/>
    <cellStyle name="20% - Accent2 7 4" xfId="5318"/>
    <cellStyle name="20% - Accent2 7 4 2" xfId="5319"/>
    <cellStyle name="20% - Accent2 7 4_4Q Ops Metrics Gas &amp; Electric 2010" xfId="5320"/>
    <cellStyle name="20% - Accent2 7 5" xfId="5321"/>
    <cellStyle name="20% - Accent2 7 5 2" xfId="5322"/>
    <cellStyle name="20% - Accent2 7 5 3" xfId="5323"/>
    <cellStyle name="20% - Accent2 7 5 4" xfId="5324"/>
    <cellStyle name="20% - Accent2 7 5 5" xfId="5325"/>
    <cellStyle name="20% - Accent2 7 5_4Q Ops Metrics Gas &amp; Electric 2010" xfId="5326"/>
    <cellStyle name="20% - Accent2 7 6" xfId="5327"/>
    <cellStyle name="20% - Accent2 7 6 2" xfId="5328"/>
    <cellStyle name="20% - Accent2 7 7" xfId="5329"/>
    <cellStyle name="20% - Accent2 7 7 2" xfId="5330"/>
    <cellStyle name="20% - Accent2 7_2009 Actual" xfId="5331"/>
    <cellStyle name="20% - Accent2 70" xfId="5332"/>
    <cellStyle name="20% - Accent2 70 2" xfId="5333"/>
    <cellStyle name="20% - Accent2 70 2 2" xfId="5334"/>
    <cellStyle name="20% - Accent2 70 3" xfId="5335"/>
    <cellStyle name="20% - Accent2 70 4" xfId="5336"/>
    <cellStyle name="20% - Accent2 71" xfId="5337"/>
    <cellStyle name="20% - Accent2 71 2" xfId="5338"/>
    <cellStyle name="20% - Accent2 71 2 2" xfId="5339"/>
    <cellStyle name="20% - Accent2 71 3" xfId="5340"/>
    <cellStyle name="20% - Accent2 71 4" xfId="5341"/>
    <cellStyle name="20% - Accent2 72" xfId="5342"/>
    <cellStyle name="20% - Accent2 72 2" xfId="5343"/>
    <cellStyle name="20% - Accent2 72 2 2" xfId="5344"/>
    <cellStyle name="20% - Accent2 72 3" xfId="5345"/>
    <cellStyle name="20% - Accent2 72 4" xfId="5346"/>
    <cellStyle name="20% - Accent2 73" xfId="5347"/>
    <cellStyle name="20% - Accent2 73 2" xfId="5348"/>
    <cellStyle name="20% - Accent2 73 2 2" xfId="5349"/>
    <cellStyle name="20% - Accent2 73 3" xfId="5350"/>
    <cellStyle name="20% - Accent2 73 4" xfId="5351"/>
    <cellStyle name="20% - Accent2 74" xfId="5352"/>
    <cellStyle name="20% - Accent2 74 2" xfId="5353"/>
    <cellStyle name="20% - Accent2 74 2 2" xfId="5354"/>
    <cellStyle name="20% - Accent2 74 3" xfId="5355"/>
    <cellStyle name="20% - Accent2 74 4" xfId="5356"/>
    <cellStyle name="20% - Accent2 75" xfId="5357"/>
    <cellStyle name="20% - Accent2 75 2" xfId="5358"/>
    <cellStyle name="20% - Accent2 75 2 2" xfId="5359"/>
    <cellStyle name="20% - Accent2 75 3" xfId="5360"/>
    <cellStyle name="20% - Accent2 75 4" xfId="5361"/>
    <cellStyle name="20% - Accent2 76" xfId="5362"/>
    <cellStyle name="20% - Accent2 76 2" xfId="5363"/>
    <cellStyle name="20% - Accent2 76 2 2" xfId="5364"/>
    <cellStyle name="20% - Accent2 76 3" xfId="5365"/>
    <cellStyle name="20% - Accent2 76 4" xfId="5366"/>
    <cellStyle name="20% - Accent2 77" xfId="5367"/>
    <cellStyle name="20% - Accent2 77 2" xfId="5368"/>
    <cellStyle name="20% - Accent2 77 2 2" xfId="5369"/>
    <cellStyle name="20% - Accent2 77 3" xfId="5370"/>
    <cellStyle name="20% - Accent2 77 4" xfId="5371"/>
    <cellStyle name="20% - Accent2 78" xfId="5372"/>
    <cellStyle name="20% - Accent2 78 2" xfId="5373"/>
    <cellStyle name="20% - Accent2 78 2 2" xfId="5374"/>
    <cellStyle name="20% - Accent2 78 3" xfId="5375"/>
    <cellStyle name="20% - Accent2 78 4" xfId="5376"/>
    <cellStyle name="20% - Accent2 79" xfId="5377"/>
    <cellStyle name="20% - Accent2 79 2" xfId="5378"/>
    <cellStyle name="20% - Accent2 79 2 2" xfId="5379"/>
    <cellStyle name="20% - Accent2 79 3" xfId="5380"/>
    <cellStyle name="20% - Accent2 79 4" xfId="5381"/>
    <cellStyle name="20% - Accent2 8" xfId="5382"/>
    <cellStyle name="20% - Accent2 8 2" xfId="5383"/>
    <cellStyle name="20% - Accent2 8 2 2" xfId="5384"/>
    <cellStyle name="20% - Accent2 8 2_4Q Ops Metrics Gas &amp; Electric 2010" xfId="5385"/>
    <cellStyle name="20% - Accent2 8 3" xfId="5386"/>
    <cellStyle name="20% - Accent2 8 3 2" xfId="5387"/>
    <cellStyle name="20% - Accent2 8 3_4Q Ops Metrics Gas &amp; Electric 2010" xfId="5388"/>
    <cellStyle name="20% - Accent2 8 4" xfId="5389"/>
    <cellStyle name="20% - Accent2 8 4 2" xfId="5390"/>
    <cellStyle name="20% - Accent2 8 4_4Q Ops Metrics Gas &amp; Electric 2010" xfId="5391"/>
    <cellStyle name="20% - Accent2 8 5" xfId="5392"/>
    <cellStyle name="20% - Accent2 8 5 2" xfId="5393"/>
    <cellStyle name="20% - Accent2 8 5 3" xfId="5394"/>
    <cellStyle name="20% - Accent2 8 5 4" xfId="5395"/>
    <cellStyle name="20% - Accent2 8 5 5" xfId="5396"/>
    <cellStyle name="20% - Accent2 8 5_4Q Ops Metrics Gas &amp; Electric 2010" xfId="5397"/>
    <cellStyle name="20% - Accent2 8 6" xfId="5398"/>
    <cellStyle name="20% - Accent2 8 6 2" xfId="5399"/>
    <cellStyle name="20% - Accent2 8 7" xfId="5400"/>
    <cellStyle name="20% - Accent2 8 7 2" xfId="5401"/>
    <cellStyle name="20% - Accent2 8_2009 Actual" xfId="5402"/>
    <cellStyle name="20% - Accent2 80" xfId="5403"/>
    <cellStyle name="20% - Accent2 80 2" xfId="5404"/>
    <cellStyle name="20% - Accent2 80 2 2" xfId="5405"/>
    <cellStyle name="20% - Accent2 80 3" xfId="5406"/>
    <cellStyle name="20% - Accent2 80 4" xfId="5407"/>
    <cellStyle name="20% - Accent2 81" xfId="5408"/>
    <cellStyle name="20% - Accent2 81 2" xfId="5409"/>
    <cellStyle name="20% - Accent2 81 2 2" xfId="5410"/>
    <cellStyle name="20% - Accent2 81 3" xfId="5411"/>
    <cellStyle name="20% - Accent2 81 4" xfId="5412"/>
    <cellStyle name="20% - Accent2 82" xfId="5413"/>
    <cellStyle name="20% - Accent2 82 2" xfId="5414"/>
    <cellStyle name="20% - Accent2 82 2 2" xfId="5415"/>
    <cellStyle name="20% - Accent2 82 3" xfId="5416"/>
    <cellStyle name="20% - Accent2 82 4" xfId="5417"/>
    <cellStyle name="20% - Accent2 83" xfId="5418"/>
    <cellStyle name="20% - Accent2 83 2" xfId="5419"/>
    <cellStyle name="20% - Accent2 83 2 2" xfId="5420"/>
    <cellStyle name="20% - Accent2 83 3" xfId="5421"/>
    <cellStyle name="20% - Accent2 83 4" xfId="5422"/>
    <cellStyle name="20% - Accent2 84" xfId="5423"/>
    <cellStyle name="20% - Accent2 84 2" xfId="5424"/>
    <cellStyle name="20% - Accent2 84 2 2" xfId="5425"/>
    <cellStyle name="20% - Accent2 84 3" xfId="5426"/>
    <cellStyle name="20% - Accent2 84 4" xfId="5427"/>
    <cellStyle name="20% - Accent2 85" xfId="5428"/>
    <cellStyle name="20% - Accent2 85 2" xfId="5429"/>
    <cellStyle name="20% - Accent2 85 2 2" xfId="5430"/>
    <cellStyle name="20% - Accent2 85 3" xfId="5431"/>
    <cellStyle name="20% - Accent2 85 4" xfId="5432"/>
    <cellStyle name="20% - Accent2 86" xfId="5433"/>
    <cellStyle name="20% - Accent2 86 2" xfId="5434"/>
    <cellStyle name="20% - Accent2 86 2 2" xfId="5435"/>
    <cellStyle name="20% - Accent2 86 3" xfId="5436"/>
    <cellStyle name="20% - Accent2 86 4" xfId="5437"/>
    <cellStyle name="20% - Accent2 87" xfId="5438"/>
    <cellStyle name="20% - Accent2 87 2" xfId="5439"/>
    <cellStyle name="20% - Accent2 87 2 2" xfId="5440"/>
    <cellStyle name="20% - Accent2 87 3" xfId="5441"/>
    <cellStyle name="20% - Accent2 87 4" xfId="5442"/>
    <cellStyle name="20% - Accent2 88" xfId="5443"/>
    <cellStyle name="20% - Accent2 88 2" xfId="5444"/>
    <cellStyle name="20% - Accent2 88 2 2" xfId="5445"/>
    <cellStyle name="20% - Accent2 88 3" xfId="5446"/>
    <cellStyle name="20% - Accent2 88 4" xfId="5447"/>
    <cellStyle name="20% - Accent2 89" xfId="5448"/>
    <cellStyle name="20% - Accent2 89 2" xfId="5449"/>
    <cellStyle name="20% - Accent2 89 3" xfId="5450"/>
    <cellStyle name="20% - Accent2 9" xfId="5451"/>
    <cellStyle name="20% - Accent2 9 2" xfId="5452"/>
    <cellStyle name="20% - Accent2 9 2 2" xfId="5453"/>
    <cellStyle name="20% - Accent2 9 2_4Q Ops Metrics Gas &amp; Electric 2010" xfId="5454"/>
    <cellStyle name="20% - Accent2 9 3" xfId="5455"/>
    <cellStyle name="20% - Accent2 9 3 2" xfId="5456"/>
    <cellStyle name="20% - Accent2 9 3_4Q Ops Metrics Gas &amp; Electric 2010" xfId="5457"/>
    <cellStyle name="20% - Accent2 9 4" xfId="5458"/>
    <cellStyle name="20% - Accent2 9 4 2" xfId="5459"/>
    <cellStyle name="20% - Accent2 9 4_4Q Ops Metrics Gas &amp; Electric 2010" xfId="5460"/>
    <cellStyle name="20% - Accent2 9 5" xfId="5461"/>
    <cellStyle name="20% - Accent2 9 5 2" xfId="5462"/>
    <cellStyle name="20% - Accent2 9 5 3" xfId="5463"/>
    <cellStyle name="20% - Accent2 9 5 4" xfId="5464"/>
    <cellStyle name="20% - Accent2 9 5 5" xfId="5465"/>
    <cellStyle name="20% - Accent2 9 5_4Q Ops Metrics Gas &amp; Electric 2010" xfId="5466"/>
    <cellStyle name="20% - Accent2 9 6" xfId="5467"/>
    <cellStyle name="20% - Accent2 9 6 2" xfId="5468"/>
    <cellStyle name="20% - Accent2 9 7" xfId="5469"/>
    <cellStyle name="20% - Accent2 9 7 2" xfId="5470"/>
    <cellStyle name="20% - Accent2 9_2009 Actual" xfId="5471"/>
    <cellStyle name="20% - Accent2 90" xfId="5472"/>
    <cellStyle name="20% - Accent2 90 2" xfId="5473"/>
    <cellStyle name="20% - Accent2 91" xfId="5474"/>
    <cellStyle name="20% - Accent2 91 2" xfId="5475"/>
    <cellStyle name="20% - Accent2 92" xfId="5476"/>
    <cellStyle name="20% - Accent2 92 2" xfId="5477"/>
    <cellStyle name="20% - Accent2 93" xfId="5478"/>
    <cellStyle name="20% - Accent2 93 2" xfId="5479"/>
    <cellStyle name="20% - Accent2 94" xfId="5480"/>
    <cellStyle name="20% - Accent2 94 2" xfId="5481"/>
    <cellStyle name="20% - Accent2 95" xfId="5482"/>
    <cellStyle name="20% - Accent2 95 2" xfId="5483"/>
    <cellStyle name="20% - Accent2 96" xfId="5484"/>
    <cellStyle name="20% - Accent2 96 2" xfId="5485"/>
    <cellStyle name="20% - Accent2 97" xfId="5486"/>
    <cellStyle name="20% - Accent2 97 2" xfId="5487"/>
    <cellStyle name="20% - Accent2 98" xfId="5488"/>
    <cellStyle name="20% - Accent2 98 2" xfId="5489"/>
    <cellStyle name="20% - Accent2 99" xfId="5490"/>
    <cellStyle name="20% - Accent3 10" xfId="5491"/>
    <cellStyle name="20% - Accent3 10 2" xfId="5492"/>
    <cellStyle name="20% - Accent3 10 2 2" xfId="5493"/>
    <cellStyle name="20% - Accent3 10 2_4Q Ops Metrics Gas &amp; Electric 2010" xfId="5494"/>
    <cellStyle name="20% - Accent3 10 3" xfId="5495"/>
    <cellStyle name="20% - Accent3 10 3 2" xfId="5496"/>
    <cellStyle name="20% - Accent3 10 3_4Q Ops Metrics Gas &amp; Electric 2010" xfId="5497"/>
    <cellStyle name="20% - Accent3 10 4" xfId="5498"/>
    <cellStyle name="20% - Accent3 10 4 2" xfId="5499"/>
    <cellStyle name="20% - Accent3 10 4_4Q Ops Metrics Gas &amp; Electric 2010" xfId="5500"/>
    <cellStyle name="20% - Accent3 10 5" xfId="5501"/>
    <cellStyle name="20% - Accent3 10 5 2" xfId="5502"/>
    <cellStyle name="20% - Accent3 10 5 3" xfId="5503"/>
    <cellStyle name="20% - Accent3 10 5 4" xfId="5504"/>
    <cellStyle name="20% - Accent3 10 5 5" xfId="5505"/>
    <cellStyle name="20% - Accent3 10 5_4Q Ops Metrics Gas &amp; Electric 2010" xfId="5506"/>
    <cellStyle name="20% - Accent3 10 6" xfId="5507"/>
    <cellStyle name="20% - Accent3 10 6 2" xfId="5508"/>
    <cellStyle name="20% - Accent3 10 7" xfId="5509"/>
    <cellStyle name="20% - Accent3 10 7 2" xfId="5510"/>
    <cellStyle name="20% - Accent3 10_2009 Actual" xfId="5511"/>
    <cellStyle name="20% - Accent3 100" xfId="5512"/>
    <cellStyle name="20% - Accent3 101" xfId="5513"/>
    <cellStyle name="20% - Accent3 102" xfId="5514"/>
    <cellStyle name="20% - Accent3 103" xfId="5515"/>
    <cellStyle name="20% - Accent3 104" xfId="5516"/>
    <cellStyle name="20% - Accent3 105" xfId="5517"/>
    <cellStyle name="20% - Accent3 106" xfId="5518"/>
    <cellStyle name="20% - Accent3 107" xfId="5519"/>
    <cellStyle name="20% - Accent3 108" xfId="5520"/>
    <cellStyle name="20% - Accent3 109" xfId="5521"/>
    <cellStyle name="20% - Accent3 11" xfId="5522"/>
    <cellStyle name="20% - Accent3 11 2" xfId="5523"/>
    <cellStyle name="20% - Accent3 11 2 2" xfId="5524"/>
    <cellStyle name="20% - Accent3 11 2_4Q Ops Metrics Gas &amp; Electric 2010" xfId="5525"/>
    <cellStyle name="20% - Accent3 11 3" xfId="5526"/>
    <cellStyle name="20% - Accent3 11 3 2" xfId="5527"/>
    <cellStyle name="20% - Accent3 11 3_4Q Ops Metrics Gas &amp; Electric 2010" xfId="5528"/>
    <cellStyle name="20% - Accent3 11 4" xfId="5529"/>
    <cellStyle name="20% - Accent3 11 4 2" xfId="5530"/>
    <cellStyle name="20% - Accent3 11 4_4Q Ops Metrics Gas &amp; Electric 2010" xfId="5531"/>
    <cellStyle name="20% - Accent3 11 5" xfId="5532"/>
    <cellStyle name="20% - Accent3 11 5 2" xfId="5533"/>
    <cellStyle name="20% - Accent3 11 5 3" xfId="5534"/>
    <cellStyle name="20% - Accent3 11 5 4" xfId="5535"/>
    <cellStyle name="20% - Accent3 11 5 5" xfId="5536"/>
    <cellStyle name="20% - Accent3 11 5_4Q Ops Metrics Gas &amp; Electric 2010" xfId="5537"/>
    <cellStyle name="20% - Accent3 11 6" xfId="5538"/>
    <cellStyle name="20% - Accent3 11 6 2" xfId="5539"/>
    <cellStyle name="20% - Accent3 11 7" xfId="5540"/>
    <cellStyle name="20% - Accent3 11 7 2" xfId="5541"/>
    <cellStyle name="20% - Accent3 11_2009 Actual" xfId="5542"/>
    <cellStyle name="20% - Accent3 110" xfId="5543"/>
    <cellStyle name="20% - Accent3 111" xfId="5544"/>
    <cellStyle name="20% - Accent3 112" xfId="5545"/>
    <cellStyle name="20% - Accent3 113" xfId="5546"/>
    <cellStyle name="20% - Accent3 114" xfId="5547"/>
    <cellStyle name="20% - Accent3 115" xfId="5548"/>
    <cellStyle name="20% - Accent3 116" xfId="5549"/>
    <cellStyle name="20% - Accent3 117" xfId="5550"/>
    <cellStyle name="20% - Accent3 118" xfId="5551"/>
    <cellStyle name="20% - Accent3 119" xfId="5552"/>
    <cellStyle name="20% - Accent3 12" xfId="5553"/>
    <cellStyle name="20% - Accent3 12 10" xfId="5554"/>
    <cellStyle name="20% - Accent3 12 11" xfId="5555"/>
    <cellStyle name="20% - Accent3 12 2" xfId="5556"/>
    <cellStyle name="20% - Accent3 12 2 2" xfId="5557"/>
    <cellStyle name="20% - Accent3 12 2 2 2" xfId="5558"/>
    <cellStyle name="20% - Accent3 12 2 2 3" xfId="5559"/>
    <cellStyle name="20% - Accent3 12 2 2 4" xfId="5560"/>
    <cellStyle name="20% - Accent3 12 2 2_4Q Ops Metrics Gas &amp; Electric 2010" xfId="5561"/>
    <cellStyle name="20% - Accent3 12 2 3" xfId="5562"/>
    <cellStyle name="20% - Accent3 12 2 4" xfId="5563"/>
    <cellStyle name="20% - Accent3 12 2_4Q Ops Metrics Gas &amp; Electric 2010" xfId="5564"/>
    <cellStyle name="20% - Accent3 12 3" xfId="5565"/>
    <cellStyle name="20% - Accent3 12 3 2" xfId="5566"/>
    <cellStyle name="20% - Accent3 12 3 2 2" xfId="5567"/>
    <cellStyle name="20% - Accent3 12 3 2 3" xfId="5568"/>
    <cellStyle name="20% - Accent3 12 3 2 4" xfId="5569"/>
    <cellStyle name="20% - Accent3 12 3 2_4Q Ops Metrics Gas &amp; Electric 2010" xfId="5570"/>
    <cellStyle name="20% - Accent3 12 3 3" xfId="5571"/>
    <cellStyle name="20% - Accent3 12 3 4" xfId="5572"/>
    <cellStyle name="20% - Accent3 12 3_4Q Ops Metrics Gas &amp; Electric 2010" xfId="5573"/>
    <cellStyle name="20% - Accent3 12 4" xfId="5574"/>
    <cellStyle name="20% - Accent3 12 4 2" xfId="5575"/>
    <cellStyle name="20% - Accent3 12 4 2 2" xfId="5576"/>
    <cellStyle name="20% - Accent3 12 4 2 3" xfId="5577"/>
    <cellStyle name="20% - Accent3 12 4 2 4" xfId="5578"/>
    <cellStyle name="20% - Accent3 12 4 2_4Q Ops Metrics Gas &amp; Electric 2010" xfId="5579"/>
    <cellStyle name="20% - Accent3 12 4 3" xfId="5580"/>
    <cellStyle name="20% - Accent3 12 4 4" xfId="5581"/>
    <cellStyle name="20% - Accent3 12 4_4Q Ops Metrics Gas &amp; Electric 2010" xfId="5582"/>
    <cellStyle name="20% - Accent3 12 5" xfId="5583"/>
    <cellStyle name="20% - Accent3 12 5 2" xfId="5584"/>
    <cellStyle name="20% - Accent3 12 5 3" xfId="5585"/>
    <cellStyle name="20% - Accent3 12 5 4" xfId="5586"/>
    <cellStyle name="20% - Accent3 12 5_4Q Ops Metrics Gas &amp; Electric 2010" xfId="5587"/>
    <cellStyle name="20% - Accent3 12 6" xfId="5588"/>
    <cellStyle name="20% - Accent3 12 6 2" xfId="5589"/>
    <cellStyle name="20% - Accent3 12 6 3" xfId="5590"/>
    <cellStyle name="20% - Accent3 12 6 4" xfId="5591"/>
    <cellStyle name="20% - Accent3 12 6_BHP" xfId="5592"/>
    <cellStyle name="20% - Accent3 12 7" xfId="5593"/>
    <cellStyle name="20% - Accent3 12 8" xfId="5594"/>
    <cellStyle name="20% - Accent3 12 9" xfId="5595"/>
    <cellStyle name="20% - Accent3 12_2009 Actual" xfId="5596"/>
    <cellStyle name="20% - Accent3 120" xfId="5597"/>
    <cellStyle name="20% - Accent3 13" xfId="5598"/>
    <cellStyle name="20% - Accent3 13 2" xfId="5599"/>
    <cellStyle name="20% - Accent3 13 3" xfId="5600"/>
    <cellStyle name="20% - Accent3 13 4" xfId="5601"/>
    <cellStyle name="20% - Accent3 13 5" xfId="5602"/>
    <cellStyle name="20% - Accent3 13 6" xfId="5603"/>
    <cellStyle name="20% - Accent3 13 7" xfId="5604"/>
    <cellStyle name="20% - Accent3 13_2009 Actual" xfId="5605"/>
    <cellStyle name="20% - Accent3 14" xfId="5606"/>
    <cellStyle name="20% - Accent3 14 2" xfId="5607"/>
    <cellStyle name="20% - Accent3 14 3" xfId="5608"/>
    <cellStyle name="20% - Accent3 14 4" xfId="5609"/>
    <cellStyle name="20% - Accent3 14 5" xfId="5610"/>
    <cellStyle name="20% - Accent3 14 6" xfId="5611"/>
    <cellStyle name="20% - Accent3 14 7" xfId="5612"/>
    <cellStyle name="20% - Accent3 14_2009 Actual" xfId="5613"/>
    <cellStyle name="20% - Accent3 15" xfId="5614"/>
    <cellStyle name="20% - Accent3 15 2" xfId="5615"/>
    <cellStyle name="20% - Accent3 15 3" xfId="5616"/>
    <cellStyle name="20% - Accent3 15 4" xfId="5617"/>
    <cellStyle name="20% - Accent3 15 5" xfId="5618"/>
    <cellStyle name="20% - Accent3 15 6" xfId="5619"/>
    <cellStyle name="20% - Accent3 15_BHP" xfId="5620"/>
    <cellStyle name="20% - Accent3 16" xfId="5621"/>
    <cellStyle name="20% - Accent3 17" xfId="5622"/>
    <cellStyle name="20% - Accent3 18" xfId="5623"/>
    <cellStyle name="20% - Accent3 19" xfId="5624"/>
    <cellStyle name="20% - Accent3 19 2" xfId="5625"/>
    <cellStyle name="20% - Accent3 19 3" xfId="5626"/>
    <cellStyle name="20% - Accent3 19_Elec Margin Analysis" xfId="5627"/>
    <cellStyle name="20% - Accent3 2" xfId="5628"/>
    <cellStyle name="20% - Accent3 2 10" xfId="5629"/>
    <cellStyle name="20% - Accent3 2 10 2" xfId="5630"/>
    <cellStyle name="20% - Accent3 2 10 3" xfId="5631"/>
    <cellStyle name="20% - Accent3 2 10 4" xfId="5632"/>
    <cellStyle name="20% - Accent3 2 10 5" xfId="5633"/>
    <cellStyle name="20% - Accent3 2 10 5 2" xfId="5634"/>
    <cellStyle name="20% - Accent3 2 10_BHP" xfId="5635"/>
    <cellStyle name="20% - Accent3 2 100" xfId="5636"/>
    <cellStyle name="20% - Accent3 2 100 2" xfId="5637"/>
    <cellStyle name="20% - Accent3 2 100 2 2" xfId="5638"/>
    <cellStyle name="20% - Accent3 2 100 3" xfId="5639"/>
    <cellStyle name="20% - Accent3 2 100 4" xfId="5640"/>
    <cellStyle name="20% - Accent3 2 101" xfId="5641"/>
    <cellStyle name="20% - Accent3 2 101 2" xfId="5642"/>
    <cellStyle name="20% - Accent3 2 101 2 2" xfId="5643"/>
    <cellStyle name="20% - Accent3 2 101 3" xfId="5644"/>
    <cellStyle name="20% - Accent3 2 101 4" xfId="5645"/>
    <cellStyle name="20% - Accent3 2 102" xfId="5646"/>
    <cellStyle name="20% - Accent3 2 102 2" xfId="5647"/>
    <cellStyle name="20% - Accent3 2 102 2 2" xfId="5648"/>
    <cellStyle name="20% - Accent3 2 102 3" xfId="5649"/>
    <cellStyle name="20% - Accent3 2 102 4" xfId="5650"/>
    <cellStyle name="20% - Accent3 2 103" xfId="5651"/>
    <cellStyle name="20% - Accent3 2 103 2" xfId="5652"/>
    <cellStyle name="20% - Accent3 2 103 2 2" xfId="5653"/>
    <cellStyle name="20% - Accent3 2 103 3" xfId="5654"/>
    <cellStyle name="20% - Accent3 2 103 4" xfId="5655"/>
    <cellStyle name="20% - Accent3 2 104" xfId="5656"/>
    <cellStyle name="20% - Accent3 2 104 2" xfId="5657"/>
    <cellStyle name="20% - Accent3 2 104 2 2" xfId="5658"/>
    <cellStyle name="20% - Accent3 2 104 3" xfId="5659"/>
    <cellStyle name="20% - Accent3 2 104 4" xfId="5660"/>
    <cellStyle name="20% - Accent3 2 105" xfId="5661"/>
    <cellStyle name="20% - Accent3 2 105 2" xfId="5662"/>
    <cellStyle name="20% - Accent3 2 105 2 2" xfId="5663"/>
    <cellStyle name="20% - Accent3 2 105 3" xfId="5664"/>
    <cellStyle name="20% - Accent3 2 105 4" xfId="5665"/>
    <cellStyle name="20% - Accent3 2 106" xfId="5666"/>
    <cellStyle name="20% - Accent3 2 106 2" xfId="5667"/>
    <cellStyle name="20% - Accent3 2 106 2 2" xfId="5668"/>
    <cellStyle name="20% - Accent3 2 106 3" xfId="5669"/>
    <cellStyle name="20% - Accent3 2 106 4" xfId="5670"/>
    <cellStyle name="20% - Accent3 2 107" xfId="5671"/>
    <cellStyle name="20% - Accent3 2 107 2" xfId="5672"/>
    <cellStyle name="20% - Accent3 2 107 2 2" xfId="5673"/>
    <cellStyle name="20% - Accent3 2 107 3" xfId="5674"/>
    <cellStyle name="20% - Accent3 2 107 4" xfId="5675"/>
    <cellStyle name="20% - Accent3 2 108" xfId="5676"/>
    <cellStyle name="20% - Accent3 2 108 2" xfId="5677"/>
    <cellStyle name="20% - Accent3 2 108 2 2" xfId="5678"/>
    <cellStyle name="20% - Accent3 2 108 3" xfId="5679"/>
    <cellStyle name="20% - Accent3 2 108 4" xfId="5680"/>
    <cellStyle name="20% - Accent3 2 109" xfId="5681"/>
    <cellStyle name="20% - Accent3 2 109 2" xfId="5682"/>
    <cellStyle name="20% - Accent3 2 109 2 2" xfId="5683"/>
    <cellStyle name="20% - Accent3 2 109 3" xfId="5684"/>
    <cellStyle name="20% - Accent3 2 109 4" xfId="5685"/>
    <cellStyle name="20% - Accent3 2 11" xfId="5686"/>
    <cellStyle name="20% - Accent3 2 11 2" xfId="5687"/>
    <cellStyle name="20% - Accent3 2 11 3" xfId="5688"/>
    <cellStyle name="20% - Accent3 2 110" xfId="5689"/>
    <cellStyle name="20% - Accent3 2 110 2" xfId="5690"/>
    <cellStyle name="20% - Accent3 2 110 2 2" xfId="5691"/>
    <cellStyle name="20% - Accent3 2 110 3" xfId="5692"/>
    <cellStyle name="20% - Accent3 2 110 4" xfId="5693"/>
    <cellStyle name="20% - Accent3 2 111" xfId="5694"/>
    <cellStyle name="20% - Accent3 2 111 2" xfId="5695"/>
    <cellStyle name="20% - Accent3 2 111 2 2" xfId="5696"/>
    <cellStyle name="20% - Accent3 2 111 3" xfId="5697"/>
    <cellStyle name="20% - Accent3 2 111 4" xfId="5698"/>
    <cellStyle name="20% - Accent3 2 112" xfId="5699"/>
    <cellStyle name="20% - Accent3 2 112 2" xfId="5700"/>
    <cellStyle name="20% - Accent3 2 112 2 2" xfId="5701"/>
    <cellStyle name="20% - Accent3 2 112 3" xfId="5702"/>
    <cellStyle name="20% - Accent3 2 112 4" xfId="5703"/>
    <cellStyle name="20% - Accent3 2 113" xfId="5704"/>
    <cellStyle name="20% - Accent3 2 113 2" xfId="5705"/>
    <cellStyle name="20% - Accent3 2 113 2 2" xfId="5706"/>
    <cellStyle name="20% - Accent3 2 113 3" xfId="5707"/>
    <cellStyle name="20% - Accent3 2 113 4" xfId="5708"/>
    <cellStyle name="20% - Accent3 2 114" xfId="5709"/>
    <cellStyle name="20% - Accent3 2 114 2" xfId="5710"/>
    <cellStyle name="20% - Accent3 2 114 2 2" xfId="5711"/>
    <cellStyle name="20% - Accent3 2 114 3" xfId="5712"/>
    <cellStyle name="20% - Accent3 2 114 4" xfId="5713"/>
    <cellStyle name="20% - Accent3 2 115" xfId="5714"/>
    <cellStyle name="20% - Accent3 2 115 2" xfId="5715"/>
    <cellStyle name="20% - Accent3 2 115 2 2" xfId="5716"/>
    <cellStyle name="20% - Accent3 2 115 3" xfId="5717"/>
    <cellStyle name="20% - Accent3 2 115 4" xfId="5718"/>
    <cellStyle name="20% - Accent3 2 116" xfId="5719"/>
    <cellStyle name="20% - Accent3 2 116 2" xfId="5720"/>
    <cellStyle name="20% - Accent3 2 116 2 2" xfId="5721"/>
    <cellStyle name="20% - Accent3 2 116 3" xfId="5722"/>
    <cellStyle name="20% - Accent3 2 116 4" xfId="5723"/>
    <cellStyle name="20% - Accent3 2 117" xfId="5724"/>
    <cellStyle name="20% - Accent3 2 117 2" xfId="5725"/>
    <cellStyle name="20% - Accent3 2 117 2 2" xfId="5726"/>
    <cellStyle name="20% - Accent3 2 117 3" xfId="5727"/>
    <cellStyle name="20% - Accent3 2 117 4" xfId="5728"/>
    <cellStyle name="20% - Accent3 2 118" xfId="5729"/>
    <cellStyle name="20% - Accent3 2 118 2" xfId="5730"/>
    <cellStyle name="20% - Accent3 2 119" xfId="5731"/>
    <cellStyle name="20% - Accent3 2 119 2" xfId="5732"/>
    <cellStyle name="20% - Accent3 2 12" xfId="5733"/>
    <cellStyle name="20% - Accent3 2 12 2" xfId="5734"/>
    <cellStyle name="20% - Accent3 2 120" xfId="5735"/>
    <cellStyle name="20% - Accent3 2 120 2" xfId="5736"/>
    <cellStyle name="20% - Accent3 2 121" xfId="5737"/>
    <cellStyle name="20% - Accent3 2 121 2" xfId="5738"/>
    <cellStyle name="20% - Accent3 2 122" xfId="5739"/>
    <cellStyle name="20% - Accent3 2 123" xfId="5740"/>
    <cellStyle name="20% - Accent3 2 124" xfId="5741"/>
    <cellStyle name="20% - Accent3 2 125" xfId="5742"/>
    <cellStyle name="20% - Accent3 2 126" xfId="5743"/>
    <cellStyle name="20% - Accent3 2 127" xfId="5744"/>
    <cellStyle name="20% - Accent3 2 128" xfId="5745"/>
    <cellStyle name="20% - Accent3 2 129" xfId="5746"/>
    <cellStyle name="20% - Accent3 2 13" xfId="5747"/>
    <cellStyle name="20% - Accent3 2 130" xfId="5748"/>
    <cellStyle name="20% - Accent3 2 131" xfId="5749"/>
    <cellStyle name="20% - Accent3 2 132" xfId="5750"/>
    <cellStyle name="20% - Accent3 2 133" xfId="5751"/>
    <cellStyle name="20% - Accent3 2 134" xfId="5752"/>
    <cellStyle name="20% - Accent3 2 135" xfId="5753"/>
    <cellStyle name="20% - Accent3 2 136" xfId="5754"/>
    <cellStyle name="20% - Accent3 2 137" xfId="5755"/>
    <cellStyle name="20% - Accent3 2 138" xfId="5756"/>
    <cellStyle name="20% - Accent3 2 139" xfId="5757"/>
    <cellStyle name="20% - Accent3 2 14" xfId="5758"/>
    <cellStyle name="20% - Accent3 2 140" xfId="5759"/>
    <cellStyle name="20% - Accent3 2 141" xfId="5760"/>
    <cellStyle name="20% - Accent3 2 142" xfId="5761"/>
    <cellStyle name="20% - Accent3 2 15" xfId="5762"/>
    <cellStyle name="20% - Accent3 2 16" xfId="5763"/>
    <cellStyle name="20% - Accent3 2 17" xfId="5764"/>
    <cellStyle name="20% - Accent3 2 18" xfId="5765"/>
    <cellStyle name="20% - Accent3 2 18 2" xfId="5766"/>
    <cellStyle name="20% - Accent3 2 18 2 2" xfId="5767"/>
    <cellStyle name="20% - Accent3 2 18 2 2 2" xfId="5768"/>
    <cellStyle name="20% - Accent3 2 18 2 2 3" xfId="5769"/>
    <cellStyle name="20% - Accent3 2 18 2 3" xfId="5770"/>
    <cellStyle name="20% - Accent3 2 18 2 3 2" xfId="5771"/>
    <cellStyle name="20% - Accent3 2 18 2 4" xfId="5772"/>
    <cellStyle name="20% - Accent3 2 18 2 5" xfId="5773"/>
    <cellStyle name="20% - Accent3 2 18 3" xfId="5774"/>
    <cellStyle name="20% - Accent3 2 18 3 2" xfId="5775"/>
    <cellStyle name="20% - Accent3 2 18 3 2 2" xfId="5776"/>
    <cellStyle name="20% - Accent3 2 18 3 3" xfId="5777"/>
    <cellStyle name="20% - Accent3 2 18 3 4" xfId="5778"/>
    <cellStyle name="20% - Accent3 2 18 4" xfId="5779"/>
    <cellStyle name="20% - Accent3 2 18 4 2" xfId="5780"/>
    <cellStyle name="20% - Accent3 2 18 4 2 2" xfId="5781"/>
    <cellStyle name="20% - Accent3 2 18 4 3" xfId="5782"/>
    <cellStyle name="20% - Accent3 2 18 4 4" xfId="5783"/>
    <cellStyle name="20% - Accent3 2 18 5" xfId="5784"/>
    <cellStyle name="20% - Accent3 2 18 5 2" xfId="5785"/>
    <cellStyle name="20% - Accent3 2 18 6" xfId="5786"/>
    <cellStyle name="20% - Accent3 2 18 7" xfId="5787"/>
    <cellStyle name="20% - Accent3 2 18 8" xfId="5788"/>
    <cellStyle name="20% - Accent3 2 19" xfId="5789"/>
    <cellStyle name="20% - Accent3 2 19 2" xfId="5790"/>
    <cellStyle name="20% - Accent3 2 19 2 2" xfId="5791"/>
    <cellStyle name="20% - Accent3 2 19 2 2 2" xfId="5792"/>
    <cellStyle name="20% - Accent3 2 19 2 2 3" xfId="5793"/>
    <cellStyle name="20% - Accent3 2 19 2 3" xfId="5794"/>
    <cellStyle name="20% - Accent3 2 19 2 3 2" xfId="5795"/>
    <cellStyle name="20% - Accent3 2 19 2 4" xfId="5796"/>
    <cellStyle name="20% - Accent3 2 19 2 5" xfId="5797"/>
    <cellStyle name="20% - Accent3 2 19 3" xfId="5798"/>
    <cellStyle name="20% - Accent3 2 19 3 2" xfId="5799"/>
    <cellStyle name="20% - Accent3 2 19 3 2 2" xfId="5800"/>
    <cellStyle name="20% - Accent3 2 19 3 3" xfId="5801"/>
    <cellStyle name="20% - Accent3 2 19 3 4" xfId="5802"/>
    <cellStyle name="20% - Accent3 2 19 4" xfId="5803"/>
    <cellStyle name="20% - Accent3 2 19 4 2" xfId="5804"/>
    <cellStyle name="20% - Accent3 2 19 4 2 2" xfId="5805"/>
    <cellStyle name="20% - Accent3 2 19 4 3" xfId="5806"/>
    <cellStyle name="20% - Accent3 2 19 4 4" xfId="5807"/>
    <cellStyle name="20% - Accent3 2 19 5" xfId="5808"/>
    <cellStyle name="20% - Accent3 2 19 5 2" xfId="5809"/>
    <cellStyle name="20% - Accent3 2 19 6" xfId="5810"/>
    <cellStyle name="20% - Accent3 2 19 7" xfId="5811"/>
    <cellStyle name="20% - Accent3 2 19 8" xfId="5812"/>
    <cellStyle name="20% - Accent3 2 2" xfId="5813"/>
    <cellStyle name="20% - Accent3 2 2 10" xfId="5814"/>
    <cellStyle name="20% - Accent3 2 2 11" xfId="5815"/>
    <cellStyle name="20% - Accent3 2 2 12" xfId="5816"/>
    <cellStyle name="20% - Accent3 2 2 12 2" xfId="5817"/>
    <cellStyle name="20% - Accent3 2 2 12 2 2" xfId="5818"/>
    <cellStyle name="20% - Accent3 2 2 12 2 2 2" xfId="5819"/>
    <cellStyle name="20% - Accent3 2 2 12 2 2 3" xfId="5820"/>
    <cellStyle name="20% - Accent3 2 2 12 2 3" xfId="5821"/>
    <cellStyle name="20% - Accent3 2 2 12 2 3 2" xfId="5822"/>
    <cellStyle name="20% - Accent3 2 2 12 2 4" xfId="5823"/>
    <cellStyle name="20% - Accent3 2 2 12 2 5" xfId="5824"/>
    <cellStyle name="20% - Accent3 2 2 12 3" xfId="5825"/>
    <cellStyle name="20% - Accent3 2 2 12 3 2" xfId="5826"/>
    <cellStyle name="20% - Accent3 2 2 12 3 2 2" xfId="5827"/>
    <cellStyle name="20% - Accent3 2 2 12 3 3" xfId="5828"/>
    <cellStyle name="20% - Accent3 2 2 12 3 4" xfId="5829"/>
    <cellStyle name="20% - Accent3 2 2 12 4" xfId="5830"/>
    <cellStyle name="20% - Accent3 2 2 12 4 2" xfId="5831"/>
    <cellStyle name="20% - Accent3 2 2 12 4 2 2" xfId="5832"/>
    <cellStyle name="20% - Accent3 2 2 12 4 3" xfId="5833"/>
    <cellStyle name="20% - Accent3 2 2 12 4 4" xfId="5834"/>
    <cellStyle name="20% - Accent3 2 2 12 5" xfId="5835"/>
    <cellStyle name="20% - Accent3 2 2 12 5 2" xfId="5836"/>
    <cellStyle name="20% - Accent3 2 2 12 6" xfId="5837"/>
    <cellStyle name="20% - Accent3 2 2 12 7" xfId="5838"/>
    <cellStyle name="20% - Accent3 2 2 12 8" xfId="5839"/>
    <cellStyle name="20% - Accent3 2 2 13" xfId="5840"/>
    <cellStyle name="20% - Accent3 2 2 13 2" xfId="5841"/>
    <cellStyle name="20% - Accent3 2 2 13 2 2" xfId="5842"/>
    <cellStyle name="20% - Accent3 2 2 13 2 2 2" xfId="5843"/>
    <cellStyle name="20% - Accent3 2 2 13 2 2 3" xfId="5844"/>
    <cellStyle name="20% - Accent3 2 2 13 2 3" xfId="5845"/>
    <cellStyle name="20% - Accent3 2 2 13 2 3 2" xfId="5846"/>
    <cellStyle name="20% - Accent3 2 2 13 2 4" xfId="5847"/>
    <cellStyle name="20% - Accent3 2 2 13 2 5" xfId="5848"/>
    <cellStyle name="20% - Accent3 2 2 13 3" xfId="5849"/>
    <cellStyle name="20% - Accent3 2 2 13 3 2" xfId="5850"/>
    <cellStyle name="20% - Accent3 2 2 13 3 2 2" xfId="5851"/>
    <cellStyle name="20% - Accent3 2 2 13 3 3" xfId="5852"/>
    <cellStyle name="20% - Accent3 2 2 13 3 4" xfId="5853"/>
    <cellStyle name="20% - Accent3 2 2 13 4" xfId="5854"/>
    <cellStyle name="20% - Accent3 2 2 13 4 2" xfId="5855"/>
    <cellStyle name="20% - Accent3 2 2 13 4 2 2" xfId="5856"/>
    <cellStyle name="20% - Accent3 2 2 13 4 3" xfId="5857"/>
    <cellStyle name="20% - Accent3 2 2 13 4 4" xfId="5858"/>
    <cellStyle name="20% - Accent3 2 2 13 5" xfId="5859"/>
    <cellStyle name="20% - Accent3 2 2 13 5 2" xfId="5860"/>
    <cellStyle name="20% - Accent3 2 2 13 6" xfId="5861"/>
    <cellStyle name="20% - Accent3 2 2 13 7" xfId="5862"/>
    <cellStyle name="20% - Accent3 2 2 13 8" xfId="5863"/>
    <cellStyle name="20% - Accent3 2 2 14" xfId="5864"/>
    <cellStyle name="20% - Accent3 2 2 14 2" xfId="5865"/>
    <cellStyle name="20% - Accent3 2 2 14 2 2" xfId="5866"/>
    <cellStyle name="20% - Accent3 2 2 14 2 2 2" xfId="5867"/>
    <cellStyle name="20% - Accent3 2 2 14 2 2 3" xfId="5868"/>
    <cellStyle name="20% - Accent3 2 2 14 2 3" xfId="5869"/>
    <cellStyle name="20% - Accent3 2 2 14 2 3 2" xfId="5870"/>
    <cellStyle name="20% - Accent3 2 2 14 2 4" xfId="5871"/>
    <cellStyle name="20% - Accent3 2 2 14 2 5" xfId="5872"/>
    <cellStyle name="20% - Accent3 2 2 14 3" xfId="5873"/>
    <cellStyle name="20% - Accent3 2 2 14 3 2" xfId="5874"/>
    <cellStyle name="20% - Accent3 2 2 14 3 2 2" xfId="5875"/>
    <cellStyle name="20% - Accent3 2 2 14 3 3" xfId="5876"/>
    <cellStyle name="20% - Accent3 2 2 14 3 4" xfId="5877"/>
    <cellStyle name="20% - Accent3 2 2 14 4" xfId="5878"/>
    <cellStyle name="20% - Accent3 2 2 14 4 2" xfId="5879"/>
    <cellStyle name="20% - Accent3 2 2 14 4 2 2" xfId="5880"/>
    <cellStyle name="20% - Accent3 2 2 14 4 3" xfId="5881"/>
    <cellStyle name="20% - Accent3 2 2 14 4 4" xfId="5882"/>
    <cellStyle name="20% - Accent3 2 2 14 5" xfId="5883"/>
    <cellStyle name="20% - Accent3 2 2 14 5 2" xfId="5884"/>
    <cellStyle name="20% - Accent3 2 2 14 6" xfId="5885"/>
    <cellStyle name="20% - Accent3 2 2 14 7" xfId="5886"/>
    <cellStyle name="20% - Accent3 2 2 14 8" xfId="5887"/>
    <cellStyle name="20% - Accent3 2 2 2" xfId="5888"/>
    <cellStyle name="20% - Accent3 2 2 2 10" xfId="5889"/>
    <cellStyle name="20% - Accent3 2 2 2 11" xfId="5890"/>
    <cellStyle name="20% - Accent3 2 2 2 2" xfId="5891"/>
    <cellStyle name="20% - Accent3 2 2 2 3" xfId="5892"/>
    <cellStyle name="20% - Accent3 2 2 2 4" xfId="5893"/>
    <cellStyle name="20% - Accent3 2 2 2 5" xfId="5894"/>
    <cellStyle name="20% - Accent3 2 2 2 6" xfId="5895"/>
    <cellStyle name="20% - Accent3 2 2 2 7" xfId="5896"/>
    <cellStyle name="20% - Accent3 2 2 2 8" xfId="5897"/>
    <cellStyle name="20% - Accent3 2 2 2 9" xfId="5898"/>
    <cellStyle name="20% - Accent3 2 2 2_4Q Ops Metrics Gas &amp; Electric 2010" xfId="5899"/>
    <cellStyle name="20% - Accent3 2 2 3" xfId="5900"/>
    <cellStyle name="20% - Accent3 2 2 3 2" xfId="5901"/>
    <cellStyle name="20% - Accent3 2 2 4" xfId="5902"/>
    <cellStyle name="20% - Accent3 2 2 4 2" xfId="5903"/>
    <cellStyle name="20% - Accent3 2 2 5" xfId="5904"/>
    <cellStyle name="20% - Accent3 2 2 5 2" xfId="5905"/>
    <cellStyle name="20% - Accent3 2 2 6" xfId="5906"/>
    <cellStyle name="20% - Accent3 2 2 6 2" xfId="5907"/>
    <cellStyle name="20% - Accent3 2 2 7" xfId="5908"/>
    <cellStyle name="20% - Accent3 2 2 7 2" xfId="5909"/>
    <cellStyle name="20% - Accent3 2 2 8" xfId="5910"/>
    <cellStyle name="20% - Accent3 2 2 9" xfId="5911"/>
    <cellStyle name="20% - Accent3 2 2_2009 Actual" xfId="5912"/>
    <cellStyle name="20% - Accent3 2 20" xfId="5913"/>
    <cellStyle name="20% - Accent3 2 20 2" xfId="5914"/>
    <cellStyle name="20% - Accent3 2 20 2 2" xfId="5915"/>
    <cellStyle name="20% - Accent3 2 20 2 2 2" xfId="5916"/>
    <cellStyle name="20% - Accent3 2 20 2 2 3" xfId="5917"/>
    <cellStyle name="20% - Accent3 2 20 2 3" xfId="5918"/>
    <cellStyle name="20% - Accent3 2 20 2 3 2" xfId="5919"/>
    <cellStyle name="20% - Accent3 2 20 2 4" xfId="5920"/>
    <cellStyle name="20% - Accent3 2 20 2 5" xfId="5921"/>
    <cellStyle name="20% - Accent3 2 20 3" xfId="5922"/>
    <cellStyle name="20% - Accent3 2 20 3 2" xfId="5923"/>
    <cellStyle name="20% - Accent3 2 20 3 2 2" xfId="5924"/>
    <cellStyle name="20% - Accent3 2 20 3 3" xfId="5925"/>
    <cellStyle name="20% - Accent3 2 20 3 4" xfId="5926"/>
    <cellStyle name="20% - Accent3 2 20 4" xfId="5927"/>
    <cellStyle name="20% - Accent3 2 20 4 2" xfId="5928"/>
    <cellStyle name="20% - Accent3 2 20 4 2 2" xfId="5929"/>
    <cellStyle name="20% - Accent3 2 20 4 3" xfId="5930"/>
    <cellStyle name="20% - Accent3 2 20 4 4" xfId="5931"/>
    <cellStyle name="20% - Accent3 2 20 5" xfId="5932"/>
    <cellStyle name="20% - Accent3 2 20 5 2" xfId="5933"/>
    <cellStyle name="20% - Accent3 2 20 6" xfId="5934"/>
    <cellStyle name="20% - Accent3 2 20 7" xfId="5935"/>
    <cellStyle name="20% - Accent3 2 20 8" xfId="5936"/>
    <cellStyle name="20% - Accent3 2 21" xfId="5937"/>
    <cellStyle name="20% - Accent3 2 21 2" xfId="5938"/>
    <cellStyle name="20% - Accent3 2 21 2 2" xfId="5939"/>
    <cellStyle name="20% - Accent3 2 21 2 2 2" xfId="5940"/>
    <cellStyle name="20% - Accent3 2 21 2 2 3" xfId="5941"/>
    <cellStyle name="20% - Accent3 2 21 2 3" xfId="5942"/>
    <cellStyle name="20% - Accent3 2 21 2 3 2" xfId="5943"/>
    <cellStyle name="20% - Accent3 2 21 2 4" xfId="5944"/>
    <cellStyle name="20% - Accent3 2 21 2 5" xfId="5945"/>
    <cellStyle name="20% - Accent3 2 21 3" xfId="5946"/>
    <cellStyle name="20% - Accent3 2 21 3 2" xfId="5947"/>
    <cellStyle name="20% - Accent3 2 21 3 2 2" xfId="5948"/>
    <cellStyle name="20% - Accent3 2 21 3 3" xfId="5949"/>
    <cellStyle name="20% - Accent3 2 21 3 4" xfId="5950"/>
    <cellStyle name="20% - Accent3 2 21 4" xfId="5951"/>
    <cellStyle name="20% - Accent3 2 21 4 2" xfId="5952"/>
    <cellStyle name="20% - Accent3 2 21 4 2 2" xfId="5953"/>
    <cellStyle name="20% - Accent3 2 21 4 3" xfId="5954"/>
    <cellStyle name="20% - Accent3 2 21 4 4" xfId="5955"/>
    <cellStyle name="20% - Accent3 2 21 5" xfId="5956"/>
    <cellStyle name="20% - Accent3 2 21 5 2" xfId="5957"/>
    <cellStyle name="20% - Accent3 2 21 6" xfId="5958"/>
    <cellStyle name="20% - Accent3 2 21 7" xfId="5959"/>
    <cellStyle name="20% - Accent3 2 21 8" xfId="5960"/>
    <cellStyle name="20% - Accent3 2 22" xfId="5961"/>
    <cellStyle name="20% - Accent3 2 22 2" xfId="5962"/>
    <cellStyle name="20% - Accent3 2 22 2 2" xfId="5963"/>
    <cellStyle name="20% - Accent3 2 22 2 2 2" xfId="5964"/>
    <cellStyle name="20% - Accent3 2 22 2 2 3" xfId="5965"/>
    <cellStyle name="20% - Accent3 2 22 2 3" xfId="5966"/>
    <cellStyle name="20% - Accent3 2 22 2 3 2" xfId="5967"/>
    <cellStyle name="20% - Accent3 2 22 2 4" xfId="5968"/>
    <cellStyle name="20% - Accent3 2 22 2 5" xfId="5969"/>
    <cellStyle name="20% - Accent3 2 22 3" xfId="5970"/>
    <cellStyle name="20% - Accent3 2 22 3 2" xfId="5971"/>
    <cellStyle name="20% - Accent3 2 22 3 2 2" xfId="5972"/>
    <cellStyle name="20% - Accent3 2 22 3 3" xfId="5973"/>
    <cellStyle name="20% - Accent3 2 22 3 4" xfId="5974"/>
    <cellStyle name="20% - Accent3 2 22 4" xfId="5975"/>
    <cellStyle name="20% - Accent3 2 22 4 2" xfId="5976"/>
    <cellStyle name="20% - Accent3 2 22 4 2 2" xfId="5977"/>
    <cellStyle name="20% - Accent3 2 22 4 3" xfId="5978"/>
    <cellStyle name="20% - Accent3 2 22 4 4" xfId="5979"/>
    <cellStyle name="20% - Accent3 2 22 5" xfId="5980"/>
    <cellStyle name="20% - Accent3 2 22 5 2" xfId="5981"/>
    <cellStyle name="20% - Accent3 2 22 6" xfId="5982"/>
    <cellStyle name="20% - Accent3 2 22 7" xfId="5983"/>
    <cellStyle name="20% - Accent3 2 22 8" xfId="5984"/>
    <cellStyle name="20% - Accent3 2 23" xfId="5985"/>
    <cellStyle name="20% - Accent3 2 23 2" xfId="5986"/>
    <cellStyle name="20% - Accent3 2 23 2 2" xfId="5987"/>
    <cellStyle name="20% - Accent3 2 23 2 2 2" xfId="5988"/>
    <cellStyle name="20% - Accent3 2 23 2 2 3" xfId="5989"/>
    <cellStyle name="20% - Accent3 2 23 2 3" xfId="5990"/>
    <cellStyle name="20% - Accent3 2 23 2 3 2" xfId="5991"/>
    <cellStyle name="20% - Accent3 2 23 2 4" xfId="5992"/>
    <cellStyle name="20% - Accent3 2 23 2 5" xfId="5993"/>
    <cellStyle name="20% - Accent3 2 23 3" xfId="5994"/>
    <cellStyle name="20% - Accent3 2 23 3 2" xfId="5995"/>
    <cellStyle name="20% - Accent3 2 23 3 2 2" xfId="5996"/>
    <cellStyle name="20% - Accent3 2 23 3 3" xfId="5997"/>
    <cellStyle name="20% - Accent3 2 23 3 4" xfId="5998"/>
    <cellStyle name="20% - Accent3 2 23 4" xfId="5999"/>
    <cellStyle name="20% - Accent3 2 23 4 2" xfId="6000"/>
    <cellStyle name="20% - Accent3 2 23 4 2 2" xfId="6001"/>
    <cellStyle name="20% - Accent3 2 23 4 3" xfId="6002"/>
    <cellStyle name="20% - Accent3 2 23 4 4" xfId="6003"/>
    <cellStyle name="20% - Accent3 2 23 5" xfId="6004"/>
    <cellStyle name="20% - Accent3 2 23 5 2" xfId="6005"/>
    <cellStyle name="20% - Accent3 2 23 6" xfId="6006"/>
    <cellStyle name="20% - Accent3 2 23 7" xfId="6007"/>
    <cellStyle name="20% - Accent3 2 23 8" xfId="6008"/>
    <cellStyle name="20% - Accent3 2 24" xfId="6009"/>
    <cellStyle name="20% - Accent3 2 24 2" xfId="6010"/>
    <cellStyle name="20% - Accent3 2 24 2 2" xfId="6011"/>
    <cellStyle name="20% - Accent3 2 24 2 2 2" xfId="6012"/>
    <cellStyle name="20% - Accent3 2 24 2 2 3" xfId="6013"/>
    <cellStyle name="20% - Accent3 2 24 2 3" xfId="6014"/>
    <cellStyle name="20% - Accent3 2 24 2 3 2" xfId="6015"/>
    <cellStyle name="20% - Accent3 2 24 2 4" xfId="6016"/>
    <cellStyle name="20% - Accent3 2 24 2 5" xfId="6017"/>
    <cellStyle name="20% - Accent3 2 24 3" xfId="6018"/>
    <cellStyle name="20% - Accent3 2 24 3 2" xfId="6019"/>
    <cellStyle name="20% - Accent3 2 24 3 2 2" xfId="6020"/>
    <cellStyle name="20% - Accent3 2 24 3 3" xfId="6021"/>
    <cellStyle name="20% - Accent3 2 24 3 4" xfId="6022"/>
    <cellStyle name="20% - Accent3 2 24 4" xfId="6023"/>
    <cellStyle name="20% - Accent3 2 24 4 2" xfId="6024"/>
    <cellStyle name="20% - Accent3 2 24 4 2 2" xfId="6025"/>
    <cellStyle name="20% - Accent3 2 24 4 3" xfId="6026"/>
    <cellStyle name="20% - Accent3 2 24 4 4" xfId="6027"/>
    <cellStyle name="20% - Accent3 2 24 5" xfId="6028"/>
    <cellStyle name="20% - Accent3 2 24 5 2" xfId="6029"/>
    <cellStyle name="20% - Accent3 2 24 6" xfId="6030"/>
    <cellStyle name="20% - Accent3 2 24 7" xfId="6031"/>
    <cellStyle name="20% - Accent3 2 24 8" xfId="6032"/>
    <cellStyle name="20% - Accent3 2 25" xfId="6033"/>
    <cellStyle name="20% - Accent3 2 25 2" xfId="6034"/>
    <cellStyle name="20% - Accent3 2 25 2 2" xfId="6035"/>
    <cellStyle name="20% - Accent3 2 25 2 2 2" xfId="6036"/>
    <cellStyle name="20% - Accent3 2 25 2 2 3" xfId="6037"/>
    <cellStyle name="20% - Accent3 2 25 2 3" xfId="6038"/>
    <cellStyle name="20% - Accent3 2 25 2 3 2" xfId="6039"/>
    <cellStyle name="20% - Accent3 2 25 2 4" xfId="6040"/>
    <cellStyle name="20% - Accent3 2 25 2 5" xfId="6041"/>
    <cellStyle name="20% - Accent3 2 25 3" xfId="6042"/>
    <cellStyle name="20% - Accent3 2 25 3 2" xfId="6043"/>
    <cellStyle name="20% - Accent3 2 25 3 2 2" xfId="6044"/>
    <cellStyle name="20% - Accent3 2 25 3 3" xfId="6045"/>
    <cellStyle name="20% - Accent3 2 25 3 4" xfId="6046"/>
    <cellStyle name="20% - Accent3 2 25 4" xfId="6047"/>
    <cellStyle name="20% - Accent3 2 25 4 2" xfId="6048"/>
    <cellStyle name="20% - Accent3 2 25 4 2 2" xfId="6049"/>
    <cellStyle name="20% - Accent3 2 25 4 3" xfId="6050"/>
    <cellStyle name="20% - Accent3 2 25 4 4" xfId="6051"/>
    <cellStyle name="20% - Accent3 2 25 5" xfId="6052"/>
    <cellStyle name="20% - Accent3 2 25 5 2" xfId="6053"/>
    <cellStyle name="20% - Accent3 2 25 6" xfId="6054"/>
    <cellStyle name="20% - Accent3 2 25 7" xfId="6055"/>
    <cellStyle name="20% - Accent3 2 25 8" xfId="6056"/>
    <cellStyle name="20% - Accent3 2 26" xfId="6057"/>
    <cellStyle name="20% - Accent3 2 26 2" xfId="6058"/>
    <cellStyle name="20% - Accent3 2 26 2 2" xfId="6059"/>
    <cellStyle name="20% - Accent3 2 26 2 2 2" xfId="6060"/>
    <cellStyle name="20% - Accent3 2 26 2 2 3" xfId="6061"/>
    <cellStyle name="20% - Accent3 2 26 2 3" xfId="6062"/>
    <cellStyle name="20% - Accent3 2 26 2 3 2" xfId="6063"/>
    <cellStyle name="20% - Accent3 2 26 2 4" xfId="6064"/>
    <cellStyle name="20% - Accent3 2 26 2 5" xfId="6065"/>
    <cellStyle name="20% - Accent3 2 26 3" xfId="6066"/>
    <cellStyle name="20% - Accent3 2 26 3 2" xfId="6067"/>
    <cellStyle name="20% - Accent3 2 26 3 2 2" xfId="6068"/>
    <cellStyle name="20% - Accent3 2 26 3 3" xfId="6069"/>
    <cellStyle name="20% - Accent3 2 26 3 4" xfId="6070"/>
    <cellStyle name="20% - Accent3 2 26 4" xfId="6071"/>
    <cellStyle name="20% - Accent3 2 26 4 2" xfId="6072"/>
    <cellStyle name="20% - Accent3 2 26 4 2 2" xfId="6073"/>
    <cellStyle name="20% - Accent3 2 26 4 3" xfId="6074"/>
    <cellStyle name="20% - Accent3 2 26 4 4" xfId="6075"/>
    <cellStyle name="20% - Accent3 2 26 5" xfId="6076"/>
    <cellStyle name="20% - Accent3 2 26 5 2" xfId="6077"/>
    <cellStyle name="20% - Accent3 2 26 6" xfId="6078"/>
    <cellStyle name="20% - Accent3 2 26 7" xfId="6079"/>
    <cellStyle name="20% - Accent3 2 26 8" xfId="6080"/>
    <cellStyle name="20% - Accent3 2 27" xfId="6081"/>
    <cellStyle name="20% - Accent3 2 27 2" xfId="6082"/>
    <cellStyle name="20% - Accent3 2 27 2 2" xfId="6083"/>
    <cellStyle name="20% - Accent3 2 27 2 2 2" xfId="6084"/>
    <cellStyle name="20% - Accent3 2 27 2 2 3" xfId="6085"/>
    <cellStyle name="20% - Accent3 2 27 2 3" xfId="6086"/>
    <cellStyle name="20% - Accent3 2 27 2 3 2" xfId="6087"/>
    <cellStyle name="20% - Accent3 2 27 2 4" xfId="6088"/>
    <cellStyle name="20% - Accent3 2 27 2 5" xfId="6089"/>
    <cellStyle name="20% - Accent3 2 27 3" xfId="6090"/>
    <cellStyle name="20% - Accent3 2 27 3 2" xfId="6091"/>
    <cellStyle name="20% - Accent3 2 27 3 2 2" xfId="6092"/>
    <cellStyle name="20% - Accent3 2 27 3 3" xfId="6093"/>
    <cellStyle name="20% - Accent3 2 27 3 4" xfId="6094"/>
    <cellStyle name="20% - Accent3 2 27 4" xfId="6095"/>
    <cellStyle name="20% - Accent3 2 27 4 2" xfId="6096"/>
    <cellStyle name="20% - Accent3 2 27 4 2 2" xfId="6097"/>
    <cellStyle name="20% - Accent3 2 27 4 3" xfId="6098"/>
    <cellStyle name="20% - Accent3 2 27 4 4" xfId="6099"/>
    <cellStyle name="20% - Accent3 2 27 5" xfId="6100"/>
    <cellStyle name="20% - Accent3 2 27 5 2" xfId="6101"/>
    <cellStyle name="20% - Accent3 2 27 6" xfId="6102"/>
    <cellStyle name="20% - Accent3 2 27 7" xfId="6103"/>
    <cellStyle name="20% - Accent3 2 27 8" xfId="6104"/>
    <cellStyle name="20% - Accent3 2 28" xfId="6105"/>
    <cellStyle name="20% - Accent3 2 28 2" xfId="6106"/>
    <cellStyle name="20% - Accent3 2 28 2 2" xfId="6107"/>
    <cellStyle name="20% - Accent3 2 28 2 3" xfId="6108"/>
    <cellStyle name="20% - Accent3 2 28 3" xfId="6109"/>
    <cellStyle name="20% - Accent3 2 28 3 2" xfId="6110"/>
    <cellStyle name="20% - Accent3 2 28 4" xfId="6111"/>
    <cellStyle name="20% - Accent3 2 28 5" xfId="6112"/>
    <cellStyle name="20% - Accent3 2 29" xfId="6113"/>
    <cellStyle name="20% - Accent3 2 29 2" xfId="6114"/>
    <cellStyle name="20% - Accent3 2 29 2 2" xfId="6115"/>
    <cellStyle name="20% - Accent3 2 29 2 3" xfId="6116"/>
    <cellStyle name="20% - Accent3 2 29 3" xfId="6117"/>
    <cellStyle name="20% - Accent3 2 29 3 2" xfId="6118"/>
    <cellStyle name="20% - Accent3 2 29 4" xfId="6119"/>
    <cellStyle name="20% - Accent3 2 29 5" xfId="6120"/>
    <cellStyle name="20% - Accent3 2 3" xfId="6121"/>
    <cellStyle name="20% - Accent3 2 3 10" xfId="6122"/>
    <cellStyle name="20% - Accent3 2 3 11" xfId="6123"/>
    <cellStyle name="20% - Accent3 2 3 12" xfId="6124"/>
    <cellStyle name="20% - Accent3 2 3 12 2" xfId="6125"/>
    <cellStyle name="20% - Accent3 2 3 2" xfId="6126"/>
    <cellStyle name="20% - Accent3 2 3 2 2" xfId="6127"/>
    <cellStyle name="20% - Accent3 2 3 2 2 2" xfId="6128"/>
    <cellStyle name="20% - Accent3 2 3 2 3" xfId="6129"/>
    <cellStyle name="20% - Accent3 2 3 3" xfId="6130"/>
    <cellStyle name="20% - Accent3 2 3 3 2" xfId="6131"/>
    <cellStyle name="20% - Accent3 2 3 3 2 2" xfId="6132"/>
    <cellStyle name="20% - Accent3 2 3 4" xfId="6133"/>
    <cellStyle name="20% - Accent3 2 3 4 2" xfId="6134"/>
    <cellStyle name="20% - Accent3 2 3 4 2 2" xfId="6135"/>
    <cellStyle name="20% - Accent3 2 3 5" xfId="6136"/>
    <cellStyle name="20% - Accent3 2 3 5 2" xfId="6137"/>
    <cellStyle name="20% - Accent3 2 3 5 2 2" xfId="6138"/>
    <cellStyle name="20% - Accent3 2 3 6" xfId="6139"/>
    <cellStyle name="20% - Accent3 2 3 6 2" xfId="6140"/>
    <cellStyle name="20% - Accent3 2 3 6 3" xfId="6141"/>
    <cellStyle name="20% - Accent3 2 3 6 4" xfId="6142"/>
    <cellStyle name="20% - Accent3 2 3 6 4 2" xfId="6143"/>
    <cellStyle name="20% - Accent3 2 3 6_Elec Margin Analysis" xfId="6144"/>
    <cellStyle name="20% - Accent3 2 3 7" xfId="6145"/>
    <cellStyle name="20% - Accent3 2 3 7 2" xfId="6146"/>
    <cellStyle name="20% - Accent3 2 3 7 2 2" xfId="6147"/>
    <cellStyle name="20% - Accent3 2 3 8" xfId="6148"/>
    <cellStyle name="20% - Accent3 2 3 8 2" xfId="6149"/>
    <cellStyle name="20% - Accent3 2 3 8 2 2" xfId="6150"/>
    <cellStyle name="20% - Accent3 2 3 9" xfId="6151"/>
    <cellStyle name="20% - Accent3 2 3_2009 Actual" xfId="6152"/>
    <cellStyle name="20% - Accent3 2 30" xfId="6153"/>
    <cellStyle name="20% - Accent3 2 30 2" xfId="6154"/>
    <cellStyle name="20% - Accent3 2 30 2 2" xfId="6155"/>
    <cellStyle name="20% - Accent3 2 30 2 3" xfId="6156"/>
    <cellStyle name="20% - Accent3 2 30 3" xfId="6157"/>
    <cellStyle name="20% - Accent3 2 30 3 2" xfId="6158"/>
    <cellStyle name="20% - Accent3 2 30 4" xfId="6159"/>
    <cellStyle name="20% - Accent3 2 30 5" xfId="6160"/>
    <cellStyle name="20% - Accent3 2 31" xfId="6161"/>
    <cellStyle name="20% - Accent3 2 31 2" xfId="6162"/>
    <cellStyle name="20% - Accent3 2 31 2 2" xfId="6163"/>
    <cellStyle name="20% - Accent3 2 31 2 3" xfId="6164"/>
    <cellStyle name="20% - Accent3 2 31 3" xfId="6165"/>
    <cellStyle name="20% - Accent3 2 31 3 2" xfId="6166"/>
    <cellStyle name="20% - Accent3 2 31 4" xfId="6167"/>
    <cellStyle name="20% - Accent3 2 31 5" xfId="6168"/>
    <cellStyle name="20% - Accent3 2 32" xfId="6169"/>
    <cellStyle name="20% - Accent3 2 32 2" xfId="6170"/>
    <cellStyle name="20% - Accent3 2 32 2 2" xfId="6171"/>
    <cellStyle name="20% - Accent3 2 32 2 3" xfId="6172"/>
    <cellStyle name="20% - Accent3 2 32 3" xfId="6173"/>
    <cellStyle name="20% - Accent3 2 32 3 2" xfId="6174"/>
    <cellStyle name="20% - Accent3 2 32 4" xfId="6175"/>
    <cellStyle name="20% - Accent3 2 32 5" xfId="6176"/>
    <cellStyle name="20% - Accent3 2 33" xfId="6177"/>
    <cellStyle name="20% - Accent3 2 33 2" xfId="6178"/>
    <cellStyle name="20% - Accent3 2 33 2 2" xfId="6179"/>
    <cellStyle name="20% - Accent3 2 33 2 3" xfId="6180"/>
    <cellStyle name="20% - Accent3 2 33 3" xfId="6181"/>
    <cellStyle name="20% - Accent3 2 33 3 2" xfId="6182"/>
    <cellStyle name="20% - Accent3 2 33 4" xfId="6183"/>
    <cellStyle name="20% - Accent3 2 33 5" xfId="6184"/>
    <cellStyle name="20% - Accent3 2 34" xfId="6185"/>
    <cellStyle name="20% - Accent3 2 34 2" xfId="6186"/>
    <cellStyle name="20% - Accent3 2 34 2 2" xfId="6187"/>
    <cellStyle name="20% - Accent3 2 34 2 3" xfId="6188"/>
    <cellStyle name="20% - Accent3 2 34 3" xfId="6189"/>
    <cellStyle name="20% - Accent3 2 34 3 2" xfId="6190"/>
    <cellStyle name="20% - Accent3 2 34 4" xfId="6191"/>
    <cellStyle name="20% - Accent3 2 34 5" xfId="6192"/>
    <cellStyle name="20% - Accent3 2 35" xfId="6193"/>
    <cellStyle name="20% - Accent3 2 35 2" xfId="6194"/>
    <cellStyle name="20% - Accent3 2 35 2 2" xfId="6195"/>
    <cellStyle name="20% - Accent3 2 35 2 3" xfId="6196"/>
    <cellStyle name="20% - Accent3 2 35 3" xfId="6197"/>
    <cellStyle name="20% - Accent3 2 35 3 2" xfId="6198"/>
    <cellStyle name="20% - Accent3 2 35 4" xfId="6199"/>
    <cellStyle name="20% - Accent3 2 35 5" xfId="6200"/>
    <cellStyle name="20% - Accent3 2 36" xfId="6201"/>
    <cellStyle name="20% - Accent3 2 36 2" xfId="6202"/>
    <cellStyle name="20% - Accent3 2 36 2 2" xfId="6203"/>
    <cellStyle name="20% - Accent3 2 36 2 3" xfId="6204"/>
    <cellStyle name="20% - Accent3 2 36 3" xfId="6205"/>
    <cellStyle name="20% - Accent3 2 36 3 2" xfId="6206"/>
    <cellStyle name="20% - Accent3 2 36 4" xfId="6207"/>
    <cellStyle name="20% - Accent3 2 36 5" xfId="6208"/>
    <cellStyle name="20% - Accent3 2 37" xfId="6209"/>
    <cellStyle name="20% - Accent3 2 37 2" xfId="6210"/>
    <cellStyle name="20% - Accent3 2 37 2 2" xfId="6211"/>
    <cellStyle name="20% - Accent3 2 37 2 3" xfId="6212"/>
    <cellStyle name="20% - Accent3 2 37 3" xfId="6213"/>
    <cellStyle name="20% - Accent3 2 37 3 2" xfId="6214"/>
    <cellStyle name="20% - Accent3 2 37 4" xfId="6215"/>
    <cellStyle name="20% - Accent3 2 37 5" xfId="6216"/>
    <cellStyle name="20% - Accent3 2 38" xfId="6217"/>
    <cellStyle name="20% - Accent3 2 38 2" xfId="6218"/>
    <cellStyle name="20% - Accent3 2 38 2 2" xfId="6219"/>
    <cellStyle name="20% - Accent3 2 38 2 3" xfId="6220"/>
    <cellStyle name="20% - Accent3 2 38 3" xfId="6221"/>
    <cellStyle name="20% - Accent3 2 38 3 2" xfId="6222"/>
    <cellStyle name="20% - Accent3 2 38 4" xfId="6223"/>
    <cellStyle name="20% - Accent3 2 38 5" xfId="6224"/>
    <cellStyle name="20% - Accent3 2 39" xfId="6225"/>
    <cellStyle name="20% - Accent3 2 39 2" xfId="6226"/>
    <cellStyle name="20% - Accent3 2 39 2 2" xfId="6227"/>
    <cellStyle name="20% - Accent3 2 39 2 3" xfId="6228"/>
    <cellStyle name="20% - Accent3 2 39 3" xfId="6229"/>
    <cellStyle name="20% - Accent3 2 39 3 2" xfId="6230"/>
    <cellStyle name="20% - Accent3 2 39 4" xfId="6231"/>
    <cellStyle name="20% - Accent3 2 39 5" xfId="6232"/>
    <cellStyle name="20% - Accent3 2 4" xfId="6233"/>
    <cellStyle name="20% - Accent3 2 4 2" xfId="6234"/>
    <cellStyle name="20% - Accent3 2 4 2 2" xfId="6235"/>
    <cellStyle name="20% - Accent3 2 4 3" xfId="6236"/>
    <cellStyle name="20% - Accent3 2 4 4" xfId="6237"/>
    <cellStyle name="20% - Accent3 2 4 5" xfId="6238"/>
    <cellStyle name="20% - Accent3 2 4 6" xfId="6239"/>
    <cellStyle name="20% - Accent3 2 4 7" xfId="6240"/>
    <cellStyle name="20% - Accent3 2 4 8" xfId="6241"/>
    <cellStyle name="20% - Accent3 2 4 8 2" xfId="6242"/>
    <cellStyle name="20% - Accent3 2 4_2009 Actual" xfId="6243"/>
    <cellStyle name="20% - Accent3 2 40" xfId="6244"/>
    <cellStyle name="20% - Accent3 2 40 2" xfId="6245"/>
    <cellStyle name="20% - Accent3 2 40 2 2" xfId="6246"/>
    <cellStyle name="20% - Accent3 2 40 2 3" xfId="6247"/>
    <cellStyle name="20% - Accent3 2 40 3" xfId="6248"/>
    <cellStyle name="20% - Accent3 2 40 3 2" xfId="6249"/>
    <cellStyle name="20% - Accent3 2 40 4" xfId="6250"/>
    <cellStyle name="20% - Accent3 2 40 5" xfId="6251"/>
    <cellStyle name="20% - Accent3 2 41" xfId="6252"/>
    <cellStyle name="20% - Accent3 2 41 2" xfId="6253"/>
    <cellStyle name="20% - Accent3 2 41 2 2" xfId="6254"/>
    <cellStyle name="20% - Accent3 2 41 2 3" xfId="6255"/>
    <cellStyle name="20% - Accent3 2 41 3" xfId="6256"/>
    <cellStyle name="20% - Accent3 2 41 3 2" xfId="6257"/>
    <cellStyle name="20% - Accent3 2 41 4" xfId="6258"/>
    <cellStyle name="20% - Accent3 2 41 5" xfId="6259"/>
    <cellStyle name="20% - Accent3 2 42" xfId="6260"/>
    <cellStyle name="20% - Accent3 2 42 2" xfId="6261"/>
    <cellStyle name="20% - Accent3 2 42 2 2" xfId="6262"/>
    <cellStyle name="20% - Accent3 2 42 2 3" xfId="6263"/>
    <cellStyle name="20% - Accent3 2 42 3" xfId="6264"/>
    <cellStyle name="20% - Accent3 2 42 3 2" xfId="6265"/>
    <cellStyle name="20% - Accent3 2 42 4" xfId="6266"/>
    <cellStyle name="20% - Accent3 2 42 5" xfId="6267"/>
    <cellStyle name="20% - Accent3 2 43" xfId="6268"/>
    <cellStyle name="20% - Accent3 2 43 2" xfId="6269"/>
    <cellStyle name="20% - Accent3 2 43 2 2" xfId="6270"/>
    <cellStyle name="20% - Accent3 2 43 2 3" xfId="6271"/>
    <cellStyle name="20% - Accent3 2 43 3" xfId="6272"/>
    <cellStyle name="20% - Accent3 2 43 3 2" xfId="6273"/>
    <cellStyle name="20% - Accent3 2 43 4" xfId="6274"/>
    <cellStyle name="20% - Accent3 2 43 5" xfId="6275"/>
    <cellStyle name="20% - Accent3 2 44" xfId="6276"/>
    <cellStyle name="20% - Accent3 2 44 2" xfId="6277"/>
    <cellStyle name="20% - Accent3 2 44 2 2" xfId="6278"/>
    <cellStyle name="20% - Accent3 2 44 2 3" xfId="6279"/>
    <cellStyle name="20% - Accent3 2 44 3" xfId="6280"/>
    <cellStyle name="20% - Accent3 2 44 3 2" xfId="6281"/>
    <cellStyle name="20% - Accent3 2 44 4" xfId="6282"/>
    <cellStyle name="20% - Accent3 2 44 5" xfId="6283"/>
    <cellStyle name="20% - Accent3 2 45" xfId="6284"/>
    <cellStyle name="20% - Accent3 2 45 2" xfId="6285"/>
    <cellStyle name="20% - Accent3 2 45 2 2" xfId="6286"/>
    <cellStyle name="20% - Accent3 2 45 2 3" xfId="6287"/>
    <cellStyle name="20% - Accent3 2 45 3" xfId="6288"/>
    <cellStyle name="20% - Accent3 2 45 3 2" xfId="6289"/>
    <cellStyle name="20% - Accent3 2 45 4" xfId="6290"/>
    <cellStyle name="20% - Accent3 2 45 5" xfId="6291"/>
    <cellStyle name="20% - Accent3 2 46" xfId="6292"/>
    <cellStyle name="20% - Accent3 2 46 2" xfId="6293"/>
    <cellStyle name="20% - Accent3 2 46 2 2" xfId="6294"/>
    <cellStyle name="20% - Accent3 2 46 2 3" xfId="6295"/>
    <cellStyle name="20% - Accent3 2 46 3" xfId="6296"/>
    <cellStyle name="20% - Accent3 2 46 3 2" xfId="6297"/>
    <cellStyle name="20% - Accent3 2 46 4" xfId="6298"/>
    <cellStyle name="20% - Accent3 2 46 5" xfId="6299"/>
    <cellStyle name="20% - Accent3 2 47" xfId="6300"/>
    <cellStyle name="20% - Accent3 2 47 2" xfId="6301"/>
    <cellStyle name="20% - Accent3 2 47 2 2" xfId="6302"/>
    <cellStyle name="20% - Accent3 2 47 2 3" xfId="6303"/>
    <cellStyle name="20% - Accent3 2 47 3" xfId="6304"/>
    <cellStyle name="20% - Accent3 2 47 3 2" xfId="6305"/>
    <cellStyle name="20% - Accent3 2 47 4" xfId="6306"/>
    <cellStyle name="20% - Accent3 2 47 5" xfId="6307"/>
    <cellStyle name="20% - Accent3 2 48" xfId="6308"/>
    <cellStyle name="20% - Accent3 2 48 2" xfId="6309"/>
    <cellStyle name="20% - Accent3 2 48 2 2" xfId="6310"/>
    <cellStyle name="20% - Accent3 2 48 2 3" xfId="6311"/>
    <cellStyle name="20% - Accent3 2 48 3" xfId="6312"/>
    <cellStyle name="20% - Accent3 2 48 3 2" xfId="6313"/>
    <cellStyle name="20% - Accent3 2 48 4" xfId="6314"/>
    <cellStyle name="20% - Accent3 2 48 5" xfId="6315"/>
    <cellStyle name="20% - Accent3 2 49" xfId="6316"/>
    <cellStyle name="20% - Accent3 2 49 2" xfId="6317"/>
    <cellStyle name="20% - Accent3 2 49 2 2" xfId="6318"/>
    <cellStyle name="20% - Accent3 2 49 2 3" xfId="6319"/>
    <cellStyle name="20% - Accent3 2 49 3" xfId="6320"/>
    <cellStyle name="20% - Accent3 2 49 3 2" xfId="6321"/>
    <cellStyle name="20% - Accent3 2 49 4" xfId="6322"/>
    <cellStyle name="20% - Accent3 2 49 5" xfId="6323"/>
    <cellStyle name="20% - Accent3 2 5" xfId="6324"/>
    <cellStyle name="20% - Accent3 2 5 2" xfId="6325"/>
    <cellStyle name="20% - Accent3 2 5 3" xfId="6326"/>
    <cellStyle name="20% - Accent3 2 5 4" xfId="6327"/>
    <cellStyle name="20% - Accent3 2 5 5" xfId="6328"/>
    <cellStyle name="20% - Accent3 2 5 6" xfId="6329"/>
    <cellStyle name="20% - Accent3 2 5 7" xfId="6330"/>
    <cellStyle name="20% - Accent3 2 5 8" xfId="6331"/>
    <cellStyle name="20% - Accent3 2 5 8 2" xfId="6332"/>
    <cellStyle name="20% - Accent3 2 5_2009 Actual" xfId="6333"/>
    <cellStyle name="20% - Accent3 2 50" xfId="6334"/>
    <cellStyle name="20% - Accent3 2 50 2" xfId="6335"/>
    <cellStyle name="20% - Accent3 2 50 2 2" xfId="6336"/>
    <cellStyle name="20% - Accent3 2 50 2 3" xfId="6337"/>
    <cellStyle name="20% - Accent3 2 50 3" xfId="6338"/>
    <cellStyle name="20% - Accent3 2 50 3 2" xfId="6339"/>
    <cellStyle name="20% - Accent3 2 50 4" xfId="6340"/>
    <cellStyle name="20% - Accent3 2 50 5" xfId="6341"/>
    <cellStyle name="20% - Accent3 2 51" xfId="6342"/>
    <cellStyle name="20% - Accent3 2 51 2" xfId="6343"/>
    <cellStyle name="20% - Accent3 2 51 2 2" xfId="6344"/>
    <cellStyle name="20% - Accent3 2 51 2 3" xfId="6345"/>
    <cellStyle name="20% - Accent3 2 51 3" xfId="6346"/>
    <cellStyle name="20% - Accent3 2 51 3 2" xfId="6347"/>
    <cellStyle name="20% - Accent3 2 51 4" xfId="6348"/>
    <cellStyle name="20% - Accent3 2 51 5" xfId="6349"/>
    <cellStyle name="20% - Accent3 2 52" xfId="6350"/>
    <cellStyle name="20% - Accent3 2 52 2" xfId="6351"/>
    <cellStyle name="20% - Accent3 2 52 2 2" xfId="6352"/>
    <cellStyle name="20% - Accent3 2 52 2 3" xfId="6353"/>
    <cellStyle name="20% - Accent3 2 52 3" xfId="6354"/>
    <cellStyle name="20% - Accent3 2 52 3 2" xfId="6355"/>
    <cellStyle name="20% - Accent3 2 52 4" xfId="6356"/>
    <cellStyle name="20% - Accent3 2 52 5" xfId="6357"/>
    <cellStyle name="20% - Accent3 2 53" xfId="6358"/>
    <cellStyle name="20% - Accent3 2 53 2" xfId="6359"/>
    <cellStyle name="20% - Accent3 2 53 2 2" xfId="6360"/>
    <cellStyle name="20% - Accent3 2 53 2 3" xfId="6361"/>
    <cellStyle name="20% - Accent3 2 53 3" xfId="6362"/>
    <cellStyle name="20% - Accent3 2 53 3 2" xfId="6363"/>
    <cellStyle name="20% - Accent3 2 53 4" xfId="6364"/>
    <cellStyle name="20% - Accent3 2 53 5" xfId="6365"/>
    <cellStyle name="20% - Accent3 2 54" xfId="6366"/>
    <cellStyle name="20% - Accent3 2 54 2" xfId="6367"/>
    <cellStyle name="20% - Accent3 2 54 2 2" xfId="6368"/>
    <cellStyle name="20% - Accent3 2 54 2 3" xfId="6369"/>
    <cellStyle name="20% - Accent3 2 54 3" xfId="6370"/>
    <cellStyle name="20% - Accent3 2 54 3 2" xfId="6371"/>
    <cellStyle name="20% - Accent3 2 54 4" xfId="6372"/>
    <cellStyle name="20% - Accent3 2 54 5" xfId="6373"/>
    <cellStyle name="20% - Accent3 2 55" xfId="6374"/>
    <cellStyle name="20% - Accent3 2 55 2" xfId="6375"/>
    <cellStyle name="20% - Accent3 2 55 2 2" xfId="6376"/>
    <cellStyle name="20% - Accent3 2 55 2 3" xfId="6377"/>
    <cellStyle name="20% - Accent3 2 55 3" xfId="6378"/>
    <cellStyle name="20% - Accent3 2 55 3 2" xfId="6379"/>
    <cellStyle name="20% - Accent3 2 55 4" xfId="6380"/>
    <cellStyle name="20% - Accent3 2 55 5" xfId="6381"/>
    <cellStyle name="20% - Accent3 2 56" xfId="6382"/>
    <cellStyle name="20% - Accent3 2 56 2" xfId="6383"/>
    <cellStyle name="20% - Accent3 2 56 2 2" xfId="6384"/>
    <cellStyle name="20% - Accent3 2 56 2 3" xfId="6385"/>
    <cellStyle name="20% - Accent3 2 56 3" xfId="6386"/>
    <cellStyle name="20% - Accent3 2 56 3 2" xfId="6387"/>
    <cellStyle name="20% - Accent3 2 56 4" xfId="6388"/>
    <cellStyle name="20% - Accent3 2 56 5" xfId="6389"/>
    <cellStyle name="20% - Accent3 2 57" xfId="6390"/>
    <cellStyle name="20% - Accent3 2 57 2" xfId="6391"/>
    <cellStyle name="20% - Accent3 2 57 2 2" xfId="6392"/>
    <cellStyle name="20% - Accent3 2 57 2 3" xfId="6393"/>
    <cellStyle name="20% - Accent3 2 57 3" xfId="6394"/>
    <cellStyle name="20% - Accent3 2 57 3 2" xfId="6395"/>
    <cellStyle name="20% - Accent3 2 57 4" xfId="6396"/>
    <cellStyle name="20% - Accent3 2 57 5" xfId="6397"/>
    <cellStyle name="20% - Accent3 2 58" xfId="6398"/>
    <cellStyle name="20% - Accent3 2 58 2" xfId="6399"/>
    <cellStyle name="20% - Accent3 2 58 2 2" xfId="6400"/>
    <cellStyle name="20% - Accent3 2 58 2 3" xfId="6401"/>
    <cellStyle name="20% - Accent3 2 58 3" xfId="6402"/>
    <cellStyle name="20% - Accent3 2 58 3 2" xfId="6403"/>
    <cellStyle name="20% - Accent3 2 58 4" xfId="6404"/>
    <cellStyle name="20% - Accent3 2 58 5" xfId="6405"/>
    <cellStyle name="20% - Accent3 2 59" xfId="6406"/>
    <cellStyle name="20% - Accent3 2 59 2" xfId="6407"/>
    <cellStyle name="20% - Accent3 2 59 2 2" xfId="6408"/>
    <cellStyle name="20% - Accent3 2 59 2 3" xfId="6409"/>
    <cellStyle name="20% - Accent3 2 59 3" xfId="6410"/>
    <cellStyle name="20% - Accent3 2 59 3 2" xfId="6411"/>
    <cellStyle name="20% - Accent3 2 59 4" xfId="6412"/>
    <cellStyle name="20% - Accent3 2 59 5" xfId="6413"/>
    <cellStyle name="20% - Accent3 2 6" xfId="6414"/>
    <cellStyle name="20% - Accent3 2 6 2" xfId="6415"/>
    <cellStyle name="20% - Accent3 2 6 3" xfId="6416"/>
    <cellStyle name="20% - Accent3 2 6 4" xfId="6417"/>
    <cellStyle name="20% - Accent3 2 6 5" xfId="6418"/>
    <cellStyle name="20% - Accent3 2 6 6" xfId="6419"/>
    <cellStyle name="20% - Accent3 2 6 7" xfId="6420"/>
    <cellStyle name="20% - Accent3 2 6 8" xfId="6421"/>
    <cellStyle name="20% - Accent3 2 6 8 2" xfId="6422"/>
    <cellStyle name="20% - Accent3 2 6_2009 Actual" xfId="6423"/>
    <cellStyle name="20% - Accent3 2 60" xfId="6424"/>
    <cellStyle name="20% - Accent3 2 60 2" xfId="6425"/>
    <cellStyle name="20% - Accent3 2 60 2 2" xfId="6426"/>
    <cellStyle name="20% - Accent3 2 60 2 3" xfId="6427"/>
    <cellStyle name="20% - Accent3 2 60 3" xfId="6428"/>
    <cellStyle name="20% - Accent3 2 60 3 2" xfId="6429"/>
    <cellStyle name="20% - Accent3 2 60 4" xfId="6430"/>
    <cellStyle name="20% - Accent3 2 60 5" xfId="6431"/>
    <cellStyle name="20% - Accent3 2 61" xfId="6432"/>
    <cellStyle name="20% - Accent3 2 61 2" xfId="6433"/>
    <cellStyle name="20% - Accent3 2 61 2 2" xfId="6434"/>
    <cellStyle name="20% - Accent3 2 61 2 3" xfId="6435"/>
    <cellStyle name="20% - Accent3 2 61 3" xfId="6436"/>
    <cellStyle name="20% - Accent3 2 61 3 2" xfId="6437"/>
    <cellStyle name="20% - Accent3 2 61 4" xfId="6438"/>
    <cellStyle name="20% - Accent3 2 61 5" xfId="6439"/>
    <cellStyle name="20% - Accent3 2 62" xfId="6440"/>
    <cellStyle name="20% - Accent3 2 62 2" xfId="6441"/>
    <cellStyle name="20% - Accent3 2 62 2 2" xfId="6442"/>
    <cellStyle name="20% - Accent3 2 62 2 3" xfId="6443"/>
    <cellStyle name="20% - Accent3 2 62 3" xfId="6444"/>
    <cellStyle name="20% - Accent3 2 62 3 2" xfId="6445"/>
    <cellStyle name="20% - Accent3 2 62 4" xfId="6446"/>
    <cellStyle name="20% - Accent3 2 62 5" xfId="6447"/>
    <cellStyle name="20% - Accent3 2 63" xfId="6448"/>
    <cellStyle name="20% - Accent3 2 63 2" xfId="6449"/>
    <cellStyle name="20% - Accent3 2 63 2 2" xfId="6450"/>
    <cellStyle name="20% - Accent3 2 63 2 3" xfId="6451"/>
    <cellStyle name="20% - Accent3 2 63 3" xfId="6452"/>
    <cellStyle name="20% - Accent3 2 63 3 2" xfId="6453"/>
    <cellStyle name="20% - Accent3 2 63 4" xfId="6454"/>
    <cellStyle name="20% - Accent3 2 63 5" xfId="6455"/>
    <cellStyle name="20% - Accent3 2 64" xfId="6456"/>
    <cellStyle name="20% - Accent3 2 64 2" xfId="6457"/>
    <cellStyle name="20% - Accent3 2 64 2 2" xfId="6458"/>
    <cellStyle name="20% - Accent3 2 64 2 3" xfId="6459"/>
    <cellStyle name="20% - Accent3 2 64 3" xfId="6460"/>
    <cellStyle name="20% - Accent3 2 64 3 2" xfId="6461"/>
    <cellStyle name="20% - Accent3 2 64 4" xfId="6462"/>
    <cellStyle name="20% - Accent3 2 64 5" xfId="6463"/>
    <cellStyle name="20% - Accent3 2 65" xfId="6464"/>
    <cellStyle name="20% - Accent3 2 65 2" xfId="6465"/>
    <cellStyle name="20% - Accent3 2 65 2 2" xfId="6466"/>
    <cellStyle name="20% - Accent3 2 65 2 3" xfId="6467"/>
    <cellStyle name="20% - Accent3 2 65 3" xfId="6468"/>
    <cellStyle name="20% - Accent3 2 65 3 2" xfId="6469"/>
    <cellStyle name="20% - Accent3 2 65 4" xfId="6470"/>
    <cellStyle name="20% - Accent3 2 65 5" xfId="6471"/>
    <cellStyle name="20% - Accent3 2 66" xfId="6472"/>
    <cellStyle name="20% - Accent3 2 66 2" xfId="6473"/>
    <cellStyle name="20% - Accent3 2 66 2 2" xfId="6474"/>
    <cellStyle name="20% - Accent3 2 66 2 3" xfId="6475"/>
    <cellStyle name="20% - Accent3 2 66 3" xfId="6476"/>
    <cellStyle name="20% - Accent3 2 66 3 2" xfId="6477"/>
    <cellStyle name="20% - Accent3 2 66 4" xfId="6478"/>
    <cellStyle name="20% - Accent3 2 66 5" xfId="6479"/>
    <cellStyle name="20% - Accent3 2 67" xfId="6480"/>
    <cellStyle name="20% - Accent3 2 67 2" xfId="6481"/>
    <cellStyle name="20% - Accent3 2 67 2 2" xfId="6482"/>
    <cellStyle name="20% - Accent3 2 67 2 3" xfId="6483"/>
    <cellStyle name="20% - Accent3 2 67 3" xfId="6484"/>
    <cellStyle name="20% - Accent3 2 67 3 2" xfId="6485"/>
    <cellStyle name="20% - Accent3 2 67 4" xfId="6486"/>
    <cellStyle name="20% - Accent3 2 67 5" xfId="6487"/>
    <cellStyle name="20% - Accent3 2 68" xfId="6488"/>
    <cellStyle name="20% - Accent3 2 68 2" xfId="6489"/>
    <cellStyle name="20% - Accent3 2 68 2 2" xfId="6490"/>
    <cellStyle name="20% - Accent3 2 68 2 3" xfId="6491"/>
    <cellStyle name="20% - Accent3 2 68 3" xfId="6492"/>
    <cellStyle name="20% - Accent3 2 68 3 2" xfId="6493"/>
    <cellStyle name="20% - Accent3 2 68 4" xfId="6494"/>
    <cellStyle name="20% - Accent3 2 68 5" xfId="6495"/>
    <cellStyle name="20% - Accent3 2 69" xfId="6496"/>
    <cellStyle name="20% - Accent3 2 69 2" xfId="6497"/>
    <cellStyle name="20% - Accent3 2 69 2 2" xfId="6498"/>
    <cellStyle name="20% - Accent3 2 69 2 3" xfId="6499"/>
    <cellStyle name="20% - Accent3 2 69 3" xfId="6500"/>
    <cellStyle name="20% - Accent3 2 69 3 2" xfId="6501"/>
    <cellStyle name="20% - Accent3 2 69 4" xfId="6502"/>
    <cellStyle name="20% - Accent3 2 69 5" xfId="6503"/>
    <cellStyle name="20% - Accent3 2 7" xfId="6504"/>
    <cellStyle name="20% - Accent3 2 7 2" xfId="6505"/>
    <cellStyle name="20% - Accent3 2 7 3" xfId="6506"/>
    <cellStyle name="20% - Accent3 2 7 4" xfId="6507"/>
    <cellStyle name="20% - Accent3 2 7 5" xfId="6508"/>
    <cellStyle name="20% - Accent3 2 7 5 2" xfId="6509"/>
    <cellStyle name="20% - Accent3 2 7_BHP" xfId="6510"/>
    <cellStyle name="20% - Accent3 2 70" xfId="6511"/>
    <cellStyle name="20% - Accent3 2 70 2" xfId="6512"/>
    <cellStyle name="20% - Accent3 2 70 2 2" xfId="6513"/>
    <cellStyle name="20% - Accent3 2 70 2 3" xfId="6514"/>
    <cellStyle name="20% - Accent3 2 70 3" xfId="6515"/>
    <cellStyle name="20% - Accent3 2 70 3 2" xfId="6516"/>
    <cellStyle name="20% - Accent3 2 70 4" xfId="6517"/>
    <cellStyle name="20% - Accent3 2 70 5" xfId="6518"/>
    <cellStyle name="20% - Accent3 2 71" xfId="6519"/>
    <cellStyle name="20% - Accent3 2 71 2" xfId="6520"/>
    <cellStyle name="20% - Accent3 2 71 2 2" xfId="6521"/>
    <cellStyle name="20% - Accent3 2 71 2 3" xfId="6522"/>
    <cellStyle name="20% - Accent3 2 71 3" xfId="6523"/>
    <cellStyle name="20% - Accent3 2 71 3 2" xfId="6524"/>
    <cellStyle name="20% - Accent3 2 71 4" xfId="6525"/>
    <cellStyle name="20% - Accent3 2 71 5" xfId="6526"/>
    <cellStyle name="20% - Accent3 2 72" xfId="6527"/>
    <cellStyle name="20% - Accent3 2 72 2" xfId="6528"/>
    <cellStyle name="20% - Accent3 2 72 2 2" xfId="6529"/>
    <cellStyle name="20% - Accent3 2 72 2 3" xfId="6530"/>
    <cellStyle name="20% - Accent3 2 72 3" xfId="6531"/>
    <cellStyle name="20% - Accent3 2 72 3 2" xfId="6532"/>
    <cellStyle name="20% - Accent3 2 72 4" xfId="6533"/>
    <cellStyle name="20% - Accent3 2 72 5" xfId="6534"/>
    <cellStyle name="20% - Accent3 2 73" xfId="6535"/>
    <cellStyle name="20% - Accent3 2 73 2" xfId="6536"/>
    <cellStyle name="20% - Accent3 2 73 2 2" xfId="6537"/>
    <cellStyle name="20% - Accent3 2 73 2 3" xfId="6538"/>
    <cellStyle name="20% - Accent3 2 73 3" xfId="6539"/>
    <cellStyle name="20% - Accent3 2 73 3 2" xfId="6540"/>
    <cellStyle name="20% - Accent3 2 73 4" xfId="6541"/>
    <cellStyle name="20% - Accent3 2 73 5" xfId="6542"/>
    <cellStyle name="20% - Accent3 2 74" xfId="6543"/>
    <cellStyle name="20% - Accent3 2 74 2" xfId="6544"/>
    <cellStyle name="20% - Accent3 2 74 2 2" xfId="6545"/>
    <cellStyle name="20% - Accent3 2 74 2 3" xfId="6546"/>
    <cellStyle name="20% - Accent3 2 74 3" xfId="6547"/>
    <cellStyle name="20% - Accent3 2 74 3 2" xfId="6548"/>
    <cellStyle name="20% - Accent3 2 74 4" xfId="6549"/>
    <cellStyle name="20% - Accent3 2 74 5" xfId="6550"/>
    <cellStyle name="20% - Accent3 2 75" xfId="6551"/>
    <cellStyle name="20% - Accent3 2 75 2" xfId="6552"/>
    <cellStyle name="20% - Accent3 2 75 2 2" xfId="6553"/>
    <cellStyle name="20% - Accent3 2 75 2 3" xfId="6554"/>
    <cellStyle name="20% - Accent3 2 75 3" xfId="6555"/>
    <cellStyle name="20% - Accent3 2 75 3 2" xfId="6556"/>
    <cellStyle name="20% - Accent3 2 75 4" xfId="6557"/>
    <cellStyle name="20% - Accent3 2 75 5" xfId="6558"/>
    <cellStyle name="20% - Accent3 2 76" xfId="6559"/>
    <cellStyle name="20% - Accent3 2 76 2" xfId="6560"/>
    <cellStyle name="20% - Accent3 2 76 2 2" xfId="6561"/>
    <cellStyle name="20% - Accent3 2 76 2 3" xfId="6562"/>
    <cellStyle name="20% - Accent3 2 76 3" xfId="6563"/>
    <cellStyle name="20% - Accent3 2 76 3 2" xfId="6564"/>
    <cellStyle name="20% - Accent3 2 76 4" xfId="6565"/>
    <cellStyle name="20% - Accent3 2 76 5" xfId="6566"/>
    <cellStyle name="20% - Accent3 2 77" xfId="6567"/>
    <cellStyle name="20% - Accent3 2 77 2" xfId="6568"/>
    <cellStyle name="20% - Accent3 2 77 2 2" xfId="6569"/>
    <cellStyle name="20% - Accent3 2 77 2 3" xfId="6570"/>
    <cellStyle name="20% - Accent3 2 77 3" xfId="6571"/>
    <cellStyle name="20% - Accent3 2 77 3 2" xfId="6572"/>
    <cellStyle name="20% - Accent3 2 77 4" xfId="6573"/>
    <cellStyle name="20% - Accent3 2 77 5" xfId="6574"/>
    <cellStyle name="20% - Accent3 2 78" xfId="6575"/>
    <cellStyle name="20% - Accent3 2 78 2" xfId="6576"/>
    <cellStyle name="20% - Accent3 2 78 2 2" xfId="6577"/>
    <cellStyle name="20% - Accent3 2 78 2 3" xfId="6578"/>
    <cellStyle name="20% - Accent3 2 78 3" xfId="6579"/>
    <cellStyle name="20% - Accent3 2 78 3 2" xfId="6580"/>
    <cellStyle name="20% - Accent3 2 78 4" xfId="6581"/>
    <cellStyle name="20% - Accent3 2 78 5" xfId="6582"/>
    <cellStyle name="20% - Accent3 2 79" xfId="6583"/>
    <cellStyle name="20% - Accent3 2 79 2" xfId="6584"/>
    <cellStyle name="20% - Accent3 2 79 2 2" xfId="6585"/>
    <cellStyle name="20% - Accent3 2 79 2 3" xfId="6586"/>
    <cellStyle name="20% - Accent3 2 79 3" xfId="6587"/>
    <cellStyle name="20% - Accent3 2 79 3 2" xfId="6588"/>
    <cellStyle name="20% - Accent3 2 79 4" xfId="6589"/>
    <cellStyle name="20% - Accent3 2 79 5" xfId="6590"/>
    <cellStyle name="20% - Accent3 2 8" xfId="6591"/>
    <cellStyle name="20% - Accent3 2 8 2" xfId="6592"/>
    <cellStyle name="20% - Accent3 2 8 3" xfId="6593"/>
    <cellStyle name="20% - Accent3 2 8 4" xfId="6594"/>
    <cellStyle name="20% - Accent3 2 8 5" xfId="6595"/>
    <cellStyle name="20% - Accent3 2 8 5 2" xfId="6596"/>
    <cellStyle name="20% - Accent3 2 8_BHP" xfId="6597"/>
    <cellStyle name="20% - Accent3 2 80" xfId="6598"/>
    <cellStyle name="20% - Accent3 2 80 2" xfId="6599"/>
    <cellStyle name="20% - Accent3 2 80 2 2" xfId="6600"/>
    <cellStyle name="20% - Accent3 2 80 2 3" xfId="6601"/>
    <cellStyle name="20% - Accent3 2 80 3" xfId="6602"/>
    <cellStyle name="20% - Accent3 2 80 3 2" xfId="6603"/>
    <cellStyle name="20% - Accent3 2 80 4" xfId="6604"/>
    <cellStyle name="20% - Accent3 2 80 5" xfId="6605"/>
    <cellStyle name="20% - Accent3 2 81" xfId="6606"/>
    <cellStyle name="20% - Accent3 2 81 2" xfId="6607"/>
    <cellStyle name="20% - Accent3 2 81 2 2" xfId="6608"/>
    <cellStyle name="20% - Accent3 2 81 2 3" xfId="6609"/>
    <cellStyle name="20% - Accent3 2 81 3" xfId="6610"/>
    <cellStyle name="20% - Accent3 2 81 3 2" xfId="6611"/>
    <cellStyle name="20% - Accent3 2 81 4" xfId="6612"/>
    <cellStyle name="20% - Accent3 2 81 5" xfId="6613"/>
    <cellStyle name="20% - Accent3 2 82" xfId="6614"/>
    <cellStyle name="20% - Accent3 2 82 2" xfId="6615"/>
    <cellStyle name="20% - Accent3 2 82 2 2" xfId="6616"/>
    <cellStyle name="20% - Accent3 2 82 2 3" xfId="6617"/>
    <cellStyle name="20% - Accent3 2 82 3" xfId="6618"/>
    <cellStyle name="20% - Accent3 2 82 3 2" xfId="6619"/>
    <cellStyle name="20% - Accent3 2 82 4" xfId="6620"/>
    <cellStyle name="20% - Accent3 2 82 5" xfId="6621"/>
    <cellStyle name="20% - Accent3 2 83" xfId="6622"/>
    <cellStyle name="20% - Accent3 2 83 2" xfId="6623"/>
    <cellStyle name="20% - Accent3 2 83 2 2" xfId="6624"/>
    <cellStyle name="20% - Accent3 2 83 2 3" xfId="6625"/>
    <cellStyle name="20% - Accent3 2 83 3" xfId="6626"/>
    <cellStyle name="20% - Accent3 2 83 3 2" xfId="6627"/>
    <cellStyle name="20% - Accent3 2 83 4" xfId="6628"/>
    <cellStyle name="20% - Accent3 2 83 5" xfId="6629"/>
    <cellStyle name="20% - Accent3 2 84" xfId="6630"/>
    <cellStyle name="20% - Accent3 2 84 2" xfId="6631"/>
    <cellStyle name="20% - Accent3 2 84 2 2" xfId="6632"/>
    <cellStyle name="20% - Accent3 2 84 2 3" xfId="6633"/>
    <cellStyle name="20% - Accent3 2 84 3" xfId="6634"/>
    <cellStyle name="20% - Accent3 2 84 3 2" xfId="6635"/>
    <cellStyle name="20% - Accent3 2 84 4" xfId="6636"/>
    <cellStyle name="20% - Accent3 2 84 5" xfId="6637"/>
    <cellStyle name="20% - Accent3 2 85" xfId="6638"/>
    <cellStyle name="20% - Accent3 2 85 2" xfId="6639"/>
    <cellStyle name="20% - Accent3 2 85 2 2" xfId="6640"/>
    <cellStyle name="20% - Accent3 2 85 2 3" xfId="6641"/>
    <cellStyle name="20% - Accent3 2 85 3" xfId="6642"/>
    <cellStyle name="20% - Accent3 2 85 3 2" xfId="6643"/>
    <cellStyle name="20% - Accent3 2 85 4" xfId="6644"/>
    <cellStyle name="20% - Accent3 2 85 5" xfId="6645"/>
    <cellStyle name="20% - Accent3 2 86" xfId="6646"/>
    <cellStyle name="20% - Accent3 2 86 2" xfId="6647"/>
    <cellStyle name="20% - Accent3 2 86 2 2" xfId="6648"/>
    <cellStyle name="20% - Accent3 2 86 2 3" xfId="6649"/>
    <cellStyle name="20% - Accent3 2 86 3" xfId="6650"/>
    <cellStyle name="20% - Accent3 2 86 3 2" xfId="6651"/>
    <cellStyle name="20% - Accent3 2 86 4" xfId="6652"/>
    <cellStyle name="20% - Accent3 2 86 5" xfId="6653"/>
    <cellStyle name="20% - Accent3 2 87" xfId="6654"/>
    <cellStyle name="20% - Accent3 2 87 2" xfId="6655"/>
    <cellStyle name="20% - Accent3 2 87 2 2" xfId="6656"/>
    <cellStyle name="20% - Accent3 2 87 2 3" xfId="6657"/>
    <cellStyle name="20% - Accent3 2 87 3" xfId="6658"/>
    <cellStyle name="20% - Accent3 2 87 3 2" xfId="6659"/>
    <cellStyle name="20% - Accent3 2 87 4" xfId="6660"/>
    <cellStyle name="20% - Accent3 2 87 5" xfId="6661"/>
    <cellStyle name="20% - Accent3 2 88" xfId="6662"/>
    <cellStyle name="20% - Accent3 2 88 2" xfId="6663"/>
    <cellStyle name="20% - Accent3 2 88 2 2" xfId="6664"/>
    <cellStyle name="20% - Accent3 2 88 2 3" xfId="6665"/>
    <cellStyle name="20% - Accent3 2 88 3" xfId="6666"/>
    <cellStyle name="20% - Accent3 2 88 3 2" xfId="6667"/>
    <cellStyle name="20% - Accent3 2 88 4" xfId="6668"/>
    <cellStyle name="20% - Accent3 2 88 5" xfId="6669"/>
    <cellStyle name="20% - Accent3 2 89" xfId="6670"/>
    <cellStyle name="20% - Accent3 2 89 2" xfId="6671"/>
    <cellStyle name="20% - Accent3 2 89 2 2" xfId="6672"/>
    <cellStyle name="20% - Accent3 2 89 2 3" xfId="6673"/>
    <cellStyle name="20% - Accent3 2 89 3" xfId="6674"/>
    <cellStyle name="20% - Accent3 2 89 3 2" xfId="6675"/>
    <cellStyle name="20% - Accent3 2 89 4" xfId="6676"/>
    <cellStyle name="20% - Accent3 2 89 5" xfId="6677"/>
    <cellStyle name="20% - Accent3 2 9" xfId="6678"/>
    <cellStyle name="20% - Accent3 2 9 2" xfId="6679"/>
    <cellStyle name="20% - Accent3 2 9 3" xfId="6680"/>
    <cellStyle name="20% - Accent3 2 9 4" xfId="6681"/>
    <cellStyle name="20% - Accent3 2 9 5" xfId="6682"/>
    <cellStyle name="20% - Accent3 2 9 5 2" xfId="6683"/>
    <cellStyle name="20% - Accent3 2 9_BHP" xfId="6684"/>
    <cellStyle name="20% - Accent3 2 90" xfId="6685"/>
    <cellStyle name="20% - Accent3 2 90 2" xfId="6686"/>
    <cellStyle name="20% - Accent3 2 90 2 2" xfId="6687"/>
    <cellStyle name="20% - Accent3 2 90 2 3" xfId="6688"/>
    <cellStyle name="20% - Accent3 2 90 3" xfId="6689"/>
    <cellStyle name="20% - Accent3 2 90 3 2" xfId="6690"/>
    <cellStyle name="20% - Accent3 2 90 4" xfId="6691"/>
    <cellStyle name="20% - Accent3 2 90 5" xfId="6692"/>
    <cellStyle name="20% - Accent3 2 91" xfId="6693"/>
    <cellStyle name="20% - Accent3 2 91 2" xfId="6694"/>
    <cellStyle name="20% - Accent3 2 91 2 2" xfId="6695"/>
    <cellStyle name="20% - Accent3 2 91 2 3" xfId="6696"/>
    <cellStyle name="20% - Accent3 2 91 3" xfId="6697"/>
    <cellStyle name="20% - Accent3 2 91 3 2" xfId="6698"/>
    <cellStyle name="20% - Accent3 2 91 4" xfId="6699"/>
    <cellStyle name="20% - Accent3 2 91 5" xfId="6700"/>
    <cellStyle name="20% - Accent3 2 92" xfId="6701"/>
    <cellStyle name="20% - Accent3 2 92 2" xfId="6702"/>
    <cellStyle name="20% - Accent3 2 92 2 2" xfId="6703"/>
    <cellStyle name="20% - Accent3 2 92 3" xfId="6704"/>
    <cellStyle name="20% - Accent3 2 92 4" xfId="6705"/>
    <cellStyle name="20% - Accent3 2 93" xfId="6706"/>
    <cellStyle name="20% - Accent3 2 93 2" xfId="6707"/>
    <cellStyle name="20% - Accent3 2 93 2 2" xfId="6708"/>
    <cellStyle name="20% - Accent3 2 93 3" xfId="6709"/>
    <cellStyle name="20% - Accent3 2 93 4" xfId="6710"/>
    <cellStyle name="20% - Accent3 2 94" xfId="6711"/>
    <cellStyle name="20% - Accent3 2 94 2" xfId="6712"/>
    <cellStyle name="20% - Accent3 2 94 2 2" xfId="6713"/>
    <cellStyle name="20% - Accent3 2 94 3" xfId="6714"/>
    <cellStyle name="20% - Accent3 2 94 4" xfId="6715"/>
    <cellStyle name="20% - Accent3 2 95" xfId="6716"/>
    <cellStyle name="20% - Accent3 2 95 2" xfId="6717"/>
    <cellStyle name="20% - Accent3 2 95 2 2" xfId="6718"/>
    <cellStyle name="20% - Accent3 2 95 3" xfId="6719"/>
    <cellStyle name="20% - Accent3 2 95 4" xfId="6720"/>
    <cellStyle name="20% - Accent3 2 96" xfId="6721"/>
    <cellStyle name="20% - Accent3 2 96 2" xfId="6722"/>
    <cellStyle name="20% - Accent3 2 96 2 2" xfId="6723"/>
    <cellStyle name="20% - Accent3 2 96 3" xfId="6724"/>
    <cellStyle name="20% - Accent3 2 96 4" xfId="6725"/>
    <cellStyle name="20% - Accent3 2 97" xfId="6726"/>
    <cellStyle name="20% - Accent3 2 97 2" xfId="6727"/>
    <cellStyle name="20% - Accent3 2 97 2 2" xfId="6728"/>
    <cellStyle name="20% - Accent3 2 97 3" xfId="6729"/>
    <cellStyle name="20% - Accent3 2 97 4" xfId="6730"/>
    <cellStyle name="20% - Accent3 2 98" xfId="6731"/>
    <cellStyle name="20% - Accent3 2 98 2" xfId="6732"/>
    <cellStyle name="20% - Accent3 2 98 2 2" xfId="6733"/>
    <cellStyle name="20% - Accent3 2 98 3" xfId="6734"/>
    <cellStyle name="20% - Accent3 2 98 4" xfId="6735"/>
    <cellStyle name="20% - Accent3 2 99" xfId="6736"/>
    <cellStyle name="20% - Accent3 2 99 2" xfId="6737"/>
    <cellStyle name="20% - Accent3 2 99 2 2" xfId="6738"/>
    <cellStyle name="20% - Accent3 2 99 3" xfId="6739"/>
    <cellStyle name="20% - Accent3 2 99 4" xfId="6740"/>
    <cellStyle name="20% - Accent3 2_1-10 BHU IS" xfId="6741"/>
    <cellStyle name="20% - Accent3 20" xfId="6742"/>
    <cellStyle name="20% - Accent3 21" xfId="6743"/>
    <cellStyle name="20% - Accent3 22" xfId="6744"/>
    <cellStyle name="20% - Accent3 23" xfId="6745"/>
    <cellStyle name="20% - Accent3 24" xfId="6746"/>
    <cellStyle name="20% - Accent3 25" xfId="6747"/>
    <cellStyle name="20% - Accent3 26" xfId="6748"/>
    <cellStyle name="20% - Accent3 26 2" xfId="6749"/>
    <cellStyle name="20% - Accent3 26 2 2" xfId="6750"/>
    <cellStyle name="20% - Accent3 26 2 2 2" xfId="6751"/>
    <cellStyle name="20% - Accent3 26 2 2 3" xfId="6752"/>
    <cellStyle name="20% - Accent3 26 2 3" xfId="6753"/>
    <cellStyle name="20% - Accent3 26 2 3 2" xfId="6754"/>
    <cellStyle name="20% - Accent3 26 2 4" xfId="6755"/>
    <cellStyle name="20% - Accent3 26 2 5" xfId="6756"/>
    <cellStyle name="20% - Accent3 26 3" xfId="6757"/>
    <cellStyle name="20% - Accent3 26 3 2" xfId="6758"/>
    <cellStyle name="20% - Accent3 26 3 2 2" xfId="6759"/>
    <cellStyle name="20% - Accent3 26 3 3" xfId="6760"/>
    <cellStyle name="20% - Accent3 26 3 4" xfId="6761"/>
    <cellStyle name="20% - Accent3 26 4" xfId="6762"/>
    <cellStyle name="20% - Accent3 26 4 2" xfId="6763"/>
    <cellStyle name="20% - Accent3 26 4 2 2" xfId="6764"/>
    <cellStyle name="20% - Accent3 26 4 3" xfId="6765"/>
    <cellStyle name="20% - Accent3 26 4 4" xfId="6766"/>
    <cellStyle name="20% - Accent3 26 5" xfId="6767"/>
    <cellStyle name="20% - Accent3 26 5 2" xfId="6768"/>
    <cellStyle name="20% - Accent3 26 6" xfId="6769"/>
    <cellStyle name="20% - Accent3 26 7" xfId="6770"/>
    <cellStyle name="20% - Accent3 26 8" xfId="6771"/>
    <cellStyle name="20% - Accent3 27" xfId="6772"/>
    <cellStyle name="20% - Accent3 27 2" xfId="6773"/>
    <cellStyle name="20% - Accent3 27 2 2" xfId="6774"/>
    <cellStyle name="20% - Accent3 27 2 2 2" xfId="6775"/>
    <cellStyle name="20% - Accent3 27 2 2 3" xfId="6776"/>
    <cellStyle name="20% - Accent3 27 2 3" xfId="6777"/>
    <cellStyle name="20% - Accent3 27 2 3 2" xfId="6778"/>
    <cellStyle name="20% - Accent3 27 2 4" xfId="6779"/>
    <cellStyle name="20% - Accent3 27 2 5" xfId="6780"/>
    <cellStyle name="20% - Accent3 27 3" xfId="6781"/>
    <cellStyle name="20% - Accent3 27 3 2" xfId="6782"/>
    <cellStyle name="20% - Accent3 27 3 2 2" xfId="6783"/>
    <cellStyle name="20% - Accent3 27 3 3" xfId="6784"/>
    <cellStyle name="20% - Accent3 27 3 4" xfId="6785"/>
    <cellStyle name="20% - Accent3 27 4" xfId="6786"/>
    <cellStyle name="20% - Accent3 27 4 2" xfId="6787"/>
    <cellStyle name="20% - Accent3 27 4 2 2" xfId="6788"/>
    <cellStyle name="20% - Accent3 27 4 3" xfId="6789"/>
    <cellStyle name="20% - Accent3 27 4 4" xfId="6790"/>
    <cellStyle name="20% - Accent3 27 5" xfId="6791"/>
    <cellStyle name="20% - Accent3 27 5 2" xfId="6792"/>
    <cellStyle name="20% - Accent3 27 6" xfId="6793"/>
    <cellStyle name="20% - Accent3 27 7" xfId="6794"/>
    <cellStyle name="20% - Accent3 27 8" xfId="6795"/>
    <cellStyle name="20% - Accent3 28" xfId="6796"/>
    <cellStyle name="20% - Accent3 28 2" xfId="6797"/>
    <cellStyle name="20% - Accent3 28 2 2" xfId="6798"/>
    <cellStyle name="20% - Accent3 28 2 2 2" xfId="6799"/>
    <cellStyle name="20% - Accent3 28 2 2 3" xfId="6800"/>
    <cellStyle name="20% - Accent3 28 2 3" xfId="6801"/>
    <cellStyle name="20% - Accent3 28 2 3 2" xfId="6802"/>
    <cellStyle name="20% - Accent3 28 2 4" xfId="6803"/>
    <cellStyle name="20% - Accent3 28 2 5" xfId="6804"/>
    <cellStyle name="20% - Accent3 28 3" xfId="6805"/>
    <cellStyle name="20% - Accent3 28 3 2" xfId="6806"/>
    <cellStyle name="20% - Accent3 28 3 2 2" xfId="6807"/>
    <cellStyle name="20% - Accent3 28 3 3" xfId="6808"/>
    <cellStyle name="20% - Accent3 28 3 4" xfId="6809"/>
    <cellStyle name="20% - Accent3 28 4" xfId="6810"/>
    <cellStyle name="20% - Accent3 28 4 2" xfId="6811"/>
    <cellStyle name="20% - Accent3 28 4 2 2" xfId="6812"/>
    <cellStyle name="20% - Accent3 28 4 3" xfId="6813"/>
    <cellStyle name="20% - Accent3 28 4 4" xfId="6814"/>
    <cellStyle name="20% - Accent3 28 5" xfId="6815"/>
    <cellStyle name="20% - Accent3 28 5 2" xfId="6816"/>
    <cellStyle name="20% - Accent3 28 6" xfId="6817"/>
    <cellStyle name="20% - Accent3 28 7" xfId="6818"/>
    <cellStyle name="20% - Accent3 28 8" xfId="6819"/>
    <cellStyle name="20% - Accent3 29" xfId="6820"/>
    <cellStyle name="20% - Accent3 29 2" xfId="6821"/>
    <cellStyle name="20% - Accent3 29 2 2" xfId="6822"/>
    <cellStyle name="20% - Accent3 29 2 2 2" xfId="6823"/>
    <cellStyle name="20% - Accent3 29 2 2 3" xfId="6824"/>
    <cellStyle name="20% - Accent3 29 2 3" xfId="6825"/>
    <cellStyle name="20% - Accent3 29 2 3 2" xfId="6826"/>
    <cellStyle name="20% - Accent3 29 2 4" xfId="6827"/>
    <cellStyle name="20% - Accent3 29 2 5" xfId="6828"/>
    <cellStyle name="20% - Accent3 29 3" xfId="6829"/>
    <cellStyle name="20% - Accent3 29 3 2" xfId="6830"/>
    <cellStyle name="20% - Accent3 29 3 2 2" xfId="6831"/>
    <cellStyle name="20% - Accent3 29 3 3" xfId="6832"/>
    <cellStyle name="20% - Accent3 29 3 4" xfId="6833"/>
    <cellStyle name="20% - Accent3 29 4" xfId="6834"/>
    <cellStyle name="20% - Accent3 29 4 2" xfId="6835"/>
    <cellStyle name="20% - Accent3 29 4 2 2" xfId="6836"/>
    <cellStyle name="20% - Accent3 29 4 3" xfId="6837"/>
    <cellStyle name="20% - Accent3 29 4 4" xfId="6838"/>
    <cellStyle name="20% - Accent3 29 5" xfId="6839"/>
    <cellStyle name="20% - Accent3 29 5 2" xfId="6840"/>
    <cellStyle name="20% - Accent3 29 6" xfId="6841"/>
    <cellStyle name="20% - Accent3 29 7" xfId="6842"/>
    <cellStyle name="20% - Accent3 29 8" xfId="6843"/>
    <cellStyle name="20% - Accent3 3" xfId="6844"/>
    <cellStyle name="20% - Accent3 3 10" xfId="6845"/>
    <cellStyle name="20% - Accent3 3 10 2" xfId="6846"/>
    <cellStyle name="20% - Accent3 3 10 2 2" xfId="6847"/>
    <cellStyle name="20% - Accent3 3 10 2 2 2" xfId="6848"/>
    <cellStyle name="20% - Accent3 3 10 2 2 3" xfId="6849"/>
    <cellStyle name="20% - Accent3 3 10 2 3" xfId="6850"/>
    <cellStyle name="20% - Accent3 3 10 2 3 2" xfId="6851"/>
    <cellStyle name="20% - Accent3 3 10 2 4" xfId="6852"/>
    <cellStyle name="20% - Accent3 3 10 2 5" xfId="6853"/>
    <cellStyle name="20% - Accent3 3 10 3" xfId="6854"/>
    <cellStyle name="20% - Accent3 3 10 3 2" xfId="6855"/>
    <cellStyle name="20% - Accent3 3 10 3 2 2" xfId="6856"/>
    <cellStyle name="20% - Accent3 3 10 3 3" xfId="6857"/>
    <cellStyle name="20% - Accent3 3 10 3 4" xfId="6858"/>
    <cellStyle name="20% - Accent3 3 10 4" xfId="6859"/>
    <cellStyle name="20% - Accent3 3 10 4 2" xfId="6860"/>
    <cellStyle name="20% - Accent3 3 10 4 2 2" xfId="6861"/>
    <cellStyle name="20% - Accent3 3 10 4 3" xfId="6862"/>
    <cellStyle name="20% - Accent3 3 10 4 4" xfId="6863"/>
    <cellStyle name="20% - Accent3 3 10 5" xfId="6864"/>
    <cellStyle name="20% - Accent3 3 10 5 2" xfId="6865"/>
    <cellStyle name="20% - Accent3 3 10 6" xfId="6866"/>
    <cellStyle name="20% - Accent3 3 10 7" xfId="6867"/>
    <cellStyle name="20% - Accent3 3 10 8" xfId="6868"/>
    <cellStyle name="20% - Accent3 3 11" xfId="6869"/>
    <cellStyle name="20% - Accent3 3 11 2" xfId="6870"/>
    <cellStyle name="20% - Accent3 3 11 2 2" xfId="6871"/>
    <cellStyle name="20% - Accent3 3 11 2 2 2" xfId="6872"/>
    <cellStyle name="20% - Accent3 3 11 2 2 3" xfId="6873"/>
    <cellStyle name="20% - Accent3 3 11 2 3" xfId="6874"/>
    <cellStyle name="20% - Accent3 3 11 2 3 2" xfId="6875"/>
    <cellStyle name="20% - Accent3 3 11 2 4" xfId="6876"/>
    <cellStyle name="20% - Accent3 3 11 2 5" xfId="6877"/>
    <cellStyle name="20% - Accent3 3 11 3" xfId="6878"/>
    <cellStyle name="20% - Accent3 3 11 3 2" xfId="6879"/>
    <cellStyle name="20% - Accent3 3 11 3 2 2" xfId="6880"/>
    <cellStyle name="20% - Accent3 3 11 3 3" xfId="6881"/>
    <cellStyle name="20% - Accent3 3 11 3 4" xfId="6882"/>
    <cellStyle name="20% - Accent3 3 11 4" xfId="6883"/>
    <cellStyle name="20% - Accent3 3 11 4 2" xfId="6884"/>
    <cellStyle name="20% - Accent3 3 11 4 2 2" xfId="6885"/>
    <cellStyle name="20% - Accent3 3 11 4 3" xfId="6886"/>
    <cellStyle name="20% - Accent3 3 11 4 4" xfId="6887"/>
    <cellStyle name="20% - Accent3 3 11 5" xfId="6888"/>
    <cellStyle name="20% - Accent3 3 11 5 2" xfId="6889"/>
    <cellStyle name="20% - Accent3 3 11 6" xfId="6890"/>
    <cellStyle name="20% - Accent3 3 11 7" xfId="6891"/>
    <cellStyle name="20% - Accent3 3 11 8" xfId="6892"/>
    <cellStyle name="20% - Accent3 3 12" xfId="6893"/>
    <cellStyle name="20% - Accent3 3 12 2" xfId="6894"/>
    <cellStyle name="20% - Accent3 3 12 2 2" xfId="6895"/>
    <cellStyle name="20% - Accent3 3 12 2 2 2" xfId="6896"/>
    <cellStyle name="20% - Accent3 3 12 2 2 3" xfId="6897"/>
    <cellStyle name="20% - Accent3 3 12 2 3" xfId="6898"/>
    <cellStyle name="20% - Accent3 3 12 2 3 2" xfId="6899"/>
    <cellStyle name="20% - Accent3 3 12 2 4" xfId="6900"/>
    <cellStyle name="20% - Accent3 3 12 2 5" xfId="6901"/>
    <cellStyle name="20% - Accent3 3 12 3" xfId="6902"/>
    <cellStyle name="20% - Accent3 3 12 3 2" xfId="6903"/>
    <cellStyle name="20% - Accent3 3 12 3 2 2" xfId="6904"/>
    <cellStyle name="20% - Accent3 3 12 3 3" xfId="6905"/>
    <cellStyle name="20% - Accent3 3 12 3 4" xfId="6906"/>
    <cellStyle name="20% - Accent3 3 12 4" xfId="6907"/>
    <cellStyle name="20% - Accent3 3 12 4 2" xfId="6908"/>
    <cellStyle name="20% - Accent3 3 12 4 2 2" xfId="6909"/>
    <cellStyle name="20% - Accent3 3 12 4 3" xfId="6910"/>
    <cellStyle name="20% - Accent3 3 12 4 4" xfId="6911"/>
    <cellStyle name="20% - Accent3 3 12 5" xfId="6912"/>
    <cellStyle name="20% - Accent3 3 12 5 2" xfId="6913"/>
    <cellStyle name="20% - Accent3 3 12 6" xfId="6914"/>
    <cellStyle name="20% - Accent3 3 12 7" xfId="6915"/>
    <cellStyle name="20% - Accent3 3 12 8" xfId="6916"/>
    <cellStyle name="20% - Accent3 3 2" xfId="6917"/>
    <cellStyle name="20% - Accent3 3 2 2" xfId="6918"/>
    <cellStyle name="20% - Accent3 3 2 2 2" xfId="6919"/>
    <cellStyle name="20% - Accent3 3 2 3" xfId="6920"/>
    <cellStyle name="20% - Accent3 3 2 4" xfId="6921"/>
    <cellStyle name="20% - Accent3 3 2 5" xfId="6922"/>
    <cellStyle name="20% - Accent3 3 2 6" xfId="6923"/>
    <cellStyle name="20% - Accent3 3 2 7" xfId="6924"/>
    <cellStyle name="20% - Accent3 3 2 8" xfId="6925"/>
    <cellStyle name="20% - Accent3 3 2_2009 Actual" xfId="6926"/>
    <cellStyle name="20% - Accent3 3 3" xfId="6927"/>
    <cellStyle name="20% - Accent3 3 3 2" xfId="6928"/>
    <cellStyle name="20% - Accent3 3 4" xfId="6929"/>
    <cellStyle name="20% - Accent3 3 5" xfId="6930"/>
    <cellStyle name="20% - Accent3 3 6" xfId="6931"/>
    <cellStyle name="20% - Accent3 3 7" xfId="6932"/>
    <cellStyle name="20% - Accent3 3 8" xfId="6933"/>
    <cellStyle name="20% - Accent3 3 9" xfId="6934"/>
    <cellStyle name="20% - Accent3 3_2009 Actual" xfId="6935"/>
    <cellStyle name="20% - Accent3 30" xfId="6936"/>
    <cellStyle name="20% - Accent3 30 2" xfId="6937"/>
    <cellStyle name="20% - Accent3 30 2 2" xfId="6938"/>
    <cellStyle name="20% - Accent3 30 2 2 2" xfId="6939"/>
    <cellStyle name="20% - Accent3 30 2 2 3" xfId="6940"/>
    <cellStyle name="20% - Accent3 30 2 3" xfId="6941"/>
    <cellStyle name="20% - Accent3 30 2 3 2" xfId="6942"/>
    <cellStyle name="20% - Accent3 30 2 4" xfId="6943"/>
    <cellStyle name="20% - Accent3 30 2 5" xfId="6944"/>
    <cellStyle name="20% - Accent3 30 3" xfId="6945"/>
    <cellStyle name="20% - Accent3 30 3 2" xfId="6946"/>
    <cellStyle name="20% - Accent3 30 3 2 2" xfId="6947"/>
    <cellStyle name="20% - Accent3 30 3 3" xfId="6948"/>
    <cellStyle name="20% - Accent3 30 3 4" xfId="6949"/>
    <cellStyle name="20% - Accent3 30 4" xfId="6950"/>
    <cellStyle name="20% - Accent3 30 4 2" xfId="6951"/>
    <cellStyle name="20% - Accent3 30 4 2 2" xfId="6952"/>
    <cellStyle name="20% - Accent3 30 4 3" xfId="6953"/>
    <cellStyle name="20% - Accent3 30 4 4" xfId="6954"/>
    <cellStyle name="20% - Accent3 30 5" xfId="6955"/>
    <cellStyle name="20% - Accent3 30 5 2" xfId="6956"/>
    <cellStyle name="20% - Accent3 30 6" xfId="6957"/>
    <cellStyle name="20% - Accent3 30 7" xfId="6958"/>
    <cellStyle name="20% - Accent3 30 8" xfId="6959"/>
    <cellStyle name="20% - Accent3 31" xfId="6960"/>
    <cellStyle name="20% - Accent3 31 2" xfId="6961"/>
    <cellStyle name="20% - Accent3 31 2 2" xfId="6962"/>
    <cellStyle name="20% - Accent3 31 2 3" xfId="6963"/>
    <cellStyle name="20% - Accent3 31 3" xfId="6964"/>
    <cellStyle name="20% - Accent3 31 3 2" xfId="6965"/>
    <cellStyle name="20% - Accent3 31 4" xfId="6966"/>
    <cellStyle name="20% - Accent3 31 5" xfId="6967"/>
    <cellStyle name="20% - Accent3 32" xfId="6968"/>
    <cellStyle name="20% - Accent3 32 2" xfId="6969"/>
    <cellStyle name="20% - Accent3 32 2 2" xfId="6970"/>
    <cellStyle name="20% - Accent3 32 2 3" xfId="6971"/>
    <cellStyle name="20% - Accent3 32 3" xfId="6972"/>
    <cellStyle name="20% - Accent3 32 3 2" xfId="6973"/>
    <cellStyle name="20% - Accent3 32 4" xfId="6974"/>
    <cellStyle name="20% - Accent3 32 5" xfId="6975"/>
    <cellStyle name="20% - Accent3 33" xfId="6976"/>
    <cellStyle name="20% - Accent3 33 2" xfId="6977"/>
    <cellStyle name="20% - Accent3 33 2 2" xfId="6978"/>
    <cellStyle name="20% - Accent3 33 2 3" xfId="6979"/>
    <cellStyle name="20% - Accent3 33 3" xfId="6980"/>
    <cellStyle name="20% - Accent3 33 3 2" xfId="6981"/>
    <cellStyle name="20% - Accent3 33 4" xfId="6982"/>
    <cellStyle name="20% - Accent3 33 5" xfId="6983"/>
    <cellStyle name="20% - Accent3 34" xfId="6984"/>
    <cellStyle name="20% - Accent3 34 2" xfId="6985"/>
    <cellStyle name="20% - Accent3 34 2 2" xfId="6986"/>
    <cellStyle name="20% - Accent3 34 2 3" xfId="6987"/>
    <cellStyle name="20% - Accent3 34 3" xfId="6988"/>
    <cellStyle name="20% - Accent3 34 3 2" xfId="6989"/>
    <cellStyle name="20% - Accent3 34 4" xfId="6990"/>
    <cellStyle name="20% - Accent3 34 5" xfId="6991"/>
    <cellStyle name="20% - Accent3 35" xfId="6992"/>
    <cellStyle name="20% - Accent3 35 2" xfId="6993"/>
    <cellStyle name="20% - Accent3 35 2 2" xfId="6994"/>
    <cellStyle name="20% - Accent3 35 2 3" xfId="6995"/>
    <cellStyle name="20% - Accent3 35 3" xfId="6996"/>
    <cellStyle name="20% - Accent3 35 3 2" xfId="6997"/>
    <cellStyle name="20% - Accent3 35 4" xfId="6998"/>
    <cellStyle name="20% - Accent3 35 5" xfId="6999"/>
    <cellStyle name="20% - Accent3 36" xfId="7000"/>
    <cellStyle name="20% - Accent3 36 2" xfId="7001"/>
    <cellStyle name="20% - Accent3 36 2 2" xfId="7002"/>
    <cellStyle name="20% - Accent3 36 2 3" xfId="7003"/>
    <cellStyle name="20% - Accent3 36 3" xfId="7004"/>
    <cellStyle name="20% - Accent3 36 3 2" xfId="7005"/>
    <cellStyle name="20% - Accent3 36 4" xfId="7006"/>
    <cellStyle name="20% - Accent3 36 5" xfId="7007"/>
    <cellStyle name="20% - Accent3 37" xfId="7008"/>
    <cellStyle name="20% - Accent3 37 2" xfId="7009"/>
    <cellStyle name="20% - Accent3 37 2 2" xfId="7010"/>
    <cellStyle name="20% - Accent3 37 2 3" xfId="7011"/>
    <cellStyle name="20% - Accent3 37 3" xfId="7012"/>
    <cellStyle name="20% - Accent3 37 3 2" xfId="7013"/>
    <cellStyle name="20% - Accent3 37 4" xfId="7014"/>
    <cellStyle name="20% - Accent3 37 5" xfId="7015"/>
    <cellStyle name="20% - Accent3 38" xfId="7016"/>
    <cellStyle name="20% - Accent3 38 2" xfId="7017"/>
    <cellStyle name="20% - Accent3 38 2 2" xfId="7018"/>
    <cellStyle name="20% - Accent3 38 2 3" xfId="7019"/>
    <cellStyle name="20% - Accent3 38 3" xfId="7020"/>
    <cellStyle name="20% - Accent3 38 3 2" xfId="7021"/>
    <cellStyle name="20% - Accent3 38 4" xfId="7022"/>
    <cellStyle name="20% - Accent3 38 5" xfId="7023"/>
    <cellStyle name="20% - Accent3 39" xfId="7024"/>
    <cellStyle name="20% - Accent3 39 2" xfId="7025"/>
    <cellStyle name="20% - Accent3 39 2 2" xfId="7026"/>
    <cellStyle name="20% - Accent3 39 2 3" xfId="7027"/>
    <cellStyle name="20% - Accent3 39 3" xfId="7028"/>
    <cellStyle name="20% - Accent3 39 3 2" xfId="7029"/>
    <cellStyle name="20% - Accent3 39 4" xfId="7030"/>
    <cellStyle name="20% - Accent3 39 5" xfId="7031"/>
    <cellStyle name="20% - Accent3 4" xfId="7032"/>
    <cellStyle name="20% - Accent3 4 2" xfId="7033"/>
    <cellStyle name="20% - Accent3 4 2 2" xfId="7034"/>
    <cellStyle name="20% - Accent3 4 2 3" xfId="7035"/>
    <cellStyle name="20% - Accent3 4 2 4" xfId="7036"/>
    <cellStyle name="20% - Accent3 4 2 5" xfId="7037"/>
    <cellStyle name="20% - Accent3 4 2 6" xfId="7038"/>
    <cellStyle name="20% - Accent3 4 2 7" xfId="7039"/>
    <cellStyle name="20% - Accent3 4 2_2009 Actual" xfId="7040"/>
    <cellStyle name="20% - Accent3 4 3" xfId="7041"/>
    <cellStyle name="20% - Accent3 4 4" xfId="7042"/>
    <cellStyle name="20% - Accent3 4 5" xfId="7043"/>
    <cellStyle name="20% - Accent3 4 6" xfId="7044"/>
    <cellStyle name="20% - Accent3 4 7" xfId="7045"/>
    <cellStyle name="20% - Accent3 4 8" xfId="7046"/>
    <cellStyle name="20% - Accent3 4_2009 Actual" xfId="7047"/>
    <cellStyle name="20% - Accent3 40" xfId="7048"/>
    <cellStyle name="20% - Accent3 40 2" xfId="7049"/>
    <cellStyle name="20% - Accent3 40 2 2" xfId="7050"/>
    <cellStyle name="20% - Accent3 40 2 3" xfId="7051"/>
    <cellStyle name="20% - Accent3 40 3" xfId="7052"/>
    <cellStyle name="20% - Accent3 40 3 2" xfId="7053"/>
    <cellStyle name="20% - Accent3 40 4" xfId="7054"/>
    <cellStyle name="20% - Accent3 40 5" xfId="7055"/>
    <cellStyle name="20% - Accent3 41" xfId="7056"/>
    <cellStyle name="20% - Accent3 41 2" xfId="7057"/>
    <cellStyle name="20% - Accent3 41 2 2" xfId="7058"/>
    <cellStyle name="20% - Accent3 41 2 3" xfId="7059"/>
    <cellStyle name="20% - Accent3 41 3" xfId="7060"/>
    <cellStyle name="20% - Accent3 41 3 2" xfId="7061"/>
    <cellStyle name="20% - Accent3 41 4" xfId="7062"/>
    <cellStyle name="20% - Accent3 41 5" xfId="7063"/>
    <cellStyle name="20% - Accent3 42" xfId="7064"/>
    <cellStyle name="20% - Accent3 42 2" xfId="7065"/>
    <cellStyle name="20% - Accent3 42 2 2" xfId="7066"/>
    <cellStyle name="20% - Accent3 42 2 3" xfId="7067"/>
    <cellStyle name="20% - Accent3 42 3" xfId="7068"/>
    <cellStyle name="20% - Accent3 42 3 2" xfId="7069"/>
    <cellStyle name="20% - Accent3 42 4" xfId="7070"/>
    <cellStyle name="20% - Accent3 42 5" xfId="7071"/>
    <cellStyle name="20% - Accent3 43" xfId="7072"/>
    <cellStyle name="20% - Accent3 43 2" xfId="7073"/>
    <cellStyle name="20% - Accent3 43 2 2" xfId="7074"/>
    <cellStyle name="20% - Accent3 43 2 3" xfId="7075"/>
    <cellStyle name="20% - Accent3 43 3" xfId="7076"/>
    <cellStyle name="20% - Accent3 43 3 2" xfId="7077"/>
    <cellStyle name="20% - Accent3 43 4" xfId="7078"/>
    <cellStyle name="20% - Accent3 43 5" xfId="7079"/>
    <cellStyle name="20% - Accent3 44" xfId="7080"/>
    <cellStyle name="20% - Accent3 44 2" xfId="7081"/>
    <cellStyle name="20% - Accent3 44 2 2" xfId="7082"/>
    <cellStyle name="20% - Accent3 44 2 3" xfId="7083"/>
    <cellStyle name="20% - Accent3 44 3" xfId="7084"/>
    <cellStyle name="20% - Accent3 44 3 2" xfId="7085"/>
    <cellStyle name="20% - Accent3 44 4" xfId="7086"/>
    <cellStyle name="20% - Accent3 44 5" xfId="7087"/>
    <cellStyle name="20% - Accent3 45" xfId="7088"/>
    <cellStyle name="20% - Accent3 45 2" xfId="7089"/>
    <cellStyle name="20% - Accent3 45 2 2" xfId="7090"/>
    <cellStyle name="20% - Accent3 45 2 3" xfId="7091"/>
    <cellStyle name="20% - Accent3 45 3" xfId="7092"/>
    <cellStyle name="20% - Accent3 45 3 2" xfId="7093"/>
    <cellStyle name="20% - Accent3 45 4" xfId="7094"/>
    <cellStyle name="20% - Accent3 45 5" xfId="7095"/>
    <cellStyle name="20% - Accent3 46" xfId="7096"/>
    <cellStyle name="20% - Accent3 46 2" xfId="7097"/>
    <cellStyle name="20% - Accent3 46 2 2" xfId="7098"/>
    <cellStyle name="20% - Accent3 46 2 3" xfId="7099"/>
    <cellStyle name="20% - Accent3 46 3" xfId="7100"/>
    <cellStyle name="20% - Accent3 46 3 2" xfId="7101"/>
    <cellStyle name="20% - Accent3 46 4" xfId="7102"/>
    <cellStyle name="20% - Accent3 46 5" xfId="7103"/>
    <cellStyle name="20% - Accent3 47" xfId="7104"/>
    <cellStyle name="20% - Accent3 47 2" xfId="7105"/>
    <cellStyle name="20% - Accent3 47 2 2" xfId="7106"/>
    <cellStyle name="20% - Accent3 47 2 3" xfId="7107"/>
    <cellStyle name="20% - Accent3 47 3" xfId="7108"/>
    <cellStyle name="20% - Accent3 47 3 2" xfId="7109"/>
    <cellStyle name="20% - Accent3 47 4" xfId="7110"/>
    <cellStyle name="20% - Accent3 47 5" xfId="7111"/>
    <cellStyle name="20% - Accent3 48" xfId="7112"/>
    <cellStyle name="20% - Accent3 48 2" xfId="7113"/>
    <cellStyle name="20% - Accent3 48 2 2" xfId="7114"/>
    <cellStyle name="20% - Accent3 48 2 3" xfId="7115"/>
    <cellStyle name="20% - Accent3 48 3" xfId="7116"/>
    <cellStyle name="20% - Accent3 48 3 2" xfId="7117"/>
    <cellStyle name="20% - Accent3 48 4" xfId="7118"/>
    <cellStyle name="20% - Accent3 48 5" xfId="7119"/>
    <cellStyle name="20% - Accent3 49" xfId="7120"/>
    <cellStyle name="20% - Accent3 49 2" xfId="7121"/>
    <cellStyle name="20% - Accent3 49 2 2" xfId="7122"/>
    <cellStyle name="20% - Accent3 49 2 3" xfId="7123"/>
    <cellStyle name="20% - Accent3 49 3" xfId="7124"/>
    <cellStyle name="20% - Accent3 49 3 2" xfId="7125"/>
    <cellStyle name="20% - Accent3 49 4" xfId="7126"/>
    <cellStyle name="20% - Accent3 49 5" xfId="7127"/>
    <cellStyle name="20% - Accent3 5" xfId="7128"/>
    <cellStyle name="20% - Accent3 5 2" xfId="7129"/>
    <cellStyle name="20% - Accent3 5 2 2" xfId="7130"/>
    <cellStyle name="20% - Accent3 5 2 3" xfId="7131"/>
    <cellStyle name="20% - Accent3 5 2 4" xfId="7132"/>
    <cellStyle name="20% - Accent3 5 2 5" xfId="7133"/>
    <cellStyle name="20% - Accent3 5 2 6" xfId="7134"/>
    <cellStyle name="20% - Accent3 5 2 7" xfId="7135"/>
    <cellStyle name="20% - Accent3 5 2_2009 Actual" xfId="7136"/>
    <cellStyle name="20% - Accent3 5 3" xfId="7137"/>
    <cellStyle name="20% - Accent3 5 4" xfId="7138"/>
    <cellStyle name="20% - Accent3 5 5" xfId="7139"/>
    <cellStyle name="20% - Accent3 5 6" xfId="7140"/>
    <cellStyle name="20% - Accent3 5 7" xfId="7141"/>
    <cellStyle name="20% - Accent3 5 8" xfId="7142"/>
    <cellStyle name="20% - Accent3 5_2009 Actual" xfId="7143"/>
    <cellStyle name="20% - Accent3 50" xfId="7144"/>
    <cellStyle name="20% - Accent3 50 2" xfId="7145"/>
    <cellStyle name="20% - Accent3 50 2 2" xfId="7146"/>
    <cellStyle name="20% - Accent3 50 2 3" xfId="7147"/>
    <cellStyle name="20% - Accent3 50 3" xfId="7148"/>
    <cellStyle name="20% - Accent3 50 3 2" xfId="7149"/>
    <cellStyle name="20% - Accent3 50 4" xfId="7150"/>
    <cellStyle name="20% - Accent3 50 5" xfId="7151"/>
    <cellStyle name="20% - Accent3 51" xfId="7152"/>
    <cellStyle name="20% - Accent3 51 2" xfId="7153"/>
    <cellStyle name="20% - Accent3 51 2 2" xfId="7154"/>
    <cellStyle name="20% - Accent3 51 2 3" xfId="7155"/>
    <cellStyle name="20% - Accent3 51 3" xfId="7156"/>
    <cellStyle name="20% - Accent3 51 3 2" xfId="7157"/>
    <cellStyle name="20% - Accent3 51 4" xfId="7158"/>
    <cellStyle name="20% - Accent3 51 5" xfId="7159"/>
    <cellStyle name="20% - Accent3 52" xfId="7160"/>
    <cellStyle name="20% - Accent3 52 2" xfId="7161"/>
    <cellStyle name="20% - Accent3 52 2 2" xfId="7162"/>
    <cellStyle name="20% - Accent3 52 2 3" xfId="7163"/>
    <cellStyle name="20% - Accent3 52 3" xfId="7164"/>
    <cellStyle name="20% - Accent3 52 3 2" xfId="7165"/>
    <cellStyle name="20% - Accent3 52 4" xfId="7166"/>
    <cellStyle name="20% - Accent3 52 5" xfId="7167"/>
    <cellStyle name="20% - Accent3 53" xfId="7168"/>
    <cellStyle name="20% - Accent3 53 2" xfId="7169"/>
    <cellStyle name="20% - Accent3 53 2 2" xfId="7170"/>
    <cellStyle name="20% - Accent3 53 2 3" xfId="7171"/>
    <cellStyle name="20% - Accent3 53 3" xfId="7172"/>
    <cellStyle name="20% - Accent3 53 3 2" xfId="7173"/>
    <cellStyle name="20% - Accent3 53 4" xfId="7174"/>
    <cellStyle name="20% - Accent3 53 5" xfId="7175"/>
    <cellStyle name="20% - Accent3 54" xfId="7176"/>
    <cellStyle name="20% - Accent3 54 2" xfId="7177"/>
    <cellStyle name="20% - Accent3 54 2 2" xfId="7178"/>
    <cellStyle name="20% - Accent3 54 2 3" xfId="7179"/>
    <cellStyle name="20% - Accent3 54 3" xfId="7180"/>
    <cellStyle name="20% - Accent3 54 3 2" xfId="7181"/>
    <cellStyle name="20% - Accent3 54 4" xfId="7182"/>
    <cellStyle name="20% - Accent3 54 5" xfId="7183"/>
    <cellStyle name="20% - Accent3 55" xfId="7184"/>
    <cellStyle name="20% - Accent3 55 2" xfId="7185"/>
    <cellStyle name="20% - Accent3 55 2 2" xfId="7186"/>
    <cellStyle name="20% - Accent3 55 2 3" xfId="7187"/>
    <cellStyle name="20% - Accent3 55 3" xfId="7188"/>
    <cellStyle name="20% - Accent3 55 3 2" xfId="7189"/>
    <cellStyle name="20% - Accent3 55 4" xfId="7190"/>
    <cellStyle name="20% - Accent3 55 5" xfId="7191"/>
    <cellStyle name="20% - Accent3 56" xfId="7192"/>
    <cellStyle name="20% - Accent3 56 2" xfId="7193"/>
    <cellStyle name="20% - Accent3 56 2 2" xfId="7194"/>
    <cellStyle name="20% - Accent3 56 2 3" xfId="7195"/>
    <cellStyle name="20% - Accent3 56 3" xfId="7196"/>
    <cellStyle name="20% - Accent3 56 3 2" xfId="7197"/>
    <cellStyle name="20% - Accent3 56 4" xfId="7198"/>
    <cellStyle name="20% - Accent3 56 5" xfId="7199"/>
    <cellStyle name="20% - Accent3 57" xfId="7200"/>
    <cellStyle name="20% - Accent3 57 2" xfId="7201"/>
    <cellStyle name="20% - Accent3 57 2 2" xfId="7202"/>
    <cellStyle name="20% - Accent3 57 2 3" xfId="7203"/>
    <cellStyle name="20% - Accent3 57 3" xfId="7204"/>
    <cellStyle name="20% - Accent3 57 3 2" xfId="7205"/>
    <cellStyle name="20% - Accent3 57 4" xfId="7206"/>
    <cellStyle name="20% - Accent3 57 5" xfId="7207"/>
    <cellStyle name="20% - Accent3 58" xfId="7208"/>
    <cellStyle name="20% - Accent3 58 2" xfId="7209"/>
    <cellStyle name="20% - Accent3 58 2 2" xfId="7210"/>
    <cellStyle name="20% - Accent3 58 2 3" xfId="7211"/>
    <cellStyle name="20% - Accent3 58 3" xfId="7212"/>
    <cellStyle name="20% - Accent3 58 3 2" xfId="7213"/>
    <cellStyle name="20% - Accent3 58 4" xfId="7214"/>
    <cellStyle name="20% - Accent3 58 5" xfId="7215"/>
    <cellStyle name="20% - Accent3 59" xfId="7216"/>
    <cellStyle name="20% - Accent3 59 2" xfId="7217"/>
    <cellStyle name="20% - Accent3 59 2 2" xfId="7218"/>
    <cellStyle name="20% - Accent3 59 2 3" xfId="7219"/>
    <cellStyle name="20% - Accent3 59 3" xfId="7220"/>
    <cellStyle name="20% - Accent3 59 3 2" xfId="7221"/>
    <cellStyle name="20% - Accent3 59 4" xfId="7222"/>
    <cellStyle name="20% - Accent3 59 5" xfId="7223"/>
    <cellStyle name="20% - Accent3 6" xfId="7224"/>
    <cellStyle name="20% - Accent3 6 2" xfId="7225"/>
    <cellStyle name="20% - Accent3 6 3" xfId="7226"/>
    <cellStyle name="20% - Accent3 6 4" xfId="7227"/>
    <cellStyle name="20% - Accent3 6 5" xfId="7228"/>
    <cellStyle name="20% - Accent3 6 6" xfId="7229"/>
    <cellStyle name="20% - Accent3 6 7" xfId="7230"/>
    <cellStyle name="20% - Accent3 6 8" xfId="7231"/>
    <cellStyle name="20% - Accent3 6_2009 Actual" xfId="7232"/>
    <cellStyle name="20% - Accent3 60" xfId="7233"/>
    <cellStyle name="20% - Accent3 60 2" xfId="7234"/>
    <cellStyle name="20% - Accent3 60 2 2" xfId="7235"/>
    <cellStyle name="20% - Accent3 60 2 3" xfId="7236"/>
    <cellStyle name="20% - Accent3 60 3" xfId="7237"/>
    <cellStyle name="20% - Accent3 60 3 2" xfId="7238"/>
    <cellStyle name="20% - Accent3 60 4" xfId="7239"/>
    <cellStyle name="20% - Accent3 60 5" xfId="7240"/>
    <cellStyle name="20% - Accent3 61" xfId="7241"/>
    <cellStyle name="20% - Accent3 61 2" xfId="7242"/>
    <cellStyle name="20% - Accent3 61 2 2" xfId="7243"/>
    <cellStyle name="20% - Accent3 61 2 3" xfId="7244"/>
    <cellStyle name="20% - Accent3 61 3" xfId="7245"/>
    <cellStyle name="20% - Accent3 61 3 2" xfId="7246"/>
    <cellStyle name="20% - Accent3 61 4" xfId="7247"/>
    <cellStyle name="20% - Accent3 61 5" xfId="7248"/>
    <cellStyle name="20% - Accent3 62" xfId="7249"/>
    <cellStyle name="20% - Accent3 62 2" xfId="7250"/>
    <cellStyle name="20% - Accent3 62 2 2" xfId="7251"/>
    <cellStyle name="20% - Accent3 62 2 3" xfId="7252"/>
    <cellStyle name="20% - Accent3 62 3" xfId="7253"/>
    <cellStyle name="20% - Accent3 62 3 2" xfId="7254"/>
    <cellStyle name="20% - Accent3 62 4" xfId="7255"/>
    <cellStyle name="20% - Accent3 62 5" xfId="7256"/>
    <cellStyle name="20% - Accent3 63" xfId="7257"/>
    <cellStyle name="20% - Accent3 63 2" xfId="7258"/>
    <cellStyle name="20% - Accent3 63 2 2" xfId="7259"/>
    <cellStyle name="20% - Accent3 63 2 3" xfId="7260"/>
    <cellStyle name="20% - Accent3 63 3" xfId="7261"/>
    <cellStyle name="20% - Accent3 63 3 2" xfId="7262"/>
    <cellStyle name="20% - Accent3 63 4" xfId="7263"/>
    <cellStyle name="20% - Accent3 63 5" xfId="7264"/>
    <cellStyle name="20% - Accent3 64" xfId="7265"/>
    <cellStyle name="20% - Accent3 64 2" xfId="7266"/>
    <cellStyle name="20% - Accent3 64 2 2" xfId="7267"/>
    <cellStyle name="20% - Accent3 64 3" xfId="7268"/>
    <cellStyle name="20% - Accent3 64 4" xfId="7269"/>
    <cellStyle name="20% - Accent3 65" xfId="7270"/>
    <cellStyle name="20% - Accent3 65 2" xfId="7271"/>
    <cellStyle name="20% - Accent3 65 2 2" xfId="7272"/>
    <cellStyle name="20% - Accent3 65 3" xfId="7273"/>
    <cellStyle name="20% - Accent3 65 4" xfId="7274"/>
    <cellStyle name="20% - Accent3 66" xfId="7275"/>
    <cellStyle name="20% - Accent3 66 2" xfId="7276"/>
    <cellStyle name="20% - Accent3 66 2 2" xfId="7277"/>
    <cellStyle name="20% - Accent3 66 3" xfId="7278"/>
    <cellStyle name="20% - Accent3 66 4" xfId="7279"/>
    <cellStyle name="20% - Accent3 67" xfId="7280"/>
    <cellStyle name="20% - Accent3 67 2" xfId="7281"/>
    <cellStyle name="20% - Accent3 67 2 2" xfId="7282"/>
    <cellStyle name="20% - Accent3 67 3" xfId="7283"/>
    <cellStyle name="20% - Accent3 67 4" xfId="7284"/>
    <cellStyle name="20% - Accent3 68" xfId="7285"/>
    <cellStyle name="20% - Accent3 68 2" xfId="7286"/>
    <cellStyle name="20% - Accent3 68 2 2" xfId="7287"/>
    <cellStyle name="20% - Accent3 68 3" xfId="7288"/>
    <cellStyle name="20% - Accent3 68 4" xfId="7289"/>
    <cellStyle name="20% - Accent3 69" xfId="7290"/>
    <cellStyle name="20% - Accent3 69 2" xfId="7291"/>
    <cellStyle name="20% - Accent3 69 2 2" xfId="7292"/>
    <cellStyle name="20% - Accent3 69 3" xfId="7293"/>
    <cellStyle name="20% - Accent3 69 4" xfId="7294"/>
    <cellStyle name="20% - Accent3 7" xfId="7295"/>
    <cellStyle name="20% - Accent3 7 2" xfId="7296"/>
    <cellStyle name="20% - Accent3 7 3" xfId="7297"/>
    <cellStyle name="20% - Accent3 7 4" xfId="7298"/>
    <cellStyle name="20% - Accent3 7 5" xfId="7299"/>
    <cellStyle name="20% - Accent3 7 6" xfId="7300"/>
    <cellStyle name="20% - Accent3 7 7" xfId="7301"/>
    <cellStyle name="20% - Accent3 7 8" xfId="7302"/>
    <cellStyle name="20% - Accent3 7_2009 Actual" xfId="7303"/>
    <cellStyle name="20% - Accent3 70" xfId="7304"/>
    <cellStyle name="20% - Accent3 70 2" xfId="7305"/>
    <cellStyle name="20% - Accent3 70 2 2" xfId="7306"/>
    <cellStyle name="20% - Accent3 70 3" xfId="7307"/>
    <cellStyle name="20% - Accent3 70 4" xfId="7308"/>
    <cellStyle name="20% - Accent3 71" xfId="7309"/>
    <cellStyle name="20% - Accent3 71 2" xfId="7310"/>
    <cellStyle name="20% - Accent3 71 2 2" xfId="7311"/>
    <cellStyle name="20% - Accent3 71 3" xfId="7312"/>
    <cellStyle name="20% - Accent3 71 4" xfId="7313"/>
    <cellStyle name="20% - Accent3 72" xfId="7314"/>
    <cellStyle name="20% - Accent3 72 2" xfId="7315"/>
    <cellStyle name="20% - Accent3 72 2 2" xfId="7316"/>
    <cellStyle name="20% - Accent3 72 3" xfId="7317"/>
    <cellStyle name="20% - Accent3 72 4" xfId="7318"/>
    <cellStyle name="20% - Accent3 73" xfId="7319"/>
    <cellStyle name="20% - Accent3 73 2" xfId="7320"/>
    <cellStyle name="20% - Accent3 73 2 2" xfId="7321"/>
    <cellStyle name="20% - Accent3 73 3" xfId="7322"/>
    <cellStyle name="20% - Accent3 73 4" xfId="7323"/>
    <cellStyle name="20% - Accent3 74" xfId="7324"/>
    <cellStyle name="20% - Accent3 74 2" xfId="7325"/>
    <cellStyle name="20% - Accent3 74 2 2" xfId="7326"/>
    <cellStyle name="20% - Accent3 74 3" xfId="7327"/>
    <cellStyle name="20% - Accent3 74 4" xfId="7328"/>
    <cellStyle name="20% - Accent3 75" xfId="7329"/>
    <cellStyle name="20% - Accent3 75 2" xfId="7330"/>
    <cellStyle name="20% - Accent3 75 2 2" xfId="7331"/>
    <cellStyle name="20% - Accent3 75 3" xfId="7332"/>
    <cellStyle name="20% - Accent3 75 4" xfId="7333"/>
    <cellStyle name="20% - Accent3 76" xfId="7334"/>
    <cellStyle name="20% - Accent3 76 2" xfId="7335"/>
    <cellStyle name="20% - Accent3 76 2 2" xfId="7336"/>
    <cellStyle name="20% - Accent3 76 3" xfId="7337"/>
    <cellStyle name="20% - Accent3 76 4" xfId="7338"/>
    <cellStyle name="20% - Accent3 77" xfId="7339"/>
    <cellStyle name="20% - Accent3 77 2" xfId="7340"/>
    <cellStyle name="20% - Accent3 77 2 2" xfId="7341"/>
    <cellStyle name="20% - Accent3 77 3" xfId="7342"/>
    <cellStyle name="20% - Accent3 77 4" xfId="7343"/>
    <cellStyle name="20% - Accent3 78" xfId="7344"/>
    <cellStyle name="20% - Accent3 78 2" xfId="7345"/>
    <cellStyle name="20% - Accent3 78 2 2" xfId="7346"/>
    <cellStyle name="20% - Accent3 78 3" xfId="7347"/>
    <cellStyle name="20% - Accent3 78 4" xfId="7348"/>
    <cellStyle name="20% - Accent3 79" xfId="7349"/>
    <cellStyle name="20% - Accent3 79 2" xfId="7350"/>
    <cellStyle name="20% - Accent3 79 2 2" xfId="7351"/>
    <cellStyle name="20% - Accent3 79 3" xfId="7352"/>
    <cellStyle name="20% - Accent3 79 4" xfId="7353"/>
    <cellStyle name="20% - Accent3 8" xfId="7354"/>
    <cellStyle name="20% - Accent3 8 2" xfId="7355"/>
    <cellStyle name="20% - Accent3 8 3" xfId="7356"/>
    <cellStyle name="20% - Accent3 8 4" xfId="7357"/>
    <cellStyle name="20% - Accent3 8 5" xfId="7358"/>
    <cellStyle name="20% - Accent3 8 6" xfId="7359"/>
    <cellStyle name="20% - Accent3 8 7" xfId="7360"/>
    <cellStyle name="20% - Accent3 8 8" xfId="7361"/>
    <cellStyle name="20% - Accent3 8_2009 Actual" xfId="7362"/>
    <cellStyle name="20% - Accent3 80" xfId="7363"/>
    <cellStyle name="20% - Accent3 80 2" xfId="7364"/>
    <cellStyle name="20% - Accent3 80 2 2" xfId="7365"/>
    <cellStyle name="20% - Accent3 80 3" xfId="7366"/>
    <cellStyle name="20% - Accent3 80 4" xfId="7367"/>
    <cellStyle name="20% - Accent3 81" xfId="7368"/>
    <cellStyle name="20% - Accent3 81 2" xfId="7369"/>
    <cellStyle name="20% - Accent3 81 2 2" xfId="7370"/>
    <cellStyle name="20% - Accent3 81 3" xfId="7371"/>
    <cellStyle name="20% - Accent3 81 4" xfId="7372"/>
    <cellStyle name="20% - Accent3 82" xfId="7373"/>
    <cellStyle name="20% - Accent3 82 2" xfId="7374"/>
    <cellStyle name="20% - Accent3 82 2 2" xfId="7375"/>
    <cellStyle name="20% - Accent3 82 3" xfId="7376"/>
    <cellStyle name="20% - Accent3 82 4" xfId="7377"/>
    <cellStyle name="20% - Accent3 83" xfId="7378"/>
    <cellStyle name="20% - Accent3 83 2" xfId="7379"/>
    <cellStyle name="20% - Accent3 83 2 2" xfId="7380"/>
    <cellStyle name="20% - Accent3 83 3" xfId="7381"/>
    <cellStyle name="20% - Accent3 83 4" xfId="7382"/>
    <cellStyle name="20% - Accent3 84" xfId="7383"/>
    <cellStyle name="20% - Accent3 84 2" xfId="7384"/>
    <cellStyle name="20% - Accent3 84 2 2" xfId="7385"/>
    <cellStyle name="20% - Accent3 84 3" xfId="7386"/>
    <cellStyle name="20% - Accent3 84 4" xfId="7387"/>
    <cellStyle name="20% - Accent3 85" xfId="7388"/>
    <cellStyle name="20% - Accent3 85 2" xfId="7389"/>
    <cellStyle name="20% - Accent3 85 2 2" xfId="7390"/>
    <cellStyle name="20% - Accent3 85 3" xfId="7391"/>
    <cellStyle name="20% - Accent3 85 4" xfId="7392"/>
    <cellStyle name="20% - Accent3 86" xfId="7393"/>
    <cellStyle name="20% - Accent3 86 2" xfId="7394"/>
    <cellStyle name="20% - Accent3 86 2 2" xfId="7395"/>
    <cellStyle name="20% - Accent3 86 3" xfId="7396"/>
    <cellStyle name="20% - Accent3 86 4" xfId="7397"/>
    <cellStyle name="20% - Accent3 87" xfId="7398"/>
    <cellStyle name="20% - Accent3 87 2" xfId="7399"/>
    <cellStyle name="20% - Accent3 87 2 2" xfId="7400"/>
    <cellStyle name="20% - Accent3 87 3" xfId="7401"/>
    <cellStyle name="20% - Accent3 87 4" xfId="7402"/>
    <cellStyle name="20% - Accent3 88" xfId="7403"/>
    <cellStyle name="20% - Accent3 88 2" xfId="7404"/>
    <cellStyle name="20% - Accent3 88 2 2" xfId="7405"/>
    <cellStyle name="20% - Accent3 88 3" xfId="7406"/>
    <cellStyle name="20% - Accent3 88 4" xfId="7407"/>
    <cellStyle name="20% - Accent3 89" xfId="7408"/>
    <cellStyle name="20% - Accent3 89 2" xfId="7409"/>
    <cellStyle name="20% - Accent3 89 3" xfId="7410"/>
    <cellStyle name="20% - Accent3 9" xfId="7411"/>
    <cellStyle name="20% - Accent3 9 2" xfId="7412"/>
    <cellStyle name="20% - Accent3 9 3" xfId="7413"/>
    <cellStyle name="20% - Accent3 9 4" xfId="7414"/>
    <cellStyle name="20% - Accent3 9 5" xfId="7415"/>
    <cellStyle name="20% - Accent3 9 6" xfId="7416"/>
    <cellStyle name="20% - Accent3 9 7" xfId="7417"/>
    <cellStyle name="20% - Accent3 9 8" xfId="7418"/>
    <cellStyle name="20% - Accent3 9_2009 Actual" xfId="7419"/>
    <cellStyle name="20% - Accent3 90" xfId="7420"/>
    <cellStyle name="20% - Accent3 90 2" xfId="7421"/>
    <cellStyle name="20% - Accent3 91" xfId="7422"/>
    <cellStyle name="20% - Accent3 91 2" xfId="7423"/>
    <cellStyle name="20% - Accent3 92" xfId="7424"/>
    <cellStyle name="20% - Accent3 92 2" xfId="7425"/>
    <cellStyle name="20% - Accent3 93" xfId="7426"/>
    <cellStyle name="20% - Accent3 93 2" xfId="7427"/>
    <cellStyle name="20% - Accent3 94" xfId="7428"/>
    <cellStyle name="20% - Accent3 94 2" xfId="7429"/>
    <cellStyle name="20% - Accent3 95" xfId="7430"/>
    <cellStyle name="20% - Accent3 95 2" xfId="7431"/>
    <cellStyle name="20% - Accent3 96" xfId="7432"/>
    <cellStyle name="20% - Accent3 96 2" xfId="7433"/>
    <cellStyle name="20% - Accent3 97" xfId="7434"/>
    <cellStyle name="20% - Accent3 97 2" xfId="7435"/>
    <cellStyle name="20% - Accent3 98" xfId="7436"/>
    <cellStyle name="20% - Accent3 98 2" xfId="7437"/>
    <cellStyle name="20% - Accent3 99" xfId="7438"/>
    <cellStyle name="20% - Accent4 10" xfId="7439"/>
    <cellStyle name="20% - Accent4 10 2" xfId="7440"/>
    <cellStyle name="20% - Accent4 10 3" xfId="7441"/>
    <cellStyle name="20% - Accent4 10 4" xfId="7442"/>
    <cellStyle name="20% - Accent4 10 5" xfId="7443"/>
    <cellStyle name="20% - Accent4 10 6" xfId="7444"/>
    <cellStyle name="20% - Accent4 10 7" xfId="7445"/>
    <cellStyle name="20% - Accent4 10 8" xfId="7446"/>
    <cellStyle name="20% - Accent4 10_2009 Actual" xfId="7447"/>
    <cellStyle name="20% - Accent4 100" xfId="7448"/>
    <cellStyle name="20% - Accent4 101" xfId="7449"/>
    <cellStyle name="20% - Accent4 102" xfId="7450"/>
    <cellStyle name="20% - Accent4 103" xfId="7451"/>
    <cellStyle name="20% - Accent4 104" xfId="7452"/>
    <cellStyle name="20% - Accent4 105" xfId="7453"/>
    <cellStyle name="20% - Accent4 106" xfId="7454"/>
    <cellStyle name="20% - Accent4 107" xfId="7455"/>
    <cellStyle name="20% - Accent4 108" xfId="7456"/>
    <cellStyle name="20% - Accent4 109" xfId="7457"/>
    <cellStyle name="20% - Accent4 11" xfId="7458"/>
    <cellStyle name="20% - Accent4 11 2" xfId="7459"/>
    <cellStyle name="20% - Accent4 11 3" xfId="7460"/>
    <cellStyle name="20% - Accent4 11 4" xfId="7461"/>
    <cellStyle name="20% - Accent4 11 5" xfId="7462"/>
    <cellStyle name="20% - Accent4 11 6" xfId="7463"/>
    <cellStyle name="20% - Accent4 11 7" xfId="7464"/>
    <cellStyle name="20% - Accent4 11 8" xfId="7465"/>
    <cellStyle name="20% - Accent4 11_2009 Actual" xfId="7466"/>
    <cellStyle name="20% - Accent4 110" xfId="7467"/>
    <cellStyle name="20% - Accent4 111" xfId="7468"/>
    <cellStyle name="20% - Accent4 112" xfId="7469"/>
    <cellStyle name="20% - Accent4 113" xfId="7470"/>
    <cellStyle name="20% - Accent4 114" xfId="7471"/>
    <cellStyle name="20% - Accent4 115" xfId="7472"/>
    <cellStyle name="20% - Accent4 116" xfId="7473"/>
    <cellStyle name="20% - Accent4 117" xfId="7474"/>
    <cellStyle name="20% - Accent4 118" xfId="7475"/>
    <cellStyle name="20% - Accent4 119" xfId="7476"/>
    <cellStyle name="20% - Accent4 12" xfId="7477"/>
    <cellStyle name="20% - Accent4 12 10" xfId="7478"/>
    <cellStyle name="20% - Accent4 12 10 2" xfId="7479"/>
    <cellStyle name="20% - Accent4 12 10 3" xfId="7480"/>
    <cellStyle name="20% - Accent4 12 11" xfId="7481"/>
    <cellStyle name="20% - Accent4 12 12" xfId="7482"/>
    <cellStyle name="20% - Accent4 12 13" xfId="7483"/>
    <cellStyle name="20% - Accent4 12 2" xfId="7484"/>
    <cellStyle name="20% - Accent4 12 2 2" xfId="7485"/>
    <cellStyle name="20% - Accent4 12 2 2 2" xfId="7486"/>
    <cellStyle name="20% - Accent4 12 2 2 3" xfId="7487"/>
    <cellStyle name="20% - Accent4 12 2 3" xfId="7488"/>
    <cellStyle name="20% - Accent4 12 2 3 2" xfId="7489"/>
    <cellStyle name="20% - Accent4 12 2 3 3" xfId="7490"/>
    <cellStyle name="20% - Accent4 12 2 4" xfId="7491"/>
    <cellStyle name="20% - Accent4 12 2 5" xfId="7492"/>
    <cellStyle name="20% - Accent4 12 2_Elec Margin Analysis" xfId="7493"/>
    <cellStyle name="20% - Accent4 12 3" xfId="7494"/>
    <cellStyle name="20% - Accent4 12 3 2" xfId="7495"/>
    <cellStyle name="20% - Accent4 12 3 2 2" xfId="7496"/>
    <cellStyle name="20% - Accent4 12 3 2 3" xfId="7497"/>
    <cellStyle name="20% - Accent4 12 3 3" xfId="7498"/>
    <cellStyle name="20% - Accent4 12 3 3 2" xfId="7499"/>
    <cellStyle name="20% - Accent4 12 3 3 3" xfId="7500"/>
    <cellStyle name="20% - Accent4 12 3 4" xfId="7501"/>
    <cellStyle name="20% - Accent4 12 3 5" xfId="7502"/>
    <cellStyle name="20% - Accent4 12 3_Elec Margin Analysis" xfId="7503"/>
    <cellStyle name="20% - Accent4 12 4" xfId="7504"/>
    <cellStyle name="20% - Accent4 12 4 2" xfId="7505"/>
    <cellStyle name="20% - Accent4 12 4 2 2" xfId="7506"/>
    <cellStyle name="20% - Accent4 12 4 2 3" xfId="7507"/>
    <cellStyle name="20% - Accent4 12 4 3" xfId="7508"/>
    <cellStyle name="20% - Accent4 12 4 3 2" xfId="7509"/>
    <cellStyle name="20% - Accent4 12 4 3 3" xfId="7510"/>
    <cellStyle name="20% - Accent4 12 4 4" xfId="7511"/>
    <cellStyle name="20% - Accent4 12 4 5" xfId="7512"/>
    <cellStyle name="20% - Accent4 12 4_Elec Margin Analysis" xfId="7513"/>
    <cellStyle name="20% - Accent4 12 5" xfId="7514"/>
    <cellStyle name="20% - Accent4 12 5 2" xfId="7515"/>
    <cellStyle name="20% - Accent4 12 5 2 2" xfId="7516"/>
    <cellStyle name="20% - Accent4 12 5 2 3" xfId="7517"/>
    <cellStyle name="20% - Accent4 12 5 3" xfId="7518"/>
    <cellStyle name="20% - Accent4 12 5 3 2" xfId="7519"/>
    <cellStyle name="20% - Accent4 12 5 3 3" xfId="7520"/>
    <cellStyle name="20% - Accent4 12 5 4" xfId="7521"/>
    <cellStyle name="20% - Accent4 12 5 5" xfId="7522"/>
    <cellStyle name="20% - Accent4 12 5_Elec Margin Analysis" xfId="7523"/>
    <cellStyle name="20% - Accent4 12 6" xfId="7524"/>
    <cellStyle name="20% - Accent4 12 6 2" xfId="7525"/>
    <cellStyle name="20% - Accent4 12 6 2 2" xfId="7526"/>
    <cellStyle name="20% - Accent4 12 6 2 3" xfId="7527"/>
    <cellStyle name="20% - Accent4 12 6 3" xfId="7528"/>
    <cellStyle name="20% - Accent4 12 6 3 2" xfId="7529"/>
    <cellStyle name="20% - Accent4 12 6 3 3" xfId="7530"/>
    <cellStyle name="20% - Accent4 12 7" xfId="7531"/>
    <cellStyle name="20% - Accent4 12 7 2" xfId="7532"/>
    <cellStyle name="20% - Accent4 12 7 3" xfId="7533"/>
    <cellStyle name="20% - Accent4 12 8" xfId="7534"/>
    <cellStyle name="20% - Accent4 12 8 2" xfId="7535"/>
    <cellStyle name="20% - Accent4 12 8 3" xfId="7536"/>
    <cellStyle name="20% - Accent4 12 9" xfId="7537"/>
    <cellStyle name="20% - Accent4 12 9 2" xfId="7538"/>
    <cellStyle name="20% - Accent4 12 9 3" xfId="7539"/>
    <cellStyle name="20% - Accent4 12_2009 Actual" xfId="7540"/>
    <cellStyle name="20% - Accent4 120" xfId="7541"/>
    <cellStyle name="20% - Accent4 13" xfId="7542"/>
    <cellStyle name="20% - Accent4 13 2" xfId="7543"/>
    <cellStyle name="20% - Accent4 13 2 2" xfId="7544"/>
    <cellStyle name="20% - Accent4 13 2 3" xfId="7545"/>
    <cellStyle name="20% - Accent4 13 3" xfId="7546"/>
    <cellStyle name="20% - Accent4 13 3 2" xfId="7547"/>
    <cellStyle name="20% - Accent4 13 3 3" xfId="7548"/>
    <cellStyle name="20% - Accent4 13 4" xfId="7549"/>
    <cellStyle name="20% - Accent4 13 4 2" xfId="7550"/>
    <cellStyle name="20% - Accent4 13 4 3" xfId="7551"/>
    <cellStyle name="20% - Accent4 13 5" xfId="7552"/>
    <cellStyle name="20% - Accent4 13 5 2" xfId="7553"/>
    <cellStyle name="20% - Accent4 13 5 3" xfId="7554"/>
    <cellStyle name="20% - Accent4 13 6" xfId="7555"/>
    <cellStyle name="20% - Accent4 13 6 2" xfId="7556"/>
    <cellStyle name="20% - Accent4 13 6 3" xfId="7557"/>
    <cellStyle name="20% - Accent4 13 7" xfId="7558"/>
    <cellStyle name="20% - Accent4 13 7 2" xfId="7559"/>
    <cellStyle name="20% - Accent4 13 7 3" xfId="7560"/>
    <cellStyle name="20% - Accent4 13 8" xfId="7561"/>
    <cellStyle name="20% - Accent4 13 9" xfId="7562"/>
    <cellStyle name="20% - Accent4 13_2009 Actual" xfId="7563"/>
    <cellStyle name="20% - Accent4 14" xfId="7564"/>
    <cellStyle name="20% - Accent4 14 2" xfId="7565"/>
    <cellStyle name="20% - Accent4 14 2 2" xfId="7566"/>
    <cellStyle name="20% - Accent4 14 2 3" xfId="7567"/>
    <cellStyle name="20% - Accent4 14 3" xfId="7568"/>
    <cellStyle name="20% - Accent4 14 3 2" xfId="7569"/>
    <cellStyle name="20% - Accent4 14 3 3" xfId="7570"/>
    <cellStyle name="20% - Accent4 14 4" xfId="7571"/>
    <cellStyle name="20% - Accent4 14 4 2" xfId="7572"/>
    <cellStyle name="20% - Accent4 14 4 3" xfId="7573"/>
    <cellStyle name="20% - Accent4 14 5" xfId="7574"/>
    <cellStyle name="20% - Accent4 14 5 2" xfId="7575"/>
    <cellStyle name="20% - Accent4 14 5 3" xfId="7576"/>
    <cellStyle name="20% - Accent4 14 6" xfId="7577"/>
    <cellStyle name="20% - Accent4 14 6 2" xfId="7578"/>
    <cellStyle name="20% - Accent4 14 6 3" xfId="7579"/>
    <cellStyle name="20% - Accent4 14 7" xfId="7580"/>
    <cellStyle name="20% - Accent4 14 7 2" xfId="7581"/>
    <cellStyle name="20% - Accent4 14 7 3" xfId="7582"/>
    <cellStyle name="20% - Accent4 14 8" xfId="7583"/>
    <cellStyle name="20% - Accent4 14 9" xfId="7584"/>
    <cellStyle name="20% - Accent4 14_2009 Actual" xfId="7585"/>
    <cellStyle name="20% - Accent4 15" xfId="7586"/>
    <cellStyle name="20% - Accent4 15 2" xfId="7587"/>
    <cellStyle name="20% - Accent4 15 3" xfId="7588"/>
    <cellStyle name="20% - Accent4 15 4" xfId="7589"/>
    <cellStyle name="20% - Accent4 15 5" xfId="7590"/>
    <cellStyle name="20% - Accent4 15 6" xfId="7591"/>
    <cellStyle name="20% - Accent4 15_BHP" xfId="7592"/>
    <cellStyle name="20% - Accent4 16" xfId="7593"/>
    <cellStyle name="20% - Accent4 17" xfId="7594"/>
    <cellStyle name="20% - Accent4 18" xfId="7595"/>
    <cellStyle name="20% - Accent4 19" xfId="7596"/>
    <cellStyle name="20% - Accent4 19 2" xfId="7597"/>
    <cellStyle name="20% - Accent4 19 3" xfId="7598"/>
    <cellStyle name="20% - Accent4 19 4" xfId="7599"/>
    <cellStyle name="20% - Accent4 19 5" xfId="7600"/>
    <cellStyle name="20% - Accent4 19_Elec Margin Analysis" xfId="7601"/>
    <cellStyle name="20% - Accent4 2" xfId="7602"/>
    <cellStyle name="20% - Accent4 2 10" xfId="7603"/>
    <cellStyle name="20% - Accent4 2 10 2" xfId="7604"/>
    <cellStyle name="20% - Accent4 2 10 2 2" xfId="7605"/>
    <cellStyle name="20% - Accent4 2 10 2 3" xfId="7606"/>
    <cellStyle name="20% - Accent4 2 10 3" xfId="7607"/>
    <cellStyle name="20% - Accent4 2 10 3 2" xfId="7608"/>
    <cellStyle name="20% - Accent4 2 10 3 3" xfId="7609"/>
    <cellStyle name="20% - Accent4 2 10 4" xfId="7610"/>
    <cellStyle name="20% - Accent4 2 10 5" xfId="7611"/>
    <cellStyle name="20% - Accent4 2 10 6" xfId="7612"/>
    <cellStyle name="20% - Accent4 2 10 6 2" xfId="7613"/>
    <cellStyle name="20% - Accent4 2 10_BHP" xfId="7614"/>
    <cellStyle name="20% - Accent4 2 100" xfId="7615"/>
    <cellStyle name="20% - Accent4 2 100 2" xfId="7616"/>
    <cellStyle name="20% - Accent4 2 100 2 2" xfId="7617"/>
    <cellStyle name="20% - Accent4 2 100 3" xfId="7618"/>
    <cellStyle name="20% - Accent4 2 100 4" xfId="7619"/>
    <cellStyle name="20% - Accent4 2 101" xfId="7620"/>
    <cellStyle name="20% - Accent4 2 101 2" xfId="7621"/>
    <cellStyle name="20% - Accent4 2 101 2 2" xfId="7622"/>
    <cellStyle name="20% - Accent4 2 101 3" xfId="7623"/>
    <cellStyle name="20% - Accent4 2 101 4" xfId="7624"/>
    <cellStyle name="20% - Accent4 2 102" xfId="7625"/>
    <cellStyle name="20% - Accent4 2 102 2" xfId="7626"/>
    <cellStyle name="20% - Accent4 2 102 2 2" xfId="7627"/>
    <cellStyle name="20% - Accent4 2 102 3" xfId="7628"/>
    <cellStyle name="20% - Accent4 2 102 4" xfId="7629"/>
    <cellStyle name="20% - Accent4 2 103" xfId="7630"/>
    <cellStyle name="20% - Accent4 2 103 2" xfId="7631"/>
    <cellStyle name="20% - Accent4 2 103 2 2" xfId="7632"/>
    <cellStyle name="20% - Accent4 2 103 3" xfId="7633"/>
    <cellStyle name="20% - Accent4 2 103 4" xfId="7634"/>
    <cellStyle name="20% - Accent4 2 104" xfId="7635"/>
    <cellStyle name="20% - Accent4 2 104 2" xfId="7636"/>
    <cellStyle name="20% - Accent4 2 104 2 2" xfId="7637"/>
    <cellStyle name="20% - Accent4 2 104 3" xfId="7638"/>
    <cellStyle name="20% - Accent4 2 104 4" xfId="7639"/>
    <cellStyle name="20% - Accent4 2 105" xfId="7640"/>
    <cellStyle name="20% - Accent4 2 105 2" xfId="7641"/>
    <cellStyle name="20% - Accent4 2 105 2 2" xfId="7642"/>
    <cellStyle name="20% - Accent4 2 105 3" xfId="7643"/>
    <cellStyle name="20% - Accent4 2 105 4" xfId="7644"/>
    <cellStyle name="20% - Accent4 2 106" xfId="7645"/>
    <cellStyle name="20% - Accent4 2 106 2" xfId="7646"/>
    <cellStyle name="20% - Accent4 2 106 2 2" xfId="7647"/>
    <cellStyle name="20% - Accent4 2 106 3" xfId="7648"/>
    <cellStyle name="20% - Accent4 2 106 4" xfId="7649"/>
    <cellStyle name="20% - Accent4 2 107" xfId="7650"/>
    <cellStyle name="20% - Accent4 2 107 2" xfId="7651"/>
    <cellStyle name="20% - Accent4 2 107 2 2" xfId="7652"/>
    <cellStyle name="20% - Accent4 2 107 3" xfId="7653"/>
    <cellStyle name="20% - Accent4 2 107 4" xfId="7654"/>
    <cellStyle name="20% - Accent4 2 108" xfId="7655"/>
    <cellStyle name="20% - Accent4 2 108 2" xfId="7656"/>
    <cellStyle name="20% - Accent4 2 108 2 2" xfId="7657"/>
    <cellStyle name="20% - Accent4 2 108 3" xfId="7658"/>
    <cellStyle name="20% - Accent4 2 108 4" xfId="7659"/>
    <cellStyle name="20% - Accent4 2 109" xfId="7660"/>
    <cellStyle name="20% - Accent4 2 109 2" xfId="7661"/>
    <cellStyle name="20% - Accent4 2 109 2 2" xfId="7662"/>
    <cellStyle name="20% - Accent4 2 109 3" xfId="7663"/>
    <cellStyle name="20% - Accent4 2 109 4" xfId="7664"/>
    <cellStyle name="20% - Accent4 2 11" xfId="7665"/>
    <cellStyle name="20% - Accent4 2 11 2" xfId="7666"/>
    <cellStyle name="20% - Accent4 2 11 2 2" xfId="7667"/>
    <cellStyle name="20% - Accent4 2 11 2 3" xfId="7668"/>
    <cellStyle name="20% - Accent4 2 11 3" xfId="7669"/>
    <cellStyle name="20% - Accent4 2 11 3 2" xfId="7670"/>
    <cellStyle name="20% - Accent4 2 11 3 3" xfId="7671"/>
    <cellStyle name="20% - Accent4 2 110" xfId="7672"/>
    <cellStyle name="20% - Accent4 2 110 2" xfId="7673"/>
    <cellStyle name="20% - Accent4 2 110 2 2" xfId="7674"/>
    <cellStyle name="20% - Accent4 2 110 3" xfId="7675"/>
    <cellStyle name="20% - Accent4 2 110 4" xfId="7676"/>
    <cellStyle name="20% - Accent4 2 111" xfId="7677"/>
    <cellStyle name="20% - Accent4 2 111 2" xfId="7678"/>
    <cellStyle name="20% - Accent4 2 111 2 2" xfId="7679"/>
    <cellStyle name="20% - Accent4 2 111 3" xfId="7680"/>
    <cellStyle name="20% - Accent4 2 111 4" xfId="7681"/>
    <cellStyle name="20% - Accent4 2 112" xfId="7682"/>
    <cellStyle name="20% - Accent4 2 112 2" xfId="7683"/>
    <cellStyle name="20% - Accent4 2 112 2 2" xfId="7684"/>
    <cellStyle name="20% - Accent4 2 112 3" xfId="7685"/>
    <cellStyle name="20% - Accent4 2 112 4" xfId="7686"/>
    <cellStyle name="20% - Accent4 2 113" xfId="7687"/>
    <cellStyle name="20% - Accent4 2 113 2" xfId="7688"/>
    <cellStyle name="20% - Accent4 2 113 2 2" xfId="7689"/>
    <cellStyle name="20% - Accent4 2 113 3" xfId="7690"/>
    <cellStyle name="20% - Accent4 2 113 4" xfId="7691"/>
    <cellStyle name="20% - Accent4 2 114" xfId="7692"/>
    <cellStyle name="20% - Accent4 2 114 2" xfId="7693"/>
    <cellStyle name="20% - Accent4 2 114 2 2" xfId="7694"/>
    <cellStyle name="20% - Accent4 2 114 3" xfId="7695"/>
    <cellStyle name="20% - Accent4 2 114 4" xfId="7696"/>
    <cellStyle name="20% - Accent4 2 115" xfId="7697"/>
    <cellStyle name="20% - Accent4 2 115 2" xfId="7698"/>
    <cellStyle name="20% - Accent4 2 115 2 2" xfId="7699"/>
    <cellStyle name="20% - Accent4 2 115 3" xfId="7700"/>
    <cellStyle name="20% - Accent4 2 115 4" xfId="7701"/>
    <cellStyle name="20% - Accent4 2 116" xfId="7702"/>
    <cellStyle name="20% - Accent4 2 116 2" xfId="7703"/>
    <cellStyle name="20% - Accent4 2 116 2 2" xfId="7704"/>
    <cellStyle name="20% - Accent4 2 116 3" xfId="7705"/>
    <cellStyle name="20% - Accent4 2 116 4" xfId="7706"/>
    <cellStyle name="20% - Accent4 2 117" xfId="7707"/>
    <cellStyle name="20% - Accent4 2 117 2" xfId="7708"/>
    <cellStyle name="20% - Accent4 2 117 2 2" xfId="7709"/>
    <cellStyle name="20% - Accent4 2 117 3" xfId="7710"/>
    <cellStyle name="20% - Accent4 2 117 4" xfId="7711"/>
    <cellStyle name="20% - Accent4 2 118" xfId="7712"/>
    <cellStyle name="20% - Accent4 2 118 2" xfId="7713"/>
    <cellStyle name="20% - Accent4 2 118 2 2" xfId="7714"/>
    <cellStyle name="20% - Accent4 2 118 3" xfId="7715"/>
    <cellStyle name="20% - Accent4 2 118 4" xfId="7716"/>
    <cellStyle name="20% - Accent4 2 119" xfId="7717"/>
    <cellStyle name="20% - Accent4 2 119 2" xfId="7718"/>
    <cellStyle name="20% - Accent4 2 12" xfId="7719"/>
    <cellStyle name="20% - Accent4 2 12 2" xfId="7720"/>
    <cellStyle name="20% - Accent4 2 12 3" xfId="7721"/>
    <cellStyle name="20% - Accent4 2 120" xfId="7722"/>
    <cellStyle name="20% - Accent4 2 120 2" xfId="7723"/>
    <cellStyle name="20% - Accent4 2 121" xfId="7724"/>
    <cellStyle name="20% - Accent4 2 121 2" xfId="7725"/>
    <cellStyle name="20% - Accent4 2 122" xfId="7726"/>
    <cellStyle name="20% - Accent4 2 122 2" xfId="7727"/>
    <cellStyle name="20% - Accent4 2 123" xfId="7728"/>
    <cellStyle name="20% - Accent4 2 124" xfId="7729"/>
    <cellStyle name="20% - Accent4 2 125" xfId="7730"/>
    <cellStyle name="20% - Accent4 2 126" xfId="7731"/>
    <cellStyle name="20% - Accent4 2 127" xfId="7732"/>
    <cellStyle name="20% - Accent4 2 128" xfId="7733"/>
    <cellStyle name="20% - Accent4 2 129" xfId="7734"/>
    <cellStyle name="20% - Accent4 2 13" xfId="7735"/>
    <cellStyle name="20% - Accent4 2 13 2" xfId="7736"/>
    <cellStyle name="20% - Accent4 2 13 3" xfId="7737"/>
    <cellStyle name="20% - Accent4 2 130" xfId="7738"/>
    <cellStyle name="20% - Accent4 2 131" xfId="7739"/>
    <cellStyle name="20% - Accent4 2 132" xfId="7740"/>
    <cellStyle name="20% - Accent4 2 133" xfId="7741"/>
    <cellStyle name="20% - Accent4 2 134" xfId="7742"/>
    <cellStyle name="20% - Accent4 2 135" xfId="7743"/>
    <cellStyle name="20% - Accent4 2 136" xfId="7744"/>
    <cellStyle name="20% - Accent4 2 137" xfId="7745"/>
    <cellStyle name="20% - Accent4 2 138" xfId="7746"/>
    <cellStyle name="20% - Accent4 2 139" xfId="7747"/>
    <cellStyle name="20% - Accent4 2 14" xfId="7748"/>
    <cellStyle name="20% - Accent4 2 14 2" xfId="7749"/>
    <cellStyle name="20% - Accent4 2 14 3" xfId="7750"/>
    <cellStyle name="20% - Accent4 2 140" xfId="7751"/>
    <cellStyle name="20% - Accent4 2 141" xfId="7752"/>
    <cellStyle name="20% - Accent4 2 142" xfId="7753"/>
    <cellStyle name="20% - Accent4 2 143" xfId="7754"/>
    <cellStyle name="20% - Accent4 2 15" xfId="7755"/>
    <cellStyle name="20% - Accent4 2 16" xfId="7756"/>
    <cellStyle name="20% - Accent4 2 17" xfId="7757"/>
    <cellStyle name="20% - Accent4 2 18" xfId="7758"/>
    <cellStyle name="20% - Accent4 2 19" xfId="7759"/>
    <cellStyle name="20% - Accent4 2 19 2" xfId="7760"/>
    <cellStyle name="20% - Accent4 2 19 2 2" xfId="7761"/>
    <cellStyle name="20% - Accent4 2 19 2 2 2" xfId="7762"/>
    <cellStyle name="20% - Accent4 2 19 2 2 3" xfId="7763"/>
    <cellStyle name="20% - Accent4 2 19 2 3" xfId="7764"/>
    <cellStyle name="20% - Accent4 2 19 2 3 2" xfId="7765"/>
    <cellStyle name="20% - Accent4 2 19 2 4" xfId="7766"/>
    <cellStyle name="20% - Accent4 2 19 2 5" xfId="7767"/>
    <cellStyle name="20% - Accent4 2 19 3" xfId="7768"/>
    <cellStyle name="20% - Accent4 2 19 3 2" xfId="7769"/>
    <cellStyle name="20% - Accent4 2 19 3 2 2" xfId="7770"/>
    <cellStyle name="20% - Accent4 2 19 3 3" xfId="7771"/>
    <cellStyle name="20% - Accent4 2 19 3 4" xfId="7772"/>
    <cellStyle name="20% - Accent4 2 19 4" xfId="7773"/>
    <cellStyle name="20% - Accent4 2 19 4 2" xfId="7774"/>
    <cellStyle name="20% - Accent4 2 19 4 2 2" xfId="7775"/>
    <cellStyle name="20% - Accent4 2 19 4 3" xfId="7776"/>
    <cellStyle name="20% - Accent4 2 19 4 4" xfId="7777"/>
    <cellStyle name="20% - Accent4 2 19 5" xfId="7778"/>
    <cellStyle name="20% - Accent4 2 19 5 2" xfId="7779"/>
    <cellStyle name="20% - Accent4 2 19 6" xfId="7780"/>
    <cellStyle name="20% - Accent4 2 19 7" xfId="7781"/>
    <cellStyle name="20% - Accent4 2 19 8" xfId="7782"/>
    <cellStyle name="20% - Accent4 2 2" xfId="7783"/>
    <cellStyle name="20% - Accent4 2 2 10" xfId="7784"/>
    <cellStyle name="20% - Accent4 2 2 10 2" xfId="7785"/>
    <cellStyle name="20% - Accent4 2 2 10 3" xfId="7786"/>
    <cellStyle name="20% - Accent4 2 2 11" xfId="7787"/>
    <cellStyle name="20% - Accent4 2 2 12" xfId="7788"/>
    <cellStyle name="20% - Accent4 2 2 12 2" xfId="7789"/>
    <cellStyle name="20% - Accent4 2 2 12 2 2" xfId="7790"/>
    <cellStyle name="20% - Accent4 2 2 12 2 2 2" xfId="7791"/>
    <cellStyle name="20% - Accent4 2 2 12 2 2 3" xfId="7792"/>
    <cellStyle name="20% - Accent4 2 2 12 2 3" xfId="7793"/>
    <cellStyle name="20% - Accent4 2 2 12 2 3 2" xfId="7794"/>
    <cellStyle name="20% - Accent4 2 2 12 2 4" xfId="7795"/>
    <cellStyle name="20% - Accent4 2 2 12 2 5" xfId="7796"/>
    <cellStyle name="20% - Accent4 2 2 12 3" xfId="7797"/>
    <cellStyle name="20% - Accent4 2 2 12 3 2" xfId="7798"/>
    <cellStyle name="20% - Accent4 2 2 12 3 2 2" xfId="7799"/>
    <cellStyle name="20% - Accent4 2 2 12 3 3" xfId="7800"/>
    <cellStyle name="20% - Accent4 2 2 12 3 4" xfId="7801"/>
    <cellStyle name="20% - Accent4 2 2 12 4" xfId="7802"/>
    <cellStyle name="20% - Accent4 2 2 12 4 2" xfId="7803"/>
    <cellStyle name="20% - Accent4 2 2 12 4 2 2" xfId="7804"/>
    <cellStyle name="20% - Accent4 2 2 12 4 3" xfId="7805"/>
    <cellStyle name="20% - Accent4 2 2 12 4 4" xfId="7806"/>
    <cellStyle name="20% - Accent4 2 2 12 5" xfId="7807"/>
    <cellStyle name="20% - Accent4 2 2 12 5 2" xfId="7808"/>
    <cellStyle name="20% - Accent4 2 2 12 6" xfId="7809"/>
    <cellStyle name="20% - Accent4 2 2 12 7" xfId="7810"/>
    <cellStyle name="20% - Accent4 2 2 12 8" xfId="7811"/>
    <cellStyle name="20% - Accent4 2 2 13" xfId="7812"/>
    <cellStyle name="20% - Accent4 2 2 13 2" xfId="7813"/>
    <cellStyle name="20% - Accent4 2 2 13 2 2" xfId="7814"/>
    <cellStyle name="20% - Accent4 2 2 13 2 2 2" xfId="7815"/>
    <cellStyle name="20% - Accent4 2 2 13 2 2 3" xfId="7816"/>
    <cellStyle name="20% - Accent4 2 2 13 2 3" xfId="7817"/>
    <cellStyle name="20% - Accent4 2 2 13 2 3 2" xfId="7818"/>
    <cellStyle name="20% - Accent4 2 2 13 2 4" xfId="7819"/>
    <cellStyle name="20% - Accent4 2 2 13 2 5" xfId="7820"/>
    <cellStyle name="20% - Accent4 2 2 13 3" xfId="7821"/>
    <cellStyle name="20% - Accent4 2 2 13 3 2" xfId="7822"/>
    <cellStyle name="20% - Accent4 2 2 13 3 2 2" xfId="7823"/>
    <cellStyle name="20% - Accent4 2 2 13 3 3" xfId="7824"/>
    <cellStyle name="20% - Accent4 2 2 13 3 4" xfId="7825"/>
    <cellStyle name="20% - Accent4 2 2 13 4" xfId="7826"/>
    <cellStyle name="20% - Accent4 2 2 13 4 2" xfId="7827"/>
    <cellStyle name="20% - Accent4 2 2 13 4 2 2" xfId="7828"/>
    <cellStyle name="20% - Accent4 2 2 13 4 3" xfId="7829"/>
    <cellStyle name="20% - Accent4 2 2 13 4 4" xfId="7830"/>
    <cellStyle name="20% - Accent4 2 2 13 5" xfId="7831"/>
    <cellStyle name="20% - Accent4 2 2 13 5 2" xfId="7832"/>
    <cellStyle name="20% - Accent4 2 2 13 6" xfId="7833"/>
    <cellStyle name="20% - Accent4 2 2 13 7" xfId="7834"/>
    <cellStyle name="20% - Accent4 2 2 13 8" xfId="7835"/>
    <cellStyle name="20% - Accent4 2 2 14" xfId="7836"/>
    <cellStyle name="20% - Accent4 2 2 14 2" xfId="7837"/>
    <cellStyle name="20% - Accent4 2 2 14 2 2" xfId="7838"/>
    <cellStyle name="20% - Accent4 2 2 14 2 2 2" xfId="7839"/>
    <cellStyle name="20% - Accent4 2 2 14 2 2 3" xfId="7840"/>
    <cellStyle name="20% - Accent4 2 2 14 2 3" xfId="7841"/>
    <cellStyle name="20% - Accent4 2 2 14 2 3 2" xfId="7842"/>
    <cellStyle name="20% - Accent4 2 2 14 2 4" xfId="7843"/>
    <cellStyle name="20% - Accent4 2 2 14 2 5" xfId="7844"/>
    <cellStyle name="20% - Accent4 2 2 14 3" xfId="7845"/>
    <cellStyle name="20% - Accent4 2 2 14 3 2" xfId="7846"/>
    <cellStyle name="20% - Accent4 2 2 14 3 2 2" xfId="7847"/>
    <cellStyle name="20% - Accent4 2 2 14 3 3" xfId="7848"/>
    <cellStyle name="20% - Accent4 2 2 14 3 4" xfId="7849"/>
    <cellStyle name="20% - Accent4 2 2 14 4" xfId="7850"/>
    <cellStyle name="20% - Accent4 2 2 14 4 2" xfId="7851"/>
    <cellStyle name="20% - Accent4 2 2 14 4 2 2" xfId="7852"/>
    <cellStyle name="20% - Accent4 2 2 14 4 3" xfId="7853"/>
    <cellStyle name="20% - Accent4 2 2 14 4 4" xfId="7854"/>
    <cellStyle name="20% - Accent4 2 2 14 5" xfId="7855"/>
    <cellStyle name="20% - Accent4 2 2 14 5 2" xfId="7856"/>
    <cellStyle name="20% - Accent4 2 2 14 6" xfId="7857"/>
    <cellStyle name="20% - Accent4 2 2 14 7" xfId="7858"/>
    <cellStyle name="20% - Accent4 2 2 14 8" xfId="7859"/>
    <cellStyle name="20% - Accent4 2 2 2" xfId="7860"/>
    <cellStyle name="20% - Accent4 2 2 2 10" xfId="7861"/>
    <cellStyle name="20% - Accent4 2 2 2 11" xfId="7862"/>
    <cellStyle name="20% - Accent4 2 2 2 2" xfId="7863"/>
    <cellStyle name="20% - Accent4 2 2 2 3" xfId="7864"/>
    <cellStyle name="20% - Accent4 2 2 2 4" xfId="7865"/>
    <cellStyle name="20% - Accent4 2 2 2 5" xfId="7866"/>
    <cellStyle name="20% - Accent4 2 2 2 6" xfId="7867"/>
    <cellStyle name="20% - Accent4 2 2 2 7" xfId="7868"/>
    <cellStyle name="20% - Accent4 2 2 2 8" xfId="7869"/>
    <cellStyle name="20% - Accent4 2 2 2 9" xfId="7870"/>
    <cellStyle name="20% - Accent4 2 2 2_4Q Ops Metrics Gas &amp; Electric 2010" xfId="7871"/>
    <cellStyle name="20% - Accent4 2 2 3" xfId="7872"/>
    <cellStyle name="20% - Accent4 2 2 3 2" xfId="7873"/>
    <cellStyle name="20% - Accent4 2 2 4" xfId="7874"/>
    <cellStyle name="20% - Accent4 2 2 4 2" xfId="7875"/>
    <cellStyle name="20% - Accent4 2 2 5" xfId="7876"/>
    <cellStyle name="20% - Accent4 2 2 5 2" xfId="7877"/>
    <cellStyle name="20% - Accent4 2 2 6" xfId="7878"/>
    <cellStyle name="20% - Accent4 2 2 6 2" xfId="7879"/>
    <cellStyle name="20% - Accent4 2 2 7" xfId="7880"/>
    <cellStyle name="20% - Accent4 2 2 7 2" xfId="7881"/>
    <cellStyle name="20% - Accent4 2 2 8" xfId="7882"/>
    <cellStyle name="20% - Accent4 2 2 8 2" xfId="7883"/>
    <cellStyle name="20% - Accent4 2 2 8 3" xfId="7884"/>
    <cellStyle name="20% - Accent4 2 2 9" xfId="7885"/>
    <cellStyle name="20% - Accent4 2 2 9 2" xfId="7886"/>
    <cellStyle name="20% - Accent4 2 2 9 3" xfId="7887"/>
    <cellStyle name="20% - Accent4 2 2_2009 Actual" xfId="7888"/>
    <cellStyle name="20% - Accent4 2 20" xfId="7889"/>
    <cellStyle name="20% - Accent4 2 20 2" xfId="7890"/>
    <cellStyle name="20% - Accent4 2 20 2 2" xfId="7891"/>
    <cellStyle name="20% - Accent4 2 20 2 2 2" xfId="7892"/>
    <cellStyle name="20% - Accent4 2 20 2 2 3" xfId="7893"/>
    <cellStyle name="20% - Accent4 2 20 2 3" xfId="7894"/>
    <cellStyle name="20% - Accent4 2 20 2 3 2" xfId="7895"/>
    <cellStyle name="20% - Accent4 2 20 2 4" xfId="7896"/>
    <cellStyle name="20% - Accent4 2 20 2 5" xfId="7897"/>
    <cellStyle name="20% - Accent4 2 20 3" xfId="7898"/>
    <cellStyle name="20% - Accent4 2 20 3 2" xfId="7899"/>
    <cellStyle name="20% - Accent4 2 20 3 2 2" xfId="7900"/>
    <cellStyle name="20% - Accent4 2 20 3 3" xfId="7901"/>
    <cellStyle name="20% - Accent4 2 20 3 4" xfId="7902"/>
    <cellStyle name="20% - Accent4 2 20 4" xfId="7903"/>
    <cellStyle name="20% - Accent4 2 20 4 2" xfId="7904"/>
    <cellStyle name="20% - Accent4 2 20 4 2 2" xfId="7905"/>
    <cellStyle name="20% - Accent4 2 20 4 3" xfId="7906"/>
    <cellStyle name="20% - Accent4 2 20 4 4" xfId="7907"/>
    <cellStyle name="20% - Accent4 2 20 5" xfId="7908"/>
    <cellStyle name="20% - Accent4 2 20 5 2" xfId="7909"/>
    <cellStyle name="20% - Accent4 2 20 6" xfId="7910"/>
    <cellStyle name="20% - Accent4 2 20 7" xfId="7911"/>
    <cellStyle name="20% - Accent4 2 20 8" xfId="7912"/>
    <cellStyle name="20% - Accent4 2 21" xfId="7913"/>
    <cellStyle name="20% - Accent4 2 21 2" xfId="7914"/>
    <cellStyle name="20% - Accent4 2 21 2 2" xfId="7915"/>
    <cellStyle name="20% - Accent4 2 21 2 2 2" xfId="7916"/>
    <cellStyle name="20% - Accent4 2 21 2 2 3" xfId="7917"/>
    <cellStyle name="20% - Accent4 2 21 2 3" xfId="7918"/>
    <cellStyle name="20% - Accent4 2 21 2 3 2" xfId="7919"/>
    <cellStyle name="20% - Accent4 2 21 2 4" xfId="7920"/>
    <cellStyle name="20% - Accent4 2 21 2 5" xfId="7921"/>
    <cellStyle name="20% - Accent4 2 21 3" xfId="7922"/>
    <cellStyle name="20% - Accent4 2 21 3 2" xfId="7923"/>
    <cellStyle name="20% - Accent4 2 21 3 2 2" xfId="7924"/>
    <cellStyle name="20% - Accent4 2 21 3 3" xfId="7925"/>
    <cellStyle name="20% - Accent4 2 21 3 4" xfId="7926"/>
    <cellStyle name="20% - Accent4 2 21 4" xfId="7927"/>
    <cellStyle name="20% - Accent4 2 21 4 2" xfId="7928"/>
    <cellStyle name="20% - Accent4 2 21 4 2 2" xfId="7929"/>
    <cellStyle name="20% - Accent4 2 21 4 3" xfId="7930"/>
    <cellStyle name="20% - Accent4 2 21 4 4" xfId="7931"/>
    <cellStyle name="20% - Accent4 2 21 5" xfId="7932"/>
    <cellStyle name="20% - Accent4 2 21 5 2" xfId="7933"/>
    <cellStyle name="20% - Accent4 2 21 6" xfId="7934"/>
    <cellStyle name="20% - Accent4 2 21 7" xfId="7935"/>
    <cellStyle name="20% - Accent4 2 21 8" xfId="7936"/>
    <cellStyle name="20% - Accent4 2 22" xfId="7937"/>
    <cellStyle name="20% - Accent4 2 22 2" xfId="7938"/>
    <cellStyle name="20% - Accent4 2 22 2 2" xfId="7939"/>
    <cellStyle name="20% - Accent4 2 22 2 2 2" xfId="7940"/>
    <cellStyle name="20% - Accent4 2 22 2 2 3" xfId="7941"/>
    <cellStyle name="20% - Accent4 2 22 2 3" xfId="7942"/>
    <cellStyle name="20% - Accent4 2 22 2 3 2" xfId="7943"/>
    <cellStyle name="20% - Accent4 2 22 2 4" xfId="7944"/>
    <cellStyle name="20% - Accent4 2 22 2 5" xfId="7945"/>
    <cellStyle name="20% - Accent4 2 22 3" xfId="7946"/>
    <cellStyle name="20% - Accent4 2 22 3 2" xfId="7947"/>
    <cellStyle name="20% - Accent4 2 22 3 2 2" xfId="7948"/>
    <cellStyle name="20% - Accent4 2 22 3 3" xfId="7949"/>
    <cellStyle name="20% - Accent4 2 22 3 4" xfId="7950"/>
    <cellStyle name="20% - Accent4 2 22 4" xfId="7951"/>
    <cellStyle name="20% - Accent4 2 22 4 2" xfId="7952"/>
    <cellStyle name="20% - Accent4 2 22 4 2 2" xfId="7953"/>
    <cellStyle name="20% - Accent4 2 22 4 3" xfId="7954"/>
    <cellStyle name="20% - Accent4 2 22 4 4" xfId="7955"/>
    <cellStyle name="20% - Accent4 2 22 5" xfId="7956"/>
    <cellStyle name="20% - Accent4 2 22 5 2" xfId="7957"/>
    <cellStyle name="20% - Accent4 2 22 6" xfId="7958"/>
    <cellStyle name="20% - Accent4 2 22 7" xfId="7959"/>
    <cellStyle name="20% - Accent4 2 22 8" xfId="7960"/>
    <cellStyle name="20% - Accent4 2 23" xfId="7961"/>
    <cellStyle name="20% - Accent4 2 23 2" xfId="7962"/>
    <cellStyle name="20% - Accent4 2 23 2 2" xfId="7963"/>
    <cellStyle name="20% - Accent4 2 23 2 2 2" xfId="7964"/>
    <cellStyle name="20% - Accent4 2 23 2 2 3" xfId="7965"/>
    <cellStyle name="20% - Accent4 2 23 2 3" xfId="7966"/>
    <cellStyle name="20% - Accent4 2 23 2 3 2" xfId="7967"/>
    <cellStyle name="20% - Accent4 2 23 2 4" xfId="7968"/>
    <cellStyle name="20% - Accent4 2 23 2 5" xfId="7969"/>
    <cellStyle name="20% - Accent4 2 23 3" xfId="7970"/>
    <cellStyle name="20% - Accent4 2 23 3 2" xfId="7971"/>
    <cellStyle name="20% - Accent4 2 23 3 2 2" xfId="7972"/>
    <cellStyle name="20% - Accent4 2 23 3 3" xfId="7973"/>
    <cellStyle name="20% - Accent4 2 23 3 4" xfId="7974"/>
    <cellStyle name="20% - Accent4 2 23 4" xfId="7975"/>
    <cellStyle name="20% - Accent4 2 23 4 2" xfId="7976"/>
    <cellStyle name="20% - Accent4 2 23 4 2 2" xfId="7977"/>
    <cellStyle name="20% - Accent4 2 23 4 3" xfId="7978"/>
    <cellStyle name="20% - Accent4 2 23 4 4" xfId="7979"/>
    <cellStyle name="20% - Accent4 2 23 5" xfId="7980"/>
    <cellStyle name="20% - Accent4 2 23 5 2" xfId="7981"/>
    <cellStyle name="20% - Accent4 2 23 6" xfId="7982"/>
    <cellStyle name="20% - Accent4 2 23 7" xfId="7983"/>
    <cellStyle name="20% - Accent4 2 23 8" xfId="7984"/>
    <cellStyle name="20% - Accent4 2 24" xfId="7985"/>
    <cellStyle name="20% - Accent4 2 24 2" xfId="7986"/>
    <cellStyle name="20% - Accent4 2 24 2 2" xfId="7987"/>
    <cellStyle name="20% - Accent4 2 24 2 2 2" xfId="7988"/>
    <cellStyle name="20% - Accent4 2 24 2 2 3" xfId="7989"/>
    <cellStyle name="20% - Accent4 2 24 2 3" xfId="7990"/>
    <cellStyle name="20% - Accent4 2 24 2 3 2" xfId="7991"/>
    <cellStyle name="20% - Accent4 2 24 2 4" xfId="7992"/>
    <cellStyle name="20% - Accent4 2 24 2 5" xfId="7993"/>
    <cellStyle name="20% - Accent4 2 24 3" xfId="7994"/>
    <cellStyle name="20% - Accent4 2 24 3 2" xfId="7995"/>
    <cellStyle name="20% - Accent4 2 24 3 2 2" xfId="7996"/>
    <cellStyle name="20% - Accent4 2 24 3 3" xfId="7997"/>
    <cellStyle name="20% - Accent4 2 24 3 4" xfId="7998"/>
    <cellStyle name="20% - Accent4 2 24 4" xfId="7999"/>
    <cellStyle name="20% - Accent4 2 24 4 2" xfId="8000"/>
    <cellStyle name="20% - Accent4 2 24 4 2 2" xfId="8001"/>
    <cellStyle name="20% - Accent4 2 24 4 3" xfId="8002"/>
    <cellStyle name="20% - Accent4 2 24 4 4" xfId="8003"/>
    <cellStyle name="20% - Accent4 2 24 5" xfId="8004"/>
    <cellStyle name="20% - Accent4 2 24 5 2" xfId="8005"/>
    <cellStyle name="20% - Accent4 2 24 6" xfId="8006"/>
    <cellStyle name="20% - Accent4 2 24 7" xfId="8007"/>
    <cellStyle name="20% - Accent4 2 24 8" xfId="8008"/>
    <cellStyle name="20% - Accent4 2 25" xfId="8009"/>
    <cellStyle name="20% - Accent4 2 25 2" xfId="8010"/>
    <cellStyle name="20% - Accent4 2 25 2 2" xfId="8011"/>
    <cellStyle name="20% - Accent4 2 25 2 2 2" xfId="8012"/>
    <cellStyle name="20% - Accent4 2 25 2 2 3" xfId="8013"/>
    <cellStyle name="20% - Accent4 2 25 2 3" xfId="8014"/>
    <cellStyle name="20% - Accent4 2 25 2 3 2" xfId="8015"/>
    <cellStyle name="20% - Accent4 2 25 2 4" xfId="8016"/>
    <cellStyle name="20% - Accent4 2 25 2 5" xfId="8017"/>
    <cellStyle name="20% - Accent4 2 25 3" xfId="8018"/>
    <cellStyle name="20% - Accent4 2 25 3 2" xfId="8019"/>
    <cellStyle name="20% - Accent4 2 25 3 2 2" xfId="8020"/>
    <cellStyle name="20% - Accent4 2 25 3 3" xfId="8021"/>
    <cellStyle name="20% - Accent4 2 25 3 4" xfId="8022"/>
    <cellStyle name="20% - Accent4 2 25 4" xfId="8023"/>
    <cellStyle name="20% - Accent4 2 25 4 2" xfId="8024"/>
    <cellStyle name="20% - Accent4 2 25 4 2 2" xfId="8025"/>
    <cellStyle name="20% - Accent4 2 25 4 3" xfId="8026"/>
    <cellStyle name="20% - Accent4 2 25 4 4" xfId="8027"/>
    <cellStyle name="20% - Accent4 2 25 5" xfId="8028"/>
    <cellStyle name="20% - Accent4 2 25 5 2" xfId="8029"/>
    <cellStyle name="20% - Accent4 2 25 6" xfId="8030"/>
    <cellStyle name="20% - Accent4 2 25 7" xfId="8031"/>
    <cellStyle name="20% - Accent4 2 25 8" xfId="8032"/>
    <cellStyle name="20% - Accent4 2 26" xfId="8033"/>
    <cellStyle name="20% - Accent4 2 26 2" xfId="8034"/>
    <cellStyle name="20% - Accent4 2 26 2 2" xfId="8035"/>
    <cellStyle name="20% - Accent4 2 26 2 2 2" xfId="8036"/>
    <cellStyle name="20% - Accent4 2 26 2 2 3" xfId="8037"/>
    <cellStyle name="20% - Accent4 2 26 2 3" xfId="8038"/>
    <cellStyle name="20% - Accent4 2 26 2 3 2" xfId="8039"/>
    <cellStyle name="20% - Accent4 2 26 2 4" xfId="8040"/>
    <cellStyle name="20% - Accent4 2 26 2 5" xfId="8041"/>
    <cellStyle name="20% - Accent4 2 26 3" xfId="8042"/>
    <cellStyle name="20% - Accent4 2 26 3 2" xfId="8043"/>
    <cellStyle name="20% - Accent4 2 26 3 2 2" xfId="8044"/>
    <cellStyle name="20% - Accent4 2 26 3 3" xfId="8045"/>
    <cellStyle name="20% - Accent4 2 26 3 4" xfId="8046"/>
    <cellStyle name="20% - Accent4 2 26 4" xfId="8047"/>
    <cellStyle name="20% - Accent4 2 26 4 2" xfId="8048"/>
    <cellStyle name="20% - Accent4 2 26 4 2 2" xfId="8049"/>
    <cellStyle name="20% - Accent4 2 26 4 3" xfId="8050"/>
    <cellStyle name="20% - Accent4 2 26 4 4" xfId="8051"/>
    <cellStyle name="20% - Accent4 2 26 5" xfId="8052"/>
    <cellStyle name="20% - Accent4 2 26 5 2" xfId="8053"/>
    <cellStyle name="20% - Accent4 2 26 6" xfId="8054"/>
    <cellStyle name="20% - Accent4 2 26 7" xfId="8055"/>
    <cellStyle name="20% - Accent4 2 26 8" xfId="8056"/>
    <cellStyle name="20% - Accent4 2 27" xfId="8057"/>
    <cellStyle name="20% - Accent4 2 27 2" xfId="8058"/>
    <cellStyle name="20% - Accent4 2 27 2 2" xfId="8059"/>
    <cellStyle name="20% - Accent4 2 27 2 2 2" xfId="8060"/>
    <cellStyle name="20% - Accent4 2 27 2 2 3" xfId="8061"/>
    <cellStyle name="20% - Accent4 2 27 2 3" xfId="8062"/>
    <cellStyle name="20% - Accent4 2 27 2 3 2" xfId="8063"/>
    <cellStyle name="20% - Accent4 2 27 2 4" xfId="8064"/>
    <cellStyle name="20% - Accent4 2 27 2 5" xfId="8065"/>
    <cellStyle name="20% - Accent4 2 27 3" xfId="8066"/>
    <cellStyle name="20% - Accent4 2 27 3 2" xfId="8067"/>
    <cellStyle name="20% - Accent4 2 27 3 2 2" xfId="8068"/>
    <cellStyle name="20% - Accent4 2 27 3 3" xfId="8069"/>
    <cellStyle name="20% - Accent4 2 27 3 4" xfId="8070"/>
    <cellStyle name="20% - Accent4 2 27 4" xfId="8071"/>
    <cellStyle name="20% - Accent4 2 27 4 2" xfId="8072"/>
    <cellStyle name="20% - Accent4 2 27 4 2 2" xfId="8073"/>
    <cellStyle name="20% - Accent4 2 27 4 3" xfId="8074"/>
    <cellStyle name="20% - Accent4 2 27 4 4" xfId="8075"/>
    <cellStyle name="20% - Accent4 2 27 5" xfId="8076"/>
    <cellStyle name="20% - Accent4 2 27 5 2" xfId="8077"/>
    <cellStyle name="20% - Accent4 2 27 6" xfId="8078"/>
    <cellStyle name="20% - Accent4 2 27 7" xfId="8079"/>
    <cellStyle name="20% - Accent4 2 27 8" xfId="8080"/>
    <cellStyle name="20% - Accent4 2 28" xfId="8081"/>
    <cellStyle name="20% - Accent4 2 28 2" xfId="8082"/>
    <cellStyle name="20% - Accent4 2 28 2 2" xfId="8083"/>
    <cellStyle name="20% - Accent4 2 28 2 2 2" xfId="8084"/>
    <cellStyle name="20% - Accent4 2 28 2 2 3" xfId="8085"/>
    <cellStyle name="20% - Accent4 2 28 2 3" xfId="8086"/>
    <cellStyle name="20% - Accent4 2 28 2 3 2" xfId="8087"/>
    <cellStyle name="20% - Accent4 2 28 2 4" xfId="8088"/>
    <cellStyle name="20% - Accent4 2 28 2 5" xfId="8089"/>
    <cellStyle name="20% - Accent4 2 28 3" xfId="8090"/>
    <cellStyle name="20% - Accent4 2 28 3 2" xfId="8091"/>
    <cellStyle name="20% - Accent4 2 28 3 2 2" xfId="8092"/>
    <cellStyle name="20% - Accent4 2 28 3 3" xfId="8093"/>
    <cellStyle name="20% - Accent4 2 28 3 4" xfId="8094"/>
    <cellStyle name="20% - Accent4 2 28 4" xfId="8095"/>
    <cellStyle name="20% - Accent4 2 28 4 2" xfId="8096"/>
    <cellStyle name="20% - Accent4 2 28 4 2 2" xfId="8097"/>
    <cellStyle name="20% - Accent4 2 28 4 3" xfId="8098"/>
    <cellStyle name="20% - Accent4 2 28 4 4" xfId="8099"/>
    <cellStyle name="20% - Accent4 2 28 5" xfId="8100"/>
    <cellStyle name="20% - Accent4 2 28 5 2" xfId="8101"/>
    <cellStyle name="20% - Accent4 2 28 6" xfId="8102"/>
    <cellStyle name="20% - Accent4 2 28 7" xfId="8103"/>
    <cellStyle name="20% - Accent4 2 28 8" xfId="8104"/>
    <cellStyle name="20% - Accent4 2 29" xfId="8105"/>
    <cellStyle name="20% - Accent4 2 29 2" xfId="8106"/>
    <cellStyle name="20% - Accent4 2 29 2 2" xfId="8107"/>
    <cellStyle name="20% - Accent4 2 29 2 3" xfId="8108"/>
    <cellStyle name="20% - Accent4 2 29 3" xfId="8109"/>
    <cellStyle name="20% - Accent4 2 29 3 2" xfId="8110"/>
    <cellStyle name="20% - Accent4 2 29 4" xfId="8111"/>
    <cellStyle name="20% - Accent4 2 29 5" xfId="8112"/>
    <cellStyle name="20% - Accent4 2 3" xfId="8113"/>
    <cellStyle name="20% - Accent4 2 3 10" xfId="8114"/>
    <cellStyle name="20% - Accent4 2 3 11" xfId="8115"/>
    <cellStyle name="20% - Accent4 2 3 11 2" xfId="8116"/>
    <cellStyle name="20% - Accent4 2 3 11 3" xfId="8117"/>
    <cellStyle name="20% - Accent4 2 3 12" xfId="8118"/>
    <cellStyle name="20% - Accent4 2 3 12 2" xfId="8119"/>
    <cellStyle name="20% - Accent4 2 3 2" xfId="8120"/>
    <cellStyle name="20% - Accent4 2 3 2 2" xfId="8121"/>
    <cellStyle name="20% - Accent4 2 3 2 2 2" xfId="8122"/>
    <cellStyle name="20% - Accent4 2 3 2 3" xfId="8123"/>
    <cellStyle name="20% - Accent4 2 3 3" xfId="8124"/>
    <cellStyle name="20% - Accent4 2 3 3 2" xfId="8125"/>
    <cellStyle name="20% - Accent4 2 3 3 2 2" xfId="8126"/>
    <cellStyle name="20% - Accent4 2 3 4" xfId="8127"/>
    <cellStyle name="20% - Accent4 2 3 4 2" xfId="8128"/>
    <cellStyle name="20% - Accent4 2 3 4 2 2" xfId="8129"/>
    <cellStyle name="20% - Accent4 2 3 5" xfId="8130"/>
    <cellStyle name="20% - Accent4 2 3 5 2" xfId="8131"/>
    <cellStyle name="20% - Accent4 2 3 5 2 2" xfId="8132"/>
    <cellStyle name="20% - Accent4 2 3 6" xfId="8133"/>
    <cellStyle name="20% - Accent4 2 3 6 2" xfId="8134"/>
    <cellStyle name="20% - Accent4 2 3 6 3" xfId="8135"/>
    <cellStyle name="20% - Accent4 2 3 6 4" xfId="8136"/>
    <cellStyle name="20% - Accent4 2 3 6 5" xfId="8137"/>
    <cellStyle name="20% - Accent4 2 3 6 6" xfId="8138"/>
    <cellStyle name="20% - Accent4 2 3 6 6 2" xfId="8139"/>
    <cellStyle name="20% - Accent4 2 3 6_Elec Margin Analysis" xfId="8140"/>
    <cellStyle name="20% - Accent4 2 3 7" xfId="8141"/>
    <cellStyle name="20% - Accent4 2 3 7 2" xfId="8142"/>
    <cellStyle name="20% - Accent4 2 3 7 2 2" xfId="8143"/>
    <cellStyle name="20% - Accent4 2 3 8" xfId="8144"/>
    <cellStyle name="20% - Accent4 2 3 8 2" xfId="8145"/>
    <cellStyle name="20% - Accent4 2 3 8 2 2" xfId="8146"/>
    <cellStyle name="20% - Accent4 2 3 9" xfId="8147"/>
    <cellStyle name="20% - Accent4 2 3_2009 Actual" xfId="8148"/>
    <cellStyle name="20% - Accent4 2 30" xfId="8149"/>
    <cellStyle name="20% - Accent4 2 30 2" xfId="8150"/>
    <cellStyle name="20% - Accent4 2 30 2 2" xfId="8151"/>
    <cellStyle name="20% - Accent4 2 30 2 3" xfId="8152"/>
    <cellStyle name="20% - Accent4 2 30 3" xfId="8153"/>
    <cellStyle name="20% - Accent4 2 30 3 2" xfId="8154"/>
    <cellStyle name="20% - Accent4 2 30 4" xfId="8155"/>
    <cellStyle name="20% - Accent4 2 30 5" xfId="8156"/>
    <cellStyle name="20% - Accent4 2 31" xfId="8157"/>
    <cellStyle name="20% - Accent4 2 31 2" xfId="8158"/>
    <cellStyle name="20% - Accent4 2 31 2 2" xfId="8159"/>
    <cellStyle name="20% - Accent4 2 31 2 3" xfId="8160"/>
    <cellStyle name="20% - Accent4 2 31 3" xfId="8161"/>
    <cellStyle name="20% - Accent4 2 31 3 2" xfId="8162"/>
    <cellStyle name="20% - Accent4 2 31 4" xfId="8163"/>
    <cellStyle name="20% - Accent4 2 31 5" xfId="8164"/>
    <cellStyle name="20% - Accent4 2 32" xfId="8165"/>
    <cellStyle name="20% - Accent4 2 32 2" xfId="8166"/>
    <cellStyle name="20% - Accent4 2 32 2 2" xfId="8167"/>
    <cellStyle name="20% - Accent4 2 32 2 3" xfId="8168"/>
    <cellStyle name="20% - Accent4 2 32 3" xfId="8169"/>
    <cellStyle name="20% - Accent4 2 32 3 2" xfId="8170"/>
    <cellStyle name="20% - Accent4 2 32 4" xfId="8171"/>
    <cellStyle name="20% - Accent4 2 32 5" xfId="8172"/>
    <cellStyle name="20% - Accent4 2 33" xfId="8173"/>
    <cellStyle name="20% - Accent4 2 33 2" xfId="8174"/>
    <cellStyle name="20% - Accent4 2 33 2 2" xfId="8175"/>
    <cellStyle name="20% - Accent4 2 33 2 3" xfId="8176"/>
    <cellStyle name="20% - Accent4 2 33 3" xfId="8177"/>
    <cellStyle name="20% - Accent4 2 33 3 2" xfId="8178"/>
    <cellStyle name="20% - Accent4 2 33 4" xfId="8179"/>
    <cellStyle name="20% - Accent4 2 33 5" xfId="8180"/>
    <cellStyle name="20% - Accent4 2 34" xfId="8181"/>
    <cellStyle name="20% - Accent4 2 34 2" xfId="8182"/>
    <cellStyle name="20% - Accent4 2 34 2 2" xfId="8183"/>
    <cellStyle name="20% - Accent4 2 34 2 3" xfId="8184"/>
    <cellStyle name="20% - Accent4 2 34 3" xfId="8185"/>
    <cellStyle name="20% - Accent4 2 34 3 2" xfId="8186"/>
    <cellStyle name="20% - Accent4 2 34 4" xfId="8187"/>
    <cellStyle name="20% - Accent4 2 34 5" xfId="8188"/>
    <cellStyle name="20% - Accent4 2 35" xfId="8189"/>
    <cellStyle name="20% - Accent4 2 35 2" xfId="8190"/>
    <cellStyle name="20% - Accent4 2 35 2 2" xfId="8191"/>
    <cellStyle name="20% - Accent4 2 35 2 3" xfId="8192"/>
    <cellStyle name="20% - Accent4 2 35 3" xfId="8193"/>
    <cellStyle name="20% - Accent4 2 35 3 2" xfId="8194"/>
    <cellStyle name="20% - Accent4 2 35 4" xfId="8195"/>
    <cellStyle name="20% - Accent4 2 35 5" xfId="8196"/>
    <cellStyle name="20% - Accent4 2 36" xfId="8197"/>
    <cellStyle name="20% - Accent4 2 36 2" xfId="8198"/>
    <cellStyle name="20% - Accent4 2 36 2 2" xfId="8199"/>
    <cellStyle name="20% - Accent4 2 36 2 3" xfId="8200"/>
    <cellStyle name="20% - Accent4 2 36 3" xfId="8201"/>
    <cellStyle name="20% - Accent4 2 36 3 2" xfId="8202"/>
    <cellStyle name="20% - Accent4 2 36 4" xfId="8203"/>
    <cellStyle name="20% - Accent4 2 36 5" xfId="8204"/>
    <cellStyle name="20% - Accent4 2 37" xfId="8205"/>
    <cellStyle name="20% - Accent4 2 37 2" xfId="8206"/>
    <cellStyle name="20% - Accent4 2 37 2 2" xfId="8207"/>
    <cellStyle name="20% - Accent4 2 37 2 3" xfId="8208"/>
    <cellStyle name="20% - Accent4 2 37 3" xfId="8209"/>
    <cellStyle name="20% - Accent4 2 37 3 2" xfId="8210"/>
    <cellStyle name="20% - Accent4 2 37 4" xfId="8211"/>
    <cellStyle name="20% - Accent4 2 37 5" xfId="8212"/>
    <cellStyle name="20% - Accent4 2 38" xfId="8213"/>
    <cellStyle name="20% - Accent4 2 38 2" xfId="8214"/>
    <cellStyle name="20% - Accent4 2 38 2 2" xfId="8215"/>
    <cellStyle name="20% - Accent4 2 38 2 3" xfId="8216"/>
    <cellStyle name="20% - Accent4 2 38 3" xfId="8217"/>
    <cellStyle name="20% - Accent4 2 38 3 2" xfId="8218"/>
    <cellStyle name="20% - Accent4 2 38 4" xfId="8219"/>
    <cellStyle name="20% - Accent4 2 38 5" xfId="8220"/>
    <cellStyle name="20% - Accent4 2 39" xfId="8221"/>
    <cellStyle name="20% - Accent4 2 39 2" xfId="8222"/>
    <cellStyle name="20% - Accent4 2 39 2 2" xfId="8223"/>
    <cellStyle name="20% - Accent4 2 39 2 3" xfId="8224"/>
    <cellStyle name="20% - Accent4 2 39 3" xfId="8225"/>
    <cellStyle name="20% - Accent4 2 39 3 2" xfId="8226"/>
    <cellStyle name="20% - Accent4 2 39 4" xfId="8227"/>
    <cellStyle name="20% - Accent4 2 39 5" xfId="8228"/>
    <cellStyle name="20% - Accent4 2 4" xfId="8229"/>
    <cellStyle name="20% - Accent4 2 4 2" xfId="8230"/>
    <cellStyle name="20% - Accent4 2 4 2 2" xfId="8231"/>
    <cellStyle name="20% - Accent4 2 4 3" xfId="8232"/>
    <cellStyle name="20% - Accent4 2 4 4" xfId="8233"/>
    <cellStyle name="20% - Accent4 2 4 5" xfId="8234"/>
    <cellStyle name="20% - Accent4 2 4 6" xfId="8235"/>
    <cellStyle name="20% - Accent4 2 4 7" xfId="8236"/>
    <cellStyle name="20% - Accent4 2 4 8" xfId="8237"/>
    <cellStyle name="20% - Accent4 2 4 8 2" xfId="8238"/>
    <cellStyle name="20% - Accent4 2 4_2009 Actual" xfId="8239"/>
    <cellStyle name="20% - Accent4 2 40" xfId="8240"/>
    <cellStyle name="20% - Accent4 2 40 2" xfId="8241"/>
    <cellStyle name="20% - Accent4 2 40 2 2" xfId="8242"/>
    <cellStyle name="20% - Accent4 2 40 2 3" xfId="8243"/>
    <cellStyle name="20% - Accent4 2 40 3" xfId="8244"/>
    <cellStyle name="20% - Accent4 2 40 3 2" xfId="8245"/>
    <cellStyle name="20% - Accent4 2 40 4" xfId="8246"/>
    <cellStyle name="20% - Accent4 2 40 5" xfId="8247"/>
    <cellStyle name="20% - Accent4 2 41" xfId="8248"/>
    <cellStyle name="20% - Accent4 2 41 2" xfId="8249"/>
    <cellStyle name="20% - Accent4 2 41 2 2" xfId="8250"/>
    <cellStyle name="20% - Accent4 2 41 2 3" xfId="8251"/>
    <cellStyle name="20% - Accent4 2 41 3" xfId="8252"/>
    <cellStyle name="20% - Accent4 2 41 3 2" xfId="8253"/>
    <cellStyle name="20% - Accent4 2 41 4" xfId="8254"/>
    <cellStyle name="20% - Accent4 2 41 5" xfId="8255"/>
    <cellStyle name="20% - Accent4 2 42" xfId="8256"/>
    <cellStyle name="20% - Accent4 2 42 2" xfId="8257"/>
    <cellStyle name="20% - Accent4 2 42 2 2" xfId="8258"/>
    <cellStyle name="20% - Accent4 2 42 2 3" xfId="8259"/>
    <cellStyle name="20% - Accent4 2 42 3" xfId="8260"/>
    <cellStyle name="20% - Accent4 2 42 3 2" xfId="8261"/>
    <cellStyle name="20% - Accent4 2 42 4" xfId="8262"/>
    <cellStyle name="20% - Accent4 2 42 5" xfId="8263"/>
    <cellStyle name="20% - Accent4 2 43" xfId="8264"/>
    <cellStyle name="20% - Accent4 2 43 2" xfId="8265"/>
    <cellStyle name="20% - Accent4 2 43 2 2" xfId="8266"/>
    <cellStyle name="20% - Accent4 2 43 2 3" xfId="8267"/>
    <cellStyle name="20% - Accent4 2 43 3" xfId="8268"/>
    <cellStyle name="20% - Accent4 2 43 3 2" xfId="8269"/>
    <cellStyle name="20% - Accent4 2 43 4" xfId="8270"/>
    <cellStyle name="20% - Accent4 2 43 5" xfId="8271"/>
    <cellStyle name="20% - Accent4 2 44" xfId="8272"/>
    <cellStyle name="20% - Accent4 2 44 2" xfId="8273"/>
    <cellStyle name="20% - Accent4 2 44 2 2" xfId="8274"/>
    <cellStyle name="20% - Accent4 2 44 2 3" xfId="8275"/>
    <cellStyle name="20% - Accent4 2 44 3" xfId="8276"/>
    <cellStyle name="20% - Accent4 2 44 3 2" xfId="8277"/>
    <cellStyle name="20% - Accent4 2 44 4" xfId="8278"/>
    <cellStyle name="20% - Accent4 2 44 5" xfId="8279"/>
    <cellStyle name="20% - Accent4 2 45" xfId="8280"/>
    <cellStyle name="20% - Accent4 2 45 2" xfId="8281"/>
    <cellStyle name="20% - Accent4 2 45 2 2" xfId="8282"/>
    <cellStyle name="20% - Accent4 2 45 2 3" xfId="8283"/>
    <cellStyle name="20% - Accent4 2 45 3" xfId="8284"/>
    <cellStyle name="20% - Accent4 2 45 3 2" xfId="8285"/>
    <cellStyle name="20% - Accent4 2 45 4" xfId="8286"/>
    <cellStyle name="20% - Accent4 2 45 5" xfId="8287"/>
    <cellStyle name="20% - Accent4 2 46" xfId="8288"/>
    <cellStyle name="20% - Accent4 2 46 2" xfId="8289"/>
    <cellStyle name="20% - Accent4 2 46 2 2" xfId="8290"/>
    <cellStyle name="20% - Accent4 2 46 2 3" xfId="8291"/>
    <cellStyle name="20% - Accent4 2 46 3" xfId="8292"/>
    <cellStyle name="20% - Accent4 2 46 3 2" xfId="8293"/>
    <cellStyle name="20% - Accent4 2 46 4" xfId="8294"/>
    <cellStyle name="20% - Accent4 2 46 5" xfId="8295"/>
    <cellStyle name="20% - Accent4 2 47" xfId="8296"/>
    <cellStyle name="20% - Accent4 2 47 2" xfId="8297"/>
    <cellStyle name="20% - Accent4 2 47 2 2" xfId="8298"/>
    <cellStyle name="20% - Accent4 2 47 2 3" xfId="8299"/>
    <cellStyle name="20% - Accent4 2 47 3" xfId="8300"/>
    <cellStyle name="20% - Accent4 2 47 3 2" xfId="8301"/>
    <cellStyle name="20% - Accent4 2 47 4" xfId="8302"/>
    <cellStyle name="20% - Accent4 2 47 5" xfId="8303"/>
    <cellStyle name="20% - Accent4 2 48" xfId="8304"/>
    <cellStyle name="20% - Accent4 2 48 2" xfId="8305"/>
    <cellStyle name="20% - Accent4 2 48 2 2" xfId="8306"/>
    <cellStyle name="20% - Accent4 2 48 2 3" xfId="8307"/>
    <cellStyle name="20% - Accent4 2 48 3" xfId="8308"/>
    <cellStyle name="20% - Accent4 2 48 3 2" xfId="8309"/>
    <cellStyle name="20% - Accent4 2 48 4" xfId="8310"/>
    <cellStyle name="20% - Accent4 2 48 5" xfId="8311"/>
    <cellStyle name="20% - Accent4 2 49" xfId="8312"/>
    <cellStyle name="20% - Accent4 2 49 2" xfId="8313"/>
    <cellStyle name="20% - Accent4 2 49 2 2" xfId="8314"/>
    <cellStyle name="20% - Accent4 2 49 2 3" xfId="8315"/>
    <cellStyle name="20% - Accent4 2 49 3" xfId="8316"/>
    <cellStyle name="20% - Accent4 2 49 3 2" xfId="8317"/>
    <cellStyle name="20% - Accent4 2 49 4" xfId="8318"/>
    <cellStyle name="20% - Accent4 2 49 5" xfId="8319"/>
    <cellStyle name="20% - Accent4 2 5" xfId="8320"/>
    <cellStyle name="20% - Accent4 2 5 2" xfId="8321"/>
    <cellStyle name="20% - Accent4 2 5 3" xfId="8322"/>
    <cellStyle name="20% - Accent4 2 5 4" xfId="8323"/>
    <cellStyle name="20% - Accent4 2 5 5" xfId="8324"/>
    <cellStyle name="20% - Accent4 2 5 6" xfId="8325"/>
    <cellStyle name="20% - Accent4 2 5 7" xfId="8326"/>
    <cellStyle name="20% - Accent4 2 5 8" xfId="8327"/>
    <cellStyle name="20% - Accent4 2 5 8 2" xfId="8328"/>
    <cellStyle name="20% - Accent4 2 5_2009 Actual" xfId="8329"/>
    <cellStyle name="20% - Accent4 2 50" xfId="8330"/>
    <cellStyle name="20% - Accent4 2 50 2" xfId="8331"/>
    <cellStyle name="20% - Accent4 2 50 2 2" xfId="8332"/>
    <cellStyle name="20% - Accent4 2 50 2 3" xfId="8333"/>
    <cellStyle name="20% - Accent4 2 50 3" xfId="8334"/>
    <cellStyle name="20% - Accent4 2 50 3 2" xfId="8335"/>
    <cellStyle name="20% - Accent4 2 50 4" xfId="8336"/>
    <cellStyle name="20% - Accent4 2 50 5" xfId="8337"/>
    <cellStyle name="20% - Accent4 2 51" xfId="8338"/>
    <cellStyle name="20% - Accent4 2 51 2" xfId="8339"/>
    <cellStyle name="20% - Accent4 2 51 2 2" xfId="8340"/>
    <cellStyle name="20% - Accent4 2 51 2 3" xfId="8341"/>
    <cellStyle name="20% - Accent4 2 51 3" xfId="8342"/>
    <cellStyle name="20% - Accent4 2 51 3 2" xfId="8343"/>
    <cellStyle name="20% - Accent4 2 51 4" xfId="8344"/>
    <cellStyle name="20% - Accent4 2 51 5" xfId="8345"/>
    <cellStyle name="20% - Accent4 2 52" xfId="8346"/>
    <cellStyle name="20% - Accent4 2 52 2" xfId="8347"/>
    <cellStyle name="20% - Accent4 2 52 2 2" xfId="8348"/>
    <cellStyle name="20% - Accent4 2 52 2 3" xfId="8349"/>
    <cellStyle name="20% - Accent4 2 52 3" xfId="8350"/>
    <cellStyle name="20% - Accent4 2 52 3 2" xfId="8351"/>
    <cellStyle name="20% - Accent4 2 52 4" xfId="8352"/>
    <cellStyle name="20% - Accent4 2 52 5" xfId="8353"/>
    <cellStyle name="20% - Accent4 2 53" xfId="8354"/>
    <cellStyle name="20% - Accent4 2 53 2" xfId="8355"/>
    <cellStyle name="20% - Accent4 2 53 2 2" xfId="8356"/>
    <cellStyle name="20% - Accent4 2 53 2 3" xfId="8357"/>
    <cellStyle name="20% - Accent4 2 53 3" xfId="8358"/>
    <cellStyle name="20% - Accent4 2 53 3 2" xfId="8359"/>
    <cellStyle name="20% - Accent4 2 53 4" xfId="8360"/>
    <cellStyle name="20% - Accent4 2 53 5" xfId="8361"/>
    <cellStyle name="20% - Accent4 2 54" xfId="8362"/>
    <cellStyle name="20% - Accent4 2 54 2" xfId="8363"/>
    <cellStyle name="20% - Accent4 2 54 2 2" xfId="8364"/>
    <cellStyle name="20% - Accent4 2 54 2 3" xfId="8365"/>
    <cellStyle name="20% - Accent4 2 54 3" xfId="8366"/>
    <cellStyle name="20% - Accent4 2 54 3 2" xfId="8367"/>
    <cellStyle name="20% - Accent4 2 54 4" xfId="8368"/>
    <cellStyle name="20% - Accent4 2 54 5" xfId="8369"/>
    <cellStyle name="20% - Accent4 2 55" xfId="8370"/>
    <cellStyle name="20% - Accent4 2 55 2" xfId="8371"/>
    <cellStyle name="20% - Accent4 2 55 2 2" xfId="8372"/>
    <cellStyle name="20% - Accent4 2 55 2 3" xfId="8373"/>
    <cellStyle name="20% - Accent4 2 55 3" xfId="8374"/>
    <cellStyle name="20% - Accent4 2 55 3 2" xfId="8375"/>
    <cellStyle name="20% - Accent4 2 55 4" xfId="8376"/>
    <cellStyle name="20% - Accent4 2 55 5" xfId="8377"/>
    <cellStyle name="20% - Accent4 2 56" xfId="8378"/>
    <cellStyle name="20% - Accent4 2 56 2" xfId="8379"/>
    <cellStyle name="20% - Accent4 2 56 2 2" xfId="8380"/>
    <cellStyle name="20% - Accent4 2 56 2 3" xfId="8381"/>
    <cellStyle name="20% - Accent4 2 56 3" xfId="8382"/>
    <cellStyle name="20% - Accent4 2 56 3 2" xfId="8383"/>
    <cellStyle name="20% - Accent4 2 56 4" xfId="8384"/>
    <cellStyle name="20% - Accent4 2 56 5" xfId="8385"/>
    <cellStyle name="20% - Accent4 2 57" xfId="8386"/>
    <cellStyle name="20% - Accent4 2 57 2" xfId="8387"/>
    <cellStyle name="20% - Accent4 2 57 2 2" xfId="8388"/>
    <cellStyle name="20% - Accent4 2 57 2 3" xfId="8389"/>
    <cellStyle name="20% - Accent4 2 57 3" xfId="8390"/>
    <cellStyle name="20% - Accent4 2 57 3 2" xfId="8391"/>
    <cellStyle name="20% - Accent4 2 57 4" xfId="8392"/>
    <cellStyle name="20% - Accent4 2 57 5" xfId="8393"/>
    <cellStyle name="20% - Accent4 2 58" xfId="8394"/>
    <cellStyle name="20% - Accent4 2 58 2" xfId="8395"/>
    <cellStyle name="20% - Accent4 2 58 2 2" xfId="8396"/>
    <cellStyle name="20% - Accent4 2 58 2 3" xfId="8397"/>
    <cellStyle name="20% - Accent4 2 58 3" xfId="8398"/>
    <cellStyle name="20% - Accent4 2 58 3 2" xfId="8399"/>
    <cellStyle name="20% - Accent4 2 58 4" xfId="8400"/>
    <cellStyle name="20% - Accent4 2 58 5" xfId="8401"/>
    <cellStyle name="20% - Accent4 2 59" xfId="8402"/>
    <cellStyle name="20% - Accent4 2 59 2" xfId="8403"/>
    <cellStyle name="20% - Accent4 2 59 2 2" xfId="8404"/>
    <cellStyle name="20% - Accent4 2 59 2 3" xfId="8405"/>
    <cellStyle name="20% - Accent4 2 59 3" xfId="8406"/>
    <cellStyle name="20% - Accent4 2 59 3 2" xfId="8407"/>
    <cellStyle name="20% - Accent4 2 59 4" xfId="8408"/>
    <cellStyle name="20% - Accent4 2 59 5" xfId="8409"/>
    <cellStyle name="20% - Accent4 2 6" xfId="8410"/>
    <cellStyle name="20% - Accent4 2 6 2" xfId="8411"/>
    <cellStyle name="20% - Accent4 2 6 3" xfId="8412"/>
    <cellStyle name="20% - Accent4 2 6 4" xfId="8413"/>
    <cellStyle name="20% - Accent4 2 6 5" xfId="8414"/>
    <cellStyle name="20% - Accent4 2 6 6" xfId="8415"/>
    <cellStyle name="20% - Accent4 2 6 7" xfId="8416"/>
    <cellStyle name="20% - Accent4 2 6 8" xfId="8417"/>
    <cellStyle name="20% - Accent4 2 6 8 2" xfId="8418"/>
    <cellStyle name="20% - Accent4 2 6_2009 Actual" xfId="8419"/>
    <cellStyle name="20% - Accent4 2 60" xfId="8420"/>
    <cellStyle name="20% - Accent4 2 60 2" xfId="8421"/>
    <cellStyle name="20% - Accent4 2 60 2 2" xfId="8422"/>
    <cellStyle name="20% - Accent4 2 60 2 3" xfId="8423"/>
    <cellStyle name="20% - Accent4 2 60 3" xfId="8424"/>
    <cellStyle name="20% - Accent4 2 60 3 2" xfId="8425"/>
    <cellStyle name="20% - Accent4 2 60 4" xfId="8426"/>
    <cellStyle name="20% - Accent4 2 60 5" xfId="8427"/>
    <cellStyle name="20% - Accent4 2 61" xfId="8428"/>
    <cellStyle name="20% - Accent4 2 61 2" xfId="8429"/>
    <cellStyle name="20% - Accent4 2 61 2 2" xfId="8430"/>
    <cellStyle name="20% - Accent4 2 61 2 3" xfId="8431"/>
    <cellStyle name="20% - Accent4 2 61 3" xfId="8432"/>
    <cellStyle name="20% - Accent4 2 61 3 2" xfId="8433"/>
    <cellStyle name="20% - Accent4 2 61 4" xfId="8434"/>
    <cellStyle name="20% - Accent4 2 61 5" xfId="8435"/>
    <cellStyle name="20% - Accent4 2 62" xfId="8436"/>
    <cellStyle name="20% - Accent4 2 62 2" xfId="8437"/>
    <cellStyle name="20% - Accent4 2 62 2 2" xfId="8438"/>
    <cellStyle name="20% - Accent4 2 62 2 3" xfId="8439"/>
    <cellStyle name="20% - Accent4 2 62 3" xfId="8440"/>
    <cellStyle name="20% - Accent4 2 62 3 2" xfId="8441"/>
    <cellStyle name="20% - Accent4 2 62 4" xfId="8442"/>
    <cellStyle name="20% - Accent4 2 62 5" xfId="8443"/>
    <cellStyle name="20% - Accent4 2 63" xfId="8444"/>
    <cellStyle name="20% - Accent4 2 63 2" xfId="8445"/>
    <cellStyle name="20% - Accent4 2 63 2 2" xfId="8446"/>
    <cellStyle name="20% - Accent4 2 63 2 3" xfId="8447"/>
    <cellStyle name="20% - Accent4 2 63 3" xfId="8448"/>
    <cellStyle name="20% - Accent4 2 63 3 2" xfId="8449"/>
    <cellStyle name="20% - Accent4 2 63 4" xfId="8450"/>
    <cellStyle name="20% - Accent4 2 63 5" xfId="8451"/>
    <cellStyle name="20% - Accent4 2 64" xfId="8452"/>
    <cellStyle name="20% - Accent4 2 64 2" xfId="8453"/>
    <cellStyle name="20% - Accent4 2 64 2 2" xfId="8454"/>
    <cellStyle name="20% - Accent4 2 64 2 3" xfId="8455"/>
    <cellStyle name="20% - Accent4 2 64 3" xfId="8456"/>
    <cellStyle name="20% - Accent4 2 64 3 2" xfId="8457"/>
    <cellStyle name="20% - Accent4 2 64 4" xfId="8458"/>
    <cellStyle name="20% - Accent4 2 64 5" xfId="8459"/>
    <cellStyle name="20% - Accent4 2 65" xfId="8460"/>
    <cellStyle name="20% - Accent4 2 65 2" xfId="8461"/>
    <cellStyle name="20% - Accent4 2 65 2 2" xfId="8462"/>
    <cellStyle name="20% - Accent4 2 65 2 3" xfId="8463"/>
    <cellStyle name="20% - Accent4 2 65 3" xfId="8464"/>
    <cellStyle name="20% - Accent4 2 65 3 2" xfId="8465"/>
    <cellStyle name="20% - Accent4 2 65 4" xfId="8466"/>
    <cellStyle name="20% - Accent4 2 65 5" xfId="8467"/>
    <cellStyle name="20% - Accent4 2 66" xfId="8468"/>
    <cellStyle name="20% - Accent4 2 66 2" xfId="8469"/>
    <cellStyle name="20% - Accent4 2 66 2 2" xfId="8470"/>
    <cellStyle name="20% - Accent4 2 66 2 3" xfId="8471"/>
    <cellStyle name="20% - Accent4 2 66 3" xfId="8472"/>
    <cellStyle name="20% - Accent4 2 66 3 2" xfId="8473"/>
    <cellStyle name="20% - Accent4 2 66 4" xfId="8474"/>
    <cellStyle name="20% - Accent4 2 66 5" xfId="8475"/>
    <cellStyle name="20% - Accent4 2 67" xfId="8476"/>
    <cellStyle name="20% - Accent4 2 67 2" xfId="8477"/>
    <cellStyle name="20% - Accent4 2 67 2 2" xfId="8478"/>
    <cellStyle name="20% - Accent4 2 67 2 3" xfId="8479"/>
    <cellStyle name="20% - Accent4 2 67 3" xfId="8480"/>
    <cellStyle name="20% - Accent4 2 67 3 2" xfId="8481"/>
    <cellStyle name="20% - Accent4 2 67 4" xfId="8482"/>
    <cellStyle name="20% - Accent4 2 67 5" xfId="8483"/>
    <cellStyle name="20% - Accent4 2 68" xfId="8484"/>
    <cellStyle name="20% - Accent4 2 68 2" xfId="8485"/>
    <cellStyle name="20% - Accent4 2 68 2 2" xfId="8486"/>
    <cellStyle name="20% - Accent4 2 68 2 3" xfId="8487"/>
    <cellStyle name="20% - Accent4 2 68 3" xfId="8488"/>
    <cellStyle name="20% - Accent4 2 68 3 2" xfId="8489"/>
    <cellStyle name="20% - Accent4 2 68 4" xfId="8490"/>
    <cellStyle name="20% - Accent4 2 68 5" xfId="8491"/>
    <cellStyle name="20% - Accent4 2 69" xfId="8492"/>
    <cellStyle name="20% - Accent4 2 69 2" xfId="8493"/>
    <cellStyle name="20% - Accent4 2 69 2 2" xfId="8494"/>
    <cellStyle name="20% - Accent4 2 69 2 3" xfId="8495"/>
    <cellStyle name="20% - Accent4 2 69 3" xfId="8496"/>
    <cellStyle name="20% - Accent4 2 69 3 2" xfId="8497"/>
    <cellStyle name="20% - Accent4 2 69 4" xfId="8498"/>
    <cellStyle name="20% - Accent4 2 69 5" xfId="8499"/>
    <cellStyle name="20% - Accent4 2 7" xfId="8500"/>
    <cellStyle name="20% - Accent4 2 7 2" xfId="8501"/>
    <cellStyle name="20% - Accent4 2 7 2 2" xfId="8502"/>
    <cellStyle name="20% - Accent4 2 7 2 3" xfId="8503"/>
    <cellStyle name="20% - Accent4 2 7 3" xfId="8504"/>
    <cellStyle name="20% - Accent4 2 7 3 2" xfId="8505"/>
    <cellStyle name="20% - Accent4 2 7 3 3" xfId="8506"/>
    <cellStyle name="20% - Accent4 2 7 4" xfId="8507"/>
    <cellStyle name="20% - Accent4 2 7 5" xfId="8508"/>
    <cellStyle name="20% - Accent4 2 7 6" xfId="8509"/>
    <cellStyle name="20% - Accent4 2 7 6 2" xfId="8510"/>
    <cellStyle name="20% - Accent4 2 7_BHP" xfId="8511"/>
    <cellStyle name="20% - Accent4 2 70" xfId="8512"/>
    <cellStyle name="20% - Accent4 2 70 2" xfId="8513"/>
    <cellStyle name="20% - Accent4 2 70 2 2" xfId="8514"/>
    <cellStyle name="20% - Accent4 2 70 2 3" xfId="8515"/>
    <cellStyle name="20% - Accent4 2 70 3" xfId="8516"/>
    <cellStyle name="20% - Accent4 2 70 3 2" xfId="8517"/>
    <cellStyle name="20% - Accent4 2 70 4" xfId="8518"/>
    <cellStyle name="20% - Accent4 2 70 5" xfId="8519"/>
    <cellStyle name="20% - Accent4 2 71" xfId="8520"/>
    <cellStyle name="20% - Accent4 2 71 2" xfId="8521"/>
    <cellStyle name="20% - Accent4 2 71 2 2" xfId="8522"/>
    <cellStyle name="20% - Accent4 2 71 2 3" xfId="8523"/>
    <cellStyle name="20% - Accent4 2 71 3" xfId="8524"/>
    <cellStyle name="20% - Accent4 2 71 3 2" xfId="8525"/>
    <cellStyle name="20% - Accent4 2 71 4" xfId="8526"/>
    <cellStyle name="20% - Accent4 2 71 5" xfId="8527"/>
    <cellStyle name="20% - Accent4 2 72" xfId="8528"/>
    <cellStyle name="20% - Accent4 2 72 2" xfId="8529"/>
    <cellStyle name="20% - Accent4 2 72 2 2" xfId="8530"/>
    <cellStyle name="20% - Accent4 2 72 2 3" xfId="8531"/>
    <cellStyle name="20% - Accent4 2 72 3" xfId="8532"/>
    <cellStyle name="20% - Accent4 2 72 3 2" xfId="8533"/>
    <cellStyle name="20% - Accent4 2 72 4" xfId="8534"/>
    <cellStyle name="20% - Accent4 2 72 5" xfId="8535"/>
    <cellStyle name="20% - Accent4 2 73" xfId="8536"/>
    <cellStyle name="20% - Accent4 2 73 2" xfId="8537"/>
    <cellStyle name="20% - Accent4 2 73 2 2" xfId="8538"/>
    <cellStyle name="20% - Accent4 2 73 2 3" xfId="8539"/>
    <cellStyle name="20% - Accent4 2 73 3" xfId="8540"/>
    <cellStyle name="20% - Accent4 2 73 3 2" xfId="8541"/>
    <cellStyle name="20% - Accent4 2 73 4" xfId="8542"/>
    <cellStyle name="20% - Accent4 2 73 5" xfId="8543"/>
    <cellStyle name="20% - Accent4 2 74" xfId="8544"/>
    <cellStyle name="20% - Accent4 2 74 2" xfId="8545"/>
    <cellStyle name="20% - Accent4 2 74 2 2" xfId="8546"/>
    <cellStyle name="20% - Accent4 2 74 2 3" xfId="8547"/>
    <cellStyle name="20% - Accent4 2 74 3" xfId="8548"/>
    <cellStyle name="20% - Accent4 2 74 3 2" xfId="8549"/>
    <cellStyle name="20% - Accent4 2 74 4" xfId="8550"/>
    <cellStyle name="20% - Accent4 2 74 5" xfId="8551"/>
    <cellStyle name="20% - Accent4 2 75" xfId="8552"/>
    <cellStyle name="20% - Accent4 2 75 2" xfId="8553"/>
    <cellStyle name="20% - Accent4 2 75 2 2" xfId="8554"/>
    <cellStyle name="20% - Accent4 2 75 2 3" xfId="8555"/>
    <cellStyle name="20% - Accent4 2 75 3" xfId="8556"/>
    <cellStyle name="20% - Accent4 2 75 3 2" xfId="8557"/>
    <cellStyle name="20% - Accent4 2 75 4" xfId="8558"/>
    <cellStyle name="20% - Accent4 2 75 5" xfId="8559"/>
    <cellStyle name="20% - Accent4 2 76" xfId="8560"/>
    <cellStyle name="20% - Accent4 2 76 2" xfId="8561"/>
    <cellStyle name="20% - Accent4 2 76 2 2" xfId="8562"/>
    <cellStyle name="20% - Accent4 2 76 2 3" xfId="8563"/>
    <cellStyle name="20% - Accent4 2 76 3" xfId="8564"/>
    <cellStyle name="20% - Accent4 2 76 3 2" xfId="8565"/>
    <cellStyle name="20% - Accent4 2 76 4" xfId="8566"/>
    <cellStyle name="20% - Accent4 2 76 5" xfId="8567"/>
    <cellStyle name="20% - Accent4 2 77" xfId="8568"/>
    <cellStyle name="20% - Accent4 2 77 2" xfId="8569"/>
    <cellStyle name="20% - Accent4 2 77 2 2" xfId="8570"/>
    <cellStyle name="20% - Accent4 2 77 2 3" xfId="8571"/>
    <cellStyle name="20% - Accent4 2 77 3" xfId="8572"/>
    <cellStyle name="20% - Accent4 2 77 3 2" xfId="8573"/>
    <cellStyle name="20% - Accent4 2 77 4" xfId="8574"/>
    <cellStyle name="20% - Accent4 2 77 5" xfId="8575"/>
    <cellStyle name="20% - Accent4 2 78" xfId="8576"/>
    <cellStyle name="20% - Accent4 2 78 2" xfId="8577"/>
    <cellStyle name="20% - Accent4 2 78 2 2" xfId="8578"/>
    <cellStyle name="20% - Accent4 2 78 2 3" xfId="8579"/>
    <cellStyle name="20% - Accent4 2 78 3" xfId="8580"/>
    <cellStyle name="20% - Accent4 2 78 3 2" xfId="8581"/>
    <cellStyle name="20% - Accent4 2 78 4" xfId="8582"/>
    <cellStyle name="20% - Accent4 2 78 5" xfId="8583"/>
    <cellStyle name="20% - Accent4 2 79" xfId="8584"/>
    <cellStyle name="20% - Accent4 2 79 2" xfId="8585"/>
    <cellStyle name="20% - Accent4 2 79 2 2" xfId="8586"/>
    <cellStyle name="20% - Accent4 2 79 2 3" xfId="8587"/>
    <cellStyle name="20% - Accent4 2 79 3" xfId="8588"/>
    <cellStyle name="20% - Accent4 2 79 3 2" xfId="8589"/>
    <cellStyle name="20% - Accent4 2 79 4" xfId="8590"/>
    <cellStyle name="20% - Accent4 2 79 5" xfId="8591"/>
    <cellStyle name="20% - Accent4 2 8" xfId="8592"/>
    <cellStyle name="20% - Accent4 2 8 2" xfId="8593"/>
    <cellStyle name="20% - Accent4 2 8 2 2" xfId="8594"/>
    <cellStyle name="20% - Accent4 2 8 2 3" xfId="8595"/>
    <cellStyle name="20% - Accent4 2 8 3" xfId="8596"/>
    <cellStyle name="20% - Accent4 2 8 3 2" xfId="8597"/>
    <cellStyle name="20% - Accent4 2 8 3 3" xfId="8598"/>
    <cellStyle name="20% - Accent4 2 8 4" xfId="8599"/>
    <cellStyle name="20% - Accent4 2 8 5" xfId="8600"/>
    <cellStyle name="20% - Accent4 2 8 6" xfId="8601"/>
    <cellStyle name="20% - Accent4 2 8 6 2" xfId="8602"/>
    <cellStyle name="20% - Accent4 2 8_BHP" xfId="8603"/>
    <cellStyle name="20% - Accent4 2 80" xfId="8604"/>
    <cellStyle name="20% - Accent4 2 80 2" xfId="8605"/>
    <cellStyle name="20% - Accent4 2 80 2 2" xfId="8606"/>
    <cellStyle name="20% - Accent4 2 80 2 3" xfId="8607"/>
    <cellStyle name="20% - Accent4 2 80 3" xfId="8608"/>
    <cellStyle name="20% - Accent4 2 80 3 2" xfId="8609"/>
    <cellStyle name="20% - Accent4 2 80 4" xfId="8610"/>
    <cellStyle name="20% - Accent4 2 80 5" xfId="8611"/>
    <cellStyle name="20% - Accent4 2 81" xfId="8612"/>
    <cellStyle name="20% - Accent4 2 81 2" xfId="8613"/>
    <cellStyle name="20% - Accent4 2 81 2 2" xfId="8614"/>
    <cellStyle name="20% - Accent4 2 81 2 3" xfId="8615"/>
    <cellStyle name="20% - Accent4 2 81 3" xfId="8616"/>
    <cellStyle name="20% - Accent4 2 81 3 2" xfId="8617"/>
    <cellStyle name="20% - Accent4 2 81 4" xfId="8618"/>
    <cellStyle name="20% - Accent4 2 81 5" xfId="8619"/>
    <cellStyle name="20% - Accent4 2 82" xfId="8620"/>
    <cellStyle name="20% - Accent4 2 82 2" xfId="8621"/>
    <cellStyle name="20% - Accent4 2 82 2 2" xfId="8622"/>
    <cellStyle name="20% - Accent4 2 82 2 3" xfId="8623"/>
    <cellStyle name="20% - Accent4 2 82 3" xfId="8624"/>
    <cellStyle name="20% - Accent4 2 82 3 2" xfId="8625"/>
    <cellStyle name="20% - Accent4 2 82 4" xfId="8626"/>
    <cellStyle name="20% - Accent4 2 82 5" xfId="8627"/>
    <cellStyle name="20% - Accent4 2 83" xfId="8628"/>
    <cellStyle name="20% - Accent4 2 83 2" xfId="8629"/>
    <cellStyle name="20% - Accent4 2 83 2 2" xfId="8630"/>
    <cellStyle name="20% - Accent4 2 83 2 3" xfId="8631"/>
    <cellStyle name="20% - Accent4 2 83 3" xfId="8632"/>
    <cellStyle name="20% - Accent4 2 83 3 2" xfId="8633"/>
    <cellStyle name="20% - Accent4 2 83 4" xfId="8634"/>
    <cellStyle name="20% - Accent4 2 83 5" xfId="8635"/>
    <cellStyle name="20% - Accent4 2 84" xfId="8636"/>
    <cellStyle name="20% - Accent4 2 84 2" xfId="8637"/>
    <cellStyle name="20% - Accent4 2 84 2 2" xfId="8638"/>
    <cellStyle name="20% - Accent4 2 84 2 3" xfId="8639"/>
    <cellStyle name="20% - Accent4 2 84 3" xfId="8640"/>
    <cellStyle name="20% - Accent4 2 84 3 2" xfId="8641"/>
    <cellStyle name="20% - Accent4 2 84 4" xfId="8642"/>
    <cellStyle name="20% - Accent4 2 84 5" xfId="8643"/>
    <cellStyle name="20% - Accent4 2 85" xfId="8644"/>
    <cellStyle name="20% - Accent4 2 85 2" xfId="8645"/>
    <cellStyle name="20% - Accent4 2 85 2 2" xfId="8646"/>
    <cellStyle name="20% - Accent4 2 85 2 3" xfId="8647"/>
    <cellStyle name="20% - Accent4 2 85 3" xfId="8648"/>
    <cellStyle name="20% - Accent4 2 85 3 2" xfId="8649"/>
    <cellStyle name="20% - Accent4 2 85 4" xfId="8650"/>
    <cellStyle name="20% - Accent4 2 85 5" xfId="8651"/>
    <cellStyle name="20% - Accent4 2 86" xfId="8652"/>
    <cellStyle name="20% - Accent4 2 86 2" xfId="8653"/>
    <cellStyle name="20% - Accent4 2 86 2 2" xfId="8654"/>
    <cellStyle name="20% - Accent4 2 86 2 3" xfId="8655"/>
    <cellStyle name="20% - Accent4 2 86 3" xfId="8656"/>
    <cellStyle name="20% - Accent4 2 86 3 2" xfId="8657"/>
    <cellStyle name="20% - Accent4 2 86 4" xfId="8658"/>
    <cellStyle name="20% - Accent4 2 86 5" xfId="8659"/>
    <cellStyle name="20% - Accent4 2 87" xfId="8660"/>
    <cellStyle name="20% - Accent4 2 87 2" xfId="8661"/>
    <cellStyle name="20% - Accent4 2 87 2 2" xfId="8662"/>
    <cellStyle name="20% - Accent4 2 87 2 3" xfId="8663"/>
    <cellStyle name="20% - Accent4 2 87 3" xfId="8664"/>
    <cellStyle name="20% - Accent4 2 87 3 2" xfId="8665"/>
    <cellStyle name="20% - Accent4 2 87 4" xfId="8666"/>
    <cellStyle name="20% - Accent4 2 87 5" xfId="8667"/>
    <cellStyle name="20% - Accent4 2 88" xfId="8668"/>
    <cellStyle name="20% - Accent4 2 88 2" xfId="8669"/>
    <cellStyle name="20% - Accent4 2 88 2 2" xfId="8670"/>
    <cellStyle name="20% - Accent4 2 88 2 3" xfId="8671"/>
    <cellStyle name="20% - Accent4 2 88 3" xfId="8672"/>
    <cellStyle name="20% - Accent4 2 88 3 2" xfId="8673"/>
    <cellStyle name="20% - Accent4 2 88 4" xfId="8674"/>
    <cellStyle name="20% - Accent4 2 88 5" xfId="8675"/>
    <cellStyle name="20% - Accent4 2 89" xfId="8676"/>
    <cellStyle name="20% - Accent4 2 89 2" xfId="8677"/>
    <cellStyle name="20% - Accent4 2 89 2 2" xfId="8678"/>
    <cellStyle name="20% - Accent4 2 89 2 3" xfId="8679"/>
    <cellStyle name="20% - Accent4 2 89 3" xfId="8680"/>
    <cellStyle name="20% - Accent4 2 89 3 2" xfId="8681"/>
    <cellStyle name="20% - Accent4 2 89 4" xfId="8682"/>
    <cellStyle name="20% - Accent4 2 89 5" xfId="8683"/>
    <cellStyle name="20% - Accent4 2 9" xfId="8684"/>
    <cellStyle name="20% - Accent4 2 9 2" xfId="8685"/>
    <cellStyle name="20% - Accent4 2 9 2 2" xfId="8686"/>
    <cellStyle name="20% - Accent4 2 9 2 3" xfId="8687"/>
    <cellStyle name="20% - Accent4 2 9 3" xfId="8688"/>
    <cellStyle name="20% - Accent4 2 9 3 2" xfId="8689"/>
    <cellStyle name="20% - Accent4 2 9 3 3" xfId="8690"/>
    <cellStyle name="20% - Accent4 2 9 4" xfId="8691"/>
    <cellStyle name="20% - Accent4 2 9 5" xfId="8692"/>
    <cellStyle name="20% - Accent4 2 9 6" xfId="8693"/>
    <cellStyle name="20% - Accent4 2 9 6 2" xfId="8694"/>
    <cellStyle name="20% - Accent4 2 9_BHP" xfId="8695"/>
    <cellStyle name="20% - Accent4 2 90" xfId="8696"/>
    <cellStyle name="20% - Accent4 2 90 2" xfId="8697"/>
    <cellStyle name="20% - Accent4 2 90 2 2" xfId="8698"/>
    <cellStyle name="20% - Accent4 2 90 2 3" xfId="8699"/>
    <cellStyle name="20% - Accent4 2 90 3" xfId="8700"/>
    <cellStyle name="20% - Accent4 2 90 3 2" xfId="8701"/>
    <cellStyle name="20% - Accent4 2 90 4" xfId="8702"/>
    <cellStyle name="20% - Accent4 2 90 5" xfId="8703"/>
    <cellStyle name="20% - Accent4 2 91" xfId="8704"/>
    <cellStyle name="20% - Accent4 2 91 2" xfId="8705"/>
    <cellStyle name="20% - Accent4 2 91 2 2" xfId="8706"/>
    <cellStyle name="20% - Accent4 2 91 2 3" xfId="8707"/>
    <cellStyle name="20% - Accent4 2 91 3" xfId="8708"/>
    <cellStyle name="20% - Accent4 2 91 3 2" xfId="8709"/>
    <cellStyle name="20% - Accent4 2 91 4" xfId="8710"/>
    <cellStyle name="20% - Accent4 2 91 5" xfId="8711"/>
    <cellStyle name="20% - Accent4 2 92" xfId="8712"/>
    <cellStyle name="20% - Accent4 2 92 2" xfId="8713"/>
    <cellStyle name="20% - Accent4 2 92 2 2" xfId="8714"/>
    <cellStyle name="20% - Accent4 2 92 2 3" xfId="8715"/>
    <cellStyle name="20% - Accent4 2 92 3" xfId="8716"/>
    <cellStyle name="20% - Accent4 2 92 3 2" xfId="8717"/>
    <cellStyle name="20% - Accent4 2 92 4" xfId="8718"/>
    <cellStyle name="20% - Accent4 2 92 5" xfId="8719"/>
    <cellStyle name="20% - Accent4 2 93" xfId="8720"/>
    <cellStyle name="20% - Accent4 2 93 2" xfId="8721"/>
    <cellStyle name="20% - Accent4 2 93 2 2" xfId="8722"/>
    <cellStyle name="20% - Accent4 2 93 3" xfId="8723"/>
    <cellStyle name="20% - Accent4 2 93 4" xfId="8724"/>
    <cellStyle name="20% - Accent4 2 94" xfId="8725"/>
    <cellStyle name="20% - Accent4 2 94 2" xfId="8726"/>
    <cellStyle name="20% - Accent4 2 94 2 2" xfId="8727"/>
    <cellStyle name="20% - Accent4 2 94 3" xfId="8728"/>
    <cellStyle name="20% - Accent4 2 94 4" xfId="8729"/>
    <cellStyle name="20% - Accent4 2 95" xfId="8730"/>
    <cellStyle name="20% - Accent4 2 95 2" xfId="8731"/>
    <cellStyle name="20% - Accent4 2 95 2 2" xfId="8732"/>
    <cellStyle name="20% - Accent4 2 95 3" xfId="8733"/>
    <cellStyle name="20% - Accent4 2 95 4" xfId="8734"/>
    <cellStyle name="20% - Accent4 2 96" xfId="8735"/>
    <cellStyle name="20% - Accent4 2 96 2" xfId="8736"/>
    <cellStyle name="20% - Accent4 2 96 2 2" xfId="8737"/>
    <cellStyle name="20% - Accent4 2 96 3" xfId="8738"/>
    <cellStyle name="20% - Accent4 2 96 4" xfId="8739"/>
    <cellStyle name="20% - Accent4 2 97" xfId="8740"/>
    <cellStyle name="20% - Accent4 2 97 2" xfId="8741"/>
    <cellStyle name="20% - Accent4 2 97 2 2" xfId="8742"/>
    <cellStyle name="20% - Accent4 2 97 3" xfId="8743"/>
    <cellStyle name="20% - Accent4 2 97 4" xfId="8744"/>
    <cellStyle name="20% - Accent4 2 98" xfId="8745"/>
    <cellStyle name="20% - Accent4 2 98 2" xfId="8746"/>
    <cellStyle name="20% - Accent4 2 98 2 2" xfId="8747"/>
    <cellStyle name="20% - Accent4 2 98 3" xfId="8748"/>
    <cellStyle name="20% - Accent4 2 98 4" xfId="8749"/>
    <cellStyle name="20% - Accent4 2 99" xfId="8750"/>
    <cellStyle name="20% - Accent4 2 99 2" xfId="8751"/>
    <cellStyle name="20% - Accent4 2 99 2 2" xfId="8752"/>
    <cellStyle name="20% - Accent4 2 99 3" xfId="8753"/>
    <cellStyle name="20% - Accent4 2 99 4" xfId="8754"/>
    <cellStyle name="20% - Accent4 2_1-10 BHU IS" xfId="8755"/>
    <cellStyle name="20% - Accent4 20" xfId="8756"/>
    <cellStyle name="20% - Accent4 21" xfId="8757"/>
    <cellStyle name="20% - Accent4 22" xfId="8758"/>
    <cellStyle name="20% - Accent4 23" xfId="8759"/>
    <cellStyle name="20% - Accent4 23 2" xfId="8760"/>
    <cellStyle name="20% - Accent4 23 3" xfId="8761"/>
    <cellStyle name="20% - Accent4 24" xfId="8762"/>
    <cellStyle name="20% - Accent4 25" xfId="8763"/>
    <cellStyle name="20% - Accent4 26" xfId="8764"/>
    <cellStyle name="20% - Accent4 26 2" xfId="8765"/>
    <cellStyle name="20% - Accent4 26 2 2" xfId="8766"/>
    <cellStyle name="20% - Accent4 26 2 2 2" xfId="8767"/>
    <cellStyle name="20% - Accent4 26 2 2 3" xfId="8768"/>
    <cellStyle name="20% - Accent4 26 2 3" xfId="8769"/>
    <cellStyle name="20% - Accent4 26 2 3 2" xfId="8770"/>
    <cellStyle name="20% - Accent4 26 2 4" xfId="8771"/>
    <cellStyle name="20% - Accent4 26 2 5" xfId="8772"/>
    <cellStyle name="20% - Accent4 26 3" xfId="8773"/>
    <cellStyle name="20% - Accent4 26 3 2" xfId="8774"/>
    <cellStyle name="20% - Accent4 26 3 2 2" xfId="8775"/>
    <cellStyle name="20% - Accent4 26 3 3" xfId="8776"/>
    <cellStyle name="20% - Accent4 26 3 4" xfId="8777"/>
    <cellStyle name="20% - Accent4 26 4" xfId="8778"/>
    <cellStyle name="20% - Accent4 26 4 2" xfId="8779"/>
    <cellStyle name="20% - Accent4 26 4 2 2" xfId="8780"/>
    <cellStyle name="20% - Accent4 26 4 3" xfId="8781"/>
    <cellStyle name="20% - Accent4 26 4 4" xfId="8782"/>
    <cellStyle name="20% - Accent4 26 5" xfId="8783"/>
    <cellStyle name="20% - Accent4 26 5 2" xfId="8784"/>
    <cellStyle name="20% - Accent4 26 6" xfId="8785"/>
    <cellStyle name="20% - Accent4 26 7" xfId="8786"/>
    <cellStyle name="20% - Accent4 26 8" xfId="8787"/>
    <cellStyle name="20% - Accent4 27" xfId="8788"/>
    <cellStyle name="20% - Accent4 27 2" xfId="8789"/>
    <cellStyle name="20% - Accent4 27 2 2" xfId="8790"/>
    <cellStyle name="20% - Accent4 27 2 2 2" xfId="8791"/>
    <cellStyle name="20% - Accent4 27 2 2 3" xfId="8792"/>
    <cellStyle name="20% - Accent4 27 2 3" xfId="8793"/>
    <cellStyle name="20% - Accent4 27 2 3 2" xfId="8794"/>
    <cellStyle name="20% - Accent4 27 2 4" xfId="8795"/>
    <cellStyle name="20% - Accent4 27 2 5" xfId="8796"/>
    <cellStyle name="20% - Accent4 27 3" xfId="8797"/>
    <cellStyle name="20% - Accent4 27 3 2" xfId="8798"/>
    <cellStyle name="20% - Accent4 27 3 2 2" xfId="8799"/>
    <cellStyle name="20% - Accent4 27 3 3" xfId="8800"/>
    <cellStyle name="20% - Accent4 27 3 4" xfId="8801"/>
    <cellStyle name="20% - Accent4 27 4" xfId="8802"/>
    <cellStyle name="20% - Accent4 27 4 2" xfId="8803"/>
    <cellStyle name="20% - Accent4 27 4 2 2" xfId="8804"/>
    <cellStyle name="20% - Accent4 27 4 3" xfId="8805"/>
    <cellStyle name="20% - Accent4 27 4 4" xfId="8806"/>
    <cellStyle name="20% - Accent4 27 5" xfId="8807"/>
    <cellStyle name="20% - Accent4 27 5 2" xfId="8808"/>
    <cellStyle name="20% - Accent4 27 6" xfId="8809"/>
    <cellStyle name="20% - Accent4 27 7" xfId="8810"/>
    <cellStyle name="20% - Accent4 27 8" xfId="8811"/>
    <cellStyle name="20% - Accent4 28" xfId="8812"/>
    <cellStyle name="20% - Accent4 28 2" xfId="8813"/>
    <cellStyle name="20% - Accent4 28 2 2" xfId="8814"/>
    <cellStyle name="20% - Accent4 28 2 2 2" xfId="8815"/>
    <cellStyle name="20% - Accent4 28 2 2 3" xfId="8816"/>
    <cellStyle name="20% - Accent4 28 2 3" xfId="8817"/>
    <cellStyle name="20% - Accent4 28 2 3 2" xfId="8818"/>
    <cellStyle name="20% - Accent4 28 2 4" xfId="8819"/>
    <cellStyle name="20% - Accent4 28 2 5" xfId="8820"/>
    <cellStyle name="20% - Accent4 28 3" xfId="8821"/>
    <cellStyle name="20% - Accent4 28 3 2" xfId="8822"/>
    <cellStyle name="20% - Accent4 28 3 2 2" xfId="8823"/>
    <cellStyle name="20% - Accent4 28 3 3" xfId="8824"/>
    <cellStyle name="20% - Accent4 28 3 4" xfId="8825"/>
    <cellStyle name="20% - Accent4 28 4" xfId="8826"/>
    <cellStyle name="20% - Accent4 28 4 2" xfId="8827"/>
    <cellStyle name="20% - Accent4 28 4 2 2" xfId="8828"/>
    <cellStyle name="20% - Accent4 28 4 3" xfId="8829"/>
    <cellStyle name="20% - Accent4 28 4 4" xfId="8830"/>
    <cellStyle name="20% - Accent4 28 5" xfId="8831"/>
    <cellStyle name="20% - Accent4 28 5 2" xfId="8832"/>
    <cellStyle name="20% - Accent4 28 6" xfId="8833"/>
    <cellStyle name="20% - Accent4 28 7" xfId="8834"/>
    <cellStyle name="20% - Accent4 28 8" xfId="8835"/>
    <cellStyle name="20% - Accent4 29" xfId="8836"/>
    <cellStyle name="20% - Accent4 29 2" xfId="8837"/>
    <cellStyle name="20% - Accent4 29 2 2" xfId="8838"/>
    <cellStyle name="20% - Accent4 29 2 2 2" xfId="8839"/>
    <cellStyle name="20% - Accent4 29 2 2 3" xfId="8840"/>
    <cellStyle name="20% - Accent4 29 2 3" xfId="8841"/>
    <cellStyle name="20% - Accent4 29 2 3 2" xfId="8842"/>
    <cellStyle name="20% - Accent4 29 2 4" xfId="8843"/>
    <cellStyle name="20% - Accent4 29 2 5" xfId="8844"/>
    <cellStyle name="20% - Accent4 29 3" xfId="8845"/>
    <cellStyle name="20% - Accent4 29 3 2" xfId="8846"/>
    <cellStyle name="20% - Accent4 29 3 2 2" xfId="8847"/>
    <cellStyle name="20% - Accent4 29 3 3" xfId="8848"/>
    <cellStyle name="20% - Accent4 29 3 4" xfId="8849"/>
    <cellStyle name="20% - Accent4 29 4" xfId="8850"/>
    <cellStyle name="20% - Accent4 29 4 2" xfId="8851"/>
    <cellStyle name="20% - Accent4 29 4 2 2" xfId="8852"/>
    <cellStyle name="20% - Accent4 29 4 3" xfId="8853"/>
    <cellStyle name="20% - Accent4 29 4 4" xfId="8854"/>
    <cellStyle name="20% - Accent4 29 5" xfId="8855"/>
    <cellStyle name="20% - Accent4 29 5 2" xfId="8856"/>
    <cellStyle name="20% - Accent4 29 6" xfId="8857"/>
    <cellStyle name="20% - Accent4 29 7" xfId="8858"/>
    <cellStyle name="20% - Accent4 29 8" xfId="8859"/>
    <cellStyle name="20% - Accent4 3" xfId="8860"/>
    <cellStyle name="20% - Accent4 3 10" xfId="8861"/>
    <cellStyle name="20% - Accent4 3 10 2" xfId="8862"/>
    <cellStyle name="20% - Accent4 3 10 2 2" xfId="8863"/>
    <cellStyle name="20% - Accent4 3 10 2 2 2" xfId="8864"/>
    <cellStyle name="20% - Accent4 3 10 2 2 3" xfId="8865"/>
    <cellStyle name="20% - Accent4 3 10 2 3" xfId="8866"/>
    <cellStyle name="20% - Accent4 3 10 2 3 2" xfId="8867"/>
    <cellStyle name="20% - Accent4 3 10 2 4" xfId="8868"/>
    <cellStyle name="20% - Accent4 3 10 2 5" xfId="8869"/>
    <cellStyle name="20% - Accent4 3 10 3" xfId="8870"/>
    <cellStyle name="20% - Accent4 3 10 3 2" xfId="8871"/>
    <cellStyle name="20% - Accent4 3 10 3 2 2" xfId="8872"/>
    <cellStyle name="20% - Accent4 3 10 3 3" xfId="8873"/>
    <cellStyle name="20% - Accent4 3 10 3 4" xfId="8874"/>
    <cellStyle name="20% - Accent4 3 10 4" xfId="8875"/>
    <cellStyle name="20% - Accent4 3 10 4 2" xfId="8876"/>
    <cellStyle name="20% - Accent4 3 10 4 2 2" xfId="8877"/>
    <cellStyle name="20% - Accent4 3 10 4 3" xfId="8878"/>
    <cellStyle name="20% - Accent4 3 10 4 4" xfId="8879"/>
    <cellStyle name="20% - Accent4 3 10 5" xfId="8880"/>
    <cellStyle name="20% - Accent4 3 10 5 2" xfId="8881"/>
    <cellStyle name="20% - Accent4 3 10 6" xfId="8882"/>
    <cellStyle name="20% - Accent4 3 10 7" xfId="8883"/>
    <cellStyle name="20% - Accent4 3 10 8" xfId="8884"/>
    <cellStyle name="20% - Accent4 3 11" xfId="8885"/>
    <cellStyle name="20% - Accent4 3 11 2" xfId="8886"/>
    <cellStyle name="20% - Accent4 3 11 2 2" xfId="8887"/>
    <cellStyle name="20% - Accent4 3 11 2 2 2" xfId="8888"/>
    <cellStyle name="20% - Accent4 3 11 2 2 3" xfId="8889"/>
    <cellStyle name="20% - Accent4 3 11 2 3" xfId="8890"/>
    <cellStyle name="20% - Accent4 3 11 2 3 2" xfId="8891"/>
    <cellStyle name="20% - Accent4 3 11 2 4" xfId="8892"/>
    <cellStyle name="20% - Accent4 3 11 2 5" xfId="8893"/>
    <cellStyle name="20% - Accent4 3 11 3" xfId="8894"/>
    <cellStyle name="20% - Accent4 3 11 3 2" xfId="8895"/>
    <cellStyle name="20% - Accent4 3 11 3 2 2" xfId="8896"/>
    <cellStyle name="20% - Accent4 3 11 3 3" xfId="8897"/>
    <cellStyle name="20% - Accent4 3 11 3 4" xfId="8898"/>
    <cellStyle name="20% - Accent4 3 11 4" xfId="8899"/>
    <cellStyle name="20% - Accent4 3 11 4 2" xfId="8900"/>
    <cellStyle name="20% - Accent4 3 11 4 2 2" xfId="8901"/>
    <cellStyle name="20% - Accent4 3 11 4 3" xfId="8902"/>
    <cellStyle name="20% - Accent4 3 11 4 4" xfId="8903"/>
    <cellStyle name="20% - Accent4 3 11 5" xfId="8904"/>
    <cellStyle name="20% - Accent4 3 11 5 2" xfId="8905"/>
    <cellStyle name="20% - Accent4 3 11 6" xfId="8906"/>
    <cellStyle name="20% - Accent4 3 11 7" xfId="8907"/>
    <cellStyle name="20% - Accent4 3 11 8" xfId="8908"/>
    <cellStyle name="20% - Accent4 3 12" xfId="8909"/>
    <cellStyle name="20% - Accent4 3 12 2" xfId="8910"/>
    <cellStyle name="20% - Accent4 3 12 2 2" xfId="8911"/>
    <cellStyle name="20% - Accent4 3 12 2 2 2" xfId="8912"/>
    <cellStyle name="20% - Accent4 3 12 2 2 3" xfId="8913"/>
    <cellStyle name="20% - Accent4 3 12 2 3" xfId="8914"/>
    <cellStyle name="20% - Accent4 3 12 2 3 2" xfId="8915"/>
    <cellStyle name="20% - Accent4 3 12 2 4" xfId="8916"/>
    <cellStyle name="20% - Accent4 3 12 2 5" xfId="8917"/>
    <cellStyle name="20% - Accent4 3 12 3" xfId="8918"/>
    <cellStyle name="20% - Accent4 3 12 3 2" xfId="8919"/>
    <cellStyle name="20% - Accent4 3 12 3 2 2" xfId="8920"/>
    <cellStyle name="20% - Accent4 3 12 3 3" xfId="8921"/>
    <cellStyle name="20% - Accent4 3 12 3 4" xfId="8922"/>
    <cellStyle name="20% - Accent4 3 12 4" xfId="8923"/>
    <cellStyle name="20% - Accent4 3 12 4 2" xfId="8924"/>
    <cellStyle name="20% - Accent4 3 12 4 2 2" xfId="8925"/>
    <cellStyle name="20% - Accent4 3 12 4 3" xfId="8926"/>
    <cellStyle name="20% - Accent4 3 12 4 4" xfId="8927"/>
    <cellStyle name="20% - Accent4 3 12 5" xfId="8928"/>
    <cellStyle name="20% - Accent4 3 12 5 2" xfId="8929"/>
    <cellStyle name="20% - Accent4 3 12 6" xfId="8930"/>
    <cellStyle name="20% - Accent4 3 12 7" xfId="8931"/>
    <cellStyle name="20% - Accent4 3 12 8" xfId="8932"/>
    <cellStyle name="20% - Accent4 3 2" xfId="8933"/>
    <cellStyle name="20% - Accent4 3 2 2" xfId="8934"/>
    <cellStyle name="20% - Accent4 3 2 2 2" xfId="8935"/>
    <cellStyle name="20% - Accent4 3 2 3" xfId="8936"/>
    <cellStyle name="20% - Accent4 3 2 4" xfId="8937"/>
    <cellStyle name="20% - Accent4 3 2 5" xfId="8938"/>
    <cellStyle name="20% - Accent4 3 2 6" xfId="8939"/>
    <cellStyle name="20% - Accent4 3 2 7" xfId="8940"/>
    <cellStyle name="20% - Accent4 3 2 8" xfId="8941"/>
    <cellStyle name="20% - Accent4 3 2_2009 Actual" xfId="8942"/>
    <cellStyle name="20% - Accent4 3 3" xfId="8943"/>
    <cellStyle name="20% - Accent4 3 3 2" xfId="8944"/>
    <cellStyle name="20% - Accent4 3 4" xfId="8945"/>
    <cellStyle name="20% - Accent4 3 5" xfId="8946"/>
    <cellStyle name="20% - Accent4 3 6" xfId="8947"/>
    <cellStyle name="20% - Accent4 3 7" xfId="8948"/>
    <cellStyle name="20% - Accent4 3 8" xfId="8949"/>
    <cellStyle name="20% - Accent4 3 9" xfId="8950"/>
    <cellStyle name="20% - Accent4 3_2009 Actual" xfId="8951"/>
    <cellStyle name="20% - Accent4 30" xfId="8952"/>
    <cellStyle name="20% - Accent4 30 2" xfId="8953"/>
    <cellStyle name="20% - Accent4 30 2 2" xfId="8954"/>
    <cellStyle name="20% - Accent4 30 2 2 2" xfId="8955"/>
    <cellStyle name="20% - Accent4 30 2 2 3" xfId="8956"/>
    <cellStyle name="20% - Accent4 30 2 3" xfId="8957"/>
    <cellStyle name="20% - Accent4 30 2 3 2" xfId="8958"/>
    <cellStyle name="20% - Accent4 30 2 4" xfId="8959"/>
    <cellStyle name="20% - Accent4 30 2 5" xfId="8960"/>
    <cellStyle name="20% - Accent4 30 3" xfId="8961"/>
    <cellStyle name="20% - Accent4 30 3 2" xfId="8962"/>
    <cellStyle name="20% - Accent4 30 3 2 2" xfId="8963"/>
    <cellStyle name="20% - Accent4 30 3 3" xfId="8964"/>
    <cellStyle name="20% - Accent4 30 3 4" xfId="8965"/>
    <cellStyle name="20% - Accent4 30 4" xfId="8966"/>
    <cellStyle name="20% - Accent4 30 4 2" xfId="8967"/>
    <cellStyle name="20% - Accent4 30 4 2 2" xfId="8968"/>
    <cellStyle name="20% - Accent4 30 4 3" xfId="8969"/>
    <cellStyle name="20% - Accent4 30 4 4" xfId="8970"/>
    <cellStyle name="20% - Accent4 30 5" xfId="8971"/>
    <cellStyle name="20% - Accent4 30 5 2" xfId="8972"/>
    <cellStyle name="20% - Accent4 30 6" xfId="8973"/>
    <cellStyle name="20% - Accent4 30 7" xfId="8974"/>
    <cellStyle name="20% - Accent4 30 8" xfId="8975"/>
    <cellStyle name="20% - Accent4 31" xfId="8976"/>
    <cellStyle name="20% - Accent4 31 2" xfId="8977"/>
    <cellStyle name="20% - Accent4 31 2 2" xfId="8978"/>
    <cellStyle name="20% - Accent4 31 2 3" xfId="8979"/>
    <cellStyle name="20% - Accent4 31 3" xfId="8980"/>
    <cellStyle name="20% - Accent4 31 3 2" xfId="8981"/>
    <cellStyle name="20% - Accent4 31 4" xfId="8982"/>
    <cellStyle name="20% - Accent4 31 5" xfId="8983"/>
    <cellStyle name="20% - Accent4 32" xfId="8984"/>
    <cellStyle name="20% - Accent4 32 2" xfId="8985"/>
    <cellStyle name="20% - Accent4 32 2 2" xfId="8986"/>
    <cellStyle name="20% - Accent4 32 2 3" xfId="8987"/>
    <cellStyle name="20% - Accent4 32 3" xfId="8988"/>
    <cellStyle name="20% - Accent4 32 3 2" xfId="8989"/>
    <cellStyle name="20% - Accent4 32 4" xfId="8990"/>
    <cellStyle name="20% - Accent4 32 5" xfId="8991"/>
    <cellStyle name="20% - Accent4 33" xfId="8992"/>
    <cellStyle name="20% - Accent4 33 2" xfId="8993"/>
    <cellStyle name="20% - Accent4 33 2 2" xfId="8994"/>
    <cellStyle name="20% - Accent4 33 2 3" xfId="8995"/>
    <cellStyle name="20% - Accent4 33 3" xfId="8996"/>
    <cellStyle name="20% - Accent4 33 3 2" xfId="8997"/>
    <cellStyle name="20% - Accent4 33 4" xfId="8998"/>
    <cellStyle name="20% - Accent4 33 5" xfId="8999"/>
    <cellStyle name="20% - Accent4 34" xfId="9000"/>
    <cellStyle name="20% - Accent4 34 2" xfId="9001"/>
    <cellStyle name="20% - Accent4 34 2 2" xfId="9002"/>
    <cellStyle name="20% - Accent4 34 2 3" xfId="9003"/>
    <cellStyle name="20% - Accent4 34 3" xfId="9004"/>
    <cellStyle name="20% - Accent4 34 3 2" xfId="9005"/>
    <cellStyle name="20% - Accent4 34 4" xfId="9006"/>
    <cellStyle name="20% - Accent4 34 5" xfId="9007"/>
    <cellStyle name="20% - Accent4 35" xfId="9008"/>
    <cellStyle name="20% - Accent4 35 2" xfId="9009"/>
    <cellStyle name="20% - Accent4 35 2 2" xfId="9010"/>
    <cellStyle name="20% - Accent4 35 2 3" xfId="9011"/>
    <cellStyle name="20% - Accent4 35 3" xfId="9012"/>
    <cellStyle name="20% - Accent4 35 3 2" xfId="9013"/>
    <cellStyle name="20% - Accent4 35 4" xfId="9014"/>
    <cellStyle name="20% - Accent4 35 5" xfId="9015"/>
    <cellStyle name="20% - Accent4 36" xfId="9016"/>
    <cellStyle name="20% - Accent4 36 2" xfId="9017"/>
    <cellStyle name="20% - Accent4 36 2 2" xfId="9018"/>
    <cellStyle name="20% - Accent4 36 2 3" xfId="9019"/>
    <cellStyle name="20% - Accent4 36 3" xfId="9020"/>
    <cellStyle name="20% - Accent4 36 3 2" xfId="9021"/>
    <cellStyle name="20% - Accent4 36 4" xfId="9022"/>
    <cellStyle name="20% - Accent4 36 5" xfId="9023"/>
    <cellStyle name="20% - Accent4 37" xfId="9024"/>
    <cellStyle name="20% - Accent4 37 2" xfId="9025"/>
    <cellStyle name="20% - Accent4 37 2 2" xfId="9026"/>
    <cellStyle name="20% - Accent4 37 2 3" xfId="9027"/>
    <cellStyle name="20% - Accent4 37 3" xfId="9028"/>
    <cellStyle name="20% - Accent4 37 3 2" xfId="9029"/>
    <cellStyle name="20% - Accent4 37 4" xfId="9030"/>
    <cellStyle name="20% - Accent4 37 5" xfId="9031"/>
    <cellStyle name="20% - Accent4 38" xfId="9032"/>
    <cellStyle name="20% - Accent4 38 2" xfId="9033"/>
    <cellStyle name="20% - Accent4 38 2 2" xfId="9034"/>
    <cellStyle name="20% - Accent4 38 2 3" xfId="9035"/>
    <cellStyle name="20% - Accent4 38 3" xfId="9036"/>
    <cellStyle name="20% - Accent4 38 3 2" xfId="9037"/>
    <cellStyle name="20% - Accent4 38 4" xfId="9038"/>
    <cellStyle name="20% - Accent4 38 5" xfId="9039"/>
    <cellStyle name="20% - Accent4 39" xfId="9040"/>
    <cellStyle name="20% - Accent4 39 2" xfId="9041"/>
    <cellStyle name="20% - Accent4 39 2 2" xfId="9042"/>
    <cellStyle name="20% - Accent4 39 2 3" xfId="9043"/>
    <cellStyle name="20% - Accent4 39 3" xfId="9044"/>
    <cellStyle name="20% - Accent4 39 3 2" xfId="9045"/>
    <cellStyle name="20% - Accent4 39 4" xfId="9046"/>
    <cellStyle name="20% - Accent4 39 5" xfId="9047"/>
    <cellStyle name="20% - Accent4 4" xfId="9048"/>
    <cellStyle name="20% - Accent4 4 2" xfId="9049"/>
    <cellStyle name="20% - Accent4 4 2 2" xfId="9050"/>
    <cellStyle name="20% - Accent4 4 2 3" xfId="9051"/>
    <cellStyle name="20% - Accent4 4 2 4" xfId="9052"/>
    <cellStyle name="20% - Accent4 4 2 5" xfId="9053"/>
    <cellStyle name="20% - Accent4 4 2 6" xfId="9054"/>
    <cellStyle name="20% - Accent4 4 2 7" xfId="9055"/>
    <cellStyle name="20% - Accent4 4 2_2009 Actual" xfId="9056"/>
    <cellStyle name="20% - Accent4 4 3" xfId="9057"/>
    <cellStyle name="20% - Accent4 4 4" xfId="9058"/>
    <cellStyle name="20% - Accent4 4 5" xfId="9059"/>
    <cellStyle name="20% - Accent4 4 6" xfId="9060"/>
    <cellStyle name="20% - Accent4 4 7" xfId="9061"/>
    <cellStyle name="20% - Accent4 4 8" xfId="9062"/>
    <cellStyle name="20% - Accent4 4_2009 Actual" xfId="9063"/>
    <cellStyle name="20% - Accent4 40" xfId="9064"/>
    <cellStyle name="20% - Accent4 40 2" xfId="9065"/>
    <cellStyle name="20% - Accent4 40 2 2" xfId="9066"/>
    <cellStyle name="20% - Accent4 40 2 3" xfId="9067"/>
    <cellStyle name="20% - Accent4 40 3" xfId="9068"/>
    <cellStyle name="20% - Accent4 40 3 2" xfId="9069"/>
    <cellStyle name="20% - Accent4 40 4" xfId="9070"/>
    <cellStyle name="20% - Accent4 40 5" xfId="9071"/>
    <cellStyle name="20% - Accent4 41" xfId="9072"/>
    <cellStyle name="20% - Accent4 41 2" xfId="9073"/>
    <cellStyle name="20% - Accent4 41 2 2" xfId="9074"/>
    <cellStyle name="20% - Accent4 41 2 3" xfId="9075"/>
    <cellStyle name="20% - Accent4 41 3" xfId="9076"/>
    <cellStyle name="20% - Accent4 41 3 2" xfId="9077"/>
    <cellStyle name="20% - Accent4 41 4" xfId="9078"/>
    <cellStyle name="20% - Accent4 41 5" xfId="9079"/>
    <cellStyle name="20% - Accent4 42" xfId="9080"/>
    <cellStyle name="20% - Accent4 42 2" xfId="9081"/>
    <cellStyle name="20% - Accent4 42 2 2" xfId="9082"/>
    <cellStyle name="20% - Accent4 42 2 3" xfId="9083"/>
    <cellStyle name="20% - Accent4 42 3" xfId="9084"/>
    <cellStyle name="20% - Accent4 42 3 2" xfId="9085"/>
    <cellStyle name="20% - Accent4 42 4" xfId="9086"/>
    <cellStyle name="20% - Accent4 42 5" xfId="9087"/>
    <cellStyle name="20% - Accent4 43" xfId="9088"/>
    <cellStyle name="20% - Accent4 43 2" xfId="9089"/>
    <cellStyle name="20% - Accent4 43 2 2" xfId="9090"/>
    <cellStyle name="20% - Accent4 43 2 3" xfId="9091"/>
    <cellStyle name="20% - Accent4 43 3" xfId="9092"/>
    <cellStyle name="20% - Accent4 43 3 2" xfId="9093"/>
    <cellStyle name="20% - Accent4 43 4" xfId="9094"/>
    <cellStyle name="20% - Accent4 43 5" xfId="9095"/>
    <cellStyle name="20% - Accent4 44" xfId="9096"/>
    <cellStyle name="20% - Accent4 44 2" xfId="9097"/>
    <cellStyle name="20% - Accent4 44 2 2" xfId="9098"/>
    <cellStyle name="20% - Accent4 44 2 3" xfId="9099"/>
    <cellStyle name="20% - Accent4 44 3" xfId="9100"/>
    <cellStyle name="20% - Accent4 44 3 2" xfId="9101"/>
    <cellStyle name="20% - Accent4 44 4" xfId="9102"/>
    <cellStyle name="20% - Accent4 44 5" xfId="9103"/>
    <cellStyle name="20% - Accent4 45" xfId="9104"/>
    <cellStyle name="20% - Accent4 45 2" xfId="9105"/>
    <cellStyle name="20% - Accent4 45 2 2" xfId="9106"/>
    <cellStyle name="20% - Accent4 45 2 3" xfId="9107"/>
    <cellStyle name="20% - Accent4 45 3" xfId="9108"/>
    <cellStyle name="20% - Accent4 45 3 2" xfId="9109"/>
    <cellStyle name="20% - Accent4 45 4" xfId="9110"/>
    <cellStyle name="20% - Accent4 45 5" xfId="9111"/>
    <cellStyle name="20% - Accent4 46" xfId="9112"/>
    <cellStyle name="20% - Accent4 46 2" xfId="9113"/>
    <cellStyle name="20% - Accent4 46 2 2" xfId="9114"/>
    <cellStyle name="20% - Accent4 46 2 3" xfId="9115"/>
    <cellStyle name="20% - Accent4 46 3" xfId="9116"/>
    <cellStyle name="20% - Accent4 46 3 2" xfId="9117"/>
    <cellStyle name="20% - Accent4 46 4" xfId="9118"/>
    <cellStyle name="20% - Accent4 46 5" xfId="9119"/>
    <cellStyle name="20% - Accent4 47" xfId="9120"/>
    <cellStyle name="20% - Accent4 47 2" xfId="9121"/>
    <cellStyle name="20% - Accent4 47 2 2" xfId="9122"/>
    <cellStyle name="20% - Accent4 47 2 3" xfId="9123"/>
    <cellStyle name="20% - Accent4 47 3" xfId="9124"/>
    <cellStyle name="20% - Accent4 47 3 2" xfId="9125"/>
    <cellStyle name="20% - Accent4 47 4" xfId="9126"/>
    <cellStyle name="20% - Accent4 47 5" xfId="9127"/>
    <cellStyle name="20% - Accent4 48" xfId="9128"/>
    <cellStyle name="20% - Accent4 48 2" xfId="9129"/>
    <cellStyle name="20% - Accent4 48 2 2" xfId="9130"/>
    <cellStyle name="20% - Accent4 48 2 3" xfId="9131"/>
    <cellStyle name="20% - Accent4 48 3" xfId="9132"/>
    <cellStyle name="20% - Accent4 48 3 2" xfId="9133"/>
    <cellStyle name="20% - Accent4 48 4" xfId="9134"/>
    <cellStyle name="20% - Accent4 48 5" xfId="9135"/>
    <cellStyle name="20% - Accent4 49" xfId="9136"/>
    <cellStyle name="20% - Accent4 49 2" xfId="9137"/>
    <cellStyle name="20% - Accent4 49 2 2" xfId="9138"/>
    <cellStyle name="20% - Accent4 49 2 3" xfId="9139"/>
    <cellStyle name="20% - Accent4 49 3" xfId="9140"/>
    <cellStyle name="20% - Accent4 49 3 2" xfId="9141"/>
    <cellStyle name="20% - Accent4 49 4" xfId="9142"/>
    <cellStyle name="20% - Accent4 49 5" xfId="9143"/>
    <cellStyle name="20% - Accent4 5" xfId="9144"/>
    <cellStyle name="20% - Accent4 5 2" xfId="9145"/>
    <cellStyle name="20% - Accent4 5 2 2" xfId="9146"/>
    <cellStyle name="20% - Accent4 5 2 3" xfId="9147"/>
    <cellStyle name="20% - Accent4 5 2 4" xfId="9148"/>
    <cellStyle name="20% - Accent4 5 2 5" xfId="9149"/>
    <cellStyle name="20% - Accent4 5 2 6" xfId="9150"/>
    <cellStyle name="20% - Accent4 5 2 7" xfId="9151"/>
    <cellStyle name="20% - Accent4 5 2_2009 Actual" xfId="9152"/>
    <cellStyle name="20% - Accent4 5 3" xfId="9153"/>
    <cellStyle name="20% - Accent4 5 4" xfId="9154"/>
    <cellStyle name="20% - Accent4 5 5" xfId="9155"/>
    <cellStyle name="20% - Accent4 5 6" xfId="9156"/>
    <cellStyle name="20% - Accent4 5 7" xfId="9157"/>
    <cellStyle name="20% - Accent4 5 8" xfId="9158"/>
    <cellStyle name="20% - Accent4 5_2009 Actual" xfId="9159"/>
    <cellStyle name="20% - Accent4 50" xfId="9160"/>
    <cellStyle name="20% - Accent4 50 2" xfId="9161"/>
    <cellStyle name="20% - Accent4 50 2 2" xfId="9162"/>
    <cellStyle name="20% - Accent4 50 2 3" xfId="9163"/>
    <cellStyle name="20% - Accent4 50 3" xfId="9164"/>
    <cellStyle name="20% - Accent4 50 3 2" xfId="9165"/>
    <cellStyle name="20% - Accent4 50 4" xfId="9166"/>
    <cellStyle name="20% - Accent4 50 5" xfId="9167"/>
    <cellStyle name="20% - Accent4 51" xfId="9168"/>
    <cellStyle name="20% - Accent4 51 2" xfId="9169"/>
    <cellStyle name="20% - Accent4 51 2 2" xfId="9170"/>
    <cellStyle name="20% - Accent4 51 2 3" xfId="9171"/>
    <cellStyle name="20% - Accent4 51 3" xfId="9172"/>
    <cellStyle name="20% - Accent4 51 3 2" xfId="9173"/>
    <cellStyle name="20% - Accent4 51 4" xfId="9174"/>
    <cellStyle name="20% - Accent4 51 5" xfId="9175"/>
    <cellStyle name="20% - Accent4 52" xfId="9176"/>
    <cellStyle name="20% - Accent4 52 2" xfId="9177"/>
    <cellStyle name="20% - Accent4 52 2 2" xfId="9178"/>
    <cellStyle name="20% - Accent4 52 2 3" xfId="9179"/>
    <cellStyle name="20% - Accent4 52 3" xfId="9180"/>
    <cellStyle name="20% - Accent4 52 3 2" xfId="9181"/>
    <cellStyle name="20% - Accent4 52 4" xfId="9182"/>
    <cellStyle name="20% - Accent4 52 5" xfId="9183"/>
    <cellStyle name="20% - Accent4 53" xfId="9184"/>
    <cellStyle name="20% - Accent4 53 2" xfId="9185"/>
    <cellStyle name="20% - Accent4 53 2 2" xfId="9186"/>
    <cellStyle name="20% - Accent4 53 2 3" xfId="9187"/>
    <cellStyle name="20% - Accent4 53 3" xfId="9188"/>
    <cellStyle name="20% - Accent4 53 3 2" xfId="9189"/>
    <cellStyle name="20% - Accent4 53 4" xfId="9190"/>
    <cellStyle name="20% - Accent4 53 5" xfId="9191"/>
    <cellStyle name="20% - Accent4 54" xfId="9192"/>
    <cellStyle name="20% - Accent4 54 2" xfId="9193"/>
    <cellStyle name="20% - Accent4 54 2 2" xfId="9194"/>
    <cellStyle name="20% - Accent4 54 2 3" xfId="9195"/>
    <cellStyle name="20% - Accent4 54 3" xfId="9196"/>
    <cellStyle name="20% - Accent4 54 3 2" xfId="9197"/>
    <cellStyle name="20% - Accent4 54 4" xfId="9198"/>
    <cellStyle name="20% - Accent4 54 5" xfId="9199"/>
    <cellStyle name="20% - Accent4 55" xfId="9200"/>
    <cellStyle name="20% - Accent4 55 2" xfId="9201"/>
    <cellStyle name="20% - Accent4 55 2 2" xfId="9202"/>
    <cellStyle name="20% - Accent4 55 2 3" xfId="9203"/>
    <cellStyle name="20% - Accent4 55 3" xfId="9204"/>
    <cellStyle name="20% - Accent4 55 3 2" xfId="9205"/>
    <cellStyle name="20% - Accent4 55 4" xfId="9206"/>
    <cellStyle name="20% - Accent4 55 5" xfId="9207"/>
    <cellStyle name="20% - Accent4 56" xfId="9208"/>
    <cellStyle name="20% - Accent4 56 2" xfId="9209"/>
    <cellStyle name="20% - Accent4 56 2 2" xfId="9210"/>
    <cellStyle name="20% - Accent4 56 2 3" xfId="9211"/>
    <cellStyle name="20% - Accent4 56 3" xfId="9212"/>
    <cellStyle name="20% - Accent4 56 3 2" xfId="9213"/>
    <cellStyle name="20% - Accent4 56 4" xfId="9214"/>
    <cellStyle name="20% - Accent4 56 5" xfId="9215"/>
    <cellStyle name="20% - Accent4 57" xfId="9216"/>
    <cellStyle name="20% - Accent4 57 2" xfId="9217"/>
    <cellStyle name="20% - Accent4 57 2 2" xfId="9218"/>
    <cellStyle name="20% - Accent4 57 2 3" xfId="9219"/>
    <cellStyle name="20% - Accent4 57 3" xfId="9220"/>
    <cellStyle name="20% - Accent4 57 3 2" xfId="9221"/>
    <cellStyle name="20% - Accent4 57 4" xfId="9222"/>
    <cellStyle name="20% - Accent4 57 5" xfId="9223"/>
    <cellStyle name="20% - Accent4 58" xfId="9224"/>
    <cellStyle name="20% - Accent4 58 2" xfId="9225"/>
    <cellStyle name="20% - Accent4 58 2 2" xfId="9226"/>
    <cellStyle name="20% - Accent4 58 2 3" xfId="9227"/>
    <cellStyle name="20% - Accent4 58 3" xfId="9228"/>
    <cellStyle name="20% - Accent4 58 3 2" xfId="9229"/>
    <cellStyle name="20% - Accent4 58 4" xfId="9230"/>
    <cellStyle name="20% - Accent4 58 5" xfId="9231"/>
    <cellStyle name="20% - Accent4 59" xfId="9232"/>
    <cellStyle name="20% - Accent4 59 2" xfId="9233"/>
    <cellStyle name="20% - Accent4 59 2 2" xfId="9234"/>
    <cellStyle name="20% - Accent4 59 2 3" xfId="9235"/>
    <cellStyle name="20% - Accent4 59 3" xfId="9236"/>
    <cellStyle name="20% - Accent4 59 3 2" xfId="9237"/>
    <cellStyle name="20% - Accent4 59 4" xfId="9238"/>
    <cellStyle name="20% - Accent4 59 5" xfId="9239"/>
    <cellStyle name="20% - Accent4 6" xfId="9240"/>
    <cellStyle name="20% - Accent4 6 2" xfId="9241"/>
    <cellStyle name="20% - Accent4 6 3" xfId="9242"/>
    <cellStyle name="20% - Accent4 6 4" xfId="9243"/>
    <cellStyle name="20% - Accent4 6 5" xfId="9244"/>
    <cellStyle name="20% - Accent4 6 6" xfId="9245"/>
    <cellStyle name="20% - Accent4 6 7" xfId="9246"/>
    <cellStyle name="20% - Accent4 6 8" xfId="9247"/>
    <cellStyle name="20% - Accent4 6_2009 Actual" xfId="9248"/>
    <cellStyle name="20% - Accent4 60" xfId="9249"/>
    <cellStyle name="20% - Accent4 60 2" xfId="9250"/>
    <cellStyle name="20% - Accent4 60 2 2" xfId="9251"/>
    <cellStyle name="20% - Accent4 60 2 3" xfId="9252"/>
    <cellStyle name="20% - Accent4 60 3" xfId="9253"/>
    <cellStyle name="20% - Accent4 60 3 2" xfId="9254"/>
    <cellStyle name="20% - Accent4 60 4" xfId="9255"/>
    <cellStyle name="20% - Accent4 60 5" xfId="9256"/>
    <cellStyle name="20% - Accent4 61" xfId="9257"/>
    <cellStyle name="20% - Accent4 61 2" xfId="9258"/>
    <cellStyle name="20% - Accent4 61 2 2" xfId="9259"/>
    <cellStyle name="20% - Accent4 61 2 3" xfId="9260"/>
    <cellStyle name="20% - Accent4 61 3" xfId="9261"/>
    <cellStyle name="20% - Accent4 61 3 2" xfId="9262"/>
    <cellStyle name="20% - Accent4 61 4" xfId="9263"/>
    <cellStyle name="20% - Accent4 61 5" xfId="9264"/>
    <cellStyle name="20% - Accent4 62" xfId="9265"/>
    <cellStyle name="20% - Accent4 62 2" xfId="9266"/>
    <cellStyle name="20% - Accent4 62 2 2" xfId="9267"/>
    <cellStyle name="20% - Accent4 62 2 3" xfId="9268"/>
    <cellStyle name="20% - Accent4 62 3" xfId="9269"/>
    <cellStyle name="20% - Accent4 62 3 2" xfId="9270"/>
    <cellStyle name="20% - Accent4 62 4" xfId="9271"/>
    <cellStyle name="20% - Accent4 62 5" xfId="9272"/>
    <cellStyle name="20% - Accent4 63" xfId="9273"/>
    <cellStyle name="20% - Accent4 63 2" xfId="9274"/>
    <cellStyle name="20% - Accent4 63 2 2" xfId="9275"/>
    <cellStyle name="20% - Accent4 63 2 3" xfId="9276"/>
    <cellStyle name="20% - Accent4 63 3" xfId="9277"/>
    <cellStyle name="20% - Accent4 63 3 2" xfId="9278"/>
    <cellStyle name="20% - Accent4 63 4" xfId="9279"/>
    <cellStyle name="20% - Accent4 63 5" xfId="9280"/>
    <cellStyle name="20% - Accent4 64" xfId="9281"/>
    <cellStyle name="20% - Accent4 64 2" xfId="9282"/>
    <cellStyle name="20% - Accent4 64 2 2" xfId="9283"/>
    <cellStyle name="20% - Accent4 64 3" xfId="9284"/>
    <cellStyle name="20% - Accent4 64 4" xfId="9285"/>
    <cellStyle name="20% - Accent4 65" xfId="9286"/>
    <cellStyle name="20% - Accent4 65 2" xfId="9287"/>
    <cellStyle name="20% - Accent4 65 2 2" xfId="9288"/>
    <cellStyle name="20% - Accent4 65 3" xfId="9289"/>
    <cellStyle name="20% - Accent4 65 4" xfId="9290"/>
    <cellStyle name="20% - Accent4 66" xfId="9291"/>
    <cellStyle name="20% - Accent4 66 2" xfId="9292"/>
    <cellStyle name="20% - Accent4 66 2 2" xfId="9293"/>
    <cellStyle name="20% - Accent4 66 3" xfId="9294"/>
    <cellStyle name="20% - Accent4 66 4" xfId="9295"/>
    <cellStyle name="20% - Accent4 67" xfId="9296"/>
    <cellStyle name="20% - Accent4 67 2" xfId="9297"/>
    <cellStyle name="20% - Accent4 67 2 2" xfId="9298"/>
    <cellStyle name="20% - Accent4 67 3" xfId="9299"/>
    <cellStyle name="20% - Accent4 67 4" xfId="9300"/>
    <cellStyle name="20% - Accent4 68" xfId="9301"/>
    <cellStyle name="20% - Accent4 68 2" xfId="9302"/>
    <cellStyle name="20% - Accent4 68 2 2" xfId="9303"/>
    <cellStyle name="20% - Accent4 68 3" xfId="9304"/>
    <cellStyle name="20% - Accent4 68 4" xfId="9305"/>
    <cellStyle name="20% - Accent4 69" xfId="9306"/>
    <cellStyle name="20% - Accent4 69 2" xfId="9307"/>
    <cellStyle name="20% - Accent4 69 2 2" xfId="9308"/>
    <cellStyle name="20% - Accent4 69 3" xfId="9309"/>
    <cellStyle name="20% - Accent4 69 4" xfId="9310"/>
    <cellStyle name="20% - Accent4 7" xfId="9311"/>
    <cellStyle name="20% - Accent4 7 2" xfId="9312"/>
    <cellStyle name="20% - Accent4 7 3" xfId="9313"/>
    <cellStyle name="20% - Accent4 7 4" xfId="9314"/>
    <cellStyle name="20% - Accent4 7 5" xfId="9315"/>
    <cellStyle name="20% - Accent4 7 6" xfId="9316"/>
    <cellStyle name="20% - Accent4 7 7" xfId="9317"/>
    <cellStyle name="20% - Accent4 7 8" xfId="9318"/>
    <cellStyle name="20% - Accent4 7_2009 Actual" xfId="9319"/>
    <cellStyle name="20% - Accent4 70" xfId="9320"/>
    <cellStyle name="20% - Accent4 70 2" xfId="9321"/>
    <cellStyle name="20% - Accent4 70 2 2" xfId="9322"/>
    <cellStyle name="20% - Accent4 70 3" xfId="9323"/>
    <cellStyle name="20% - Accent4 70 4" xfId="9324"/>
    <cellStyle name="20% - Accent4 71" xfId="9325"/>
    <cellStyle name="20% - Accent4 71 2" xfId="9326"/>
    <cellStyle name="20% - Accent4 71 2 2" xfId="9327"/>
    <cellStyle name="20% - Accent4 71 3" xfId="9328"/>
    <cellStyle name="20% - Accent4 71 4" xfId="9329"/>
    <cellStyle name="20% - Accent4 72" xfId="9330"/>
    <cellStyle name="20% - Accent4 72 2" xfId="9331"/>
    <cellStyle name="20% - Accent4 72 2 2" xfId="9332"/>
    <cellStyle name="20% - Accent4 72 3" xfId="9333"/>
    <cellStyle name="20% - Accent4 72 4" xfId="9334"/>
    <cellStyle name="20% - Accent4 73" xfId="9335"/>
    <cellStyle name="20% - Accent4 73 2" xfId="9336"/>
    <cellStyle name="20% - Accent4 73 2 2" xfId="9337"/>
    <cellStyle name="20% - Accent4 73 3" xfId="9338"/>
    <cellStyle name="20% - Accent4 73 4" xfId="9339"/>
    <cellStyle name="20% - Accent4 74" xfId="9340"/>
    <cellStyle name="20% - Accent4 74 2" xfId="9341"/>
    <cellStyle name="20% - Accent4 74 2 2" xfId="9342"/>
    <cellStyle name="20% - Accent4 74 3" xfId="9343"/>
    <cellStyle name="20% - Accent4 74 4" xfId="9344"/>
    <cellStyle name="20% - Accent4 75" xfId="9345"/>
    <cellStyle name="20% - Accent4 75 2" xfId="9346"/>
    <cellStyle name="20% - Accent4 75 2 2" xfId="9347"/>
    <cellStyle name="20% - Accent4 75 3" xfId="9348"/>
    <cellStyle name="20% - Accent4 75 4" xfId="9349"/>
    <cellStyle name="20% - Accent4 76" xfId="9350"/>
    <cellStyle name="20% - Accent4 76 2" xfId="9351"/>
    <cellStyle name="20% - Accent4 76 2 2" xfId="9352"/>
    <cellStyle name="20% - Accent4 76 3" xfId="9353"/>
    <cellStyle name="20% - Accent4 76 4" xfId="9354"/>
    <cellStyle name="20% - Accent4 77" xfId="9355"/>
    <cellStyle name="20% - Accent4 77 2" xfId="9356"/>
    <cellStyle name="20% - Accent4 77 2 2" xfId="9357"/>
    <cellStyle name="20% - Accent4 77 3" xfId="9358"/>
    <cellStyle name="20% - Accent4 77 4" xfId="9359"/>
    <cellStyle name="20% - Accent4 78" xfId="9360"/>
    <cellStyle name="20% - Accent4 78 2" xfId="9361"/>
    <cellStyle name="20% - Accent4 78 2 2" xfId="9362"/>
    <cellStyle name="20% - Accent4 78 3" xfId="9363"/>
    <cellStyle name="20% - Accent4 78 4" xfId="9364"/>
    <cellStyle name="20% - Accent4 79" xfId="9365"/>
    <cellStyle name="20% - Accent4 79 2" xfId="9366"/>
    <cellStyle name="20% - Accent4 79 2 2" xfId="9367"/>
    <cellStyle name="20% - Accent4 79 3" xfId="9368"/>
    <cellStyle name="20% - Accent4 79 4" xfId="9369"/>
    <cellStyle name="20% - Accent4 8" xfId="9370"/>
    <cellStyle name="20% - Accent4 8 2" xfId="9371"/>
    <cellStyle name="20% - Accent4 8 3" xfId="9372"/>
    <cellStyle name="20% - Accent4 8 4" xfId="9373"/>
    <cellStyle name="20% - Accent4 8 5" xfId="9374"/>
    <cellStyle name="20% - Accent4 8 6" xfId="9375"/>
    <cellStyle name="20% - Accent4 8 7" xfId="9376"/>
    <cellStyle name="20% - Accent4 8 8" xfId="9377"/>
    <cellStyle name="20% - Accent4 8_2009 Actual" xfId="9378"/>
    <cellStyle name="20% - Accent4 80" xfId="9379"/>
    <cellStyle name="20% - Accent4 80 2" xfId="9380"/>
    <cellStyle name="20% - Accent4 80 2 2" xfId="9381"/>
    <cellStyle name="20% - Accent4 80 3" xfId="9382"/>
    <cellStyle name="20% - Accent4 80 4" xfId="9383"/>
    <cellStyle name="20% - Accent4 81" xfId="9384"/>
    <cellStyle name="20% - Accent4 81 2" xfId="9385"/>
    <cellStyle name="20% - Accent4 81 2 2" xfId="9386"/>
    <cellStyle name="20% - Accent4 81 3" xfId="9387"/>
    <cellStyle name="20% - Accent4 81 4" xfId="9388"/>
    <cellStyle name="20% - Accent4 82" xfId="9389"/>
    <cellStyle name="20% - Accent4 82 2" xfId="9390"/>
    <cellStyle name="20% - Accent4 82 2 2" xfId="9391"/>
    <cellStyle name="20% - Accent4 82 3" xfId="9392"/>
    <cellStyle name="20% - Accent4 82 4" xfId="9393"/>
    <cellStyle name="20% - Accent4 83" xfId="9394"/>
    <cellStyle name="20% - Accent4 83 2" xfId="9395"/>
    <cellStyle name="20% - Accent4 83 2 2" xfId="9396"/>
    <cellStyle name="20% - Accent4 83 3" xfId="9397"/>
    <cellStyle name="20% - Accent4 83 4" xfId="9398"/>
    <cellStyle name="20% - Accent4 84" xfId="9399"/>
    <cellStyle name="20% - Accent4 84 2" xfId="9400"/>
    <cellStyle name="20% - Accent4 84 2 2" xfId="9401"/>
    <cellStyle name="20% - Accent4 84 3" xfId="9402"/>
    <cellStyle name="20% - Accent4 84 4" xfId="9403"/>
    <cellStyle name="20% - Accent4 85" xfId="9404"/>
    <cellStyle name="20% - Accent4 85 2" xfId="9405"/>
    <cellStyle name="20% - Accent4 85 2 2" xfId="9406"/>
    <cellStyle name="20% - Accent4 85 3" xfId="9407"/>
    <cellStyle name="20% - Accent4 85 4" xfId="9408"/>
    <cellStyle name="20% - Accent4 86" xfId="9409"/>
    <cellStyle name="20% - Accent4 86 2" xfId="9410"/>
    <cellStyle name="20% - Accent4 86 2 2" xfId="9411"/>
    <cellStyle name="20% - Accent4 86 3" xfId="9412"/>
    <cellStyle name="20% - Accent4 86 4" xfId="9413"/>
    <cellStyle name="20% - Accent4 87" xfId="9414"/>
    <cellStyle name="20% - Accent4 87 2" xfId="9415"/>
    <cellStyle name="20% - Accent4 87 2 2" xfId="9416"/>
    <cellStyle name="20% - Accent4 87 3" xfId="9417"/>
    <cellStyle name="20% - Accent4 87 4" xfId="9418"/>
    <cellStyle name="20% - Accent4 88" xfId="9419"/>
    <cellStyle name="20% - Accent4 88 2" xfId="9420"/>
    <cellStyle name="20% - Accent4 88 2 2" xfId="9421"/>
    <cellStyle name="20% - Accent4 88 3" xfId="9422"/>
    <cellStyle name="20% - Accent4 88 4" xfId="9423"/>
    <cellStyle name="20% - Accent4 89" xfId="9424"/>
    <cellStyle name="20% - Accent4 89 2" xfId="9425"/>
    <cellStyle name="20% - Accent4 89 3" xfId="9426"/>
    <cellStyle name="20% - Accent4 9" xfId="9427"/>
    <cellStyle name="20% - Accent4 9 2" xfId="9428"/>
    <cellStyle name="20% - Accent4 9 3" xfId="9429"/>
    <cellStyle name="20% - Accent4 9 4" xfId="9430"/>
    <cellStyle name="20% - Accent4 9 5" xfId="9431"/>
    <cellStyle name="20% - Accent4 9 6" xfId="9432"/>
    <cellStyle name="20% - Accent4 9 7" xfId="9433"/>
    <cellStyle name="20% - Accent4 9 8" xfId="9434"/>
    <cellStyle name="20% - Accent4 9_2009 Actual" xfId="9435"/>
    <cellStyle name="20% - Accent4 90" xfId="9436"/>
    <cellStyle name="20% - Accent4 90 2" xfId="9437"/>
    <cellStyle name="20% - Accent4 91" xfId="9438"/>
    <cellStyle name="20% - Accent4 91 2" xfId="9439"/>
    <cellStyle name="20% - Accent4 92" xfId="9440"/>
    <cellStyle name="20% - Accent4 92 2" xfId="9441"/>
    <cellStyle name="20% - Accent4 93" xfId="9442"/>
    <cellStyle name="20% - Accent4 93 2" xfId="9443"/>
    <cellStyle name="20% - Accent4 94" xfId="9444"/>
    <cellStyle name="20% - Accent4 94 2" xfId="9445"/>
    <cellStyle name="20% - Accent4 95" xfId="9446"/>
    <cellStyle name="20% - Accent4 95 2" xfId="9447"/>
    <cellStyle name="20% - Accent4 96" xfId="9448"/>
    <cellStyle name="20% - Accent4 96 2" xfId="9449"/>
    <cellStyle name="20% - Accent4 97" xfId="9450"/>
    <cellStyle name="20% - Accent4 97 2" xfId="9451"/>
    <cellStyle name="20% - Accent4 98" xfId="9452"/>
    <cellStyle name="20% - Accent4 98 2" xfId="9453"/>
    <cellStyle name="20% - Accent4 99" xfId="9454"/>
    <cellStyle name="20% - Accent5 10" xfId="9455"/>
    <cellStyle name="20% - Accent5 10 2" xfId="9456"/>
    <cellStyle name="20% - Accent5 10 3" xfId="9457"/>
    <cellStyle name="20% - Accent5 10 4" xfId="9458"/>
    <cellStyle name="20% - Accent5 10 5" xfId="9459"/>
    <cellStyle name="20% - Accent5 10 6" xfId="9460"/>
    <cellStyle name="20% - Accent5 10 7" xfId="9461"/>
    <cellStyle name="20% - Accent5 10 8" xfId="9462"/>
    <cellStyle name="20% - Accent5 10 8 2" xfId="9463"/>
    <cellStyle name="20% - Accent5 10_2009 Actual" xfId="9464"/>
    <cellStyle name="20% - Accent5 100" xfId="9465"/>
    <cellStyle name="20% - Accent5 100 2" xfId="9466"/>
    <cellStyle name="20% - Accent5 100 2 2" xfId="9467"/>
    <cellStyle name="20% - Accent5 100 3" xfId="9468"/>
    <cellStyle name="20% - Accent5 100 4" xfId="9469"/>
    <cellStyle name="20% - Accent5 101" xfId="9470"/>
    <cellStyle name="20% - Accent5 101 2" xfId="9471"/>
    <cellStyle name="20% - Accent5 101 2 2" xfId="9472"/>
    <cellStyle name="20% - Accent5 101 3" xfId="9473"/>
    <cellStyle name="20% - Accent5 101 4" xfId="9474"/>
    <cellStyle name="20% - Accent5 102" xfId="9475"/>
    <cellStyle name="20% - Accent5 102 2" xfId="9476"/>
    <cellStyle name="20% - Accent5 102 2 2" xfId="9477"/>
    <cellStyle name="20% - Accent5 102 3" xfId="9478"/>
    <cellStyle name="20% - Accent5 102 4" xfId="9479"/>
    <cellStyle name="20% - Accent5 103" xfId="9480"/>
    <cellStyle name="20% - Accent5 103 2" xfId="9481"/>
    <cellStyle name="20% - Accent5 103 2 2" xfId="9482"/>
    <cellStyle name="20% - Accent5 103 3" xfId="9483"/>
    <cellStyle name="20% - Accent5 103 4" xfId="9484"/>
    <cellStyle name="20% - Accent5 104" xfId="9485"/>
    <cellStyle name="20% - Accent5 104 2" xfId="9486"/>
    <cellStyle name="20% - Accent5 104 2 2" xfId="9487"/>
    <cellStyle name="20% - Accent5 104 3" xfId="9488"/>
    <cellStyle name="20% - Accent5 104 4" xfId="9489"/>
    <cellStyle name="20% - Accent5 105" xfId="9490"/>
    <cellStyle name="20% - Accent5 105 2" xfId="9491"/>
    <cellStyle name="20% - Accent5 105 2 2" xfId="9492"/>
    <cellStyle name="20% - Accent5 105 3" xfId="9493"/>
    <cellStyle name="20% - Accent5 105 4" xfId="9494"/>
    <cellStyle name="20% - Accent5 106" xfId="9495"/>
    <cellStyle name="20% - Accent5 106 2" xfId="9496"/>
    <cellStyle name="20% - Accent5 106 2 2" xfId="9497"/>
    <cellStyle name="20% - Accent5 106 3" xfId="9498"/>
    <cellStyle name="20% - Accent5 106 4" xfId="9499"/>
    <cellStyle name="20% - Accent5 107" xfId="9500"/>
    <cellStyle name="20% - Accent5 107 2" xfId="9501"/>
    <cellStyle name="20% - Accent5 107 2 2" xfId="9502"/>
    <cellStyle name="20% - Accent5 107 3" xfId="9503"/>
    <cellStyle name="20% - Accent5 107 4" xfId="9504"/>
    <cellStyle name="20% - Accent5 108" xfId="9505"/>
    <cellStyle name="20% - Accent5 108 2" xfId="9506"/>
    <cellStyle name="20% - Accent5 108 2 2" xfId="9507"/>
    <cellStyle name="20% - Accent5 108 3" xfId="9508"/>
    <cellStyle name="20% - Accent5 108 4" xfId="9509"/>
    <cellStyle name="20% - Accent5 109" xfId="9510"/>
    <cellStyle name="20% - Accent5 109 2" xfId="9511"/>
    <cellStyle name="20% - Accent5 109 2 2" xfId="9512"/>
    <cellStyle name="20% - Accent5 109 3" xfId="9513"/>
    <cellStyle name="20% - Accent5 109 4" xfId="9514"/>
    <cellStyle name="20% - Accent5 11" xfId="9515"/>
    <cellStyle name="20% - Accent5 11 2" xfId="9516"/>
    <cellStyle name="20% - Accent5 11 3" xfId="9517"/>
    <cellStyle name="20% - Accent5 11 4" xfId="9518"/>
    <cellStyle name="20% - Accent5 11 5" xfId="9519"/>
    <cellStyle name="20% - Accent5 11 6" xfId="9520"/>
    <cellStyle name="20% - Accent5 11 7" xfId="9521"/>
    <cellStyle name="20% - Accent5 11_2009 Actual" xfId="9522"/>
    <cellStyle name="20% - Accent5 110" xfId="9523"/>
    <cellStyle name="20% - Accent5 110 2" xfId="9524"/>
    <cellStyle name="20% - Accent5 110 2 2" xfId="9525"/>
    <cellStyle name="20% - Accent5 110 3" xfId="9526"/>
    <cellStyle name="20% - Accent5 110 4" xfId="9527"/>
    <cellStyle name="20% - Accent5 111" xfId="9528"/>
    <cellStyle name="20% - Accent5 111 2" xfId="9529"/>
    <cellStyle name="20% - Accent5 111 2 2" xfId="9530"/>
    <cellStyle name="20% - Accent5 111 3" xfId="9531"/>
    <cellStyle name="20% - Accent5 111 4" xfId="9532"/>
    <cellStyle name="20% - Accent5 112" xfId="9533"/>
    <cellStyle name="20% - Accent5 112 2" xfId="9534"/>
    <cellStyle name="20% - Accent5 112 2 2" xfId="9535"/>
    <cellStyle name="20% - Accent5 112 3" xfId="9536"/>
    <cellStyle name="20% - Accent5 112 4" xfId="9537"/>
    <cellStyle name="20% - Accent5 113" xfId="9538"/>
    <cellStyle name="20% - Accent5 113 2" xfId="9539"/>
    <cellStyle name="20% - Accent5 113 2 2" xfId="9540"/>
    <cellStyle name="20% - Accent5 113 3" xfId="9541"/>
    <cellStyle name="20% - Accent5 113 4" xfId="9542"/>
    <cellStyle name="20% - Accent5 114" xfId="9543"/>
    <cellStyle name="20% - Accent5 114 2" xfId="9544"/>
    <cellStyle name="20% - Accent5 114 2 2" xfId="9545"/>
    <cellStyle name="20% - Accent5 114 3" xfId="9546"/>
    <cellStyle name="20% - Accent5 114 4" xfId="9547"/>
    <cellStyle name="20% - Accent5 115" xfId="9548"/>
    <cellStyle name="20% - Accent5 115 2" xfId="9549"/>
    <cellStyle name="20% - Accent5 115 2 2" xfId="9550"/>
    <cellStyle name="20% - Accent5 115 3" xfId="9551"/>
    <cellStyle name="20% - Accent5 115 4" xfId="9552"/>
    <cellStyle name="20% - Accent5 116" xfId="9553"/>
    <cellStyle name="20% - Accent5 116 2" xfId="9554"/>
    <cellStyle name="20% - Accent5 116 2 2" xfId="9555"/>
    <cellStyle name="20% - Accent5 116 3" xfId="9556"/>
    <cellStyle name="20% - Accent5 116 4" xfId="9557"/>
    <cellStyle name="20% - Accent5 117" xfId="9558"/>
    <cellStyle name="20% - Accent5 117 2" xfId="9559"/>
    <cellStyle name="20% - Accent5 117 2 2" xfId="9560"/>
    <cellStyle name="20% - Accent5 117 3" xfId="9561"/>
    <cellStyle name="20% - Accent5 117 4" xfId="9562"/>
    <cellStyle name="20% - Accent5 118" xfId="9563"/>
    <cellStyle name="20% - Accent5 118 2" xfId="9564"/>
    <cellStyle name="20% - Accent5 118 2 2" xfId="9565"/>
    <cellStyle name="20% - Accent5 118 3" xfId="9566"/>
    <cellStyle name="20% - Accent5 118 4" xfId="9567"/>
    <cellStyle name="20% - Accent5 119" xfId="9568"/>
    <cellStyle name="20% - Accent5 119 2" xfId="9569"/>
    <cellStyle name="20% - Accent5 119 2 2" xfId="9570"/>
    <cellStyle name="20% - Accent5 119 3" xfId="9571"/>
    <cellStyle name="20% - Accent5 119 4" xfId="9572"/>
    <cellStyle name="20% - Accent5 12" xfId="9573"/>
    <cellStyle name="20% - Accent5 12 10" xfId="9574"/>
    <cellStyle name="20% - Accent5 12 11" xfId="9575"/>
    <cellStyle name="20% - Accent5 12 2" xfId="9576"/>
    <cellStyle name="20% - Accent5 12 2 2" xfId="9577"/>
    <cellStyle name="20% - Accent5 12 2 3" xfId="9578"/>
    <cellStyle name="20% - Accent5 12 2_Elec Margin Analysis" xfId="9579"/>
    <cellStyle name="20% - Accent5 12 3" xfId="9580"/>
    <cellStyle name="20% - Accent5 12 3 2" xfId="9581"/>
    <cellStyle name="20% - Accent5 12 3 3" xfId="9582"/>
    <cellStyle name="20% - Accent5 12 3_Elec Margin Analysis" xfId="9583"/>
    <cellStyle name="20% - Accent5 12 4" xfId="9584"/>
    <cellStyle name="20% - Accent5 12 4 2" xfId="9585"/>
    <cellStyle name="20% - Accent5 12 4 3" xfId="9586"/>
    <cellStyle name="20% - Accent5 12 4_Elec Margin Analysis" xfId="9587"/>
    <cellStyle name="20% - Accent5 12 5" xfId="9588"/>
    <cellStyle name="20% - Accent5 12 5 2" xfId="9589"/>
    <cellStyle name="20% - Accent5 12 5 3" xfId="9590"/>
    <cellStyle name="20% - Accent5 12 5_Elec Margin Analysis" xfId="9591"/>
    <cellStyle name="20% - Accent5 12 6" xfId="9592"/>
    <cellStyle name="20% - Accent5 12 6 2" xfId="9593"/>
    <cellStyle name="20% - Accent5 12 6 3" xfId="9594"/>
    <cellStyle name="20% - Accent5 12 7" xfId="9595"/>
    <cellStyle name="20% - Accent5 12 8" xfId="9596"/>
    <cellStyle name="20% - Accent5 12 9" xfId="9597"/>
    <cellStyle name="20% - Accent5 12_2009 Actual" xfId="9598"/>
    <cellStyle name="20% - Accent5 120" xfId="9599"/>
    <cellStyle name="20% - Accent5 120 2" xfId="9600"/>
    <cellStyle name="20% - Accent5 120 2 2" xfId="9601"/>
    <cellStyle name="20% - Accent5 120 3" xfId="9602"/>
    <cellStyle name="20% - Accent5 120 4" xfId="9603"/>
    <cellStyle name="20% - Accent5 121" xfId="9604"/>
    <cellStyle name="20% - Accent5 121 2" xfId="9605"/>
    <cellStyle name="20% - Accent5 122" xfId="9606"/>
    <cellStyle name="20% - Accent5 122 2" xfId="9607"/>
    <cellStyle name="20% - Accent5 123" xfId="9608"/>
    <cellStyle name="20% - Accent5 123 2" xfId="9609"/>
    <cellStyle name="20% - Accent5 124" xfId="9610"/>
    <cellStyle name="20% - Accent5 125" xfId="9611"/>
    <cellStyle name="20% - Accent5 126" xfId="9612"/>
    <cellStyle name="20% - Accent5 127" xfId="9613"/>
    <cellStyle name="20% - Accent5 128" xfId="9614"/>
    <cellStyle name="20% - Accent5 129" xfId="9615"/>
    <cellStyle name="20% - Accent5 13" xfId="9616"/>
    <cellStyle name="20% - Accent5 13 2" xfId="9617"/>
    <cellStyle name="20% - Accent5 13 3" xfId="9618"/>
    <cellStyle name="20% - Accent5 13 4" xfId="9619"/>
    <cellStyle name="20% - Accent5 13 5" xfId="9620"/>
    <cellStyle name="20% - Accent5 13 6" xfId="9621"/>
    <cellStyle name="20% - Accent5 13 7" xfId="9622"/>
    <cellStyle name="20% - Accent5 13_2009 Actual" xfId="9623"/>
    <cellStyle name="20% - Accent5 130" xfId="9624"/>
    <cellStyle name="20% - Accent5 131" xfId="9625"/>
    <cellStyle name="20% - Accent5 132" xfId="9626"/>
    <cellStyle name="20% - Accent5 133" xfId="9627"/>
    <cellStyle name="20% - Accent5 134" xfId="9628"/>
    <cellStyle name="20% - Accent5 135" xfId="9629"/>
    <cellStyle name="20% - Accent5 136" xfId="9630"/>
    <cellStyle name="20% - Accent5 137" xfId="9631"/>
    <cellStyle name="20% - Accent5 138" xfId="9632"/>
    <cellStyle name="20% - Accent5 139" xfId="9633"/>
    <cellStyle name="20% - Accent5 14" xfId="9634"/>
    <cellStyle name="20% - Accent5 14 2" xfId="9635"/>
    <cellStyle name="20% - Accent5 14 3" xfId="9636"/>
    <cellStyle name="20% - Accent5 14 4" xfId="9637"/>
    <cellStyle name="20% - Accent5 14 5" xfId="9638"/>
    <cellStyle name="20% - Accent5 14 6" xfId="9639"/>
    <cellStyle name="20% - Accent5 14 7" xfId="9640"/>
    <cellStyle name="20% - Accent5 14_2009 Actual" xfId="9641"/>
    <cellStyle name="20% - Accent5 140" xfId="9642"/>
    <cellStyle name="20% - Accent5 141" xfId="9643"/>
    <cellStyle name="20% - Accent5 142" xfId="9644"/>
    <cellStyle name="20% - Accent5 143" xfId="9645"/>
    <cellStyle name="20% - Accent5 144" xfId="9646"/>
    <cellStyle name="20% - Accent5 15" xfId="9647"/>
    <cellStyle name="20% - Accent5 15 2" xfId="9648"/>
    <cellStyle name="20% - Accent5 15 3" xfId="9649"/>
    <cellStyle name="20% - Accent5 15 4" xfId="9650"/>
    <cellStyle name="20% - Accent5 15 5" xfId="9651"/>
    <cellStyle name="20% - Accent5 16" xfId="9652"/>
    <cellStyle name="20% - Accent5 17" xfId="9653"/>
    <cellStyle name="20% - Accent5 18" xfId="9654"/>
    <cellStyle name="20% - Accent5 19" xfId="9655"/>
    <cellStyle name="20% - Accent5 19 2" xfId="9656"/>
    <cellStyle name="20% - Accent5 19 3" xfId="9657"/>
    <cellStyle name="20% - Accent5 19_Elec Margin Analysis" xfId="9658"/>
    <cellStyle name="20% - Accent5 2" xfId="9659"/>
    <cellStyle name="20% - Accent5 2 10" xfId="9660"/>
    <cellStyle name="20% - Accent5 2 10 2" xfId="9661"/>
    <cellStyle name="20% - Accent5 2 10 3" xfId="9662"/>
    <cellStyle name="20% - Accent5 2 10_Elec Margin Analysis" xfId="9663"/>
    <cellStyle name="20% - Accent5 2 11" xfId="9664"/>
    <cellStyle name="20% - Accent5 2 11 2" xfId="9665"/>
    <cellStyle name="20% - Accent5 2 11 3" xfId="9666"/>
    <cellStyle name="20% - Accent5 2 12" xfId="9667"/>
    <cellStyle name="20% - Accent5 2 13" xfId="9668"/>
    <cellStyle name="20% - Accent5 2 14" xfId="9669"/>
    <cellStyle name="20% - Accent5 2 15" xfId="9670"/>
    <cellStyle name="20% - Accent5 2 16" xfId="9671"/>
    <cellStyle name="20% - Accent5 2 17" xfId="9672"/>
    <cellStyle name="20% - Accent5 2 17 2" xfId="9673"/>
    <cellStyle name="20% - Accent5 2 17 2 2" xfId="9674"/>
    <cellStyle name="20% - Accent5 2 17 2 2 2" xfId="9675"/>
    <cellStyle name="20% - Accent5 2 17 2 2 3" xfId="9676"/>
    <cellStyle name="20% - Accent5 2 17 2 3" xfId="9677"/>
    <cellStyle name="20% - Accent5 2 17 2 3 2" xfId="9678"/>
    <cellStyle name="20% - Accent5 2 17 2 4" xfId="9679"/>
    <cellStyle name="20% - Accent5 2 17 2 5" xfId="9680"/>
    <cellStyle name="20% - Accent5 2 17 3" xfId="9681"/>
    <cellStyle name="20% - Accent5 2 17 3 2" xfId="9682"/>
    <cellStyle name="20% - Accent5 2 17 3 2 2" xfId="9683"/>
    <cellStyle name="20% - Accent5 2 17 3 3" xfId="9684"/>
    <cellStyle name="20% - Accent5 2 17 3 4" xfId="9685"/>
    <cellStyle name="20% - Accent5 2 17 4" xfId="9686"/>
    <cellStyle name="20% - Accent5 2 17 4 2" xfId="9687"/>
    <cellStyle name="20% - Accent5 2 17 4 2 2" xfId="9688"/>
    <cellStyle name="20% - Accent5 2 17 4 3" xfId="9689"/>
    <cellStyle name="20% - Accent5 2 17 4 4" xfId="9690"/>
    <cellStyle name="20% - Accent5 2 17 5" xfId="9691"/>
    <cellStyle name="20% - Accent5 2 17 5 2" xfId="9692"/>
    <cellStyle name="20% - Accent5 2 17 6" xfId="9693"/>
    <cellStyle name="20% - Accent5 2 17 7" xfId="9694"/>
    <cellStyle name="20% - Accent5 2 17 8" xfId="9695"/>
    <cellStyle name="20% - Accent5 2 18" xfId="9696"/>
    <cellStyle name="20% - Accent5 2 18 2" xfId="9697"/>
    <cellStyle name="20% - Accent5 2 18 2 2" xfId="9698"/>
    <cellStyle name="20% - Accent5 2 18 2 2 2" xfId="9699"/>
    <cellStyle name="20% - Accent5 2 18 2 2 3" xfId="9700"/>
    <cellStyle name="20% - Accent5 2 18 2 3" xfId="9701"/>
    <cellStyle name="20% - Accent5 2 18 2 3 2" xfId="9702"/>
    <cellStyle name="20% - Accent5 2 18 2 4" xfId="9703"/>
    <cellStyle name="20% - Accent5 2 18 2 5" xfId="9704"/>
    <cellStyle name="20% - Accent5 2 18 3" xfId="9705"/>
    <cellStyle name="20% - Accent5 2 18 3 2" xfId="9706"/>
    <cellStyle name="20% - Accent5 2 18 3 2 2" xfId="9707"/>
    <cellStyle name="20% - Accent5 2 18 3 3" xfId="9708"/>
    <cellStyle name="20% - Accent5 2 18 3 4" xfId="9709"/>
    <cellStyle name="20% - Accent5 2 18 4" xfId="9710"/>
    <cellStyle name="20% - Accent5 2 18 4 2" xfId="9711"/>
    <cellStyle name="20% - Accent5 2 18 4 2 2" xfId="9712"/>
    <cellStyle name="20% - Accent5 2 18 4 3" xfId="9713"/>
    <cellStyle name="20% - Accent5 2 18 4 4" xfId="9714"/>
    <cellStyle name="20% - Accent5 2 18 5" xfId="9715"/>
    <cellStyle name="20% - Accent5 2 18 5 2" xfId="9716"/>
    <cellStyle name="20% - Accent5 2 18 6" xfId="9717"/>
    <cellStyle name="20% - Accent5 2 18 7" xfId="9718"/>
    <cellStyle name="20% - Accent5 2 18 8" xfId="9719"/>
    <cellStyle name="20% - Accent5 2 19" xfId="9720"/>
    <cellStyle name="20% - Accent5 2 19 2" xfId="9721"/>
    <cellStyle name="20% - Accent5 2 19 2 2" xfId="9722"/>
    <cellStyle name="20% - Accent5 2 19 2 2 2" xfId="9723"/>
    <cellStyle name="20% - Accent5 2 19 2 2 3" xfId="9724"/>
    <cellStyle name="20% - Accent5 2 19 2 3" xfId="9725"/>
    <cellStyle name="20% - Accent5 2 19 2 3 2" xfId="9726"/>
    <cellStyle name="20% - Accent5 2 19 2 4" xfId="9727"/>
    <cellStyle name="20% - Accent5 2 19 2 5" xfId="9728"/>
    <cellStyle name="20% - Accent5 2 19 3" xfId="9729"/>
    <cellStyle name="20% - Accent5 2 19 3 2" xfId="9730"/>
    <cellStyle name="20% - Accent5 2 19 3 2 2" xfId="9731"/>
    <cellStyle name="20% - Accent5 2 19 3 3" xfId="9732"/>
    <cellStyle name="20% - Accent5 2 19 3 4" xfId="9733"/>
    <cellStyle name="20% - Accent5 2 19 4" xfId="9734"/>
    <cellStyle name="20% - Accent5 2 19 4 2" xfId="9735"/>
    <cellStyle name="20% - Accent5 2 19 4 2 2" xfId="9736"/>
    <cellStyle name="20% - Accent5 2 19 4 3" xfId="9737"/>
    <cellStyle name="20% - Accent5 2 19 4 4" xfId="9738"/>
    <cellStyle name="20% - Accent5 2 19 5" xfId="9739"/>
    <cellStyle name="20% - Accent5 2 19 5 2" xfId="9740"/>
    <cellStyle name="20% - Accent5 2 19 6" xfId="9741"/>
    <cellStyle name="20% - Accent5 2 19 7" xfId="9742"/>
    <cellStyle name="20% - Accent5 2 19 8" xfId="9743"/>
    <cellStyle name="20% - Accent5 2 2" xfId="9744"/>
    <cellStyle name="20% - Accent5 2 2 10" xfId="9745"/>
    <cellStyle name="20% - Accent5 2 2 11" xfId="9746"/>
    <cellStyle name="20% - Accent5 2 2 12" xfId="9747"/>
    <cellStyle name="20% - Accent5 2 2 12 2" xfId="9748"/>
    <cellStyle name="20% - Accent5 2 2 12 2 2" xfId="9749"/>
    <cellStyle name="20% - Accent5 2 2 12 2 2 2" xfId="9750"/>
    <cellStyle name="20% - Accent5 2 2 12 2 2 3" xfId="9751"/>
    <cellStyle name="20% - Accent5 2 2 12 2 3" xfId="9752"/>
    <cellStyle name="20% - Accent5 2 2 12 2 3 2" xfId="9753"/>
    <cellStyle name="20% - Accent5 2 2 12 2 4" xfId="9754"/>
    <cellStyle name="20% - Accent5 2 2 12 2 5" xfId="9755"/>
    <cellStyle name="20% - Accent5 2 2 12 3" xfId="9756"/>
    <cellStyle name="20% - Accent5 2 2 12 3 2" xfId="9757"/>
    <cellStyle name="20% - Accent5 2 2 12 3 2 2" xfId="9758"/>
    <cellStyle name="20% - Accent5 2 2 12 3 3" xfId="9759"/>
    <cellStyle name="20% - Accent5 2 2 12 3 4" xfId="9760"/>
    <cellStyle name="20% - Accent5 2 2 12 4" xfId="9761"/>
    <cellStyle name="20% - Accent5 2 2 12 4 2" xfId="9762"/>
    <cellStyle name="20% - Accent5 2 2 12 4 2 2" xfId="9763"/>
    <cellStyle name="20% - Accent5 2 2 12 4 3" xfId="9764"/>
    <cellStyle name="20% - Accent5 2 2 12 4 4" xfId="9765"/>
    <cellStyle name="20% - Accent5 2 2 12 5" xfId="9766"/>
    <cellStyle name="20% - Accent5 2 2 12 5 2" xfId="9767"/>
    <cellStyle name="20% - Accent5 2 2 12 6" xfId="9768"/>
    <cellStyle name="20% - Accent5 2 2 12 7" xfId="9769"/>
    <cellStyle name="20% - Accent5 2 2 12 8" xfId="9770"/>
    <cellStyle name="20% - Accent5 2 2 13" xfId="9771"/>
    <cellStyle name="20% - Accent5 2 2 13 2" xfId="9772"/>
    <cellStyle name="20% - Accent5 2 2 13 2 2" xfId="9773"/>
    <cellStyle name="20% - Accent5 2 2 13 2 2 2" xfId="9774"/>
    <cellStyle name="20% - Accent5 2 2 13 2 2 3" xfId="9775"/>
    <cellStyle name="20% - Accent5 2 2 13 2 3" xfId="9776"/>
    <cellStyle name="20% - Accent5 2 2 13 2 3 2" xfId="9777"/>
    <cellStyle name="20% - Accent5 2 2 13 2 4" xfId="9778"/>
    <cellStyle name="20% - Accent5 2 2 13 2 5" xfId="9779"/>
    <cellStyle name="20% - Accent5 2 2 13 3" xfId="9780"/>
    <cellStyle name="20% - Accent5 2 2 13 3 2" xfId="9781"/>
    <cellStyle name="20% - Accent5 2 2 13 3 2 2" xfId="9782"/>
    <cellStyle name="20% - Accent5 2 2 13 3 3" xfId="9783"/>
    <cellStyle name="20% - Accent5 2 2 13 3 4" xfId="9784"/>
    <cellStyle name="20% - Accent5 2 2 13 4" xfId="9785"/>
    <cellStyle name="20% - Accent5 2 2 13 4 2" xfId="9786"/>
    <cellStyle name="20% - Accent5 2 2 13 4 2 2" xfId="9787"/>
    <cellStyle name="20% - Accent5 2 2 13 4 3" xfId="9788"/>
    <cellStyle name="20% - Accent5 2 2 13 4 4" xfId="9789"/>
    <cellStyle name="20% - Accent5 2 2 13 5" xfId="9790"/>
    <cellStyle name="20% - Accent5 2 2 13 5 2" xfId="9791"/>
    <cellStyle name="20% - Accent5 2 2 13 6" xfId="9792"/>
    <cellStyle name="20% - Accent5 2 2 13 7" xfId="9793"/>
    <cellStyle name="20% - Accent5 2 2 13 8" xfId="9794"/>
    <cellStyle name="20% - Accent5 2 2 14" xfId="9795"/>
    <cellStyle name="20% - Accent5 2 2 14 2" xfId="9796"/>
    <cellStyle name="20% - Accent5 2 2 14 2 2" xfId="9797"/>
    <cellStyle name="20% - Accent5 2 2 14 2 3" xfId="9798"/>
    <cellStyle name="20% - Accent5 2 2 14 3" xfId="9799"/>
    <cellStyle name="20% - Accent5 2 2 14 3 2" xfId="9800"/>
    <cellStyle name="20% - Accent5 2 2 14 4" xfId="9801"/>
    <cellStyle name="20% - Accent5 2 2 14 5" xfId="9802"/>
    <cellStyle name="20% - Accent5 2 2 15" xfId="9803"/>
    <cellStyle name="20% - Accent5 2 2 15 2" xfId="9804"/>
    <cellStyle name="20% - Accent5 2 2 15 2 2" xfId="9805"/>
    <cellStyle name="20% - Accent5 2 2 15 3" xfId="9806"/>
    <cellStyle name="20% - Accent5 2 2 15 4" xfId="9807"/>
    <cellStyle name="20% - Accent5 2 2 16" xfId="9808"/>
    <cellStyle name="20% - Accent5 2 2 16 2" xfId="9809"/>
    <cellStyle name="20% - Accent5 2 2 16 2 2" xfId="9810"/>
    <cellStyle name="20% - Accent5 2 2 16 3" xfId="9811"/>
    <cellStyle name="20% - Accent5 2 2 16 4" xfId="9812"/>
    <cellStyle name="20% - Accent5 2 2 17" xfId="9813"/>
    <cellStyle name="20% - Accent5 2 2 18" xfId="9814"/>
    <cellStyle name="20% - Accent5 2 2 18 2" xfId="9815"/>
    <cellStyle name="20% - Accent5 2 2 19" xfId="9816"/>
    <cellStyle name="20% - Accent5 2 2 2" xfId="9817"/>
    <cellStyle name="20% - Accent5 2 2 2 10" xfId="9818"/>
    <cellStyle name="20% - Accent5 2 2 2 2" xfId="9819"/>
    <cellStyle name="20% - Accent5 2 2 2 3" xfId="9820"/>
    <cellStyle name="20% - Accent5 2 2 2 4" xfId="9821"/>
    <cellStyle name="20% - Accent5 2 2 2 5" xfId="9822"/>
    <cellStyle name="20% - Accent5 2 2 2 6" xfId="9823"/>
    <cellStyle name="20% - Accent5 2 2 2 7" xfId="9824"/>
    <cellStyle name="20% - Accent5 2 2 2 8" xfId="9825"/>
    <cellStyle name="20% - Accent5 2 2 2 9" xfId="9826"/>
    <cellStyle name="20% - Accent5 2 2 2_4Q Ops Metrics Gas &amp; Electric 2010" xfId="9827"/>
    <cellStyle name="20% - Accent5 2 2 20" xfId="9828"/>
    <cellStyle name="20% - Accent5 2 2 21" xfId="9829"/>
    <cellStyle name="20% - Accent5 2 2 3" xfId="9830"/>
    <cellStyle name="20% - Accent5 2 2 4" xfId="9831"/>
    <cellStyle name="20% - Accent5 2 2 5" xfId="9832"/>
    <cellStyle name="20% - Accent5 2 2 6" xfId="9833"/>
    <cellStyle name="20% - Accent5 2 2 7" xfId="9834"/>
    <cellStyle name="20% - Accent5 2 2 8" xfId="9835"/>
    <cellStyle name="20% - Accent5 2 2 9" xfId="9836"/>
    <cellStyle name="20% - Accent5 2 2_2009 Actual" xfId="9837"/>
    <cellStyle name="20% - Accent5 2 20" xfId="9838"/>
    <cellStyle name="20% - Accent5 2 20 2" xfId="9839"/>
    <cellStyle name="20% - Accent5 2 20 2 2" xfId="9840"/>
    <cellStyle name="20% - Accent5 2 20 2 2 2" xfId="9841"/>
    <cellStyle name="20% - Accent5 2 20 2 2 3" xfId="9842"/>
    <cellStyle name="20% - Accent5 2 20 2 3" xfId="9843"/>
    <cellStyle name="20% - Accent5 2 20 2 3 2" xfId="9844"/>
    <cellStyle name="20% - Accent5 2 20 2 4" xfId="9845"/>
    <cellStyle name="20% - Accent5 2 20 2 5" xfId="9846"/>
    <cellStyle name="20% - Accent5 2 20 3" xfId="9847"/>
    <cellStyle name="20% - Accent5 2 20 3 2" xfId="9848"/>
    <cellStyle name="20% - Accent5 2 20 3 2 2" xfId="9849"/>
    <cellStyle name="20% - Accent5 2 20 3 3" xfId="9850"/>
    <cellStyle name="20% - Accent5 2 20 3 4" xfId="9851"/>
    <cellStyle name="20% - Accent5 2 20 4" xfId="9852"/>
    <cellStyle name="20% - Accent5 2 20 4 2" xfId="9853"/>
    <cellStyle name="20% - Accent5 2 20 4 2 2" xfId="9854"/>
    <cellStyle name="20% - Accent5 2 20 4 3" xfId="9855"/>
    <cellStyle name="20% - Accent5 2 20 4 4" xfId="9856"/>
    <cellStyle name="20% - Accent5 2 20 5" xfId="9857"/>
    <cellStyle name="20% - Accent5 2 20 5 2" xfId="9858"/>
    <cellStyle name="20% - Accent5 2 20 6" xfId="9859"/>
    <cellStyle name="20% - Accent5 2 20 7" xfId="9860"/>
    <cellStyle name="20% - Accent5 2 20 8" xfId="9861"/>
    <cellStyle name="20% - Accent5 2 21" xfId="9862"/>
    <cellStyle name="20% - Accent5 2 21 2" xfId="9863"/>
    <cellStyle name="20% - Accent5 2 21 2 2" xfId="9864"/>
    <cellStyle name="20% - Accent5 2 21 2 2 2" xfId="9865"/>
    <cellStyle name="20% - Accent5 2 21 2 2 3" xfId="9866"/>
    <cellStyle name="20% - Accent5 2 21 2 3" xfId="9867"/>
    <cellStyle name="20% - Accent5 2 21 2 3 2" xfId="9868"/>
    <cellStyle name="20% - Accent5 2 21 2 4" xfId="9869"/>
    <cellStyle name="20% - Accent5 2 21 2 5" xfId="9870"/>
    <cellStyle name="20% - Accent5 2 21 3" xfId="9871"/>
    <cellStyle name="20% - Accent5 2 21 3 2" xfId="9872"/>
    <cellStyle name="20% - Accent5 2 21 3 2 2" xfId="9873"/>
    <cellStyle name="20% - Accent5 2 21 3 3" xfId="9874"/>
    <cellStyle name="20% - Accent5 2 21 3 4" xfId="9875"/>
    <cellStyle name="20% - Accent5 2 21 4" xfId="9876"/>
    <cellStyle name="20% - Accent5 2 21 4 2" xfId="9877"/>
    <cellStyle name="20% - Accent5 2 21 4 2 2" xfId="9878"/>
    <cellStyle name="20% - Accent5 2 21 4 3" xfId="9879"/>
    <cellStyle name="20% - Accent5 2 21 4 4" xfId="9880"/>
    <cellStyle name="20% - Accent5 2 21 5" xfId="9881"/>
    <cellStyle name="20% - Accent5 2 21 5 2" xfId="9882"/>
    <cellStyle name="20% - Accent5 2 21 6" xfId="9883"/>
    <cellStyle name="20% - Accent5 2 21 7" xfId="9884"/>
    <cellStyle name="20% - Accent5 2 21 8" xfId="9885"/>
    <cellStyle name="20% - Accent5 2 22" xfId="9886"/>
    <cellStyle name="20% - Accent5 2 22 2" xfId="9887"/>
    <cellStyle name="20% - Accent5 2 22 2 2" xfId="9888"/>
    <cellStyle name="20% - Accent5 2 22 2 2 2" xfId="9889"/>
    <cellStyle name="20% - Accent5 2 22 2 2 3" xfId="9890"/>
    <cellStyle name="20% - Accent5 2 22 2 3" xfId="9891"/>
    <cellStyle name="20% - Accent5 2 22 2 3 2" xfId="9892"/>
    <cellStyle name="20% - Accent5 2 22 2 4" xfId="9893"/>
    <cellStyle name="20% - Accent5 2 22 2 5" xfId="9894"/>
    <cellStyle name="20% - Accent5 2 22 3" xfId="9895"/>
    <cellStyle name="20% - Accent5 2 22 3 2" xfId="9896"/>
    <cellStyle name="20% - Accent5 2 22 3 2 2" xfId="9897"/>
    <cellStyle name="20% - Accent5 2 22 3 3" xfId="9898"/>
    <cellStyle name="20% - Accent5 2 22 3 4" xfId="9899"/>
    <cellStyle name="20% - Accent5 2 22 4" xfId="9900"/>
    <cellStyle name="20% - Accent5 2 22 4 2" xfId="9901"/>
    <cellStyle name="20% - Accent5 2 22 4 2 2" xfId="9902"/>
    <cellStyle name="20% - Accent5 2 22 4 3" xfId="9903"/>
    <cellStyle name="20% - Accent5 2 22 4 4" xfId="9904"/>
    <cellStyle name="20% - Accent5 2 22 5" xfId="9905"/>
    <cellStyle name="20% - Accent5 2 22 5 2" xfId="9906"/>
    <cellStyle name="20% - Accent5 2 22 6" xfId="9907"/>
    <cellStyle name="20% - Accent5 2 22 7" xfId="9908"/>
    <cellStyle name="20% - Accent5 2 22 8" xfId="9909"/>
    <cellStyle name="20% - Accent5 2 23" xfId="9910"/>
    <cellStyle name="20% - Accent5 2 23 2" xfId="9911"/>
    <cellStyle name="20% - Accent5 2 23 2 2" xfId="9912"/>
    <cellStyle name="20% - Accent5 2 23 2 2 2" xfId="9913"/>
    <cellStyle name="20% - Accent5 2 23 2 2 3" xfId="9914"/>
    <cellStyle name="20% - Accent5 2 23 2 3" xfId="9915"/>
    <cellStyle name="20% - Accent5 2 23 2 3 2" xfId="9916"/>
    <cellStyle name="20% - Accent5 2 23 2 4" xfId="9917"/>
    <cellStyle name="20% - Accent5 2 23 2 5" xfId="9918"/>
    <cellStyle name="20% - Accent5 2 23 3" xfId="9919"/>
    <cellStyle name="20% - Accent5 2 23 3 2" xfId="9920"/>
    <cellStyle name="20% - Accent5 2 23 3 2 2" xfId="9921"/>
    <cellStyle name="20% - Accent5 2 23 3 3" xfId="9922"/>
    <cellStyle name="20% - Accent5 2 23 3 4" xfId="9923"/>
    <cellStyle name="20% - Accent5 2 23 4" xfId="9924"/>
    <cellStyle name="20% - Accent5 2 23 4 2" xfId="9925"/>
    <cellStyle name="20% - Accent5 2 23 4 2 2" xfId="9926"/>
    <cellStyle name="20% - Accent5 2 23 4 3" xfId="9927"/>
    <cellStyle name="20% - Accent5 2 23 4 4" xfId="9928"/>
    <cellStyle name="20% - Accent5 2 23 5" xfId="9929"/>
    <cellStyle name="20% - Accent5 2 23 5 2" xfId="9930"/>
    <cellStyle name="20% - Accent5 2 23 6" xfId="9931"/>
    <cellStyle name="20% - Accent5 2 23 7" xfId="9932"/>
    <cellStyle name="20% - Accent5 2 23 8" xfId="9933"/>
    <cellStyle name="20% - Accent5 2 24" xfId="9934"/>
    <cellStyle name="20% - Accent5 2 24 2" xfId="9935"/>
    <cellStyle name="20% - Accent5 2 24 2 2" xfId="9936"/>
    <cellStyle name="20% - Accent5 2 24 2 2 2" xfId="9937"/>
    <cellStyle name="20% - Accent5 2 24 2 2 3" xfId="9938"/>
    <cellStyle name="20% - Accent5 2 24 2 3" xfId="9939"/>
    <cellStyle name="20% - Accent5 2 24 2 3 2" xfId="9940"/>
    <cellStyle name="20% - Accent5 2 24 2 4" xfId="9941"/>
    <cellStyle name="20% - Accent5 2 24 2 5" xfId="9942"/>
    <cellStyle name="20% - Accent5 2 24 3" xfId="9943"/>
    <cellStyle name="20% - Accent5 2 24 3 2" xfId="9944"/>
    <cellStyle name="20% - Accent5 2 24 3 2 2" xfId="9945"/>
    <cellStyle name="20% - Accent5 2 24 3 3" xfId="9946"/>
    <cellStyle name="20% - Accent5 2 24 3 4" xfId="9947"/>
    <cellStyle name="20% - Accent5 2 24 4" xfId="9948"/>
    <cellStyle name="20% - Accent5 2 24 4 2" xfId="9949"/>
    <cellStyle name="20% - Accent5 2 24 4 2 2" xfId="9950"/>
    <cellStyle name="20% - Accent5 2 24 4 3" xfId="9951"/>
    <cellStyle name="20% - Accent5 2 24 4 4" xfId="9952"/>
    <cellStyle name="20% - Accent5 2 24 5" xfId="9953"/>
    <cellStyle name="20% - Accent5 2 24 5 2" xfId="9954"/>
    <cellStyle name="20% - Accent5 2 24 6" xfId="9955"/>
    <cellStyle name="20% - Accent5 2 24 7" xfId="9956"/>
    <cellStyle name="20% - Accent5 2 24 8" xfId="9957"/>
    <cellStyle name="20% - Accent5 2 25" xfId="9958"/>
    <cellStyle name="20% - Accent5 2 25 2" xfId="9959"/>
    <cellStyle name="20% - Accent5 2 25 2 2" xfId="9960"/>
    <cellStyle name="20% - Accent5 2 25 2 2 2" xfId="9961"/>
    <cellStyle name="20% - Accent5 2 25 2 2 3" xfId="9962"/>
    <cellStyle name="20% - Accent5 2 25 2 3" xfId="9963"/>
    <cellStyle name="20% - Accent5 2 25 2 3 2" xfId="9964"/>
    <cellStyle name="20% - Accent5 2 25 2 4" xfId="9965"/>
    <cellStyle name="20% - Accent5 2 25 2 5" xfId="9966"/>
    <cellStyle name="20% - Accent5 2 25 3" xfId="9967"/>
    <cellStyle name="20% - Accent5 2 25 3 2" xfId="9968"/>
    <cellStyle name="20% - Accent5 2 25 3 2 2" xfId="9969"/>
    <cellStyle name="20% - Accent5 2 25 3 3" xfId="9970"/>
    <cellStyle name="20% - Accent5 2 25 3 4" xfId="9971"/>
    <cellStyle name="20% - Accent5 2 25 4" xfId="9972"/>
    <cellStyle name="20% - Accent5 2 25 4 2" xfId="9973"/>
    <cellStyle name="20% - Accent5 2 25 4 2 2" xfId="9974"/>
    <cellStyle name="20% - Accent5 2 25 4 3" xfId="9975"/>
    <cellStyle name="20% - Accent5 2 25 4 4" xfId="9976"/>
    <cellStyle name="20% - Accent5 2 25 5" xfId="9977"/>
    <cellStyle name="20% - Accent5 2 25 5 2" xfId="9978"/>
    <cellStyle name="20% - Accent5 2 25 6" xfId="9979"/>
    <cellStyle name="20% - Accent5 2 25 7" xfId="9980"/>
    <cellStyle name="20% - Accent5 2 25 8" xfId="9981"/>
    <cellStyle name="20% - Accent5 2 26" xfId="9982"/>
    <cellStyle name="20% - Accent5 2 26 2" xfId="9983"/>
    <cellStyle name="20% - Accent5 2 26 2 2" xfId="9984"/>
    <cellStyle name="20% - Accent5 2 26 2 2 2" xfId="9985"/>
    <cellStyle name="20% - Accent5 2 26 2 2 3" xfId="9986"/>
    <cellStyle name="20% - Accent5 2 26 2 3" xfId="9987"/>
    <cellStyle name="20% - Accent5 2 26 2 3 2" xfId="9988"/>
    <cellStyle name="20% - Accent5 2 26 2 4" xfId="9989"/>
    <cellStyle name="20% - Accent5 2 26 2 5" xfId="9990"/>
    <cellStyle name="20% - Accent5 2 26 3" xfId="9991"/>
    <cellStyle name="20% - Accent5 2 26 3 2" xfId="9992"/>
    <cellStyle name="20% - Accent5 2 26 3 2 2" xfId="9993"/>
    <cellStyle name="20% - Accent5 2 26 3 3" xfId="9994"/>
    <cellStyle name="20% - Accent5 2 26 3 4" xfId="9995"/>
    <cellStyle name="20% - Accent5 2 26 4" xfId="9996"/>
    <cellStyle name="20% - Accent5 2 26 4 2" xfId="9997"/>
    <cellStyle name="20% - Accent5 2 26 4 2 2" xfId="9998"/>
    <cellStyle name="20% - Accent5 2 26 4 3" xfId="9999"/>
    <cellStyle name="20% - Accent5 2 26 4 4" xfId="10000"/>
    <cellStyle name="20% - Accent5 2 26 5" xfId="10001"/>
    <cellStyle name="20% - Accent5 2 26 5 2" xfId="10002"/>
    <cellStyle name="20% - Accent5 2 26 6" xfId="10003"/>
    <cellStyle name="20% - Accent5 2 26 7" xfId="10004"/>
    <cellStyle name="20% - Accent5 2 26 8" xfId="10005"/>
    <cellStyle name="20% - Accent5 2 3" xfId="10006"/>
    <cellStyle name="20% - Accent5 2 3 10" xfId="10007"/>
    <cellStyle name="20% - Accent5 2 3 11" xfId="10008"/>
    <cellStyle name="20% - Accent5 2 3 2" xfId="10009"/>
    <cellStyle name="20% - Accent5 2 3 2 2" xfId="10010"/>
    <cellStyle name="20% - Accent5 2 3 2 2 2" xfId="10011"/>
    <cellStyle name="20% - Accent5 2 3 2 3" xfId="10012"/>
    <cellStyle name="20% - Accent5 2 3 3" xfId="10013"/>
    <cellStyle name="20% - Accent5 2 3 3 2" xfId="10014"/>
    <cellStyle name="20% - Accent5 2 3 4" xfId="10015"/>
    <cellStyle name="20% - Accent5 2 3 5" xfId="10016"/>
    <cellStyle name="20% - Accent5 2 3 6" xfId="10017"/>
    <cellStyle name="20% - Accent5 2 3 6 2" xfId="10018"/>
    <cellStyle name="20% - Accent5 2 3 6 3" xfId="10019"/>
    <cellStyle name="20% - Accent5 2 3 6_Elec Margin Analysis" xfId="10020"/>
    <cellStyle name="20% - Accent5 2 3 7" xfId="10021"/>
    <cellStyle name="20% - Accent5 2 3 8" xfId="10022"/>
    <cellStyle name="20% - Accent5 2 3 9" xfId="10023"/>
    <cellStyle name="20% - Accent5 2 3_2009 Actual" xfId="10024"/>
    <cellStyle name="20% - Accent5 2 4" xfId="10025"/>
    <cellStyle name="20% - Accent5 2 4 2" xfId="10026"/>
    <cellStyle name="20% - Accent5 2 4 2 2" xfId="10027"/>
    <cellStyle name="20% - Accent5 2 4 3" xfId="10028"/>
    <cellStyle name="20% - Accent5 2 4 4" xfId="10029"/>
    <cellStyle name="20% - Accent5 2 4 5" xfId="10030"/>
    <cellStyle name="20% - Accent5 2 4 6" xfId="10031"/>
    <cellStyle name="20% - Accent5 2 4 7" xfId="10032"/>
    <cellStyle name="20% - Accent5 2 4_2009 Actual" xfId="10033"/>
    <cellStyle name="20% - Accent5 2 5" xfId="10034"/>
    <cellStyle name="20% - Accent5 2 5 2" xfId="10035"/>
    <cellStyle name="20% - Accent5 2 5 3" xfId="10036"/>
    <cellStyle name="20% - Accent5 2 5 4" xfId="10037"/>
    <cellStyle name="20% - Accent5 2 5 5" xfId="10038"/>
    <cellStyle name="20% - Accent5 2 5 6" xfId="10039"/>
    <cellStyle name="20% - Accent5 2 5 7" xfId="10040"/>
    <cellStyle name="20% - Accent5 2 5_2009 Actual" xfId="10041"/>
    <cellStyle name="20% - Accent5 2 6" xfId="10042"/>
    <cellStyle name="20% - Accent5 2 6 2" xfId="10043"/>
    <cellStyle name="20% - Accent5 2 6 3" xfId="10044"/>
    <cellStyle name="20% - Accent5 2 6 4" xfId="10045"/>
    <cellStyle name="20% - Accent5 2 6 5" xfId="10046"/>
    <cellStyle name="20% - Accent5 2 6 6" xfId="10047"/>
    <cellStyle name="20% - Accent5 2 6 7" xfId="10048"/>
    <cellStyle name="20% - Accent5 2 6_2009 Actual" xfId="10049"/>
    <cellStyle name="20% - Accent5 2 7" xfId="10050"/>
    <cellStyle name="20% - Accent5 2 7 2" xfId="10051"/>
    <cellStyle name="20% - Accent5 2 7 3" xfId="10052"/>
    <cellStyle name="20% - Accent5 2 7_Elec Margin Analysis" xfId="10053"/>
    <cellStyle name="20% - Accent5 2 8" xfId="10054"/>
    <cellStyle name="20% - Accent5 2 8 2" xfId="10055"/>
    <cellStyle name="20% - Accent5 2 8 3" xfId="10056"/>
    <cellStyle name="20% - Accent5 2 8_Elec Margin Analysis" xfId="10057"/>
    <cellStyle name="20% - Accent5 2 9" xfId="10058"/>
    <cellStyle name="20% - Accent5 2 9 2" xfId="10059"/>
    <cellStyle name="20% - Accent5 2 9 3" xfId="10060"/>
    <cellStyle name="20% - Accent5 2 9_Elec Margin Analysis" xfId="10061"/>
    <cellStyle name="20% - Accent5 2_2009 Actual" xfId="10062"/>
    <cellStyle name="20% - Accent5 20" xfId="10063"/>
    <cellStyle name="20% - Accent5 21" xfId="10064"/>
    <cellStyle name="20% - Accent5 22" xfId="10065"/>
    <cellStyle name="20% - Accent5 23" xfId="10066"/>
    <cellStyle name="20% - Accent5 24" xfId="10067"/>
    <cellStyle name="20% - Accent5 25" xfId="10068"/>
    <cellStyle name="20% - Accent5 26" xfId="10069"/>
    <cellStyle name="20% - Accent5 26 2" xfId="10070"/>
    <cellStyle name="20% - Accent5 26 2 2" xfId="10071"/>
    <cellStyle name="20% - Accent5 26 2 2 2" xfId="10072"/>
    <cellStyle name="20% - Accent5 26 2 2 3" xfId="10073"/>
    <cellStyle name="20% - Accent5 26 2 3" xfId="10074"/>
    <cellStyle name="20% - Accent5 26 2 3 2" xfId="10075"/>
    <cellStyle name="20% - Accent5 26 2 4" xfId="10076"/>
    <cellStyle name="20% - Accent5 26 2 5" xfId="10077"/>
    <cellStyle name="20% - Accent5 26 3" xfId="10078"/>
    <cellStyle name="20% - Accent5 26 3 2" xfId="10079"/>
    <cellStyle name="20% - Accent5 26 3 2 2" xfId="10080"/>
    <cellStyle name="20% - Accent5 26 3 3" xfId="10081"/>
    <cellStyle name="20% - Accent5 26 3 4" xfId="10082"/>
    <cellStyle name="20% - Accent5 26 4" xfId="10083"/>
    <cellStyle name="20% - Accent5 26 4 2" xfId="10084"/>
    <cellStyle name="20% - Accent5 26 4 2 2" xfId="10085"/>
    <cellStyle name="20% - Accent5 26 4 3" xfId="10086"/>
    <cellStyle name="20% - Accent5 26 4 4" xfId="10087"/>
    <cellStyle name="20% - Accent5 26 5" xfId="10088"/>
    <cellStyle name="20% - Accent5 26 5 2" xfId="10089"/>
    <cellStyle name="20% - Accent5 26 6" xfId="10090"/>
    <cellStyle name="20% - Accent5 26 7" xfId="10091"/>
    <cellStyle name="20% - Accent5 26 8" xfId="10092"/>
    <cellStyle name="20% - Accent5 27" xfId="10093"/>
    <cellStyle name="20% - Accent5 27 2" xfId="10094"/>
    <cellStyle name="20% - Accent5 27 2 2" xfId="10095"/>
    <cellStyle name="20% - Accent5 27 2 2 2" xfId="10096"/>
    <cellStyle name="20% - Accent5 27 2 2 3" xfId="10097"/>
    <cellStyle name="20% - Accent5 27 2 3" xfId="10098"/>
    <cellStyle name="20% - Accent5 27 2 3 2" xfId="10099"/>
    <cellStyle name="20% - Accent5 27 2 4" xfId="10100"/>
    <cellStyle name="20% - Accent5 27 2 5" xfId="10101"/>
    <cellStyle name="20% - Accent5 27 3" xfId="10102"/>
    <cellStyle name="20% - Accent5 27 3 2" xfId="10103"/>
    <cellStyle name="20% - Accent5 27 3 2 2" xfId="10104"/>
    <cellStyle name="20% - Accent5 27 3 3" xfId="10105"/>
    <cellStyle name="20% - Accent5 27 3 4" xfId="10106"/>
    <cellStyle name="20% - Accent5 27 4" xfId="10107"/>
    <cellStyle name="20% - Accent5 27 4 2" xfId="10108"/>
    <cellStyle name="20% - Accent5 27 4 2 2" xfId="10109"/>
    <cellStyle name="20% - Accent5 27 4 3" xfId="10110"/>
    <cellStyle name="20% - Accent5 27 4 4" xfId="10111"/>
    <cellStyle name="20% - Accent5 27 5" xfId="10112"/>
    <cellStyle name="20% - Accent5 27 5 2" xfId="10113"/>
    <cellStyle name="20% - Accent5 27 6" xfId="10114"/>
    <cellStyle name="20% - Accent5 27 7" xfId="10115"/>
    <cellStyle name="20% - Accent5 27 8" xfId="10116"/>
    <cellStyle name="20% - Accent5 28" xfId="10117"/>
    <cellStyle name="20% - Accent5 28 2" xfId="10118"/>
    <cellStyle name="20% - Accent5 28 2 2" xfId="10119"/>
    <cellStyle name="20% - Accent5 28 2 2 2" xfId="10120"/>
    <cellStyle name="20% - Accent5 28 2 2 3" xfId="10121"/>
    <cellStyle name="20% - Accent5 28 2 3" xfId="10122"/>
    <cellStyle name="20% - Accent5 28 2 3 2" xfId="10123"/>
    <cellStyle name="20% - Accent5 28 2 4" xfId="10124"/>
    <cellStyle name="20% - Accent5 28 2 5" xfId="10125"/>
    <cellStyle name="20% - Accent5 28 3" xfId="10126"/>
    <cellStyle name="20% - Accent5 28 3 2" xfId="10127"/>
    <cellStyle name="20% - Accent5 28 3 2 2" xfId="10128"/>
    <cellStyle name="20% - Accent5 28 3 3" xfId="10129"/>
    <cellStyle name="20% - Accent5 28 3 4" xfId="10130"/>
    <cellStyle name="20% - Accent5 28 4" xfId="10131"/>
    <cellStyle name="20% - Accent5 28 4 2" xfId="10132"/>
    <cellStyle name="20% - Accent5 28 4 2 2" xfId="10133"/>
    <cellStyle name="20% - Accent5 28 4 3" xfId="10134"/>
    <cellStyle name="20% - Accent5 28 4 4" xfId="10135"/>
    <cellStyle name="20% - Accent5 28 5" xfId="10136"/>
    <cellStyle name="20% - Accent5 28 5 2" xfId="10137"/>
    <cellStyle name="20% - Accent5 28 6" xfId="10138"/>
    <cellStyle name="20% - Accent5 28 7" xfId="10139"/>
    <cellStyle name="20% - Accent5 28 8" xfId="10140"/>
    <cellStyle name="20% - Accent5 29" xfId="10141"/>
    <cellStyle name="20% - Accent5 29 2" xfId="10142"/>
    <cellStyle name="20% - Accent5 29 2 2" xfId="10143"/>
    <cellStyle name="20% - Accent5 29 2 2 2" xfId="10144"/>
    <cellStyle name="20% - Accent5 29 2 2 3" xfId="10145"/>
    <cellStyle name="20% - Accent5 29 2 3" xfId="10146"/>
    <cellStyle name="20% - Accent5 29 2 3 2" xfId="10147"/>
    <cellStyle name="20% - Accent5 29 2 4" xfId="10148"/>
    <cellStyle name="20% - Accent5 29 2 5" xfId="10149"/>
    <cellStyle name="20% - Accent5 29 3" xfId="10150"/>
    <cellStyle name="20% - Accent5 29 3 2" xfId="10151"/>
    <cellStyle name="20% - Accent5 29 3 2 2" xfId="10152"/>
    <cellStyle name="20% - Accent5 29 3 3" xfId="10153"/>
    <cellStyle name="20% - Accent5 29 3 4" xfId="10154"/>
    <cellStyle name="20% - Accent5 29 4" xfId="10155"/>
    <cellStyle name="20% - Accent5 29 4 2" xfId="10156"/>
    <cellStyle name="20% - Accent5 29 4 2 2" xfId="10157"/>
    <cellStyle name="20% - Accent5 29 4 3" xfId="10158"/>
    <cellStyle name="20% - Accent5 29 4 4" xfId="10159"/>
    <cellStyle name="20% - Accent5 29 5" xfId="10160"/>
    <cellStyle name="20% - Accent5 29 5 2" xfId="10161"/>
    <cellStyle name="20% - Accent5 29 6" xfId="10162"/>
    <cellStyle name="20% - Accent5 29 7" xfId="10163"/>
    <cellStyle name="20% - Accent5 29 8" xfId="10164"/>
    <cellStyle name="20% - Accent5 3" xfId="10165"/>
    <cellStyle name="20% - Accent5 3 10" xfId="10166"/>
    <cellStyle name="20% - Accent5 3 10 2" xfId="10167"/>
    <cellStyle name="20% - Accent5 3 10 2 2" xfId="10168"/>
    <cellStyle name="20% - Accent5 3 10 2 2 2" xfId="10169"/>
    <cellStyle name="20% - Accent5 3 10 2 2 3" xfId="10170"/>
    <cellStyle name="20% - Accent5 3 10 2 3" xfId="10171"/>
    <cellStyle name="20% - Accent5 3 10 2 3 2" xfId="10172"/>
    <cellStyle name="20% - Accent5 3 10 2 4" xfId="10173"/>
    <cellStyle name="20% - Accent5 3 10 2 5" xfId="10174"/>
    <cellStyle name="20% - Accent5 3 10 3" xfId="10175"/>
    <cellStyle name="20% - Accent5 3 10 3 2" xfId="10176"/>
    <cellStyle name="20% - Accent5 3 10 3 2 2" xfId="10177"/>
    <cellStyle name="20% - Accent5 3 10 3 3" xfId="10178"/>
    <cellStyle name="20% - Accent5 3 10 3 4" xfId="10179"/>
    <cellStyle name="20% - Accent5 3 10 4" xfId="10180"/>
    <cellStyle name="20% - Accent5 3 10 4 2" xfId="10181"/>
    <cellStyle name="20% - Accent5 3 10 4 2 2" xfId="10182"/>
    <cellStyle name="20% - Accent5 3 10 4 3" xfId="10183"/>
    <cellStyle name="20% - Accent5 3 10 4 4" xfId="10184"/>
    <cellStyle name="20% - Accent5 3 10 5" xfId="10185"/>
    <cellStyle name="20% - Accent5 3 10 5 2" xfId="10186"/>
    <cellStyle name="20% - Accent5 3 10 6" xfId="10187"/>
    <cellStyle name="20% - Accent5 3 10 7" xfId="10188"/>
    <cellStyle name="20% - Accent5 3 10 8" xfId="10189"/>
    <cellStyle name="20% - Accent5 3 11" xfId="10190"/>
    <cellStyle name="20% - Accent5 3 11 2" xfId="10191"/>
    <cellStyle name="20% - Accent5 3 11 2 2" xfId="10192"/>
    <cellStyle name="20% - Accent5 3 11 2 2 2" xfId="10193"/>
    <cellStyle name="20% - Accent5 3 11 2 2 3" xfId="10194"/>
    <cellStyle name="20% - Accent5 3 11 2 3" xfId="10195"/>
    <cellStyle name="20% - Accent5 3 11 2 3 2" xfId="10196"/>
    <cellStyle name="20% - Accent5 3 11 2 4" xfId="10197"/>
    <cellStyle name="20% - Accent5 3 11 2 5" xfId="10198"/>
    <cellStyle name="20% - Accent5 3 11 3" xfId="10199"/>
    <cellStyle name="20% - Accent5 3 11 3 2" xfId="10200"/>
    <cellStyle name="20% - Accent5 3 11 3 2 2" xfId="10201"/>
    <cellStyle name="20% - Accent5 3 11 3 3" xfId="10202"/>
    <cellStyle name="20% - Accent5 3 11 3 4" xfId="10203"/>
    <cellStyle name="20% - Accent5 3 11 4" xfId="10204"/>
    <cellStyle name="20% - Accent5 3 11 4 2" xfId="10205"/>
    <cellStyle name="20% - Accent5 3 11 4 2 2" xfId="10206"/>
    <cellStyle name="20% - Accent5 3 11 4 3" xfId="10207"/>
    <cellStyle name="20% - Accent5 3 11 4 4" xfId="10208"/>
    <cellStyle name="20% - Accent5 3 11 5" xfId="10209"/>
    <cellStyle name="20% - Accent5 3 11 5 2" xfId="10210"/>
    <cellStyle name="20% - Accent5 3 11 6" xfId="10211"/>
    <cellStyle name="20% - Accent5 3 11 7" xfId="10212"/>
    <cellStyle name="20% - Accent5 3 11 8" xfId="10213"/>
    <cellStyle name="20% - Accent5 3 12" xfId="10214"/>
    <cellStyle name="20% - Accent5 3 12 2" xfId="10215"/>
    <cellStyle name="20% - Accent5 3 12 2 2" xfId="10216"/>
    <cellStyle name="20% - Accent5 3 12 2 3" xfId="10217"/>
    <cellStyle name="20% - Accent5 3 12 3" xfId="10218"/>
    <cellStyle name="20% - Accent5 3 12 3 2" xfId="10219"/>
    <cellStyle name="20% - Accent5 3 12 4" xfId="10220"/>
    <cellStyle name="20% - Accent5 3 12 5" xfId="10221"/>
    <cellStyle name="20% - Accent5 3 13" xfId="10222"/>
    <cellStyle name="20% - Accent5 3 13 2" xfId="10223"/>
    <cellStyle name="20% - Accent5 3 13 2 2" xfId="10224"/>
    <cellStyle name="20% - Accent5 3 13 3" xfId="10225"/>
    <cellStyle name="20% - Accent5 3 13 4" xfId="10226"/>
    <cellStyle name="20% - Accent5 3 14" xfId="10227"/>
    <cellStyle name="20% - Accent5 3 14 2" xfId="10228"/>
    <cellStyle name="20% - Accent5 3 14 2 2" xfId="10229"/>
    <cellStyle name="20% - Accent5 3 14 3" xfId="10230"/>
    <cellStyle name="20% - Accent5 3 14 4" xfId="10231"/>
    <cellStyle name="20% - Accent5 3 15" xfId="10232"/>
    <cellStyle name="20% - Accent5 3 15 2" xfId="10233"/>
    <cellStyle name="20% - Accent5 3 16" xfId="10234"/>
    <cellStyle name="20% - Accent5 3 17" xfId="10235"/>
    <cellStyle name="20% - Accent5 3 18" xfId="10236"/>
    <cellStyle name="20% - Accent5 3 2" xfId="10237"/>
    <cellStyle name="20% - Accent5 3 2 2" xfId="10238"/>
    <cellStyle name="20% - Accent5 3 2 3" xfId="10239"/>
    <cellStyle name="20% - Accent5 3 2 4" xfId="10240"/>
    <cellStyle name="20% - Accent5 3 2 5" xfId="10241"/>
    <cellStyle name="20% - Accent5 3 2 6" xfId="10242"/>
    <cellStyle name="20% - Accent5 3 2 7" xfId="10243"/>
    <cellStyle name="20% - Accent5 3 2 8" xfId="10244"/>
    <cellStyle name="20% - Accent5 3 2 8 2" xfId="10245"/>
    <cellStyle name="20% - Accent5 3 2_2009 Actual" xfId="10246"/>
    <cellStyle name="20% - Accent5 3 3" xfId="10247"/>
    <cellStyle name="20% - Accent5 3 3 2" xfId="10248"/>
    <cellStyle name="20% - Accent5 3 3 2 2" xfId="10249"/>
    <cellStyle name="20% - Accent5 3 4" xfId="10250"/>
    <cellStyle name="20% - Accent5 3 4 2" xfId="10251"/>
    <cellStyle name="20% - Accent5 3 4 2 2" xfId="10252"/>
    <cellStyle name="20% - Accent5 3 5" xfId="10253"/>
    <cellStyle name="20% - Accent5 3 5 2" xfId="10254"/>
    <cellStyle name="20% - Accent5 3 5 2 2" xfId="10255"/>
    <cellStyle name="20% - Accent5 3 6" xfId="10256"/>
    <cellStyle name="20% - Accent5 3 6 2" xfId="10257"/>
    <cellStyle name="20% - Accent5 3 6 2 2" xfId="10258"/>
    <cellStyle name="20% - Accent5 3 7" xfId="10259"/>
    <cellStyle name="20% - Accent5 3 7 2" xfId="10260"/>
    <cellStyle name="20% - Accent5 3 7 2 2" xfId="10261"/>
    <cellStyle name="20% - Accent5 3 8" xfId="10262"/>
    <cellStyle name="20% - Accent5 3 8 2" xfId="10263"/>
    <cellStyle name="20% - Accent5 3 8 2 2" xfId="10264"/>
    <cellStyle name="20% - Accent5 3 9" xfId="10265"/>
    <cellStyle name="20% - Accent5 3_2009 Actual" xfId="10266"/>
    <cellStyle name="20% - Accent5 30" xfId="10267"/>
    <cellStyle name="20% - Accent5 30 2" xfId="10268"/>
    <cellStyle name="20% - Accent5 30 2 2" xfId="10269"/>
    <cellStyle name="20% - Accent5 30 2 2 2" xfId="10270"/>
    <cellStyle name="20% - Accent5 30 2 2 3" xfId="10271"/>
    <cellStyle name="20% - Accent5 30 2 3" xfId="10272"/>
    <cellStyle name="20% - Accent5 30 2 3 2" xfId="10273"/>
    <cellStyle name="20% - Accent5 30 2 4" xfId="10274"/>
    <cellStyle name="20% - Accent5 30 2 5" xfId="10275"/>
    <cellStyle name="20% - Accent5 30 3" xfId="10276"/>
    <cellStyle name="20% - Accent5 30 3 2" xfId="10277"/>
    <cellStyle name="20% - Accent5 30 3 2 2" xfId="10278"/>
    <cellStyle name="20% - Accent5 30 3 3" xfId="10279"/>
    <cellStyle name="20% - Accent5 30 3 4" xfId="10280"/>
    <cellStyle name="20% - Accent5 30 4" xfId="10281"/>
    <cellStyle name="20% - Accent5 30 4 2" xfId="10282"/>
    <cellStyle name="20% - Accent5 30 4 2 2" xfId="10283"/>
    <cellStyle name="20% - Accent5 30 4 3" xfId="10284"/>
    <cellStyle name="20% - Accent5 30 4 4" xfId="10285"/>
    <cellStyle name="20% - Accent5 30 5" xfId="10286"/>
    <cellStyle name="20% - Accent5 30 5 2" xfId="10287"/>
    <cellStyle name="20% - Accent5 30 6" xfId="10288"/>
    <cellStyle name="20% - Accent5 30 7" xfId="10289"/>
    <cellStyle name="20% - Accent5 30 8" xfId="10290"/>
    <cellStyle name="20% - Accent5 31" xfId="10291"/>
    <cellStyle name="20% - Accent5 31 2" xfId="10292"/>
    <cellStyle name="20% - Accent5 31 2 2" xfId="10293"/>
    <cellStyle name="20% - Accent5 31 2 3" xfId="10294"/>
    <cellStyle name="20% - Accent5 31 3" xfId="10295"/>
    <cellStyle name="20% - Accent5 31 3 2" xfId="10296"/>
    <cellStyle name="20% - Accent5 31 4" xfId="10297"/>
    <cellStyle name="20% - Accent5 31 5" xfId="10298"/>
    <cellStyle name="20% - Accent5 32" xfId="10299"/>
    <cellStyle name="20% - Accent5 32 2" xfId="10300"/>
    <cellStyle name="20% - Accent5 32 2 2" xfId="10301"/>
    <cellStyle name="20% - Accent5 32 2 3" xfId="10302"/>
    <cellStyle name="20% - Accent5 32 3" xfId="10303"/>
    <cellStyle name="20% - Accent5 32 3 2" xfId="10304"/>
    <cellStyle name="20% - Accent5 32 4" xfId="10305"/>
    <cellStyle name="20% - Accent5 32 5" xfId="10306"/>
    <cellStyle name="20% - Accent5 33" xfId="10307"/>
    <cellStyle name="20% - Accent5 33 2" xfId="10308"/>
    <cellStyle name="20% - Accent5 33 2 2" xfId="10309"/>
    <cellStyle name="20% - Accent5 33 2 3" xfId="10310"/>
    <cellStyle name="20% - Accent5 33 3" xfId="10311"/>
    <cellStyle name="20% - Accent5 33 3 2" xfId="10312"/>
    <cellStyle name="20% - Accent5 33 4" xfId="10313"/>
    <cellStyle name="20% - Accent5 33 5" xfId="10314"/>
    <cellStyle name="20% - Accent5 34" xfId="10315"/>
    <cellStyle name="20% - Accent5 34 2" xfId="10316"/>
    <cellStyle name="20% - Accent5 34 2 2" xfId="10317"/>
    <cellStyle name="20% - Accent5 34 2 3" xfId="10318"/>
    <cellStyle name="20% - Accent5 34 3" xfId="10319"/>
    <cellStyle name="20% - Accent5 34 3 2" xfId="10320"/>
    <cellStyle name="20% - Accent5 34 4" xfId="10321"/>
    <cellStyle name="20% - Accent5 34 5" xfId="10322"/>
    <cellStyle name="20% - Accent5 35" xfId="10323"/>
    <cellStyle name="20% - Accent5 35 2" xfId="10324"/>
    <cellStyle name="20% - Accent5 35 2 2" xfId="10325"/>
    <cellStyle name="20% - Accent5 35 2 3" xfId="10326"/>
    <cellStyle name="20% - Accent5 35 3" xfId="10327"/>
    <cellStyle name="20% - Accent5 35 3 2" xfId="10328"/>
    <cellStyle name="20% - Accent5 35 4" xfId="10329"/>
    <cellStyle name="20% - Accent5 35 5" xfId="10330"/>
    <cellStyle name="20% - Accent5 36" xfId="10331"/>
    <cellStyle name="20% - Accent5 36 2" xfId="10332"/>
    <cellStyle name="20% - Accent5 36 2 2" xfId="10333"/>
    <cellStyle name="20% - Accent5 36 2 3" xfId="10334"/>
    <cellStyle name="20% - Accent5 36 3" xfId="10335"/>
    <cellStyle name="20% - Accent5 36 3 2" xfId="10336"/>
    <cellStyle name="20% - Accent5 36 4" xfId="10337"/>
    <cellStyle name="20% - Accent5 36 5" xfId="10338"/>
    <cellStyle name="20% - Accent5 37" xfId="10339"/>
    <cellStyle name="20% - Accent5 37 2" xfId="10340"/>
    <cellStyle name="20% - Accent5 37 2 2" xfId="10341"/>
    <cellStyle name="20% - Accent5 37 2 3" xfId="10342"/>
    <cellStyle name="20% - Accent5 37 3" xfId="10343"/>
    <cellStyle name="20% - Accent5 37 3 2" xfId="10344"/>
    <cellStyle name="20% - Accent5 37 4" xfId="10345"/>
    <cellStyle name="20% - Accent5 37 5" xfId="10346"/>
    <cellStyle name="20% - Accent5 38" xfId="10347"/>
    <cellStyle name="20% - Accent5 38 2" xfId="10348"/>
    <cellStyle name="20% - Accent5 38 2 2" xfId="10349"/>
    <cellStyle name="20% - Accent5 38 2 3" xfId="10350"/>
    <cellStyle name="20% - Accent5 38 3" xfId="10351"/>
    <cellStyle name="20% - Accent5 38 3 2" xfId="10352"/>
    <cellStyle name="20% - Accent5 38 4" xfId="10353"/>
    <cellStyle name="20% - Accent5 38 5" xfId="10354"/>
    <cellStyle name="20% - Accent5 39" xfId="10355"/>
    <cellStyle name="20% - Accent5 39 2" xfId="10356"/>
    <cellStyle name="20% - Accent5 39 2 2" xfId="10357"/>
    <cellStyle name="20% - Accent5 39 2 3" xfId="10358"/>
    <cellStyle name="20% - Accent5 39 3" xfId="10359"/>
    <cellStyle name="20% - Accent5 39 3 2" xfId="10360"/>
    <cellStyle name="20% - Accent5 39 4" xfId="10361"/>
    <cellStyle name="20% - Accent5 39 5" xfId="10362"/>
    <cellStyle name="20% - Accent5 4" xfId="10363"/>
    <cellStyle name="20% - Accent5 4 2" xfId="10364"/>
    <cellStyle name="20% - Accent5 4 2 2" xfId="10365"/>
    <cellStyle name="20% - Accent5 4 2 3" xfId="10366"/>
    <cellStyle name="20% - Accent5 4 2 4" xfId="10367"/>
    <cellStyle name="20% - Accent5 4 2 5" xfId="10368"/>
    <cellStyle name="20% - Accent5 4 2 6" xfId="10369"/>
    <cellStyle name="20% - Accent5 4 2 7" xfId="10370"/>
    <cellStyle name="20% - Accent5 4 2_2009 Actual" xfId="10371"/>
    <cellStyle name="20% - Accent5 4 3" xfId="10372"/>
    <cellStyle name="20% - Accent5 4 4" xfId="10373"/>
    <cellStyle name="20% - Accent5 4 5" xfId="10374"/>
    <cellStyle name="20% - Accent5 4 6" xfId="10375"/>
    <cellStyle name="20% - Accent5 4 7" xfId="10376"/>
    <cellStyle name="20% - Accent5 4 8" xfId="10377"/>
    <cellStyle name="20% - Accent5 4 9" xfId="10378"/>
    <cellStyle name="20% - Accent5 4 9 2" xfId="10379"/>
    <cellStyle name="20% - Accent5 4_2009 Actual" xfId="10380"/>
    <cellStyle name="20% - Accent5 40" xfId="10381"/>
    <cellStyle name="20% - Accent5 40 2" xfId="10382"/>
    <cellStyle name="20% - Accent5 40 2 2" xfId="10383"/>
    <cellStyle name="20% - Accent5 40 2 3" xfId="10384"/>
    <cellStyle name="20% - Accent5 40 3" xfId="10385"/>
    <cellStyle name="20% - Accent5 40 3 2" xfId="10386"/>
    <cellStyle name="20% - Accent5 40 4" xfId="10387"/>
    <cellStyle name="20% - Accent5 40 5" xfId="10388"/>
    <cellStyle name="20% - Accent5 41" xfId="10389"/>
    <cellStyle name="20% - Accent5 41 2" xfId="10390"/>
    <cellStyle name="20% - Accent5 41 2 2" xfId="10391"/>
    <cellStyle name="20% - Accent5 41 2 3" xfId="10392"/>
    <cellStyle name="20% - Accent5 41 3" xfId="10393"/>
    <cellStyle name="20% - Accent5 41 3 2" xfId="10394"/>
    <cellStyle name="20% - Accent5 41 4" xfId="10395"/>
    <cellStyle name="20% - Accent5 41 5" xfId="10396"/>
    <cellStyle name="20% - Accent5 42" xfId="10397"/>
    <cellStyle name="20% - Accent5 42 2" xfId="10398"/>
    <cellStyle name="20% - Accent5 42 2 2" xfId="10399"/>
    <cellStyle name="20% - Accent5 42 2 3" xfId="10400"/>
    <cellStyle name="20% - Accent5 42 3" xfId="10401"/>
    <cellStyle name="20% - Accent5 42 3 2" xfId="10402"/>
    <cellStyle name="20% - Accent5 42 4" xfId="10403"/>
    <cellStyle name="20% - Accent5 42 5" xfId="10404"/>
    <cellStyle name="20% - Accent5 43" xfId="10405"/>
    <cellStyle name="20% - Accent5 43 2" xfId="10406"/>
    <cellStyle name="20% - Accent5 43 2 2" xfId="10407"/>
    <cellStyle name="20% - Accent5 43 2 3" xfId="10408"/>
    <cellStyle name="20% - Accent5 43 3" xfId="10409"/>
    <cellStyle name="20% - Accent5 43 3 2" xfId="10410"/>
    <cellStyle name="20% - Accent5 43 4" xfId="10411"/>
    <cellStyle name="20% - Accent5 43 5" xfId="10412"/>
    <cellStyle name="20% - Accent5 44" xfId="10413"/>
    <cellStyle name="20% - Accent5 44 2" xfId="10414"/>
    <cellStyle name="20% - Accent5 44 2 2" xfId="10415"/>
    <cellStyle name="20% - Accent5 44 2 3" xfId="10416"/>
    <cellStyle name="20% - Accent5 44 3" xfId="10417"/>
    <cellStyle name="20% - Accent5 44 3 2" xfId="10418"/>
    <cellStyle name="20% - Accent5 44 4" xfId="10419"/>
    <cellStyle name="20% - Accent5 44 5" xfId="10420"/>
    <cellStyle name="20% - Accent5 45" xfId="10421"/>
    <cellStyle name="20% - Accent5 45 2" xfId="10422"/>
    <cellStyle name="20% - Accent5 45 2 2" xfId="10423"/>
    <cellStyle name="20% - Accent5 45 2 3" xfId="10424"/>
    <cellStyle name="20% - Accent5 45 3" xfId="10425"/>
    <cellStyle name="20% - Accent5 45 3 2" xfId="10426"/>
    <cellStyle name="20% - Accent5 45 4" xfId="10427"/>
    <cellStyle name="20% - Accent5 45 5" xfId="10428"/>
    <cellStyle name="20% - Accent5 46" xfId="10429"/>
    <cellStyle name="20% - Accent5 46 2" xfId="10430"/>
    <cellStyle name="20% - Accent5 46 2 2" xfId="10431"/>
    <cellStyle name="20% - Accent5 46 2 3" xfId="10432"/>
    <cellStyle name="20% - Accent5 46 3" xfId="10433"/>
    <cellStyle name="20% - Accent5 46 3 2" xfId="10434"/>
    <cellStyle name="20% - Accent5 46 4" xfId="10435"/>
    <cellStyle name="20% - Accent5 46 5" xfId="10436"/>
    <cellStyle name="20% - Accent5 47" xfId="10437"/>
    <cellStyle name="20% - Accent5 47 2" xfId="10438"/>
    <cellStyle name="20% - Accent5 47 2 2" xfId="10439"/>
    <cellStyle name="20% - Accent5 47 2 3" xfId="10440"/>
    <cellStyle name="20% - Accent5 47 3" xfId="10441"/>
    <cellStyle name="20% - Accent5 47 3 2" xfId="10442"/>
    <cellStyle name="20% - Accent5 47 4" xfId="10443"/>
    <cellStyle name="20% - Accent5 47 5" xfId="10444"/>
    <cellStyle name="20% - Accent5 48" xfId="10445"/>
    <cellStyle name="20% - Accent5 48 2" xfId="10446"/>
    <cellStyle name="20% - Accent5 48 2 2" xfId="10447"/>
    <cellStyle name="20% - Accent5 48 2 3" xfId="10448"/>
    <cellStyle name="20% - Accent5 48 3" xfId="10449"/>
    <cellStyle name="20% - Accent5 48 3 2" xfId="10450"/>
    <cellStyle name="20% - Accent5 48 4" xfId="10451"/>
    <cellStyle name="20% - Accent5 48 5" xfId="10452"/>
    <cellStyle name="20% - Accent5 49" xfId="10453"/>
    <cellStyle name="20% - Accent5 49 2" xfId="10454"/>
    <cellStyle name="20% - Accent5 49 2 2" xfId="10455"/>
    <cellStyle name="20% - Accent5 49 2 3" xfId="10456"/>
    <cellStyle name="20% - Accent5 49 3" xfId="10457"/>
    <cellStyle name="20% - Accent5 49 3 2" xfId="10458"/>
    <cellStyle name="20% - Accent5 49 4" xfId="10459"/>
    <cellStyle name="20% - Accent5 49 5" xfId="10460"/>
    <cellStyle name="20% - Accent5 5" xfId="10461"/>
    <cellStyle name="20% - Accent5 5 2" xfId="10462"/>
    <cellStyle name="20% - Accent5 5 2 2" xfId="10463"/>
    <cellStyle name="20% - Accent5 5 2 3" xfId="10464"/>
    <cellStyle name="20% - Accent5 5 2 4" xfId="10465"/>
    <cellStyle name="20% - Accent5 5 2 5" xfId="10466"/>
    <cellStyle name="20% - Accent5 5 2 6" xfId="10467"/>
    <cellStyle name="20% - Accent5 5 2 7" xfId="10468"/>
    <cellStyle name="20% - Accent5 5 2_2009 Actual" xfId="10469"/>
    <cellStyle name="20% - Accent5 5 3" xfId="10470"/>
    <cellStyle name="20% - Accent5 5 4" xfId="10471"/>
    <cellStyle name="20% - Accent5 5 5" xfId="10472"/>
    <cellStyle name="20% - Accent5 5 6" xfId="10473"/>
    <cellStyle name="20% - Accent5 5 7" xfId="10474"/>
    <cellStyle name="20% - Accent5 5 8" xfId="10475"/>
    <cellStyle name="20% - Accent5 5 9" xfId="10476"/>
    <cellStyle name="20% - Accent5 5 9 2" xfId="10477"/>
    <cellStyle name="20% - Accent5 5_2009 Actual" xfId="10478"/>
    <cellStyle name="20% - Accent5 50" xfId="10479"/>
    <cellStyle name="20% - Accent5 50 2" xfId="10480"/>
    <cellStyle name="20% - Accent5 50 2 2" xfId="10481"/>
    <cellStyle name="20% - Accent5 50 2 3" xfId="10482"/>
    <cellStyle name="20% - Accent5 50 3" xfId="10483"/>
    <cellStyle name="20% - Accent5 50 3 2" xfId="10484"/>
    <cellStyle name="20% - Accent5 50 4" xfId="10485"/>
    <cellStyle name="20% - Accent5 50 5" xfId="10486"/>
    <cellStyle name="20% - Accent5 51" xfId="10487"/>
    <cellStyle name="20% - Accent5 51 2" xfId="10488"/>
    <cellStyle name="20% - Accent5 51 2 2" xfId="10489"/>
    <cellStyle name="20% - Accent5 51 2 3" xfId="10490"/>
    <cellStyle name="20% - Accent5 51 3" xfId="10491"/>
    <cellStyle name="20% - Accent5 51 3 2" xfId="10492"/>
    <cellStyle name="20% - Accent5 51 4" xfId="10493"/>
    <cellStyle name="20% - Accent5 51 5" xfId="10494"/>
    <cellStyle name="20% - Accent5 52" xfId="10495"/>
    <cellStyle name="20% - Accent5 52 2" xfId="10496"/>
    <cellStyle name="20% - Accent5 52 2 2" xfId="10497"/>
    <cellStyle name="20% - Accent5 52 2 3" xfId="10498"/>
    <cellStyle name="20% - Accent5 52 3" xfId="10499"/>
    <cellStyle name="20% - Accent5 52 3 2" xfId="10500"/>
    <cellStyle name="20% - Accent5 52 4" xfId="10501"/>
    <cellStyle name="20% - Accent5 52 5" xfId="10502"/>
    <cellStyle name="20% - Accent5 53" xfId="10503"/>
    <cellStyle name="20% - Accent5 53 2" xfId="10504"/>
    <cellStyle name="20% - Accent5 53 2 2" xfId="10505"/>
    <cellStyle name="20% - Accent5 53 2 3" xfId="10506"/>
    <cellStyle name="20% - Accent5 53 3" xfId="10507"/>
    <cellStyle name="20% - Accent5 53 3 2" xfId="10508"/>
    <cellStyle name="20% - Accent5 53 4" xfId="10509"/>
    <cellStyle name="20% - Accent5 53 5" xfId="10510"/>
    <cellStyle name="20% - Accent5 54" xfId="10511"/>
    <cellStyle name="20% - Accent5 54 2" xfId="10512"/>
    <cellStyle name="20% - Accent5 54 2 2" xfId="10513"/>
    <cellStyle name="20% - Accent5 54 2 3" xfId="10514"/>
    <cellStyle name="20% - Accent5 54 3" xfId="10515"/>
    <cellStyle name="20% - Accent5 54 3 2" xfId="10516"/>
    <cellStyle name="20% - Accent5 54 4" xfId="10517"/>
    <cellStyle name="20% - Accent5 54 5" xfId="10518"/>
    <cellStyle name="20% - Accent5 55" xfId="10519"/>
    <cellStyle name="20% - Accent5 55 2" xfId="10520"/>
    <cellStyle name="20% - Accent5 55 2 2" xfId="10521"/>
    <cellStyle name="20% - Accent5 55 2 3" xfId="10522"/>
    <cellStyle name="20% - Accent5 55 3" xfId="10523"/>
    <cellStyle name="20% - Accent5 55 3 2" xfId="10524"/>
    <cellStyle name="20% - Accent5 55 4" xfId="10525"/>
    <cellStyle name="20% - Accent5 55 5" xfId="10526"/>
    <cellStyle name="20% - Accent5 56" xfId="10527"/>
    <cellStyle name="20% - Accent5 56 2" xfId="10528"/>
    <cellStyle name="20% - Accent5 56 2 2" xfId="10529"/>
    <cellStyle name="20% - Accent5 56 2 3" xfId="10530"/>
    <cellStyle name="20% - Accent5 56 3" xfId="10531"/>
    <cellStyle name="20% - Accent5 56 3 2" xfId="10532"/>
    <cellStyle name="20% - Accent5 56 4" xfId="10533"/>
    <cellStyle name="20% - Accent5 56 5" xfId="10534"/>
    <cellStyle name="20% - Accent5 57" xfId="10535"/>
    <cellStyle name="20% - Accent5 57 2" xfId="10536"/>
    <cellStyle name="20% - Accent5 57 2 2" xfId="10537"/>
    <cellStyle name="20% - Accent5 57 2 3" xfId="10538"/>
    <cellStyle name="20% - Accent5 57 3" xfId="10539"/>
    <cellStyle name="20% - Accent5 57 3 2" xfId="10540"/>
    <cellStyle name="20% - Accent5 57 4" xfId="10541"/>
    <cellStyle name="20% - Accent5 57 5" xfId="10542"/>
    <cellStyle name="20% - Accent5 58" xfId="10543"/>
    <cellStyle name="20% - Accent5 58 2" xfId="10544"/>
    <cellStyle name="20% - Accent5 58 2 2" xfId="10545"/>
    <cellStyle name="20% - Accent5 58 2 3" xfId="10546"/>
    <cellStyle name="20% - Accent5 58 3" xfId="10547"/>
    <cellStyle name="20% - Accent5 58 3 2" xfId="10548"/>
    <cellStyle name="20% - Accent5 58 4" xfId="10549"/>
    <cellStyle name="20% - Accent5 58 5" xfId="10550"/>
    <cellStyle name="20% - Accent5 59" xfId="10551"/>
    <cellStyle name="20% - Accent5 59 2" xfId="10552"/>
    <cellStyle name="20% - Accent5 59 2 2" xfId="10553"/>
    <cellStyle name="20% - Accent5 59 2 3" xfId="10554"/>
    <cellStyle name="20% - Accent5 59 3" xfId="10555"/>
    <cellStyle name="20% - Accent5 59 3 2" xfId="10556"/>
    <cellStyle name="20% - Accent5 59 4" xfId="10557"/>
    <cellStyle name="20% - Accent5 59 5" xfId="10558"/>
    <cellStyle name="20% - Accent5 6" xfId="10559"/>
    <cellStyle name="20% - Accent5 6 2" xfId="10560"/>
    <cellStyle name="20% - Accent5 6 3" xfId="10561"/>
    <cellStyle name="20% - Accent5 6 4" xfId="10562"/>
    <cellStyle name="20% - Accent5 6 5" xfId="10563"/>
    <cellStyle name="20% - Accent5 6 6" xfId="10564"/>
    <cellStyle name="20% - Accent5 6 7" xfId="10565"/>
    <cellStyle name="20% - Accent5 6 8" xfId="10566"/>
    <cellStyle name="20% - Accent5 6 8 2" xfId="10567"/>
    <cellStyle name="20% - Accent5 6_2009 Actual" xfId="10568"/>
    <cellStyle name="20% - Accent5 60" xfId="10569"/>
    <cellStyle name="20% - Accent5 60 2" xfId="10570"/>
    <cellStyle name="20% - Accent5 60 2 2" xfId="10571"/>
    <cellStyle name="20% - Accent5 60 2 3" xfId="10572"/>
    <cellStyle name="20% - Accent5 60 3" xfId="10573"/>
    <cellStyle name="20% - Accent5 60 3 2" xfId="10574"/>
    <cellStyle name="20% - Accent5 60 4" xfId="10575"/>
    <cellStyle name="20% - Accent5 60 5" xfId="10576"/>
    <cellStyle name="20% - Accent5 61" xfId="10577"/>
    <cellStyle name="20% - Accent5 61 2" xfId="10578"/>
    <cellStyle name="20% - Accent5 61 2 2" xfId="10579"/>
    <cellStyle name="20% - Accent5 61 2 3" xfId="10580"/>
    <cellStyle name="20% - Accent5 61 3" xfId="10581"/>
    <cellStyle name="20% - Accent5 61 3 2" xfId="10582"/>
    <cellStyle name="20% - Accent5 61 4" xfId="10583"/>
    <cellStyle name="20% - Accent5 61 5" xfId="10584"/>
    <cellStyle name="20% - Accent5 62" xfId="10585"/>
    <cellStyle name="20% - Accent5 62 2" xfId="10586"/>
    <cellStyle name="20% - Accent5 62 2 2" xfId="10587"/>
    <cellStyle name="20% - Accent5 62 2 3" xfId="10588"/>
    <cellStyle name="20% - Accent5 62 3" xfId="10589"/>
    <cellStyle name="20% - Accent5 62 3 2" xfId="10590"/>
    <cellStyle name="20% - Accent5 62 4" xfId="10591"/>
    <cellStyle name="20% - Accent5 62 5" xfId="10592"/>
    <cellStyle name="20% - Accent5 63" xfId="10593"/>
    <cellStyle name="20% - Accent5 63 2" xfId="10594"/>
    <cellStyle name="20% - Accent5 63 2 2" xfId="10595"/>
    <cellStyle name="20% - Accent5 63 2 3" xfId="10596"/>
    <cellStyle name="20% - Accent5 63 3" xfId="10597"/>
    <cellStyle name="20% - Accent5 63 3 2" xfId="10598"/>
    <cellStyle name="20% - Accent5 63 4" xfId="10599"/>
    <cellStyle name="20% - Accent5 63 5" xfId="10600"/>
    <cellStyle name="20% - Accent5 64" xfId="10601"/>
    <cellStyle name="20% - Accent5 64 2" xfId="10602"/>
    <cellStyle name="20% - Accent5 64 2 2" xfId="10603"/>
    <cellStyle name="20% - Accent5 64 2 3" xfId="10604"/>
    <cellStyle name="20% - Accent5 64 3" xfId="10605"/>
    <cellStyle name="20% - Accent5 64 3 2" xfId="10606"/>
    <cellStyle name="20% - Accent5 64 4" xfId="10607"/>
    <cellStyle name="20% - Accent5 64 5" xfId="10608"/>
    <cellStyle name="20% - Accent5 65" xfId="10609"/>
    <cellStyle name="20% - Accent5 65 2" xfId="10610"/>
    <cellStyle name="20% - Accent5 65 2 2" xfId="10611"/>
    <cellStyle name="20% - Accent5 65 2 3" xfId="10612"/>
    <cellStyle name="20% - Accent5 65 3" xfId="10613"/>
    <cellStyle name="20% - Accent5 65 3 2" xfId="10614"/>
    <cellStyle name="20% - Accent5 65 4" xfId="10615"/>
    <cellStyle name="20% - Accent5 65 5" xfId="10616"/>
    <cellStyle name="20% - Accent5 66" xfId="10617"/>
    <cellStyle name="20% - Accent5 66 2" xfId="10618"/>
    <cellStyle name="20% - Accent5 66 2 2" xfId="10619"/>
    <cellStyle name="20% - Accent5 66 2 3" xfId="10620"/>
    <cellStyle name="20% - Accent5 66 3" xfId="10621"/>
    <cellStyle name="20% - Accent5 66 3 2" xfId="10622"/>
    <cellStyle name="20% - Accent5 66 4" xfId="10623"/>
    <cellStyle name="20% - Accent5 66 5" xfId="10624"/>
    <cellStyle name="20% - Accent5 67" xfId="10625"/>
    <cellStyle name="20% - Accent5 67 2" xfId="10626"/>
    <cellStyle name="20% - Accent5 67 2 2" xfId="10627"/>
    <cellStyle name="20% - Accent5 67 2 3" xfId="10628"/>
    <cellStyle name="20% - Accent5 67 3" xfId="10629"/>
    <cellStyle name="20% - Accent5 67 3 2" xfId="10630"/>
    <cellStyle name="20% - Accent5 67 4" xfId="10631"/>
    <cellStyle name="20% - Accent5 67 5" xfId="10632"/>
    <cellStyle name="20% - Accent5 68" xfId="10633"/>
    <cellStyle name="20% - Accent5 68 2" xfId="10634"/>
    <cellStyle name="20% - Accent5 68 2 2" xfId="10635"/>
    <cellStyle name="20% - Accent5 68 2 3" xfId="10636"/>
    <cellStyle name="20% - Accent5 68 3" xfId="10637"/>
    <cellStyle name="20% - Accent5 68 3 2" xfId="10638"/>
    <cellStyle name="20% - Accent5 68 4" xfId="10639"/>
    <cellStyle name="20% - Accent5 68 5" xfId="10640"/>
    <cellStyle name="20% - Accent5 69" xfId="10641"/>
    <cellStyle name="20% - Accent5 69 2" xfId="10642"/>
    <cellStyle name="20% - Accent5 69 2 2" xfId="10643"/>
    <cellStyle name="20% - Accent5 69 2 3" xfId="10644"/>
    <cellStyle name="20% - Accent5 69 3" xfId="10645"/>
    <cellStyle name="20% - Accent5 69 3 2" xfId="10646"/>
    <cellStyle name="20% - Accent5 69 4" xfId="10647"/>
    <cellStyle name="20% - Accent5 69 5" xfId="10648"/>
    <cellStyle name="20% - Accent5 7" xfId="10649"/>
    <cellStyle name="20% - Accent5 7 2" xfId="10650"/>
    <cellStyle name="20% - Accent5 7 3" xfId="10651"/>
    <cellStyle name="20% - Accent5 7 4" xfId="10652"/>
    <cellStyle name="20% - Accent5 7 5" xfId="10653"/>
    <cellStyle name="20% - Accent5 7 6" xfId="10654"/>
    <cellStyle name="20% - Accent5 7 7" xfId="10655"/>
    <cellStyle name="20% - Accent5 7 8" xfId="10656"/>
    <cellStyle name="20% - Accent5 7 8 2" xfId="10657"/>
    <cellStyle name="20% - Accent5 7_2009 Actual" xfId="10658"/>
    <cellStyle name="20% - Accent5 70" xfId="10659"/>
    <cellStyle name="20% - Accent5 70 2" xfId="10660"/>
    <cellStyle name="20% - Accent5 70 2 2" xfId="10661"/>
    <cellStyle name="20% - Accent5 70 2 3" xfId="10662"/>
    <cellStyle name="20% - Accent5 70 3" xfId="10663"/>
    <cellStyle name="20% - Accent5 70 3 2" xfId="10664"/>
    <cellStyle name="20% - Accent5 70 4" xfId="10665"/>
    <cellStyle name="20% - Accent5 70 5" xfId="10666"/>
    <cellStyle name="20% - Accent5 71" xfId="10667"/>
    <cellStyle name="20% - Accent5 71 2" xfId="10668"/>
    <cellStyle name="20% - Accent5 71 2 2" xfId="10669"/>
    <cellStyle name="20% - Accent5 71 2 3" xfId="10670"/>
    <cellStyle name="20% - Accent5 71 3" xfId="10671"/>
    <cellStyle name="20% - Accent5 71 3 2" xfId="10672"/>
    <cellStyle name="20% - Accent5 71 4" xfId="10673"/>
    <cellStyle name="20% - Accent5 71 5" xfId="10674"/>
    <cellStyle name="20% - Accent5 72" xfId="10675"/>
    <cellStyle name="20% - Accent5 72 2" xfId="10676"/>
    <cellStyle name="20% - Accent5 72 2 2" xfId="10677"/>
    <cellStyle name="20% - Accent5 72 2 3" xfId="10678"/>
    <cellStyle name="20% - Accent5 72 3" xfId="10679"/>
    <cellStyle name="20% - Accent5 72 3 2" xfId="10680"/>
    <cellStyle name="20% - Accent5 72 4" xfId="10681"/>
    <cellStyle name="20% - Accent5 72 5" xfId="10682"/>
    <cellStyle name="20% - Accent5 73" xfId="10683"/>
    <cellStyle name="20% - Accent5 73 2" xfId="10684"/>
    <cellStyle name="20% - Accent5 73 2 2" xfId="10685"/>
    <cellStyle name="20% - Accent5 73 2 3" xfId="10686"/>
    <cellStyle name="20% - Accent5 73 3" xfId="10687"/>
    <cellStyle name="20% - Accent5 73 3 2" xfId="10688"/>
    <cellStyle name="20% - Accent5 73 4" xfId="10689"/>
    <cellStyle name="20% - Accent5 73 5" xfId="10690"/>
    <cellStyle name="20% - Accent5 74" xfId="10691"/>
    <cellStyle name="20% - Accent5 74 2" xfId="10692"/>
    <cellStyle name="20% - Accent5 74 2 2" xfId="10693"/>
    <cellStyle name="20% - Accent5 74 2 3" xfId="10694"/>
    <cellStyle name="20% - Accent5 74 3" xfId="10695"/>
    <cellStyle name="20% - Accent5 74 3 2" xfId="10696"/>
    <cellStyle name="20% - Accent5 74 4" xfId="10697"/>
    <cellStyle name="20% - Accent5 74 5" xfId="10698"/>
    <cellStyle name="20% - Accent5 75" xfId="10699"/>
    <cellStyle name="20% - Accent5 75 2" xfId="10700"/>
    <cellStyle name="20% - Accent5 75 2 2" xfId="10701"/>
    <cellStyle name="20% - Accent5 75 2 3" xfId="10702"/>
    <cellStyle name="20% - Accent5 75 3" xfId="10703"/>
    <cellStyle name="20% - Accent5 75 3 2" xfId="10704"/>
    <cellStyle name="20% - Accent5 75 4" xfId="10705"/>
    <cellStyle name="20% - Accent5 75 5" xfId="10706"/>
    <cellStyle name="20% - Accent5 76" xfId="10707"/>
    <cellStyle name="20% - Accent5 76 2" xfId="10708"/>
    <cellStyle name="20% - Accent5 76 2 2" xfId="10709"/>
    <cellStyle name="20% - Accent5 76 2 3" xfId="10710"/>
    <cellStyle name="20% - Accent5 76 3" xfId="10711"/>
    <cellStyle name="20% - Accent5 76 3 2" xfId="10712"/>
    <cellStyle name="20% - Accent5 76 4" xfId="10713"/>
    <cellStyle name="20% - Accent5 76 5" xfId="10714"/>
    <cellStyle name="20% - Accent5 77" xfId="10715"/>
    <cellStyle name="20% - Accent5 77 2" xfId="10716"/>
    <cellStyle name="20% - Accent5 77 2 2" xfId="10717"/>
    <cellStyle name="20% - Accent5 77 2 3" xfId="10718"/>
    <cellStyle name="20% - Accent5 77 3" xfId="10719"/>
    <cellStyle name="20% - Accent5 77 3 2" xfId="10720"/>
    <cellStyle name="20% - Accent5 77 4" xfId="10721"/>
    <cellStyle name="20% - Accent5 77 5" xfId="10722"/>
    <cellStyle name="20% - Accent5 78" xfId="10723"/>
    <cellStyle name="20% - Accent5 78 2" xfId="10724"/>
    <cellStyle name="20% - Accent5 78 2 2" xfId="10725"/>
    <cellStyle name="20% - Accent5 78 2 3" xfId="10726"/>
    <cellStyle name="20% - Accent5 78 3" xfId="10727"/>
    <cellStyle name="20% - Accent5 78 3 2" xfId="10728"/>
    <cellStyle name="20% - Accent5 78 4" xfId="10729"/>
    <cellStyle name="20% - Accent5 78 5" xfId="10730"/>
    <cellStyle name="20% - Accent5 79" xfId="10731"/>
    <cellStyle name="20% - Accent5 79 2" xfId="10732"/>
    <cellStyle name="20% - Accent5 79 2 2" xfId="10733"/>
    <cellStyle name="20% - Accent5 79 2 3" xfId="10734"/>
    <cellStyle name="20% - Accent5 79 3" xfId="10735"/>
    <cellStyle name="20% - Accent5 79 3 2" xfId="10736"/>
    <cellStyle name="20% - Accent5 79 4" xfId="10737"/>
    <cellStyle name="20% - Accent5 79 5" xfId="10738"/>
    <cellStyle name="20% - Accent5 8" xfId="10739"/>
    <cellStyle name="20% - Accent5 8 2" xfId="10740"/>
    <cellStyle name="20% - Accent5 8 3" xfId="10741"/>
    <cellStyle name="20% - Accent5 8 4" xfId="10742"/>
    <cellStyle name="20% - Accent5 8 5" xfId="10743"/>
    <cellStyle name="20% - Accent5 8 6" xfId="10744"/>
    <cellStyle name="20% - Accent5 8 7" xfId="10745"/>
    <cellStyle name="20% - Accent5 8 8" xfId="10746"/>
    <cellStyle name="20% - Accent5 8 8 2" xfId="10747"/>
    <cellStyle name="20% - Accent5 8_2009 Actual" xfId="10748"/>
    <cellStyle name="20% - Accent5 80" xfId="10749"/>
    <cellStyle name="20% - Accent5 80 2" xfId="10750"/>
    <cellStyle name="20% - Accent5 80 2 2" xfId="10751"/>
    <cellStyle name="20% - Accent5 80 2 3" xfId="10752"/>
    <cellStyle name="20% - Accent5 80 3" xfId="10753"/>
    <cellStyle name="20% - Accent5 80 3 2" xfId="10754"/>
    <cellStyle name="20% - Accent5 80 4" xfId="10755"/>
    <cellStyle name="20% - Accent5 80 5" xfId="10756"/>
    <cellStyle name="20% - Accent5 81" xfId="10757"/>
    <cellStyle name="20% - Accent5 81 2" xfId="10758"/>
    <cellStyle name="20% - Accent5 81 2 2" xfId="10759"/>
    <cellStyle name="20% - Accent5 81 2 3" xfId="10760"/>
    <cellStyle name="20% - Accent5 81 3" xfId="10761"/>
    <cellStyle name="20% - Accent5 81 3 2" xfId="10762"/>
    <cellStyle name="20% - Accent5 81 4" xfId="10763"/>
    <cellStyle name="20% - Accent5 81 5" xfId="10764"/>
    <cellStyle name="20% - Accent5 82" xfId="10765"/>
    <cellStyle name="20% - Accent5 82 2" xfId="10766"/>
    <cellStyle name="20% - Accent5 82 2 2" xfId="10767"/>
    <cellStyle name="20% - Accent5 82 2 3" xfId="10768"/>
    <cellStyle name="20% - Accent5 82 3" xfId="10769"/>
    <cellStyle name="20% - Accent5 82 3 2" xfId="10770"/>
    <cellStyle name="20% - Accent5 82 4" xfId="10771"/>
    <cellStyle name="20% - Accent5 82 5" xfId="10772"/>
    <cellStyle name="20% - Accent5 83" xfId="10773"/>
    <cellStyle name="20% - Accent5 83 2" xfId="10774"/>
    <cellStyle name="20% - Accent5 83 2 2" xfId="10775"/>
    <cellStyle name="20% - Accent5 83 2 3" xfId="10776"/>
    <cellStyle name="20% - Accent5 83 3" xfId="10777"/>
    <cellStyle name="20% - Accent5 83 3 2" xfId="10778"/>
    <cellStyle name="20% - Accent5 83 4" xfId="10779"/>
    <cellStyle name="20% - Accent5 83 5" xfId="10780"/>
    <cellStyle name="20% - Accent5 84" xfId="10781"/>
    <cellStyle name="20% - Accent5 84 2" xfId="10782"/>
    <cellStyle name="20% - Accent5 84 2 2" xfId="10783"/>
    <cellStyle name="20% - Accent5 84 2 3" xfId="10784"/>
    <cellStyle name="20% - Accent5 84 3" xfId="10785"/>
    <cellStyle name="20% - Accent5 84 3 2" xfId="10786"/>
    <cellStyle name="20% - Accent5 84 4" xfId="10787"/>
    <cellStyle name="20% - Accent5 84 5" xfId="10788"/>
    <cellStyle name="20% - Accent5 85" xfId="10789"/>
    <cellStyle name="20% - Accent5 85 2" xfId="10790"/>
    <cellStyle name="20% - Accent5 85 2 2" xfId="10791"/>
    <cellStyle name="20% - Accent5 85 2 3" xfId="10792"/>
    <cellStyle name="20% - Accent5 85 3" xfId="10793"/>
    <cellStyle name="20% - Accent5 85 3 2" xfId="10794"/>
    <cellStyle name="20% - Accent5 85 4" xfId="10795"/>
    <cellStyle name="20% - Accent5 85 5" xfId="10796"/>
    <cellStyle name="20% - Accent5 86" xfId="10797"/>
    <cellStyle name="20% - Accent5 86 2" xfId="10798"/>
    <cellStyle name="20% - Accent5 86 2 2" xfId="10799"/>
    <cellStyle name="20% - Accent5 86 2 3" xfId="10800"/>
    <cellStyle name="20% - Accent5 86 3" xfId="10801"/>
    <cellStyle name="20% - Accent5 86 3 2" xfId="10802"/>
    <cellStyle name="20% - Accent5 86 4" xfId="10803"/>
    <cellStyle name="20% - Accent5 86 5" xfId="10804"/>
    <cellStyle name="20% - Accent5 87" xfId="10805"/>
    <cellStyle name="20% - Accent5 87 2" xfId="10806"/>
    <cellStyle name="20% - Accent5 87 2 2" xfId="10807"/>
    <cellStyle name="20% - Accent5 87 2 3" xfId="10808"/>
    <cellStyle name="20% - Accent5 87 3" xfId="10809"/>
    <cellStyle name="20% - Accent5 87 3 2" xfId="10810"/>
    <cellStyle name="20% - Accent5 87 4" xfId="10811"/>
    <cellStyle name="20% - Accent5 87 5" xfId="10812"/>
    <cellStyle name="20% - Accent5 88" xfId="10813"/>
    <cellStyle name="20% - Accent5 88 2" xfId="10814"/>
    <cellStyle name="20% - Accent5 88 2 2" xfId="10815"/>
    <cellStyle name="20% - Accent5 88 2 3" xfId="10816"/>
    <cellStyle name="20% - Accent5 88 3" xfId="10817"/>
    <cellStyle name="20% - Accent5 88 3 2" xfId="10818"/>
    <cellStyle name="20% - Accent5 88 4" xfId="10819"/>
    <cellStyle name="20% - Accent5 88 5" xfId="10820"/>
    <cellStyle name="20% - Accent5 89" xfId="10821"/>
    <cellStyle name="20% - Accent5 89 2" xfId="10822"/>
    <cellStyle name="20% - Accent5 89 2 2" xfId="10823"/>
    <cellStyle name="20% - Accent5 89 2 3" xfId="10824"/>
    <cellStyle name="20% - Accent5 89 3" xfId="10825"/>
    <cellStyle name="20% - Accent5 89 3 2" xfId="10826"/>
    <cellStyle name="20% - Accent5 89 4" xfId="10827"/>
    <cellStyle name="20% - Accent5 89 5" xfId="10828"/>
    <cellStyle name="20% - Accent5 9" xfId="10829"/>
    <cellStyle name="20% - Accent5 9 2" xfId="10830"/>
    <cellStyle name="20% - Accent5 9 3" xfId="10831"/>
    <cellStyle name="20% - Accent5 9 4" xfId="10832"/>
    <cellStyle name="20% - Accent5 9 5" xfId="10833"/>
    <cellStyle name="20% - Accent5 9 6" xfId="10834"/>
    <cellStyle name="20% - Accent5 9 7" xfId="10835"/>
    <cellStyle name="20% - Accent5 9 8" xfId="10836"/>
    <cellStyle name="20% - Accent5 9 8 2" xfId="10837"/>
    <cellStyle name="20% - Accent5 9_2009 Actual" xfId="10838"/>
    <cellStyle name="20% - Accent5 90" xfId="10839"/>
    <cellStyle name="20% - Accent5 90 2" xfId="10840"/>
    <cellStyle name="20% - Accent5 90 2 2" xfId="10841"/>
    <cellStyle name="20% - Accent5 90 2 3" xfId="10842"/>
    <cellStyle name="20% - Accent5 90 3" xfId="10843"/>
    <cellStyle name="20% - Accent5 90 3 2" xfId="10844"/>
    <cellStyle name="20% - Accent5 90 4" xfId="10845"/>
    <cellStyle name="20% - Accent5 90 5" xfId="10846"/>
    <cellStyle name="20% - Accent5 91" xfId="10847"/>
    <cellStyle name="20% - Accent5 91 2" xfId="10848"/>
    <cellStyle name="20% - Accent5 91 2 2" xfId="10849"/>
    <cellStyle name="20% - Accent5 91 2 3" xfId="10850"/>
    <cellStyle name="20% - Accent5 91 3" xfId="10851"/>
    <cellStyle name="20% - Accent5 91 3 2" xfId="10852"/>
    <cellStyle name="20% - Accent5 91 4" xfId="10853"/>
    <cellStyle name="20% - Accent5 91 5" xfId="10854"/>
    <cellStyle name="20% - Accent5 92" xfId="10855"/>
    <cellStyle name="20% - Accent5 92 2" xfId="10856"/>
    <cellStyle name="20% - Accent5 92 2 2" xfId="10857"/>
    <cellStyle name="20% - Accent5 92 2 3" xfId="10858"/>
    <cellStyle name="20% - Accent5 92 3" xfId="10859"/>
    <cellStyle name="20% - Accent5 92 3 2" xfId="10860"/>
    <cellStyle name="20% - Accent5 92 4" xfId="10861"/>
    <cellStyle name="20% - Accent5 92 5" xfId="10862"/>
    <cellStyle name="20% - Accent5 93" xfId="10863"/>
    <cellStyle name="20% - Accent5 93 2" xfId="10864"/>
    <cellStyle name="20% - Accent5 93 2 2" xfId="10865"/>
    <cellStyle name="20% - Accent5 93 2 3" xfId="10866"/>
    <cellStyle name="20% - Accent5 93 3" xfId="10867"/>
    <cellStyle name="20% - Accent5 93 3 2" xfId="10868"/>
    <cellStyle name="20% - Accent5 93 4" xfId="10869"/>
    <cellStyle name="20% - Accent5 93 5" xfId="10870"/>
    <cellStyle name="20% - Accent5 94" xfId="10871"/>
    <cellStyle name="20% - Accent5 94 2" xfId="10872"/>
    <cellStyle name="20% - Accent5 94 2 2" xfId="10873"/>
    <cellStyle name="20% - Accent5 94 2 3" xfId="10874"/>
    <cellStyle name="20% - Accent5 94 3" xfId="10875"/>
    <cellStyle name="20% - Accent5 94 3 2" xfId="10876"/>
    <cellStyle name="20% - Accent5 94 4" xfId="10877"/>
    <cellStyle name="20% - Accent5 94 5" xfId="10878"/>
    <cellStyle name="20% - Accent5 95" xfId="10879"/>
    <cellStyle name="20% - Accent5 95 2" xfId="10880"/>
    <cellStyle name="20% - Accent5 95 2 2" xfId="10881"/>
    <cellStyle name="20% - Accent5 95 3" xfId="10882"/>
    <cellStyle name="20% - Accent5 95 4" xfId="10883"/>
    <cellStyle name="20% - Accent5 96" xfId="10884"/>
    <cellStyle name="20% - Accent5 96 2" xfId="10885"/>
    <cellStyle name="20% - Accent5 96 2 2" xfId="10886"/>
    <cellStyle name="20% - Accent5 96 3" xfId="10887"/>
    <cellStyle name="20% - Accent5 96 4" xfId="10888"/>
    <cellStyle name="20% - Accent5 97" xfId="10889"/>
    <cellStyle name="20% - Accent5 97 2" xfId="10890"/>
    <cellStyle name="20% - Accent5 97 2 2" xfId="10891"/>
    <cellStyle name="20% - Accent5 97 3" xfId="10892"/>
    <cellStyle name="20% - Accent5 97 4" xfId="10893"/>
    <cellStyle name="20% - Accent5 98" xfId="10894"/>
    <cellStyle name="20% - Accent5 98 2" xfId="10895"/>
    <cellStyle name="20% - Accent5 98 2 2" xfId="10896"/>
    <cellStyle name="20% - Accent5 98 3" xfId="10897"/>
    <cellStyle name="20% - Accent5 98 4" xfId="10898"/>
    <cellStyle name="20% - Accent5 99" xfId="10899"/>
    <cellStyle name="20% - Accent5 99 2" xfId="10900"/>
    <cellStyle name="20% - Accent5 99 2 2" xfId="10901"/>
    <cellStyle name="20% - Accent5 99 3" xfId="10902"/>
    <cellStyle name="20% - Accent5 99 4" xfId="10903"/>
    <cellStyle name="20% - Accent6 10" xfId="10904"/>
    <cellStyle name="20% - Accent6 10 2" xfId="10905"/>
    <cellStyle name="20% - Accent6 10 2 2" xfId="10906"/>
    <cellStyle name="20% - Accent6 10 2 3" xfId="10907"/>
    <cellStyle name="20% - Accent6 10 3" xfId="10908"/>
    <cellStyle name="20% - Accent6 10 3 2" xfId="10909"/>
    <cellStyle name="20% - Accent6 10 3 3" xfId="10910"/>
    <cellStyle name="20% - Accent6 10 4" xfId="10911"/>
    <cellStyle name="20% - Accent6 10 4 2" xfId="10912"/>
    <cellStyle name="20% - Accent6 10 4 3" xfId="10913"/>
    <cellStyle name="20% - Accent6 10 5" xfId="10914"/>
    <cellStyle name="20% - Accent6 10 5 2" xfId="10915"/>
    <cellStyle name="20% - Accent6 10 5 3" xfId="10916"/>
    <cellStyle name="20% - Accent6 10 6" xfId="10917"/>
    <cellStyle name="20% - Accent6 10 6 2" xfId="10918"/>
    <cellStyle name="20% - Accent6 10 6 3" xfId="10919"/>
    <cellStyle name="20% - Accent6 10 7" xfId="10920"/>
    <cellStyle name="20% - Accent6 10 7 2" xfId="10921"/>
    <cellStyle name="20% - Accent6 10 7 3" xfId="10922"/>
    <cellStyle name="20% - Accent6 10 8" xfId="10923"/>
    <cellStyle name="20% - Accent6 10 9" xfId="10924"/>
    <cellStyle name="20% - Accent6 10_2009 Actual" xfId="10925"/>
    <cellStyle name="20% - Accent6 100" xfId="10926"/>
    <cellStyle name="20% - Accent6 100 2" xfId="10927"/>
    <cellStyle name="20% - Accent6 101" xfId="10928"/>
    <cellStyle name="20% - Accent6 102" xfId="10929"/>
    <cellStyle name="20% - Accent6 103" xfId="10930"/>
    <cellStyle name="20% - Accent6 104" xfId="10931"/>
    <cellStyle name="20% - Accent6 105" xfId="10932"/>
    <cellStyle name="20% - Accent6 106" xfId="10933"/>
    <cellStyle name="20% - Accent6 107" xfId="10934"/>
    <cellStyle name="20% - Accent6 108" xfId="10935"/>
    <cellStyle name="20% - Accent6 109" xfId="10936"/>
    <cellStyle name="20% - Accent6 11" xfId="10937"/>
    <cellStyle name="20% - Accent6 11 2" xfId="10938"/>
    <cellStyle name="20% - Accent6 11 2 2" xfId="10939"/>
    <cellStyle name="20% - Accent6 11 2 3" xfId="10940"/>
    <cellStyle name="20% - Accent6 11 3" xfId="10941"/>
    <cellStyle name="20% - Accent6 11 3 2" xfId="10942"/>
    <cellStyle name="20% - Accent6 11 3 3" xfId="10943"/>
    <cellStyle name="20% - Accent6 11 4" xfId="10944"/>
    <cellStyle name="20% - Accent6 11 4 2" xfId="10945"/>
    <cellStyle name="20% - Accent6 11 4 3" xfId="10946"/>
    <cellStyle name="20% - Accent6 11 5" xfId="10947"/>
    <cellStyle name="20% - Accent6 11 5 2" xfId="10948"/>
    <cellStyle name="20% - Accent6 11 5 3" xfId="10949"/>
    <cellStyle name="20% - Accent6 11 6" xfId="10950"/>
    <cellStyle name="20% - Accent6 11 6 2" xfId="10951"/>
    <cellStyle name="20% - Accent6 11 6 3" xfId="10952"/>
    <cellStyle name="20% - Accent6 11 7" xfId="10953"/>
    <cellStyle name="20% - Accent6 11 7 2" xfId="10954"/>
    <cellStyle name="20% - Accent6 11 7 3" xfId="10955"/>
    <cellStyle name="20% - Accent6 11 8" xfId="10956"/>
    <cellStyle name="20% - Accent6 11 9" xfId="10957"/>
    <cellStyle name="20% - Accent6 11_2009 Actual" xfId="10958"/>
    <cellStyle name="20% - Accent6 110" xfId="10959"/>
    <cellStyle name="20% - Accent6 111" xfId="10960"/>
    <cellStyle name="20% - Accent6 112" xfId="10961"/>
    <cellStyle name="20% - Accent6 113" xfId="10962"/>
    <cellStyle name="20% - Accent6 114" xfId="10963"/>
    <cellStyle name="20% - Accent6 115" xfId="10964"/>
    <cellStyle name="20% - Accent6 116" xfId="10965"/>
    <cellStyle name="20% - Accent6 117" xfId="10966"/>
    <cellStyle name="20% - Accent6 118" xfId="10967"/>
    <cellStyle name="20% - Accent6 119" xfId="10968"/>
    <cellStyle name="20% - Accent6 12" xfId="10969"/>
    <cellStyle name="20% - Accent6 12 10" xfId="10970"/>
    <cellStyle name="20% - Accent6 12 11" xfId="10971"/>
    <cellStyle name="20% - Accent6 12 11 2" xfId="10972"/>
    <cellStyle name="20% - Accent6 12 11 3" xfId="10973"/>
    <cellStyle name="20% - Accent6 12 2" xfId="10974"/>
    <cellStyle name="20% - Accent6 12 2 2" xfId="10975"/>
    <cellStyle name="20% - Accent6 12 2 3" xfId="10976"/>
    <cellStyle name="20% - Accent6 12 2_Elec Margin Analysis" xfId="10977"/>
    <cellStyle name="20% - Accent6 12 3" xfId="10978"/>
    <cellStyle name="20% - Accent6 12 3 2" xfId="10979"/>
    <cellStyle name="20% - Accent6 12 3 3" xfId="10980"/>
    <cellStyle name="20% - Accent6 12 3_Elec Margin Analysis" xfId="10981"/>
    <cellStyle name="20% - Accent6 12 4" xfId="10982"/>
    <cellStyle name="20% - Accent6 12 4 2" xfId="10983"/>
    <cellStyle name="20% - Accent6 12 4 3" xfId="10984"/>
    <cellStyle name="20% - Accent6 12 4_Elec Margin Analysis" xfId="10985"/>
    <cellStyle name="20% - Accent6 12 5" xfId="10986"/>
    <cellStyle name="20% - Accent6 12 5 2" xfId="10987"/>
    <cellStyle name="20% - Accent6 12 5 3" xfId="10988"/>
    <cellStyle name="20% - Accent6 12 5_Elec Margin Analysis" xfId="10989"/>
    <cellStyle name="20% - Accent6 12 6" xfId="10990"/>
    <cellStyle name="20% - Accent6 12 6 2" xfId="10991"/>
    <cellStyle name="20% - Accent6 12 6 3" xfId="10992"/>
    <cellStyle name="20% - Accent6 12 6 4" xfId="10993"/>
    <cellStyle name="20% - Accent6 12 6 5" xfId="10994"/>
    <cellStyle name="20% - Accent6 12 7" xfId="10995"/>
    <cellStyle name="20% - Accent6 12 8" xfId="10996"/>
    <cellStyle name="20% - Accent6 12 9" xfId="10997"/>
    <cellStyle name="20% - Accent6 12_2009 Actual" xfId="10998"/>
    <cellStyle name="20% - Accent6 120" xfId="10999"/>
    <cellStyle name="20% - Accent6 121" xfId="11000"/>
    <cellStyle name="20% - Accent6 122" xfId="11001"/>
    <cellStyle name="20% - Accent6 13" xfId="11002"/>
    <cellStyle name="20% - Accent6 13 2" xfId="11003"/>
    <cellStyle name="20% - Accent6 13 3" xfId="11004"/>
    <cellStyle name="20% - Accent6 13 4" xfId="11005"/>
    <cellStyle name="20% - Accent6 13 5" xfId="11006"/>
    <cellStyle name="20% - Accent6 13 6" xfId="11007"/>
    <cellStyle name="20% - Accent6 13 7" xfId="11008"/>
    <cellStyle name="20% - Accent6 13_2009 Actual" xfId="11009"/>
    <cellStyle name="20% - Accent6 14" xfId="11010"/>
    <cellStyle name="20% - Accent6 14 2" xfId="11011"/>
    <cellStyle name="20% - Accent6 14 3" xfId="11012"/>
    <cellStyle name="20% - Accent6 14 4" xfId="11013"/>
    <cellStyle name="20% - Accent6 14 5" xfId="11014"/>
    <cellStyle name="20% - Accent6 14 6" xfId="11015"/>
    <cellStyle name="20% - Accent6 14 7" xfId="11016"/>
    <cellStyle name="20% - Accent6 14_2009 Actual" xfId="11017"/>
    <cellStyle name="20% - Accent6 15" xfId="11018"/>
    <cellStyle name="20% - Accent6 15 2" xfId="11019"/>
    <cellStyle name="20% - Accent6 15 2 2" xfId="11020"/>
    <cellStyle name="20% - Accent6 15 2 3" xfId="11021"/>
    <cellStyle name="20% - Accent6 15 3" xfId="11022"/>
    <cellStyle name="20% - Accent6 15 3 2" xfId="11023"/>
    <cellStyle name="20% - Accent6 15 3 3" xfId="11024"/>
    <cellStyle name="20% - Accent6 15 4" xfId="11025"/>
    <cellStyle name="20% - Accent6 15 4 2" xfId="11026"/>
    <cellStyle name="20% - Accent6 15 4 3" xfId="11027"/>
    <cellStyle name="20% - Accent6 15 5" xfId="11028"/>
    <cellStyle name="20% - Accent6 15 5 2" xfId="11029"/>
    <cellStyle name="20% - Accent6 15 5 3" xfId="11030"/>
    <cellStyle name="20% - Accent6 15 6" xfId="11031"/>
    <cellStyle name="20% - Accent6 15 7" xfId="11032"/>
    <cellStyle name="20% - Accent6 15_BHP" xfId="11033"/>
    <cellStyle name="20% - Accent6 16" xfId="11034"/>
    <cellStyle name="20% - Accent6 16 2" xfId="11035"/>
    <cellStyle name="20% - Accent6 16 3" xfId="11036"/>
    <cellStyle name="20% - Accent6 17" xfId="11037"/>
    <cellStyle name="20% - Accent6 17 2" xfId="11038"/>
    <cellStyle name="20% - Accent6 17 3" xfId="11039"/>
    <cellStyle name="20% - Accent6 18" xfId="11040"/>
    <cellStyle name="20% - Accent6 18 2" xfId="11041"/>
    <cellStyle name="20% - Accent6 18 3" xfId="11042"/>
    <cellStyle name="20% - Accent6 19" xfId="11043"/>
    <cellStyle name="20% - Accent6 19 2" xfId="11044"/>
    <cellStyle name="20% - Accent6 19 2 2" xfId="11045"/>
    <cellStyle name="20% - Accent6 19 2 3" xfId="11046"/>
    <cellStyle name="20% - Accent6 19 3" xfId="11047"/>
    <cellStyle name="20% - Accent6 19 3 2" xfId="11048"/>
    <cellStyle name="20% - Accent6 19 3 3" xfId="11049"/>
    <cellStyle name="20% - Accent6 19_Elec Margin Analysis" xfId="11050"/>
    <cellStyle name="20% - Accent6 2" xfId="11051"/>
    <cellStyle name="20% - Accent6 2 10" xfId="11052"/>
    <cellStyle name="20% - Accent6 2 10 2" xfId="11053"/>
    <cellStyle name="20% - Accent6 2 10 3" xfId="11054"/>
    <cellStyle name="20% - Accent6 2 10 4" xfId="11055"/>
    <cellStyle name="20% - Accent6 2 10 5" xfId="11056"/>
    <cellStyle name="20% - Accent6 2 10 5 2" xfId="11057"/>
    <cellStyle name="20% - Accent6 2 10_BHP" xfId="11058"/>
    <cellStyle name="20% - Accent6 2 100" xfId="11059"/>
    <cellStyle name="20% - Accent6 2 100 2" xfId="11060"/>
    <cellStyle name="20% - Accent6 2 100 2 2" xfId="11061"/>
    <cellStyle name="20% - Accent6 2 100 3" xfId="11062"/>
    <cellStyle name="20% - Accent6 2 100 4" xfId="11063"/>
    <cellStyle name="20% - Accent6 2 101" xfId="11064"/>
    <cellStyle name="20% - Accent6 2 101 2" xfId="11065"/>
    <cellStyle name="20% - Accent6 2 101 2 2" xfId="11066"/>
    <cellStyle name="20% - Accent6 2 101 3" xfId="11067"/>
    <cellStyle name="20% - Accent6 2 101 4" xfId="11068"/>
    <cellStyle name="20% - Accent6 2 102" xfId="11069"/>
    <cellStyle name="20% - Accent6 2 102 2" xfId="11070"/>
    <cellStyle name="20% - Accent6 2 102 2 2" xfId="11071"/>
    <cellStyle name="20% - Accent6 2 102 3" xfId="11072"/>
    <cellStyle name="20% - Accent6 2 102 4" xfId="11073"/>
    <cellStyle name="20% - Accent6 2 103" xfId="11074"/>
    <cellStyle name="20% - Accent6 2 103 2" xfId="11075"/>
    <cellStyle name="20% - Accent6 2 103 2 2" xfId="11076"/>
    <cellStyle name="20% - Accent6 2 103 3" xfId="11077"/>
    <cellStyle name="20% - Accent6 2 103 4" xfId="11078"/>
    <cellStyle name="20% - Accent6 2 104" xfId="11079"/>
    <cellStyle name="20% - Accent6 2 104 2" xfId="11080"/>
    <cellStyle name="20% - Accent6 2 104 2 2" xfId="11081"/>
    <cellStyle name="20% - Accent6 2 104 3" xfId="11082"/>
    <cellStyle name="20% - Accent6 2 104 4" xfId="11083"/>
    <cellStyle name="20% - Accent6 2 105" xfId="11084"/>
    <cellStyle name="20% - Accent6 2 105 2" xfId="11085"/>
    <cellStyle name="20% - Accent6 2 105 2 2" xfId="11086"/>
    <cellStyle name="20% - Accent6 2 105 3" xfId="11087"/>
    <cellStyle name="20% - Accent6 2 105 4" xfId="11088"/>
    <cellStyle name="20% - Accent6 2 106" xfId="11089"/>
    <cellStyle name="20% - Accent6 2 106 2" xfId="11090"/>
    <cellStyle name="20% - Accent6 2 106 2 2" xfId="11091"/>
    <cellStyle name="20% - Accent6 2 106 3" xfId="11092"/>
    <cellStyle name="20% - Accent6 2 106 4" xfId="11093"/>
    <cellStyle name="20% - Accent6 2 107" xfId="11094"/>
    <cellStyle name="20% - Accent6 2 107 2" xfId="11095"/>
    <cellStyle name="20% - Accent6 2 107 2 2" xfId="11096"/>
    <cellStyle name="20% - Accent6 2 107 3" xfId="11097"/>
    <cellStyle name="20% - Accent6 2 107 4" xfId="11098"/>
    <cellStyle name="20% - Accent6 2 108" xfId="11099"/>
    <cellStyle name="20% - Accent6 2 108 2" xfId="11100"/>
    <cellStyle name="20% - Accent6 2 108 2 2" xfId="11101"/>
    <cellStyle name="20% - Accent6 2 108 3" xfId="11102"/>
    <cellStyle name="20% - Accent6 2 108 4" xfId="11103"/>
    <cellStyle name="20% - Accent6 2 109" xfId="11104"/>
    <cellStyle name="20% - Accent6 2 109 2" xfId="11105"/>
    <cellStyle name="20% - Accent6 2 109 2 2" xfId="11106"/>
    <cellStyle name="20% - Accent6 2 109 3" xfId="11107"/>
    <cellStyle name="20% - Accent6 2 109 4" xfId="11108"/>
    <cellStyle name="20% - Accent6 2 11" xfId="11109"/>
    <cellStyle name="20% - Accent6 2 11 2" xfId="11110"/>
    <cellStyle name="20% - Accent6 2 11 3" xfId="11111"/>
    <cellStyle name="20% - Accent6 2 11 4" xfId="11112"/>
    <cellStyle name="20% - Accent6 2 11 5" xfId="11113"/>
    <cellStyle name="20% - Accent6 2 110" xfId="11114"/>
    <cellStyle name="20% - Accent6 2 110 2" xfId="11115"/>
    <cellStyle name="20% - Accent6 2 110 2 2" xfId="11116"/>
    <cellStyle name="20% - Accent6 2 110 3" xfId="11117"/>
    <cellStyle name="20% - Accent6 2 110 4" xfId="11118"/>
    <cellStyle name="20% - Accent6 2 111" xfId="11119"/>
    <cellStyle name="20% - Accent6 2 111 2" xfId="11120"/>
    <cellStyle name="20% - Accent6 2 111 2 2" xfId="11121"/>
    <cellStyle name="20% - Accent6 2 111 3" xfId="11122"/>
    <cellStyle name="20% - Accent6 2 111 4" xfId="11123"/>
    <cellStyle name="20% - Accent6 2 112" xfId="11124"/>
    <cellStyle name="20% - Accent6 2 112 2" xfId="11125"/>
    <cellStyle name="20% - Accent6 2 112 2 2" xfId="11126"/>
    <cellStyle name="20% - Accent6 2 112 3" xfId="11127"/>
    <cellStyle name="20% - Accent6 2 112 4" xfId="11128"/>
    <cellStyle name="20% - Accent6 2 113" xfId="11129"/>
    <cellStyle name="20% - Accent6 2 113 2" xfId="11130"/>
    <cellStyle name="20% - Accent6 2 113 2 2" xfId="11131"/>
    <cellStyle name="20% - Accent6 2 113 3" xfId="11132"/>
    <cellStyle name="20% - Accent6 2 113 4" xfId="11133"/>
    <cellStyle name="20% - Accent6 2 114" xfId="11134"/>
    <cellStyle name="20% - Accent6 2 114 2" xfId="11135"/>
    <cellStyle name="20% - Accent6 2 114 2 2" xfId="11136"/>
    <cellStyle name="20% - Accent6 2 114 3" xfId="11137"/>
    <cellStyle name="20% - Accent6 2 114 4" xfId="11138"/>
    <cellStyle name="20% - Accent6 2 115" xfId="11139"/>
    <cellStyle name="20% - Accent6 2 115 2" xfId="11140"/>
    <cellStyle name="20% - Accent6 2 115 2 2" xfId="11141"/>
    <cellStyle name="20% - Accent6 2 115 3" xfId="11142"/>
    <cellStyle name="20% - Accent6 2 115 4" xfId="11143"/>
    <cellStyle name="20% - Accent6 2 116" xfId="11144"/>
    <cellStyle name="20% - Accent6 2 116 2" xfId="11145"/>
    <cellStyle name="20% - Accent6 2 116 2 2" xfId="11146"/>
    <cellStyle name="20% - Accent6 2 116 3" xfId="11147"/>
    <cellStyle name="20% - Accent6 2 116 4" xfId="11148"/>
    <cellStyle name="20% - Accent6 2 117" xfId="11149"/>
    <cellStyle name="20% - Accent6 2 117 2" xfId="11150"/>
    <cellStyle name="20% - Accent6 2 117 2 2" xfId="11151"/>
    <cellStyle name="20% - Accent6 2 117 3" xfId="11152"/>
    <cellStyle name="20% - Accent6 2 117 4" xfId="11153"/>
    <cellStyle name="20% - Accent6 2 118" xfId="11154"/>
    <cellStyle name="20% - Accent6 2 118 2" xfId="11155"/>
    <cellStyle name="20% - Accent6 2 119" xfId="11156"/>
    <cellStyle name="20% - Accent6 2 119 2" xfId="11157"/>
    <cellStyle name="20% - Accent6 2 12" xfId="11158"/>
    <cellStyle name="20% - Accent6 2 12 2" xfId="11159"/>
    <cellStyle name="20% - Accent6 2 120" xfId="11160"/>
    <cellStyle name="20% - Accent6 2 120 2" xfId="11161"/>
    <cellStyle name="20% - Accent6 2 121" xfId="11162"/>
    <cellStyle name="20% - Accent6 2 121 2" xfId="11163"/>
    <cellStyle name="20% - Accent6 2 122" xfId="11164"/>
    <cellStyle name="20% - Accent6 2 123" xfId="11165"/>
    <cellStyle name="20% - Accent6 2 124" xfId="11166"/>
    <cellStyle name="20% - Accent6 2 125" xfId="11167"/>
    <cellStyle name="20% - Accent6 2 126" xfId="11168"/>
    <cellStyle name="20% - Accent6 2 127" xfId="11169"/>
    <cellStyle name="20% - Accent6 2 128" xfId="11170"/>
    <cellStyle name="20% - Accent6 2 129" xfId="11171"/>
    <cellStyle name="20% - Accent6 2 13" xfId="11172"/>
    <cellStyle name="20% - Accent6 2 130" xfId="11173"/>
    <cellStyle name="20% - Accent6 2 131" xfId="11174"/>
    <cellStyle name="20% - Accent6 2 132" xfId="11175"/>
    <cellStyle name="20% - Accent6 2 133" xfId="11176"/>
    <cellStyle name="20% - Accent6 2 134" xfId="11177"/>
    <cellStyle name="20% - Accent6 2 135" xfId="11178"/>
    <cellStyle name="20% - Accent6 2 136" xfId="11179"/>
    <cellStyle name="20% - Accent6 2 137" xfId="11180"/>
    <cellStyle name="20% - Accent6 2 138" xfId="11181"/>
    <cellStyle name="20% - Accent6 2 139" xfId="11182"/>
    <cellStyle name="20% - Accent6 2 14" xfId="11183"/>
    <cellStyle name="20% - Accent6 2 140" xfId="11184"/>
    <cellStyle name="20% - Accent6 2 141" xfId="11185"/>
    <cellStyle name="20% - Accent6 2 142" xfId="11186"/>
    <cellStyle name="20% - Accent6 2 15" xfId="11187"/>
    <cellStyle name="20% - Accent6 2 15 2" xfId="11188"/>
    <cellStyle name="20% - Accent6 2 15 3" xfId="11189"/>
    <cellStyle name="20% - Accent6 2 16" xfId="11190"/>
    <cellStyle name="20% - Accent6 2 17" xfId="11191"/>
    <cellStyle name="20% - Accent6 2 18" xfId="11192"/>
    <cellStyle name="20% - Accent6 2 18 2" xfId="11193"/>
    <cellStyle name="20% - Accent6 2 18 2 2" xfId="11194"/>
    <cellStyle name="20% - Accent6 2 18 2 2 2" xfId="11195"/>
    <cellStyle name="20% - Accent6 2 18 2 2 3" xfId="11196"/>
    <cellStyle name="20% - Accent6 2 18 2 3" xfId="11197"/>
    <cellStyle name="20% - Accent6 2 18 2 3 2" xfId="11198"/>
    <cellStyle name="20% - Accent6 2 18 2 4" xfId="11199"/>
    <cellStyle name="20% - Accent6 2 18 2 5" xfId="11200"/>
    <cellStyle name="20% - Accent6 2 18 3" xfId="11201"/>
    <cellStyle name="20% - Accent6 2 18 3 2" xfId="11202"/>
    <cellStyle name="20% - Accent6 2 18 3 2 2" xfId="11203"/>
    <cellStyle name="20% - Accent6 2 18 3 3" xfId="11204"/>
    <cellStyle name="20% - Accent6 2 18 3 4" xfId="11205"/>
    <cellStyle name="20% - Accent6 2 18 4" xfId="11206"/>
    <cellStyle name="20% - Accent6 2 18 4 2" xfId="11207"/>
    <cellStyle name="20% - Accent6 2 18 4 2 2" xfId="11208"/>
    <cellStyle name="20% - Accent6 2 18 4 3" xfId="11209"/>
    <cellStyle name="20% - Accent6 2 18 4 4" xfId="11210"/>
    <cellStyle name="20% - Accent6 2 18 5" xfId="11211"/>
    <cellStyle name="20% - Accent6 2 18 5 2" xfId="11212"/>
    <cellStyle name="20% - Accent6 2 18 6" xfId="11213"/>
    <cellStyle name="20% - Accent6 2 18 7" xfId="11214"/>
    <cellStyle name="20% - Accent6 2 18 8" xfId="11215"/>
    <cellStyle name="20% - Accent6 2 19" xfId="11216"/>
    <cellStyle name="20% - Accent6 2 19 2" xfId="11217"/>
    <cellStyle name="20% - Accent6 2 19 2 2" xfId="11218"/>
    <cellStyle name="20% - Accent6 2 19 2 2 2" xfId="11219"/>
    <cellStyle name="20% - Accent6 2 19 2 2 3" xfId="11220"/>
    <cellStyle name="20% - Accent6 2 19 2 3" xfId="11221"/>
    <cellStyle name="20% - Accent6 2 19 2 3 2" xfId="11222"/>
    <cellStyle name="20% - Accent6 2 19 2 4" xfId="11223"/>
    <cellStyle name="20% - Accent6 2 19 2 5" xfId="11224"/>
    <cellStyle name="20% - Accent6 2 19 3" xfId="11225"/>
    <cellStyle name="20% - Accent6 2 19 3 2" xfId="11226"/>
    <cellStyle name="20% - Accent6 2 19 3 2 2" xfId="11227"/>
    <cellStyle name="20% - Accent6 2 19 3 3" xfId="11228"/>
    <cellStyle name="20% - Accent6 2 19 3 4" xfId="11229"/>
    <cellStyle name="20% - Accent6 2 19 4" xfId="11230"/>
    <cellStyle name="20% - Accent6 2 19 4 2" xfId="11231"/>
    <cellStyle name="20% - Accent6 2 19 4 2 2" xfId="11232"/>
    <cellStyle name="20% - Accent6 2 19 4 3" xfId="11233"/>
    <cellStyle name="20% - Accent6 2 19 4 4" xfId="11234"/>
    <cellStyle name="20% - Accent6 2 19 5" xfId="11235"/>
    <cellStyle name="20% - Accent6 2 19 5 2" xfId="11236"/>
    <cellStyle name="20% - Accent6 2 19 6" xfId="11237"/>
    <cellStyle name="20% - Accent6 2 19 7" xfId="11238"/>
    <cellStyle name="20% - Accent6 2 19 8" xfId="11239"/>
    <cellStyle name="20% - Accent6 2 2" xfId="11240"/>
    <cellStyle name="20% - Accent6 2 2 10" xfId="11241"/>
    <cellStyle name="20% - Accent6 2 2 11" xfId="11242"/>
    <cellStyle name="20% - Accent6 2 2 12" xfId="11243"/>
    <cellStyle name="20% - Accent6 2 2 13" xfId="11244"/>
    <cellStyle name="20% - Accent6 2 2 14" xfId="11245"/>
    <cellStyle name="20% - Accent6 2 2 14 2" xfId="11246"/>
    <cellStyle name="20% - Accent6 2 2 14 2 2" xfId="11247"/>
    <cellStyle name="20% - Accent6 2 2 14 2 2 2" xfId="11248"/>
    <cellStyle name="20% - Accent6 2 2 14 2 2 3" xfId="11249"/>
    <cellStyle name="20% - Accent6 2 2 14 2 3" xfId="11250"/>
    <cellStyle name="20% - Accent6 2 2 14 2 3 2" xfId="11251"/>
    <cellStyle name="20% - Accent6 2 2 14 2 4" xfId="11252"/>
    <cellStyle name="20% - Accent6 2 2 14 2 5" xfId="11253"/>
    <cellStyle name="20% - Accent6 2 2 14 3" xfId="11254"/>
    <cellStyle name="20% - Accent6 2 2 14 3 2" xfId="11255"/>
    <cellStyle name="20% - Accent6 2 2 14 3 2 2" xfId="11256"/>
    <cellStyle name="20% - Accent6 2 2 14 3 3" xfId="11257"/>
    <cellStyle name="20% - Accent6 2 2 14 3 4" xfId="11258"/>
    <cellStyle name="20% - Accent6 2 2 14 4" xfId="11259"/>
    <cellStyle name="20% - Accent6 2 2 14 4 2" xfId="11260"/>
    <cellStyle name="20% - Accent6 2 2 14 4 2 2" xfId="11261"/>
    <cellStyle name="20% - Accent6 2 2 14 4 3" xfId="11262"/>
    <cellStyle name="20% - Accent6 2 2 14 4 4" xfId="11263"/>
    <cellStyle name="20% - Accent6 2 2 14 5" xfId="11264"/>
    <cellStyle name="20% - Accent6 2 2 14 5 2" xfId="11265"/>
    <cellStyle name="20% - Accent6 2 2 14 6" xfId="11266"/>
    <cellStyle name="20% - Accent6 2 2 14 7" xfId="11267"/>
    <cellStyle name="20% - Accent6 2 2 14 8" xfId="11268"/>
    <cellStyle name="20% - Accent6 2 2 15" xfId="11269"/>
    <cellStyle name="20% - Accent6 2 2 15 2" xfId="11270"/>
    <cellStyle name="20% - Accent6 2 2 15 2 2" xfId="11271"/>
    <cellStyle name="20% - Accent6 2 2 15 2 2 2" xfId="11272"/>
    <cellStyle name="20% - Accent6 2 2 15 2 2 3" xfId="11273"/>
    <cellStyle name="20% - Accent6 2 2 15 2 3" xfId="11274"/>
    <cellStyle name="20% - Accent6 2 2 15 2 3 2" xfId="11275"/>
    <cellStyle name="20% - Accent6 2 2 15 2 4" xfId="11276"/>
    <cellStyle name="20% - Accent6 2 2 15 2 5" xfId="11277"/>
    <cellStyle name="20% - Accent6 2 2 15 3" xfId="11278"/>
    <cellStyle name="20% - Accent6 2 2 15 3 2" xfId="11279"/>
    <cellStyle name="20% - Accent6 2 2 15 3 2 2" xfId="11280"/>
    <cellStyle name="20% - Accent6 2 2 15 3 3" xfId="11281"/>
    <cellStyle name="20% - Accent6 2 2 15 3 4" xfId="11282"/>
    <cellStyle name="20% - Accent6 2 2 15 4" xfId="11283"/>
    <cellStyle name="20% - Accent6 2 2 15 4 2" xfId="11284"/>
    <cellStyle name="20% - Accent6 2 2 15 4 2 2" xfId="11285"/>
    <cellStyle name="20% - Accent6 2 2 15 4 3" xfId="11286"/>
    <cellStyle name="20% - Accent6 2 2 15 4 4" xfId="11287"/>
    <cellStyle name="20% - Accent6 2 2 15 5" xfId="11288"/>
    <cellStyle name="20% - Accent6 2 2 15 5 2" xfId="11289"/>
    <cellStyle name="20% - Accent6 2 2 15 6" xfId="11290"/>
    <cellStyle name="20% - Accent6 2 2 15 7" xfId="11291"/>
    <cellStyle name="20% - Accent6 2 2 15 8" xfId="11292"/>
    <cellStyle name="20% - Accent6 2 2 16" xfId="11293"/>
    <cellStyle name="20% - Accent6 2 2 16 2" xfId="11294"/>
    <cellStyle name="20% - Accent6 2 2 16 2 2" xfId="11295"/>
    <cellStyle name="20% - Accent6 2 2 16 2 2 2" xfId="11296"/>
    <cellStyle name="20% - Accent6 2 2 16 2 2 3" xfId="11297"/>
    <cellStyle name="20% - Accent6 2 2 16 2 3" xfId="11298"/>
    <cellStyle name="20% - Accent6 2 2 16 2 3 2" xfId="11299"/>
    <cellStyle name="20% - Accent6 2 2 16 2 4" xfId="11300"/>
    <cellStyle name="20% - Accent6 2 2 16 2 5" xfId="11301"/>
    <cellStyle name="20% - Accent6 2 2 16 3" xfId="11302"/>
    <cellStyle name="20% - Accent6 2 2 16 3 2" xfId="11303"/>
    <cellStyle name="20% - Accent6 2 2 16 3 2 2" xfId="11304"/>
    <cellStyle name="20% - Accent6 2 2 16 3 3" xfId="11305"/>
    <cellStyle name="20% - Accent6 2 2 16 3 4" xfId="11306"/>
    <cellStyle name="20% - Accent6 2 2 16 4" xfId="11307"/>
    <cellStyle name="20% - Accent6 2 2 16 4 2" xfId="11308"/>
    <cellStyle name="20% - Accent6 2 2 16 4 2 2" xfId="11309"/>
    <cellStyle name="20% - Accent6 2 2 16 4 3" xfId="11310"/>
    <cellStyle name="20% - Accent6 2 2 16 4 4" xfId="11311"/>
    <cellStyle name="20% - Accent6 2 2 16 5" xfId="11312"/>
    <cellStyle name="20% - Accent6 2 2 16 5 2" xfId="11313"/>
    <cellStyle name="20% - Accent6 2 2 16 6" xfId="11314"/>
    <cellStyle name="20% - Accent6 2 2 16 7" xfId="11315"/>
    <cellStyle name="20% - Accent6 2 2 16 8" xfId="11316"/>
    <cellStyle name="20% - Accent6 2 2 2" xfId="11317"/>
    <cellStyle name="20% - Accent6 2 2 2 10" xfId="11318"/>
    <cellStyle name="20% - Accent6 2 2 2 10 2" xfId="11319"/>
    <cellStyle name="20% - Accent6 2 2 2 10 3" xfId="11320"/>
    <cellStyle name="20% - Accent6 2 2 2 11" xfId="11321"/>
    <cellStyle name="20% - Accent6 2 2 2 12" xfId="11322"/>
    <cellStyle name="20% - Accent6 2 2 2 13" xfId="11323"/>
    <cellStyle name="20% - Accent6 2 2 2 2" xfId="11324"/>
    <cellStyle name="20% - Accent6 2 2 2 2 2" xfId="11325"/>
    <cellStyle name="20% - Accent6 2 2 2 2 3" xfId="11326"/>
    <cellStyle name="20% - Accent6 2 2 2 3" xfId="11327"/>
    <cellStyle name="20% - Accent6 2 2 2 3 2" xfId="11328"/>
    <cellStyle name="20% - Accent6 2 2 2 3 3" xfId="11329"/>
    <cellStyle name="20% - Accent6 2 2 2 4" xfId="11330"/>
    <cellStyle name="20% - Accent6 2 2 2 4 2" xfId="11331"/>
    <cellStyle name="20% - Accent6 2 2 2 4 3" xfId="11332"/>
    <cellStyle name="20% - Accent6 2 2 2 5" xfId="11333"/>
    <cellStyle name="20% - Accent6 2 2 2 5 2" xfId="11334"/>
    <cellStyle name="20% - Accent6 2 2 2 5 3" xfId="11335"/>
    <cellStyle name="20% - Accent6 2 2 2 6" xfId="11336"/>
    <cellStyle name="20% - Accent6 2 2 2 6 2" xfId="11337"/>
    <cellStyle name="20% - Accent6 2 2 2 6 3" xfId="11338"/>
    <cellStyle name="20% - Accent6 2 2 2 7" xfId="11339"/>
    <cellStyle name="20% - Accent6 2 2 2 7 2" xfId="11340"/>
    <cellStyle name="20% - Accent6 2 2 2 7 3" xfId="11341"/>
    <cellStyle name="20% - Accent6 2 2 2 8" xfId="11342"/>
    <cellStyle name="20% - Accent6 2 2 2 8 2" xfId="11343"/>
    <cellStyle name="20% - Accent6 2 2 2 8 3" xfId="11344"/>
    <cellStyle name="20% - Accent6 2 2 2 9" xfId="11345"/>
    <cellStyle name="20% - Accent6 2 2 2 9 2" xfId="11346"/>
    <cellStyle name="20% - Accent6 2 2 2 9 3" xfId="11347"/>
    <cellStyle name="20% - Accent6 2 2 2_4Q Ops Metrics Gas &amp; Electric 2010" xfId="11348"/>
    <cellStyle name="20% - Accent6 2 2 3" xfId="11349"/>
    <cellStyle name="20% - Accent6 2 2 3 2" xfId="11350"/>
    <cellStyle name="20% - Accent6 2 2 3 3" xfId="11351"/>
    <cellStyle name="20% - Accent6 2 2 4" xfId="11352"/>
    <cellStyle name="20% - Accent6 2 2 4 2" xfId="11353"/>
    <cellStyle name="20% - Accent6 2 2 4 3" xfId="11354"/>
    <cellStyle name="20% - Accent6 2 2 5" xfId="11355"/>
    <cellStyle name="20% - Accent6 2 2 5 2" xfId="11356"/>
    <cellStyle name="20% - Accent6 2 2 5 3" xfId="11357"/>
    <cellStyle name="20% - Accent6 2 2 6" xfId="11358"/>
    <cellStyle name="20% - Accent6 2 2 6 2" xfId="11359"/>
    <cellStyle name="20% - Accent6 2 2 6 3" xfId="11360"/>
    <cellStyle name="20% - Accent6 2 2 7" xfId="11361"/>
    <cellStyle name="20% - Accent6 2 2 7 2" xfId="11362"/>
    <cellStyle name="20% - Accent6 2 2 7 3" xfId="11363"/>
    <cellStyle name="20% - Accent6 2 2 8" xfId="11364"/>
    <cellStyle name="20% - Accent6 2 2 9" xfId="11365"/>
    <cellStyle name="20% - Accent6 2 2_2009 Actual" xfId="11366"/>
    <cellStyle name="20% - Accent6 2 20" xfId="11367"/>
    <cellStyle name="20% - Accent6 2 20 2" xfId="11368"/>
    <cellStyle name="20% - Accent6 2 20 2 2" xfId="11369"/>
    <cellStyle name="20% - Accent6 2 20 2 2 2" xfId="11370"/>
    <cellStyle name="20% - Accent6 2 20 2 2 3" xfId="11371"/>
    <cellStyle name="20% - Accent6 2 20 2 3" xfId="11372"/>
    <cellStyle name="20% - Accent6 2 20 2 3 2" xfId="11373"/>
    <cellStyle name="20% - Accent6 2 20 2 4" xfId="11374"/>
    <cellStyle name="20% - Accent6 2 20 2 5" xfId="11375"/>
    <cellStyle name="20% - Accent6 2 20 3" xfId="11376"/>
    <cellStyle name="20% - Accent6 2 20 3 2" xfId="11377"/>
    <cellStyle name="20% - Accent6 2 20 3 2 2" xfId="11378"/>
    <cellStyle name="20% - Accent6 2 20 3 3" xfId="11379"/>
    <cellStyle name="20% - Accent6 2 20 3 4" xfId="11380"/>
    <cellStyle name="20% - Accent6 2 20 4" xfId="11381"/>
    <cellStyle name="20% - Accent6 2 20 4 2" xfId="11382"/>
    <cellStyle name="20% - Accent6 2 20 4 2 2" xfId="11383"/>
    <cellStyle name="20% - Accent6 2 20 4 3" xfId="11384"/>
    <cellStyle name="20% - Accent6 2 20 4 4" xfId="11385"/>
    <cellStyle name="20% - Accent6 2 20 5" xfId="11386"/>
    <cellStyle name="20% - Accent6 2 20 5 2" xfId="11387"/>
    <cellStyle name="20% - Accent6 2 20 6" xfId="11388"/>
    <cellStyle name="20% - Accent6 2 20 7" xfId="11389"/>
    <cellStyle name="20% - Accent6 2 20 8" xfId="11390"/>
    <cellStyle name="20% - Accent6 2 21" xfId="11391"/>
    <cellStyle name="20% - Accent6 2 21 2" xfId="11392"/>
    <cellStyle name="20% - Accent6 2 21 2 2" xfId="11393"/>
    <cellStyle name="20% - Accent6 2 21 2 2 2" xfId="11394"/>
    <cellStyle name="20% - Accent6 2 21 2 2 3" xfId="11395"/>
    <cellStyle name="20% - Accent6 2 21 2 3" xfId="11396"/>
    <cellStyle name="20% - Accent6 2 21 2 3 2" xfId="11397"/>
    <cellStyle name="20% - Accent6 2 21 2 4" xfId="11398"/>
    <cellStyle name="20% - Accent6 2 21 2 5" xfId="11399"/>
    <cellStyle name="20% - Accent6 2 21 3" xfId="11400"/>
    <cellStyle name="20% - Accent6 2 21 3 2" xfId="11401"/>
    <cellStyle name="20% - Accent6 2 21 3 2 2" xfId="11402"/>
    <cellStyle name="20% - Accent6 2 21 3 3" xfId="11403"/>
    <cellStyle name="20% - Accent6 2 21 3 4" xfId="11404"/>
    <cellStyle name="20% - Accent6 2 21 4" xfId="11405"/>
    <cellStyle name="20% - Accent6 2 21 4 2" xfId="11406"/>
    <cellStyle name="20% - Accent6 2 21 4 2 2" xfId="11407"/>
    <cellStyle name="20% - Accent6 2 21 4 3" xfId="11408"/>
    <cellStyle name="20% - Accent6 2 21 4 4" xfId="11409"/>
    <cellStyle name="20% - Accent6 2 21 5" xfId="11410"/>
    <cellStyle name="20% - Accent6 2 21 5 2" xfId="11411"/>
    <cellStyle name="20% - Accent6 2 21 6" xfId="11412"/>
    <cellStyle name="20% - Accent6 2 21 7" xfId="11413"/>
    <cellStyle name="20% - Accent6 2 21 8" xfId="11414"/>
    <cellStyle name="20% - Accent6 2 22" xfId="11415"/>
    <cellStyle name="20% - Accent6 2 22 2" xfId="11416"/>
    <cellStyle name="20% - Accent6 2 22 2 2" xfId="11417"/>
    <cellStyle name="20% - Accent6 2 22 2 2 2" xfId="11418"/>
    <cellStyle name="20% - Accent6 2 22 2 2 3" xfId="11419"/>
    <cellStyle name="20% - Accent6 2 22 2 3" xfId="11420"/>
    <cellStyle name="20% - Accent6 2 22 2 3 2" xfId="11421"/>
    <cellStyle name="20% - Accent6 2 22 2 4" xfId="11422"/>
    <cellStyle name="20% - Accent6 2 22 2 5" xfId="11423"/>
    <cellStyle name="20% - Accent6 2 22 3" xfId="11424"/>
    <cellStyle name="20% - Accent6 2 22 3 2" xfId="11425"/>
    <cellStyle name="20% - Accent6 2 22 3 2 2" xfId="11426"/>
    <cellStyle name="20% - Accent6 2 22 3 3" xfId="11427"/>
    <cellStyle name="20% - Accent6 2 22 3 4" xfId="11428"/>
    <cellStyle name="20% - Accent6 2 22 4" xfId="11429"/>
    <cellStyle name="20% - Accent6 2 22 4 2" xfId="11430"/>
    <cellStyle name="20% - Accent6 2 22 4 2 2" xfId="11431"/>
    <cellStyle name="20% - Accent6 2 22 4 3" xfId="11432"/>
    <cellStyle name="20% - Accent6 2 22 4 4" xfId="11433"/>
    <cellStyle name="20% - Accent6 2 22 5" xfId="11434"/>
    <cellStyle name="20% - Accent6 2 22 5 2" xfId="11435"/>
    <cellStyle name="20% - Accent6 2 22 6" xfId="11436"/>
    <cellStyle name="20% - Accent6 2 22 7" xfId="11437"/>
    <cellStyle name="20% - Accent6 2 22 8" xfId="11438"/>
    <cellStyle name="20% - Accent6 2 23" xfId="11439"/>
    <cellStyle name="20% - Accent6 2 23 2" xfId="11440"/>
    <cellStyle name="20% - Accent6 2 23 2 2" xfId="11441"/>
    <cellStyle name="20% - Accent6 2 23 2 2 2" xfId="11442"/>
    <cellStyle name="20% - Accent6 2 23 2 2 3" xfId="11443"/>
    <cellStyle name="20% - Accent6 2 23 2 3" xfId="11444"/>
    <cellStyle name="20% - Accent6 2 23 2 3 2" xfId="11445"/>
    <cellStyle name="20% - Accent6 2 23 2 4" xfId="11446"/>
    <cellStyle name="20% - Accent6 2 23 2 5" xfId="11447"/>
    <cellStyle name="20% - Accent6 2 23 3" xfId="11448"/>
    <cellStyle name="20% - Accent6 2 23 3 2" xfId="11449"/>
    <cellStyle name="20% - Accent6 2 23 3 2 2" xfId="11450"/>
    <cellStyle name="20% - Accent6 2 23 3 3" xfId="11451"/>
    <cellStyle name="20% - Accent6 2 23 3 4" xfId="11452"/>
    <cellStyle name="20% - Accent6 2 23 4" xfId="11453"/>
    <cellStyle name="20% - Accent6 2 23 4 2" xfId="11454"/>
    <cellStyle name="20% - Accent6 2 23 4 2 2" xfId="11455"/>
    <cellStyle name="20% - Accent6 2 23 4 3" xfId="11456"/>
    <cellStyle name="20% - Accent6 2 23 4 4" xfId="11457"/>
    <cellStyle name="20% - Accent6 2 23 5" xfId="11458"/>
    <cellStyle name="20% - Accent6 2 23 5 2" xfId="11459"/>
    <cellStyle name="20% - Accent6 2 23 6" xfId="11460"/>
    <cellStyle name="20% - Accent6 2 23 7" xfId="11461"/>
    <cellStyle name="20% - Accent6 2 23 8" xfId="11462"/>
    <cellStyle name="20% - Accent6 2 24" xfId="11463"/>
    <cellStyle name="20% - Accent6 2 24 2" xfId="11464"/>
    <cellStyle name="20% - Accent6 2 24 2 2" xfId="11465"/>
    <cellStyle name="20% - Accent6 2 24 2 2 2" xfId="11466"/>
    <cellStyle name="20% - Accent6 2 24 2 2 3" xfId="11467"/>
    <cellStyle name="20% - Accent6 2 24 2 3" xfId="11468"/>
    <cellStyle name="20% - Accent6 2 24 2 3 2" xfId="11469"/>
    <cellStyle name="20% - Accent6 2 24 2 4" xfId="11470"/>
    <cellStyle name="20% - Accent6 2 24 2 5" xfId="11471"/>
    <cellStyle name="20% - Accent6 2 24 3" xfId="11472"/>
    <cellStyle name="20% - Accent6 2 24 3 2" xfId="11473"/>
    <cellStyle name="20% - Accent6 2 24 3 2 2" xfId="11474"/>
    <cellStyle name="20% - Accent6 2 24 3 3" xfId="11475"/>
    <cellStyle name="20% - Accent6 2 24 3 4" xfId="11476"/>
    <cellStyle name="20% - Accent6 2 24 4" xfId="11477"/>
    <cellStyle name="20% - Accent6 2 24 4 2" xfId="11478"/>
    <cellStyle name="20% - Accent6 2 24 4 2 2" xfId="11479"/>
    <cellStyle name="20% - Accent6 2 24 4 3" xfId="11480"/>
    <cellStyle name="20% - Accent6 2 24 4 4" xfId="11481"/>
    <cellStyle name="20% - Accent6 2 24 5" xfId="11482"/>
    <cellStyle name="20% - Accent6 2 24 5 2" xfId="11483"/>
    <cellStyle name="20% - Accent6 2 24 6" xfId="11484"/>
    <cellStyle name="20% - Accent6 2 24 7" xfId="11485"/>
    <cellStyle name="20% - Accent6 2 24 8" xfId="11486"/>
    <cellStyle name="20% - Accent6 2 25" xfId="11487"/>
    <cellStyle name="20% - Accent6 2 25 2" xfId="11488"/>
    <cellStyle name="20% - Accent6 2 25 2 2" xfId="11489"/>
    <cellStyle name="20% - Accent6 2 25 2 2 2" xfId="11490"/>
    <cellStyle name="20% - Accent6 2 25 2 2 3" xfId="11491"/>
    <cellStyle name="20% - Accent6 2 25 2 3" xfId="11492"/>
    <cellStyle name="20% - Accent6 2 25 2 3 2" xfId="11493"/>
    <cellStyle name="20% - Accent6 2 25 2 4" xfId="11494"/>
    <cellStyle name="20% - Accent6 2 25 2 5" xfId="11495"/>
    <cellStyle name="20% - Accent6 2 25 3" xfId="11496"/>
    <cellStyle name="20% - Accent6 2 25 3 2" xfId="11497"/>
    <cellStyle name="20% - Accent6 2 25 3 2 2" xfId="11498"/>
    <cellStyle name="20% - Accent6 2 25 3 3" xfId="11499"/>
    <cellStyle name="20% - Accent6 2 25 3 4" xfId="11500"/>
    <cellStyle name="20% - Accent6 2 25 4" xfId="11501"/>
    <cellStyle name="20% - Accent6 2 25 4 2" xfId="11502"/>
    <cellStyle name="20% - Accent6 2 25 4 2 2" xfId="11503"/>
    <cellStyle name="20% - Accent6 2 25 4 3" xfId="11504"/>
    <cellStyle name="20% - Accent6 2 25 4 4" xfId="11505"/>
    <cellStyle name="20% - Accent6 2 25 5" xfId="11506"/>
    <cellStyle name="20% - Accent6 2 25 5 2" xfId="11507"/>
    <cellStyle name="20% - Accent6 2 25 6" xfId="11508"/>
    <cellStyle name="20% - Accent6 2 25 7" xfId="11509"/>
    <cellStyle name="20% - Accent6 2 25 8" xfId="11510"/>
    <cellStyle name="20% - Accent6 2 26" xfId="11511"/>
    <cellStyle name="20% - Accent6 2 26 2" xfId="11512"/>
    <cellStyle name="20% - Accent6 2 26 2 2" xfId="11513"/>
    <cellStyle name="20% - Accent6 2 26 2 2 2" xfId="11514"/>
    <cellStyle name="20% - Accent6 2 26 2 2 3" xfId="11515"/>
    <cellStyle name="20% - Accent6 2 26 2 3" xfId="11516"/>
    <cellStyle name="20% - Accent6 2 26 2 3 2" xfId="11517"/>
    <cellStyle name="20% - Accent6 2 26 2 4" xfId="11518"/>
    <cellStyle name="20% - Accent6 2 26 2 5" xfId="11519"/>
    <cellStyle name="20% - Accent6 2 26 3" xfId="11520"/>
    <cellStyle name="20% - Accent6 2 26 3 2" xfId="11521"/>
    <cellStyle name="20% - Accent6 2 26 3 2 2" xfId="11522"/>
    <cellStyle name="20% - Accent6 2 26 3 3" xfId="11523"/>
    <cellStyle name="20% - Accent6 2 26 3 4" xfId="11524"/>
    <cellStyle name="20% - Accent6 2 26 4" xfId="11525"/>
    <cellStyle name="20% - Accent6 2 26 4 2" xfId="11526"/>
    <cellStyle name="20% - Accent6 2 26 4 2 2" xfId="11527"/>
    <cellStyle name="20% - Accent6 2 26 4 3" xfId="11528"/>
    <cellStyle name="20% - Accent6 2 26 4 4" xfId="11529"/>
    <cellStyle name="20% - Accent6 2 26 5" xfId="11530"/>
    <cellStyle name="20% - Accent6 2 26 5 2" xfId="11531"/>
    <cellStyle name="20% - Accent6 2 26 6" xfId="11532"/>
    <cellStyle name="20% - Accent6 2 26 7" xfId="11533"/>
    <cellStyle name="20% - Accent6 2 26 8" xfId="11534"/>
    <cellStyle name="20% - Accent6 2 27" xfId="11535"/>
    <cellStyle name="20% - Accent6 2 27 2" xfId="11536"/>
    <cellStyle name="20% - Accent6 2 27 2 2" xfId="11537"/>
    <cellStyle name="20% - Accent6 2 27 2 2 2" xfId="11538"/>
    <cellStyle name="20% - Accent6 2 27 2 2 3" xfId="11539"/>
    <cellStyle name="20% - Accent6 2 27 2 3" xfId="11540"/>
    <cellStyle name="20% - Accent6 2 27 2 3 2" xfId="11541"/>
    <cellStyle name="20% - Accent6 2 27 2 4" xfId="11542"/>
    <cellStyle name="20% - Accent6 2 27 2 5" xfId="11543"/>
    <cellStyle name="20% - Accent6 2 27 3" xfId="11544"/>
    <cellStyle name="20% - Accent6 2 27 3 2" xfId="11545"/>
    <cellStyle name="20% - Accent6 2 27 3 2 2" xfId="11546"/>
    <cellStyle name="20% - Accent6 2 27 3 3" xfId="11547"/>
    <cellStyle name="20% - Accent6 2 27 3 4" xfId="11548"/>
    <cellStyle name="20% - Accent6 2 27 4" xfId="11549"/>
    <cellStyle name="20% - Accent6 2 27 4 2" xfId="11550"/>
    <cellStyle name="20% - Accent6 2 27 4 2 2" xfId="11551"/>
    <cellStyle name="20% - Accent6 2 27 4 3" xfId="11552"/>
    <cellStyle name="20% - Accent6 2 27 4 4" xfId="11553"/>
    <cellStyle name="20% - Accent6 2 27 5" xfId="11554"/>
    <cellStyle name="20% - Accent6 2 27 5 2" xfId="11555"/>
    <cellStyle name="20% - Accent6 2 27 6" xfId="11556"/>
    <cellStyle name="20% - Accent6 2 27 7" xfId="11557"/>
    <cellStyle name="20% - Accent6 2 27 8" xfId="11558"/>
    <cellStyle name="20% - Accent6 2 28" xfId="11559"/>
    <cellStyle name="20% - Accent6 2 28 2" xfId="11560"/>
    <cellStyle name="20% - Accent6 2 28 2 2" xfId="11561"/>
    <cellStyle name="20% - Accent6 2 28 2 3" xfId="11562"/>
    <cellStyle name="20% - Accent6 2 28 3" xfId="11563"/>
    <cellStyle name="20% - Accent6 2 28 3 2" xfId="11564"/>
    <cellStyle name="20% - Accent6 2 28 4" xfId="11565"/>
    <cellStyle name="20% - Accent6 2 28 5" xfId="11566"/>
    <cellStyle name="20% - Accent6 2 29" xfId="11567"/>
    <cellStyle name="20% - Accent6 2 29 2" xfId="11568"/>
    <cellStyle name="20% - Accent6 2 29 2 2" xfId="11569"/>
    <cellStyle name="20% - Accent6 2 29 2 3" xfId="11570"/>
    <cellStyle name="20% - Accent6 2 29 3" xfId="11571"/>
    <cellStyle name="20% - Accent6 2 29 3 2" xfId="11572"/>
    <cellStyle name="20% - Accent6 2 29 4" xfId="11573"/>
    <cellStyle name="20% - Accent6 2 29 5" xfId="11574"/>
    <cellStyle name="20% - Accent6 2 3" xfId="11575"/>
    <cellStyle name="20% - Accent6 2 3 10" xfId="11576"/>
    <cellStyle name="20% - Accent6 2 3 10 2" xfId="11577"/>
    <cellStyle name="20% - Accent6 2 3 10 3" xfId="11578"/>
    <cellStyle name="20% - Accent6 2 3 11" xfId="11579"/>
    <cellStyle name="20% - Accent6 2 3 12" xfId="11580"/>
    <cellStyle name="20% - Accent6 2 3 13" xfId="11581"/>
    <cellStyle name="20% - Accent6 2 3 14" xfId="11582"/>
    <cellStyle name="20% - Accent6 2 3 14 2" xfId="11583"/>
    <cellStyle name="20% - Accent6 2 3 2" xfId="11584"/>
    <cellStyle name="20% - Accent6 2 3 2 2" xfId="11585"/>
    <cellStyle name="20% - Accent6 2 3 2 2 2" xfId="11586"/>
    <cellStyle name="20% - Accent6 2 3 2 3" xfId="11587"/>
    <cellStyle name="20% - Accent6 2 3 2 4" xfId="11588"/>
    <cellStyle name="20% - Accent6 2 3 2 4 2" xfId="11589"/>
    <cellStyle name="20% - Accent6 2 3 3" xfId="11590"/>
    <cellStyle name="20% - Accent6 2 3 3 2" xfId="11591"/>
    <cellStyle name="20% - Accent6 2 3 3 3" xfId="11592"/>
    <cellStyle name="20% - Accent6 2 3 3 4" xfId="11593"/>
    <cellStyle name="20% - Accent6 2 3 3 4 2" xfId="11594"/>
    <cellStyle name="20% - Accent6 2 3 4" xfId="11595"/>
    <cellStyle name="20% - Accent6 2 3 4 2" xfId="11596"/>
    <cellStyle name="20% - Accent6 2 3 4 3" xfId="11597"/>
    <cellStyle name="20% - Accent6 2 3 4 4" xfId="11598"/>
    <cellStyle name="20% - Accent6 2 3 4 4 2" xfId="11599"/>
    <cellStyle name="20% - Accent6 2 3 5" xfId="11600"/>
    <cellStyle name="20% - Accent6 2 3 5 2" xfId="11601"/>
    <cellStyle name="20% - Accent6 2 3 5 3" xfId="11602"/>
    <cellStyle name="20% - Accent6 2 3 5 4" xfId="11603"/>
    <cellStyle name="20% - Accent6 2 3 5 4 2" xfId="11604"/>
    <cellStyle name="20% - Accent6 2 3 6" xfId="11605"/>
    <cellStyle name="20% - Accent6 2 3 6 2" xfId="11606"/>
    <cellStyle name="20% - Accent6 2 3 6 2 2" xfId="11607"/>
    <cellStyle name="20% - Accent6 2 3 6 2 3" xfId="11608"/>
    <cellStyle name="20% - Accent6 2 3 6 3" xfId="11609"/>
    <cellStyle name="20% - Accent6 2 3 6 3 2" xfId="11610"/>
    <cellStyle name="20% - Accent6 2 3 6 3 3" xfId="11611"/>
    <cellStyle name="20% - Accent6 2 3 6 4" xfId="11612"/>
    <cellStyle name="20% - Accent6 2 3 6 4 2" xfId="11613"/>
    <cellStyle name="20% - Accent6 2 3 6_Elec Margin Analysis" xfId="11614"/>
    <cellStyle name="20% - Accent6 2 3 7" xfId="11615"/>
    <cellStyle name="20% - Accent6 2 3 7 2" xfId="11616"/>
    <cellStyle name="20% - Accent6 2 3 7 3" xfId="11617"/>
    <cellStyle name="20% - Accent6 2 3 7 4" xfId="11618"/>
    <cellStyle name="20% - Accent6 2 3 7 4 2" xfId="11619"/>
    <cellStyle name="20% - Accent6 2 3 8" xfId="11620"/>
    <cellStyle name="20% - Accent6 2 3 8 2" xfId="11621"/>
    <cellStyle name="20% - Accent6 2 3 8 3" xfId="11622"/>
    <cellStyle name="20% - Accent6 2 3 8 4" xfId="11623"/>
    <cellStyle name="20% - Accent6 2 3 8 4 2" xfId="11624"/>
    <cellStyle name="20% - Accent6 2 3 9" xfId="11625"/>
    <cellStyle name="20% - Accent6 2 3 9 2" xfId="11626"/>
    <cellStyle name="20% - Accent6 2 3 9 3" xfId="11627"/>
    <cellStyle name="20% - Accent6 2 3_2009 Actual" xfId="11628"/>
    <cellStyle name="20% - Accent6 2 30" xfId="11629"/>
    <cellStyle name="20% - Accent6 2 30 2" xfId="11630"/>
    <cellStyle name="20% - Accent6 2 30 2 2" xfId="11631"/>
    <cellStyle name="20% - Accent6 2 30 2 3" xfId="11632"/>
    <cellStyle name="20% - Accent6 2 30 3" xfId="11633"/>
    <cellStyle name="20% - Accent6 2 30 3 2" xfId="11634"/>
    <cellStyle name="20% - Accent6 2 30 4" xfId="11635"/>
    <cellStyle name="20% - Accent6 2 30 5" xfId="11636"/>
    <cellStyle name="20% - Accent6 2 31" xfId="11637"/>
    <cellStyle name="20% - Accent6 2 31 2" xfId="11638"/>
    <cellStyle name="20% - Accent6 2 31 2 2" xfId="11639"/>
    <cellStyle name="20% - Accent6 2 31 2 3" xfId="11640"/>
    <cellStyle name="20% - Accent6 2 31 3" xfId="11641"/>
    <cellStyle name="20% - Accent6 2 31 3 2" xfId="11642"/>
    <cellStyle name="20% - Accent6 2 31 4" xfId="11643"/>
    <cellStyle name="20% - Accent6 2 31 5" xfId="11644"/>
    <cellStyle name="20% - Accent6 2 32" xfId="11645"/>
    <cellStyle name="20% - Accent6 2 32 2" xfId="11646"/>
    <cellStyle name="20% - Accent6 2 32 2 2" xfId="11647"/>
    <cellStyle name="20% - Accent6 2 32 2 3" xfId="11648"/>
    <cellStyle name="20% - Accent6 2 32 3" xfId="11649"/>
    <cellStyle name="20% - Accent6 2 32 3 2" xfId="11650"/>
    <cellStyle name="20% - Accent6 2 32 4" xfId="11651"/>
    <cellStyle name="20% - Accent6 2 32 5" xfId="11652"/>
    <cellStyle name="20% - Accent6 2 33" xfId="11653"/>
    <cellStyle name="20% - Accent6 2 33 2" xfId="11654"/>
    <cellStyle name="20% - Accent6 2 33 2 2" xfId="11655"/>
    <cellStyle name="20% - Accent6 2 33 2 3" xfId="11656"/>
    <cellStyle name="20% - Accent6 2 33 3" xfId="11657"/>
    <cellStyle name="20% - Accent6 2 33 3 2" xfId="11658"/>
    <cellStyle name="20% - Accent6 2 33 4" xfId="11659"/>
    <cellStyle name="20% - Accent6 2 33 5" xfId="11660"/>
    <cellStyle name="20% - Accent6 2 34" xfId="11661"/>
    <cellStyle name="20% - Accent6 2 34 2" xfId="11662"/>
    <cellStyle name="20% - Accent6 2 34 2 2" xfId="11663"/>
    <cellStyle name="20% - Accent6 2 34 2 3" xfId="11664"/>
    <cellStyle name="20% - Accent6 2 34 3" xfId="11665"/>
    <cellStyle name="20% - Accent6 2 34 3 2" xfId="11666"/>
    <cellStyle name="20% - Accent6 2 34 4" xfId="11667"/>
    <cellStyle name="20% - Accent6 2 34 5" xfId="11668"/>
    <cellStyle name="20% - Accent6 2 35" xfId="11669"/>
    <cellStyle name="20% - Accent6 2 35 2" xfId="11670"/>
    <cellStyle name="20% - Accent6 2 35 2 2" xfId="11671"/>
    <cellStyle name="20% - Accent6 2 35 2 3" xfId="11672"/>
    <cellStyle name="20% - Accent6 2 35 3" xfId="11673"/>
    <cellStyle name="20% - Accent6 2 35 3 2" xfId="11674"/>
    <cellStyle name="20% - Accent6 2 35 4" xfId="11675"/>
    <cellStyle name="20% - Accent6 2 35 5" xfId="11676"/>
    <cellStyle name="20% - Accent6 2 36" xfId="11677"/>
    <cellStyle name="20% - Accent6 2 36 2" xfId="11678"/>
    <cellStyle name="20% - Accent6 2 36 2 2" xfId="11679"/>
    <cellStyle name="20% - Accent6 2 36 2 3" xfId="11680"/>
    <cellStyle name="20% - Accent6 2 36 3" xfId="11681"/>
    <cellStyle name="20% - Accent6 2 36 3 2" xfId="11682"/>
    <cellStyle name="20% - Accent6 2 36 4" xfId="11683"/>
    <cellStyle name="20% - Accent6 2 36 5" xfId="11684"/>
    <cellStyle name="20% - Accent6 2 37" xfId="11685"/>
    <cellStyle name="20% - Accent6 2 37 2" xfId="11686"/>
    <cellStyle name="20% - Accent6 2 37 2 2" xfId="11687"/>
    <cellStyle name="20% - Accent6 2 37 2 3" xfId="11688"/>
    <cellStyle name="20% - Accent6 2 37 3" xfId="11689"/>
    <cellStyle name="20% - Accent6 2 37 3 2" xfId="11690"/>
    <cellStyle name="20% - Accent6 2 37 4" xfId="11691"/>
    <cellStyle name="20% - Accent6 2 37 5" xfId="11692"/>
    <cellStyle name="20% - Accent6 2 38" xfId="11693"/>
    <cellStyle name="20% - Accent6 2 38 2" xfId="11694"/>
    <cellStyle name="20% - Accent6 2 38 2 2" xfId="11695"/>
    <cellStyle name="20% - Accent6 2 38 2 3" xfId="11696"/>
    <cellStyle name="20% - Accent6 2 38 3" xfId="11697"/>
    <cellStyle name="20% - Accent6 2 38 3 2" xfId="11698"/>
    <cellStyle name="20% - Accent6 2 38 4" xfId="11699"/>
    <cellStyle name="20% - Accent6 2 38 5" xfId="11700"/>
    <cellStyle name="20% - Accent6 2 39" xfId="11701"/>
    <cellStyle name="20% - Accent6 2 39 2" xfId="11702"/>
    <cellStyle name="20% - Accent6 2 39 2 2" xfId="11703"/>
    <cellStyle name="20% - Accent6 2 39 2 3" xfId="11704"/>
    <cellStyle name="20% - Accent6 2 39 3" xfId="11705"/>
    <cellStyle name="20% - Accent6 2 39 3 2" xfId="11706"/>
    <cellStyle name="20% - Accent6 2 39 4" xfId="11707"/>
    <cellStyle name="20% - Accent6 2 39 5" xfId="11708"/>
    <cellStyle name="20% - Accent6 2 4" xfId="11709"/>
    <cellStyle name="20% - Accent6 2 4 10" xfId="11710"/>
    <cellStyle name="20% - Accent6 2 4 10 2" xfId="11711"/>
    <cellStyle name="20% - Accent6 2 4 2" xfId="11712"/>
    <cellStyle name="20% - Accent6 2 4 2 2" xfId="11713"/>
    <cellStyle name="20% - Accent6 2 4 2 3" xfId="11714"/>
    <cellStyle name="20% - Accent6 2 4 3" xfId="11715"/>
    <cellStyle name="20% - Accent6 2 4 3 2" xfId="11716"/>
    <cellStyle name="20% - Accent6 2 4 3 3" xfId="11717"/>
    <cellStyle name="20% - Accent6 2 4 4" xfId="11718"/>
    <cellStyle name="20% - Accent6 2 4 4 2" xfId="11719"/>
    <cellStyle name="20% - Accent6 2 4 4 3" xfId="11720"/>
    <cellStyle name="20% - Accent6 2 4 5" xfId="11721"/>
    <cellStyle name="20% - Accent6 2 4 5 2" xfId="11722"/>
    <cellStyle name="20% - Accent6 2 4 5 3" xfId="11723"/>
    <cellStyle name="20% - Accent6 2 4 6" xfId="11724"/>
    <cellStyle name="20% - Accent6 2 4 6 2" xfId="11725"/>
    <cellStyle name="20% - Accent6 2 4 6 3" xfId="11726"/>
    <cellStyle name="20% - Accent6 2 4 7" xfId="11727"/>
    <cellStyle name="20% - Accent6 2 4 7 2" xfId="11728"/>
    <cellStyle name="20% - Accent6 2 4 7 3" xfId="11729"/>
    <cellStyle name="20% - Accent6 2 4 8" xfId="11730"/>
    <cellStyle name="20% - Accent6 2 4 9" xfId="11731"/>
    <cellStyle name="20% - Accent6 2 4_2009 Actual" xfId="11732"/>
    <cellStyle name="20% - Accent6 2 40" xfId="11733"/>
    <cellStyle name="20% - Accent6 2 40 2" xfId="11734"/>
    <cellStyle name="20% - Accent6 2 40 2 2" xfId="11735"/>
    <cellStyle name="20% - Accent6 2 40 2 3" xfId="11736"/>
    <cellStyle name="20% - Accent6 2 40 3" xfId="11737"/>
    <cellStyle name="20% - Accent6 2 40 3 2" xfId="11738"/>
    <cellStyle name="20% - Accent6 2 40 4" xfId="11739"/>
    <cellStyle name="20% - Accent6 2 40 5" xfId="11740"/>
    <cellStyle name="20% - Accent6 2 41" xfId="11741"/>
    <cellStyle name="20% - Accent6 2 41 2" xfId="11742"/>
    <cellStyle name="20% - Accent6 2 41 2 2" xfId="11743"/>
    <cellStyle name="20% - Accent6 2 41 2 3" xfId="11744"/>
    <cellStyle name="20% - Accent6 2 41 3" xfId="11745"/>
    <cellStyle name="20% - Accent6 2 41 3 2" xfId="11746"/>
    <cellStyle name="20% - Accent6 2 41 4" xfId="11747"/>
    <cellStyle name="20% - Accent6 2 41 5" xfId="11748"/>
    <cellStyle name="20% - Accent6 2 42" xfId="11749"/>
    <cellStyle name="20% - Accent6 2 42 2" xfId="11750"/>
    <cellStyle name="20% - Accent6 2 42 2 2" xfId="11751"/>
    <cellStyle name="20% - Accent6 2 42 2 3" xfId="11752"/>
    <cellStyle name="20% - Accent6 2 42 3" xfId="11753"/>
    <cellStyle name="20% - Accent6 2 42 3 2" xfId="11754"/>
    <cellStyle name="20% - Accent6 2 42 4" xfId="11755"/>
    <cellStyle name="20% - Accent6 2 42 5" xfId="11756"/>
    <cellStyle name="20% - Accent6 2 43" xfId="11757"/>
    <cellStyle name="20% - Accent6 2 43 2" xfId="11758"/>
    <cellStyle name="20% - Accent6 2 43 2 2" xfId="11759"/>
    <cellStyle name="20% - Accent6 2 43 2 3" xfId="11760"/>
    <cellStyle name="20% - Accent6 2 43 3" xfId="11761"/>
    <cellStyle name="20% - Accent6 2 43 3 2" xfId="11762"/>
    <cellStyle name="20% - Accent6 2 43 4" xfId="11763"/>
    <cellStyle name="20% - Accent6 2 43 5" xfId="11764"/>
    <cellStyle name="20% - Accent6 2 44" xfId="11765"/>
    <cellStyle name="20% - Accent6 2 44 2" xfId="11766"/>
    <cellStyle name="20% - Accent6 2 44 2 2" xfId="11767"/>
    <cellStyle name="20% - Accent6 2 44 2 3" xfId="11768"/>
    <cellStyle name="20% - Accent6 2 44 3" xfId="11769"/>
    <cellStyle name="20% - Accent6 2 44 3 2" xfId="11770"/>
    <cellStyle name="20% - Accent6 2 44 4" xfId="11771"/>
    <cellStyle name="20% - Accent6 2 44 5" xfId="11772"/>
    <cellStyle name="20% - Accent6 2 45" xfId="11773"/>
    <cellStyle name="20% - Accent6 2 45 2" xfId="11774"/>
    <cellStyle name="20% - Accent6 2 45 2 2" xfId="11775"/>
    <cellStyle name="20% - Accent6 2 45 2 3" xfId="11776"/>
    <cellStyle name="20% - Accent6 2 45 3" xfId="11777"/>
    <cellStyle name="20% - Accent6 2 45 3 2" xfId="11778"/>
    <cellStyle name="20% - Accent6 2 45 4" xfId="11779"/>
    <cellStyle name="20% - Accent6 2 45 5" xfId="11780"/>
    <cellStyle name="20% - Accent6 2 46" xfId="11781"/>
    <cellStyle name="20% - Accent6 2 46 2" xfId="11782"/>
    <cellStyle name="20% - Accent6 2 46 2 2" xfId="11783"/>
    <cellStyle name="20% - Accent6 2 46 2 3" xfId="11784"/>
    <cellStyle name="20% - Accent6 2 46 3" xfId="11785"/>
    <cellStyle name="20% - Accent6 2 46 3 2" xfId="11786"/>
    <cellStyle name="20% - Accent6 2 46 4" xfId="11787"/>
    <cellStyle name="20% - Accent6 2 46 5" xfId="11788"/>
    <cellStyle name="20% - Accent6 2 47" xfId="11789"/>
    <cellStyle name="20% - Accent6 2 47 2" xfId="11790"/>
    <cellStyle name="20% - Accent6 2 47 2 2" xfId="11791"/>
    <cellStyle name="20% - Accent6 2 47 2 3" xfId="11792"/>
    <cellStyle name="20% - Accent6 2 47 3" xfId="11793"/>
    <cellStyle name="20% - Accent6 2 47 3 2" xfId="11794"/>
    <cellStyle name="20% - Accent6 2 47 4" xfId="11795"/>
    <cellStyle name="20% - Accent6 2 47 5" xfId="11796"/>
    <cellStyle name="20% - Accent6 2 48" xfId="11797"/>
    <cellStyle name="20% - Accent6 2 48 2" xfId="11798"/>
    <cellStyle name="20% - Accent6 2 48 2 2" xfId="11799"/>
    <cellStyle name="20% - Accent6 2 48 2 3" xfId="11800"/>
    <cellStyle name="20% - Accent6 2 48 3" xfId="11801"/>
    <cellStyle name="20% - Accent6 2 48 3 2" xfId="11802"/>
    <cellStyle name="20% - Accent6 2 48 4" xfId="11803"/>
    <cellStyle name="20% - Accent6 2 48 5" xfId="11804"/>
    <cellStyle name="20% - Accent6 2 49" xfId="11805"/>
    <cellStyle name="20% - Accent6 2 49 2" xfId="11806"/>
    <cellStyle name="20% - Accent6 2 49 2 2" xfId="11807"/>
    <cellStyle name="20% - Accent6 2 49 2 3" xfId="11808"/>
    <cellStyle name="20% - Accent6 2 49 3" xfId="11809"/>
    <cellStyle name="20% - Accent6 2 49 3 2" xfId="11810"/>
    <cellStyle name="20% - Accent6 2 49 4" xfId="11811"/>
    <cellStyle name="20% - Accent6 2 49 5" xfId="11812"/>
    <cellStyle name="20% - Accent6 2 5" xfId="11813"/>
    <cellStyle name="20% - Accent6 2 5 10" xfId="11814"/>
    <cellStyle name="20% - Accent6 2 5 10 2" xfId="11815"/>
    <cellStyle name="20% - Accent6 2 5 2" xfId="11816"/>
    <cellStyle name="20% - Accent6 2 5 2 2" xfId="11817"/>
    <cellStyle name="20% - Accent6 2 5 2 3" xfId="11818"/>
    <cellStyle name="20% - Accent6 2 5 3" xfId="11819"/>
    <cellStyle name="20% - Accent6 2 5 3 2" xfId="11820"/>
    <cellStyle name="20% - Accent6 2 5 3 3" xfId="11821"/>
    <cellStyle name="20% - Accent6 2 5 4" xfId="11822"/>
    <cellStyle name="20% - Accent6 2 5 4 2" xfId="11823"/>
    <cellStyle name="20% - Accent6 2 5 4 3" xfId="11824"/>
    <cellStyle name="20% - Accent6 2 5 5" xfId="11825"/>
    <cellStyle name="20% - Accent6 2 5 5 2" xfId="11826"/>
    <cellStyle name="20% - Accent6 2 5 5 3" xfId="11827"/>
    <cellStyle name="20% - Accent6 2 5 6" xfId="11828"/>
    <cellStyle name="20% - Accent6 2 5 6 2" xfId="11829"/>
    <cellStyle name="20% - Accent6 2 5 6 3" xfId="11830"/>
    <cellStyle name="20% - Accent6 2 5 7" xfId="11831"/>
    <cellStyle name="20% - Accent6 2 5 7 2" xfId="11832"/>
    <cellStyle name="20% - Accent6 2 5 7 3" xfId="11833"/>
    <cellStyle name="20% - Accent6 2 5 8" xfId="11834"/>
    <cellStyle name="20% - Accent6 2 5 9" xfId="11835"/>
    <cellStyle name="20% - Accent6 2 5_2009 Actual" xfId="11836"/>
    <cellStyle name="20% - Accent6 2 50" xfId="11837"/>
    <cellStyle name="20% - Accent6 2 50 2" xfId="11838"/>
    <cellStyle name="20% - Accent6 2 50 2 2" xfId="11839"/>
    <cellStyle name="20% - Accent6 2 50 2 3" xfId="11840"/>
    <cellStyle name="20% - Accent6 2 50 3" xfId="11841"/>
    <cellStyle name="20% - Accent6 2 50 3 2" xfId="11842"/>
    <cellStyle name="20% - Accent6 2 50 4" xfId="11843"/>
    <cellStyle name="20% - Accent6 2 50 5" xfId="11844"/>
    <cellStyle name="20% - Accent6 2 51" xfId="11845"/>
    <cellStyle name="20% - Accent6 2 51 2" xfId="11846"/>
    <cellStyle name="20% - Accent6 2 51 2 2" xfId="11847"/>
    <cellStyle name="20% - Accent6 2 51 2 3" xfId="11848"/>
    <cellStyle name="20% - Accent6 2 51 3" xfId="11849"/>
    <cellStyle name="20% - Accent6 2 51 3 2" xfId="11850"/>
    <cellStyle name="20% - Accent6 2 51 4" xfId="11851"/>
    <cellStyle name="20% - Accent6 2 51 5" xfId="11852"/>
    <cellStyle name="20% - Accent6 2 52" xfId="11853"/>
    <cellStyle name="20% - Accent6 2 52 2" xfId="11854"/>
    <cellStyle name="20% - Accent6 2 52 2 2" xfId="11855"/>
    <cellStyle name="20% - Accent6 2 52 2 3" xfId="11856"/>
    <cellStyle name="20% - Accent6 2 52 3" xfId="11857"/>
    <cellStyle name="20% - Accent6 2 52 3 2" xfId="11858"/>
    <cellStyle name="20% - Accent6 2 52 4" xfId="11859"/>
    <cellStyle name="20% - Accent6 2 52 5" xfId="11860"/>
    <cellStyle name="20% - Accent6 2 53" xfId="11861"/>
    <cellStyle name="20% - Accent6 2 53 2" xfId="11862"/>
    <cellStyle name="20% - Accent6 2 53 2 2" xfId="11863"/>
    <cellStyle name="20% - Accent6 2 53 2 3" xfId="11864"/>
    <cellStyle name="20% - Accent6 2 53 3" xfId="11865"/>
    <cellStyle name="20% - Accent6 2 53 3 2" xfId="11866"/>
    <cellStyle name="20% - Accent6 2 53 4" xfId="11867"/>
    <cellStyle name="20% - Accent6 2 53 5" xfId="11868"/>
    <cellStyle name="20% - Accent6 2 54" xfId="11869"/>
    <cellStyle name="20% - Accent6 2 54 2" xfId="11870"/>
    <cellStyle name="20% - Accent6 2 54 2 2" xfId="11871"/>
    <cellStyle name="20% - Accent6 2 54 2 3" xfId="11872"/>
    <cellStyle name="20% - Accent6 2 54 3" xfId="11873"/>
    <cellStyle name="20% - Accent6 2 54 3 2" xfId="11874"/>
    <cellStyle name="20% - Accent6 2 54 4" xfId="11875"/>
    <cellStyle name="20% - Accent6 2 54 5" xfId="11876"/>
    <cellStyle name="20% - Accent6 2 55" xfId="11877"/>
    <cellStyle name="20% - Accent6 2 55 2" xfId="11878"/>
    <cellStyle name="20% - Accent6 2 55 2 2" xfId="11879"/>
    <cellStyle name="20% - Accent6 2 55 2 3" xfId="11880"/>
    <cellStyle name="20% - Accent6 2 55 3" xfId="11881"/>
    <cellStyle name="20% - Accent6 2 55 3 2" xfId="11882"/>
    <cellStyle name="20% - Accent6 2 55 4" xfId="11883"/>
    <cellStyle name="20% - Accent6 2 55 5" xfId="11884"/>
    <cellStyle name="20% - Accent6 2 56" xfId="11885"/>
    <cellStyle name="20% - Accent6 2 56 2" xfId="11886"/>
    <cellStyle name="20% - Accent6 2 56 2 2" xfId="11887"/>
    <cellStyle name="20% - Accent6 2 56 2 3" xfId="11888"/>
    <cellStyle name="20% - Accent6 2 56 3" xfId="11889"/>
    <cellStyle name="20% - Accent6 2 56 3 2" xfId="11890"/>
    <cellStyle name="20% - Accent6 2 56 4" xfId="11891"/>
    <cellStyle name="20% - Accent6 2 56 5" xfId="11892"/>
    <cellStyle name="20% - Accent6 2 57" xfId="11893"/>
    <cellStyle name="20% - Accent6 2 57 2" xfId="11894"/>
    <cellStyle name="20% - Accent6 2 57 2 2" xfId="11895"/>
    <cellStyle name="20% - Accent6 2 57 2 3" xfId="11896"/>
    <cellStyle name="20% - Accent6 2 57 3" xfId="11897"/>
    <cellStyle name="20% - Accent6 2 57 3 2" xfId="11898"/>
    <cellStyle name="20% - Accent6 2 57 4" xfId="11899"/>
    <cellStyle name="20% - Accent6 2 57 5" xfId="11900"/>
    <cellStyle name="20% - Accent6 2 58" xfId="11901"/>
    <cellStyle name="20% - Accent6 2 58 2" xfId="11902"/>
    <cellStyle name="20% - Accent6 2 58 2 2" xfId="11903"/>
    <cellStyle name="20% - Accent6 2 58 2 3" xfId="11904"/>
    <cellStyle name="20% - Accent6 2 58 3" xfId="11905"/>
    <cellStyle name="20% - Accent6 2 58 3 2" xfId="11906"/>
    <cellStyle name="20% - Accent6 2 58 4" xfId="11907"/>
    <cellStyle name="20% - Accent6 2 58 5" xfId="11908"/>
    <cellStyle name="20% - Accent6 2 59" xfId="11909"/>
    <cellStyle name="20% - Accent6 2 59 2" xfId="11910"/>
    <cellStyle name="20% - Accent6 2 59 2 2" xfId="11911"/>
    <cellStyle name="20% - Accent6 2 59 2 3" xfId="11912"/>
    <cellStyle name="20% - Accent6 2 59 3" xfId="11913"/>
    <cellStyle name="20% - Accent6 2 59 3 2" xfId="11914"/>
    <cellStyle name="20% - Accent6 2 59 4" xfId="11915"/>
    <cellStyle name="20% - Accent6 2 59 5" xfId="11916"/>
    <cellStyle name="20% - Accent6 2 6" xfId="11917"/>
    <cellStyle name="20% - Accent6 2 6 10" xfId="11918"/>
    <cellStyle name="20% - Accent6 2 6 10 2" xfId="11919"/>
    <cellStyle name="20% - Accent6 2 6 2" xfId="11920"/>
    <cellStyle name="20% - Accent6 2 6 2 2" xfId="11921"/>
    <cellStyle name="20% - Accent6 2 6 2 3" xfId="11922"/>
    <cellStyle name="20% - Accent6 2 6 3" xfId="11923"/>
    <cellStyle name="20% - Accent6 2 6 3 2" xfId="11924"/>
    <cellStyle name="20% - Accent6 2 6 3 3" xfId="11925"/>
    <cellStyle name="20% - Accent6 2 6 4" xfId="11926"/>
    <cellStyle name="20% - Accent6 2 6 4 2" xfId="11927"/>
    <cellStyle name="20% - Accent6 2 6 4 3" xfId="11928"/>
    <cellStyle name="20% - Accent6 2 6 5" xfId="11929"/>
    <cellStyle name="20% - Accent6 2 6 5 2" xfId="11930"/>
    <cellStyle name="20% - Accent6 2 6 5 3" xfId="11931"/>
    <cellStyle name="20% - Accent6 2 6 6" xfId="11932"/>
    <cellStyle name="20% - Accent6 2 6 6 2" xfId="11933"/>
    <cellStyle name="20% - Accent6 2 6 6 3" xfId="11934"/>
    <cellStyle name="20% - Accent6 2 6 7" xfId="11935"/>
    <cellStyle name="20% - Accent6 2 6 7 2" xfId="11936"/>
    <cellStyle name="20% - Accent6 2 6 7 3" xfId="11937"/>
    <cellStyle name="20% - Accent6 2 6 8" xfId="11938"/>
    <cellStyle name="20% - Accent6 2 6 9" xfId="11939"/>
    <cellStyle name="20% - Accent6 2 6_2009 Actual" xfId="11940"/>
    <cellStyle name="20% - Accent6 2 60" xfId="11941"/>
    <cellStyle name="20% - Accent6 2 60 2" xfId="11942"/>
    <cellStyle name="20% - Accent6 2 60 2 2" xfId="11943"/>
    <cellStyle name="20% - Accent6 2 60 2 3" xfId="11944"/>
    <cellStyle name="20% - Accent6 2 60 3" xfId="11945"/>
    <cellStyle name="20% - Accent6 2 60 3 2" xfId="11946"/>
    <cellStyle name="20% - Accent6 2 60 4" xfId="11947"/>
    <cellStyle name="20% - Accent6 2 60 5" xfId="11948"/>
    <cellStyle name="20% - Accent6 2 61" xfId="11949"/>
    <cellStyle name="20% - Accent6 2 61 2" xfId="11950"/>
    <cellStyle name="20% - Accent6 2 61 2 2" xfId="11951"/>
    <cellStyle name="20% - Accent6 2 61 2 3" xfId="11952"/>
    <cellStyle name="20% - Accent6 2 61 3" xfId="11953"/>
    <cellStyle name="20% - Accent6 2 61 3 2" xfId="11954"/>
    <cellStyle name="20% - Accent6 2 61 4" xfId="11955"/>
    <cellStyle name="20% - Accent6 2 61 5" xfId="11956"/>
    <cellStyle name="20% - Accent6 2 62" xfId="11957"/>
    <cellStyle name="20% - Accent6 2 62 2" xfId="11958"/>
    <cellStyle name="20% - Accent6 2 62 2 2" xfId="11959"/>
    <cellStyle name="20% - Accent6 2 62 2 3" xfId="11960"/>
    <cellStyle name="20% - Accent6 2 62 3" xfId="11961"/>
    <cellStyle name="20% - Accent6 2 62 3 2" xfId="11962"/>
    <cellStyle name="20% - Accent6 2 62 4" xfId="11963"/>
    <cellStyle name="20% - Accent6 2 62 5" xfId="11964"/>
    <cellStyle name="20% - Accent6 2 63" xfId="11965"/>
    <cellStyle name="20% - Accent6 2 63 2" xfId="11966"/>
    <cellStyle name="20% - Accent6 2 63 2 2" xfId="11967"/>
    <cellStyle name="20% - Accent6 2 63 2 3" xfId="11968"/>
    <cellStyle name="20% - Accent6 2 63 3" xfId="11969"/>
    <cellStyle name="20% - Accent6 2 63 3 2" xfId="11970"/>
    <cellStyle name="20% - Accent6 2 63 4" xfId="11971"/>
    <cellStyle name="20% - Accent6 2 63 5" xfId="11972"/>
    <cellStyle name="20% - Accent6 2 64" xfId="11973"/>
    <cellStyle name="20% - Accent6 2 64 2" xfId="11974"/>
    <cellStyle name="20% - Accent6 2 64 2 2" xfId="11975"/>
    <cellStyle name="20% - Accent6 2 64 2 3" xfId="11976"/>
    <cellStyle name="20% - Accent6 2 64 3" xfId="11977"/>
    <cellStyle name="20% - Accent6 2 64 3 2" xfId="11978"/>
    <cellStyle name="20% - Accent6 2 64 4" xfId="11979"/>
    <cellStyle name="20% - Accent6 2 64 5" xfId="11980"/>
    <cellStyle name="20% - Accent6 2 65" xfId="11981"/>
    <cellStyle name="20% - Accent6 2 65 2" xfId="11982"/>
    <cellStyle name="20% - Accent6 2 65 2 2" xfId="11983"/>
    <cellStyle name="20% - Accent6 2 65 2 3" xfId="11984"/>
    <cellStyle name="20% - Accent6 2 65 3" xfId="11985"/>
    <cellStyle name="20% - Accent6 2 65 3 2" xfId="11986"/>
    <cellStyle name="20% - Accent6 2 65 4" xfId="11987"/>
    <cellStyle name="20% - Accent6 2 65 5" xfId="11988"/>
    <cellStyle name="20% - Accent6 2 66" xfId="11989"/>
    <cellStyle name="20% - Accent6 2 66 2" xfId="11990"/>
    <cellStyle name="20% - Accent6 2 66 2 2" xfId="11991"/>
    <cellStyle name="20% - Accent6 2 66 2 3" xfId="11992"/>
    <cellStyle name="20% - Accent6 2 66 3" xfId="11993"/>
    <cellStyle name="20% - Accent6 2 66 3 2" xfId="11994"/>
    <cellStyle name="20% - Accent6 2 66 4" xfId="11995"/>
    <cellStyle name="20% - Accent6 2 66 5" xfId="11996"/>
    <cellStyle name="20% - Accent6 2 67" xfId="11997"/>
    <cellStyle name="20% - Accent6 2 67 2" xfId="11998"/>
    <cellStyle name="20% - Accent6 2 67 2 2" xfId="11999"/>
    <cellStyle name="20% - Accent6 2 67 2 3" xfId="12000"/>
    <cellStyle name="20% - Accent6 2 67 3" xfId="12001"/>
    <cellStyle name="20% - Accent6 2 67 3 2" xfId="12002"/>
    <cellStyle name="20% - Accent6 2 67 4" xfId="12003"/>
    <cellStyle name="20% - Accent6 2 67 5" xfId="12004"/>
    <cellStyle name="20% - Accent6 2 68" xfId="12005"/>
    <cellStyle name="20% - Accent6 2 68 2" xfId="12006"/>
    <cellStyle name="20% - Accent6 2 68 2 2" xfId="12007"/>
    <cellStyle name="20% - Accent6 2 68 2 3" xfId="12008"/>
    <cellStyle name="20% - Accent6 2 68 3" xfId="12009"/>
    <cellStyle name="20% - Accent6 2 68 3 2" xfId="12010"/>
    <cellStyle name="20% - Accent6 2 68 4" xfId="12011"/>
    <cellStyle name="20% - Accent6 2 68 5" xfId="12012"/>
    <cellStyle name="20% - Accent6 2 69" xfId="12013"/>
    <cellStyle name="20% - Accent6 2 69 2" xfId="12014"/>
    <cellStyle name="20% - Accent6 2 69 2 2" xfId="12015"/>
    <cellStyle name="20% - Accent6 2 69 2 3" xfId="12016"/>
    <cellStyle name="20% - Accent6 2 69 3" xfId="12017"/>
    <cellStyle name="20% - Accent6 2 69 3 2" xfId="12018"/>
    <cellStyle name="20% - Accent6 2 69 4" xfId="12019"/>
    <cellStyle name="20% - Accent6 2 69 5" xfId="12020"/>
    <cellStyle name="20% - Accent6 2 7" xfId="12021"/>
    <cellStyle name="20% - Accent6 2 7 2" xfId="12022"/>
    <cellStyle name="20% - Accent6 2 7 3" xfId="12023"/>
    <cellStyle name="20% - Accent6 2 7 4" xfId="12024"/>
    <cellStyle name="20% - Accent6 2 7 5" xfId="12025"/>
    <cellStyle name="20% - Accent6 2 7 5 2" xfId="12026"/>
    <cellStyle name="20% - Accent6 2 7_BHP" xfId="12027"/>
    <cellStyle name="20% - Accent6 2 70" xfId="12028"/>
    <cellStyle name="20% - Accent6 2 70 2" xfId="12029"/>
    <cellStyle name="20% - Accent6 2 70 2 2" xfId="12030"/>
    <cellStyle name="20% - Accent6 2 70 2 3" xfId="12031"/>
    <cellStyle name="20% - Accent6 2 70 3" xfId="12032"/>
    <cellStyle name="20% - Accent6 2 70 3 2" xfId="12033"/>
    <cellStyle name="20% - Accent6 2 70 4" xfId="12034"/>
    <cellStyle name="20% - Accent6 2 70 5" xfId="12035"/>
    <cellStyle name="20% - Accent6 2 71" xfId="12036"/>
    <cellStyle name="20% - Accent6 2 71 2" xfId="12037"/>
    <cellStyle name="20% - Accent6 2 71 2 2" xfId="12038"/>
    <cellStyle name="20% - Accent6 2 71 2 3" xfId="12039"/>
    <cellStyle name="20% - Accent6 2 71 3" xfId="12040"/>
    <cellStyle name="20% - Accent6 2 71 3 2" xfId="12041"/>
    <cellStyle name="20% - Accent6 2 71 4" xfId="12042"/>
    <cellStyle name="20% - Accent6 2 71 5" xfId="12043"/>
    <cellStyle name="20% - Accent6 2 72" xfId="12044"/>
    <cellStyle name="20% - Accent6 2 72 2" xfId="12045"/>
    <cellStyle name="20% - Accent6 2 72 2 2" xfId="12046"/>
    <cellStyle name="20% - Accent6 2 72 2 3" xfId="12047"/>
    <cellStyle name="20% - Accent6 2 72 3" xfId="12048"/>
    <cellStyle name="20% - Accent6 2 72 3 2" xfId="12049"/>
    <cellStyle name="20% - Accent6 2 72 4" xfId="12050"/>
    <cellStyle name="20% - Accent6 2 72 5" xfId="12051"/>
    <cellStyle name="20% - Accent6 2 73" xfId="12052"/>
    <cellStyle name="20% - Accent6 2 73 2" xfId="12053"/>
    <cellStyle name="20% - Accent6 2 73 2 2" xfId="12054"/>
    <cellStyle name="20% - Accent6 2 73 2 3" xfId="12055"/>
    <cellStyle name="20% - Accent6 2 73 3" xfId="12056"/>
    <cellStyle name="20% - Accent6 2 73 3 2" xfId="12057"/>
    <cellStyle name="20% - Accent6 2 73 4" xfId="12058"/>
    <cellStyle name="20% - Accent6 2 73 5" xfId="12059"/>
    <cellStyle name="20% - Accent6 2 74" xfId="12060"/>
    <cellStyle name="20% - Accent6 2 74 2" xfId="12061"/>
    <cellStyle name="20% - Accent6 2 74 2 2" xfId="12062"/>
    <cellStyle name="20% - Accent6 2 74 2 3" xfId="12063"/>
    <cellStyle name="20% - Accent6 2 74 3" xfId="12064"/>
    <cellStyle name="20% - Accent6 2 74 3 2" xfId="12065"/>
    <cellStyle name="20% - Accent6 2 74 4" xfId="12066"/>
    <cellStyle name="20% - Accent6 2 74 5" xfId="12067"/>
    <cellStyle name="20% - Accent6 2 75" xfId="12068"/>
    <cellStyle name="20% - Accent6 2 75 2" xfId="12069"/>
    <cellStyle name="20% - Accent6 2 75 2 2" xfId="12070"/>
    <cellStyle name="20% - Accent6 2 75 2 3" xfId="12071"/>
    <cellStyle name="20% - Accent6 2 75 3" xfId="12072"/>
    <cellStyle name="20% - Accent6 2 75 3 2" xfId="12073"/>
    <cellStyle name="20% - Accent6 2 75 4" xfId="12074"/>
    <cellStyle name="20% - Accent6 2 75 5" xfId="12075"/>
    <cellStyle name="20% - Accent6 2 76" xfId="12076"/>
    <cellStyle name="20% - Accent6 2 76 2" xfId="12077"/>
    <cellStyle name="20% - Accent6 2 76 2 2" xfId="12078"/>
    <cellStyle name="20% - Accent6 2 76 2 3" xfId="12079"/>
    <cellStyle name="20% - Accent6 2 76 3" xfId="12080"/>
    <cellStyle name="20% - Accent6 2 76 3 2" xfId="12081"/>
    <cellStyle name="20% - Accent6 2 76 4" xfId="12082"/>
    <cellStyle name="20% - Accent6 2 76 5" xfId="12083"/>
    <cellStyle name="20% - Accent6 2 77" xfId="12084"/>
    <cellStyle name="20% - Accent6 2 77 2" xfId="12085"/>
    <cellStyle name="20% - Accent6 2 77 2 2" xfId="12086"/>
    <cellStyle name="20% - Accent6 2 77 2 3" xfId="12087"/>
    <cellStyle name="20% - Accent6 2 77 3" xfId="12088"/>
    <cellStyle name="20% - Accent6 2 77 3 2" xfId="12089"/>
    <cellStyle name="20% - Accent6 2 77 4" xfId="12090"/>
    <cellStyle name="20% - Accent6 2 77 5" xfId="12091"/>
    <cellStyle name="20% - Accent6 2 78" xfId="12092"/>
    <cellStyle name="20% - Accent6 2 78 2" xfId="12093"/>
    <cellStyle name="20% - Accent6 2 78 2 2" xfId="12094"/>
    <cellStyle name="20% - Accent6 2 78 2 3" xfId="12095"/>
    <cellStyle name="20% - Accent6 2 78 3" xfId="12096"/>
    <cellStyle name="20% - Accent6 2 78 3 2" xfId="12097"/>
    <cellStyle name="20% - Accent6 2 78 4" xfId="12098"/>
    <cellStyle name="20% - Accent6 2 78 5" xfId="12099"/>
    <cellStyle name="20% - Accent6 2 79" xfId="12100"/>
    <cellStyle name="20% - Accent6 2 79 2" xfId="12101"/>
    <cellStyle name="20% - Accent6 2 79 2 2" xfId="12102"/>
    <cellStyle name="20% - Accent6 2 79 2 3" xfId="12103"/>
    <cellStyle name="20% - Accent6 2 79 3" xfId="12104"/>
    <cellStyle name="20% - Accent6 2 79 3 2" xfId="12105"/>
    <cellStyle name="20% - Accent6 2 79 4" xfId="12106"/>
    <cellStyle name="20% - Accent6 2 79 5" xfId="12107"/>
    <cellStyle name="20% - Accent6 2 8" xfId="12108"/>
    <cellStyle name="20% - Accent6 2 8 2" xfId="12109"/>
    <cellStyle name="20% - Accent6 2 8 3" xfId="12110"/>
    <cellStyle name="20% - Accent6 2 8 4" xfId="12111"/>
    <cellStyle name="20% - Accent6 2 8 5" xfId="12112"/>
    <cellStyle name="20% - Accent6 2 8 5 2" xfId="12113"/>
    <cellStyle name="20% - Accent6 2 8_BHP" xfId="12114"/>
    <cellStyle name="20% - Accent6 2 80" xfId="12115"/>
    <cellStyle name="20% - Accent6 2 80 2" xfId="12116"/>
    <cellStyle name="20% - Accent6 2 80 2 2" xfId="12117"/>
    <cellStyle name="20% - Accent6 2 80 2 3" xfId="12118"/>
    <cellStyle name="20% - Accent6 2 80 3" xfId="12119"/>
    <cellStyle name="20% - Accent6 2 80 3 2" xfId="12120"/>
    <cellStyle name="20% - Accent6 2 80 4" xfId="12121"/>
    <cellStyle name="20% - Accent6 2 80 5" xfId="12122"/>
    <cellStyle name="20% - Accent6 2 81" xfId="12123"/>
    <cellStyle name="20% - Accent6 2 81 2" xfId="12124"/>
    <cellStyle name="20% - Accent6 2 81 2 2" xfId="12125"/>
    <cellStyle name="20% - Accent6 2 81 2 3" xfId="12126"/>
    <cellStyle name="20% - Accent6 2 81 3" xfId="12127"/>
    <cellStyle name="20% - Accent6 2 81 3 2" xfId="12128"/>
    <cellStyle name="20% - Accent6 2 81 4" xfId="12129"/>
    <cellStyle name="20% - Accent6 2 81 5" xfId="12130"/>
    <cellStyle name="20% - Accent6 2 82" xfId="12131"/>
    <cellStyle name="20% - Accent6 2 82 2" xfId="12132"/>
    <cellStyle name="20% - Accent6 2 82 2 2" xfId="12133"/>
    <cellStyle name="20% - Accent6 2 82 2 3" xfId="12134"/>
    <cellStyle name="20% - Accent6 2 82 3" xfId="12135"/>
    <cellStyle name="20% - Accent6 2 82 3 2" xfId="12136"/>
    <cellStyle name="20% - Accent6 2 82 4" xfId="12137"/>
    <cellStyle name="20% - Accent6 2 82 5" xfId="12138"/>
    <cellStyle name="20% - Accent6 2 83" xfId="12139"/>
    <cellStyle name="20% - Accent6 2 83 2" xfId="12140"/>
    <cellStyle name="20% - Accent6 2 83 2 2" xfId="12141"/>
    <cellStyle name="20% - Accent6 2 83 2 3" xfId="12142"/>
    <cellStyle name="20% - Accent6 2 83 3" xfId="12143"/>
    <cellStyle name="20% - Accent6 2 83 3 2" xfId="12144"/>
    <cellStyle name="20% - Accent6 2 83 4" xfId="12145"/>
    <cellStyle name="20% - Accent6 2 83 5" xfId="12146"/>
    <cellStyle name="20% - Accent6 2 84" xfId="12147"/>
    <cellStyle name="20% - Accent6 2 84 2" xfId="12148"/>
    <cellStyle name="20% - Accent6 2 84 2 2" xfId="12149"/>
    <cellStyle name="20% - Accent6 2 84 2 3" xfId="12150"/>
    <cellStyle name="20% - Accent6 2 84 3" xfId="12151"/>
    <cellStyle name="20% - Accent6 2 84 3 2" xfId="12152"/>
    <cellStyle name="20% - Accent6 2 84 4" xfId="12153"/>
    <cellStyle name="20% - Accent6 2 84 5" xfId="12154"/>
    <cellStyle name="20% - Accent6 2 85" xfId="12155"/>
    <cellStyle name="20% - Accent6 2 85 2" xfId="12156"/>
    <cellStyle name="20% - Accent6 2 85 2 2" xfId="12157"/>
    <cellStyle name="20% - Accent6 2 85 2 3" xfId="12158"/>
    <cellStyle name="20% - Accent6 2 85 3" xfId="12159"/>
    <cellStyle name="20% - Accent6 2 85 3 2" xfId="12160"/>
    <cellStyle name="20% - Accent6 2 85 4" xfId="12161"/>
    <cellStyle name="20% - Accent6 2 85 5" xfId="12162"/>
    <cellStyle name="20% - Accent6 2 86" xfId="12163"/>
    <cellStyle name="20% - Accent6 2 86 2" xfId="12164"/>
    <cellStyle name="20% - Accent6 2 86 2 2" xfId="12165"/>
    <cellStyle name="20% - Accent6 2 86 2 3" xfId="12166"/>
    <cellStyle name="20% - Accent6 2 86 3" xfId="12167"/>
    <cellStyle name="20% - Accent6 2 86 3 2" xfId="12168"/>
    <cellStyle name="20% - Accent6 2 86 4" xfId="12169"/>
    <cellStyle name="20% - Accent6 2 86 5" xfId="12170"/>
    <cellStyle name="20% - Accent6 2 87" xfId="12171"/>
    <cellStyle name="20% - Accent6 2 87 2" xfId="12172"/>
    <cellStyle name="20% - Accent6 2 87 2 2" xfId="12173"/>
    <cellStyle name="20% - Accent6 2 87 2 3" xfId="12174"/>
    <cellStyle name="20% - Accent6 2 87 3" xfId="12175"/>
    <cellStyle name="20% - Accent6 2 87 3 2" xfId="12176"/>
    <cellStyle name="20% - Accent6 2 87 4" xfId="12177"/>
    <cellStyle name="20% - Accent6 2 87 5" xfId="12178"/>
    <cellStyle name="20% - Accent6 2 88" xfId="12179"/>
    <cellStyle name="20% - Accent6 2 88 2" xfId="12180"/>
    <cellStyle name="20% - Accent6 2 88 2 2" xfId="12181"/>
    <cellStyle name="20% - Accent6 2 88 2 3" xfId="12182"/>
    <cellStyle name="20% - Accent6 2 88 3" xfId="12183"/>
    <cellStyle name="20% - Accent6 2 88 3 2" xfId="12184"/>
    <cellStyle name="20% - Accent6 2 88 4" xfId="12185"/>
    <cellStyle name="20% - Accent6 2 88 5" xfId="12186"/>
    <cellStyle name="20% - Accent6 2 89" xfId="12187"/>
    <cellStyle name="20% - Accent6 2 89 2" xfId="12188"/>
    <cellStyle name="20% - Accent6 2 89 2 2" xfId="12189"/>
    <cellStyle name="20% - Accent6 2 89 2 3" xfId="12190"/>
    <cellStyle name="20% - Accent6 2 89 3" xfId="12191"/>
    <cellStyle name="20% - Accent6 2 89 3 2" xfId="12192"/>
    <cellStyle name="20% - Accent6 2 89 4" xfId="12193"/>
    <cellStyle name="20% - Accent6 2 89 5" xfId="12194"/>
    <cellStyle name="20% - Accent6 2 9" xfId="12195"/>
    <cellStyle name="20% - Accent6 2 9 2" xfId="12196"/>
    <cellStyle name="20% - Accent6 2 9 3" xfId="12197"/>
    <cellStyle name="20% - Accent6 2 9 4" xfId="12198"/>
    <cellStyle name="20% - Accent6 2 9 5" xfId="12199"/>
    <cellStyle name="20% - Accent6 2 9 5 2" xfId="12200"/>
    <cellStyle name="20% - Accent6 2 9_BHP" xfId="12201"/>
    <cellStyle name="20% - Accent6 2 90" xfId="12202"/>
    <cellStyle name="20% - Accent6 2 90 2" xfId="12203"/>
    <cellStyle name="20% - Accent6 2 90 2 2" xfId="12204"/>
    <cellStyle name="20% - Accent6 2 90 2 3" xfId="12205"/>
    <cellStyle name="20% - Accent6 2 90 3" xfId="12206"/>
    <cellStyle name="20% - Accent6 2 90 3 2" xfId="12207"/>
    <cellStyle name="20% - Accent6 2 90 4" xfId="12208"/>
    <cellStyle name="20% - Accent6 2 90 5" xfId="12209"/>
    <cellStyle name="20% - Accent6 2 91" xfId="12210"/>
    <cellStyle name="20% - Accent6 2 91 2" xfId="12211"/>
    <cellStyle name="20% - Accent6 2 91 2 2" xfId="12212"/>
    <cellStyle name="20% - Accent6 2 91 2 3" xfId="12213"/>
    <cellStyle name="20% - Accent6 2 91 3" xfId="12214"/>
    <cellStyle name="20% - Accent6 2 91 3 2" xfId="12215"/>
    <cellStyle name="20% - Accent6 2 91 4" xfId="12216"/>
    <cellStyle name="20% - Accent6 2 91 5" xfId="12217"/>
    <cellStyle name="20% - Accent6 2 92" xfId="12218"/>
    <cellStyle name="20% - Accent6 2 92 2" xfId="12219"/>
    <cellStyle name="20% - Accent6 2 92 2 2" xfId="12220"/>
    <cellStyle name="20% - Accent6 2 92 3" xfId="12221"/>
    <cellStyle name="20% - Accent6 2 92 4" xfId="12222"/>
    <cellStyle name="20% - Accent6 2 93" xfId="12223"/>
    <cellStyle name="20% - Accent6 2 93 2" xfId="12224"/>
    <cellStyle name="20% - Accent6 2 93 2 2" xfId="12225"/>
    <cellStyle name="20% - Accent6 2 93 3" xfId="12226"/>
    <cellStyle name="20% - Accent6 2 93 4" xfId="12227"/>
    <cellStyle name="20% - Accent6 2 94" xfId="12228"/>
    <cellStyle name="20% - Accent6 2 94 2" xfId="12229"/>
    <cellStyle name="20% - Accent6 2 94 2 2" xfId="12230"/>
    <cellStyle name="20% - Accent6 2 94 3" xfId="12231"/>
    <cellStyle name="20% - Accent6 2 94 4" xfId="12232"/>
    <cellStyle name="20% - Accent6 2 95" xfId="12233"/>
    <cellStyle name="20% - Accent6 2 95 2" xfId="12234"/>
    <cellStyle name="20% - Accent6 2 95 2 2" xfId="12235"/>
    <cellStyle name="20% - Accent6 2 95 3" xfId="12236"/>
    <cellStyle name="20% - Accent6 2 95 4" xfId="12237"/>
    <cellStyle name="20% - Accent6 2 96" xfId="12238"/>
    <cellStyle name="20% - Accent6 2 96 2" xfId="12239"/>
    <cellStyle name="20% - Accent6 2 96 2 2" xfId="12240"/>
    <cellStyle name="20% - Accent6 2 96 3" xfId="12241"/>
    <cellStyle name="20% - Accent6 2 96 4" xfId="12242"/>
    <cellStyle name="20% - Accent6 2 97" xfId="12243"/>
    <cellStyle name="20% - Accent6 2 97 2" xfId="12244"/>
    <cellStyle name="20% - Accent6 2 97 2 2" xfId="12245"/>
    <cellStyle name="20% - Accent6 2 97 3" xfId="12246"/>
    <cellStyle name="20% - Accent6 2 97 4" xfId="12247"/>
    <cellStyle name="20% - Accent6 2 98" xfId="12248"/>
    <cellStyle name="20% - Accent6 2 98 2" xfId="12249"/>
    <cellStyle name="20% - Accent6 2 98 2 2" xfId="12250"/>
    <cellStyle name="20% - Accent6 2 98 3" xfId="12251"/>
    <cellStyle name="20% - Accent6 2 98 4" xfId="12252"/>
    <cellStyle name="20% - Accent6 2 99" xfId="12253"/>
    <cellStyle name="20% - Accent6 2 99 2" xfId="12254"/>
    <cellStyle name="20% - Accent6 2 99 2 2" xfId="12255"/>
    <cellStyle name="20% - Accent6 2 99 3" xfId="12256"/>
    <cellStyle name="20% - Accent6 2 99 4" xfId="12257"/>
    <cellStyle name="20% - Accent6 2_1-10 BHU IS" xfId="12258"/>
    <cellStyle name="20% - Accent6 20" xfId="12259"/>
    <cellStyle name="20% - Accent6 20 2" xfId="12260"/>
    <cellStyle name="20% - Accent6 20 3" xfId="12261"/>
    <cellStyle name="20% - Accent6 21" xfId="12262"/>
    <cellStyle name="20% - Accent6 21 2" xfId="12263"/>
    <cellStyle name="20% - Accent6 21 3" xfId="12264"/>
    <cellStyle name="20% - Accent6 22" xfId="12265"/>
    <cellStyle name="20% - Accent6 22 2" xfId="12266"/>
    <cellStyle name="20% - Accent6 22 3" xfId="12267"/>
    <cellStyle name="20% - Accent6 23" xfId="12268"/>
    <cellStyle name="20% - Accent6 24" xfId="12269"/>
    <cellStyle name="20% - Accent6 25" xfId="12270"/>
    <cellStyle name="20% - Accent6 26" xfId="12271"/>
    <cellStyle name="20% - Accent6 27" xfId="12272"/>
    <cellStyle name="20% - Accent6 28" xfId="12273"/>
    <cellStyle name="20% - Accent6 28 2" xfId="12274"/>
    <cellStyle name="20% - Accent6 28 2 2" xfId="12275"/>
    <cellStyle name="20% - Accent6 28 2 2 2" xfId="12276"/>
    <cellStyle name="20% - Accent6 28 2 2 3" xfId="12277"/>
    <cellStyle name="20% - Accent6 28 2 3" xfId="12278"/>
    <cellStyle name="20% - Accent6 28 2 3 2" xfId="12279"/>
    <cellStyle name="20% - Accent6 28 2 4" xfId="12280"/>
    <cellStyle name="20% - Accent6 28 2 5" xfId="12281"/>
    <cellStyle name="20% - Accent6 28 3" xfId="12282"/>
    <cellStyle name="20% - Accent6 28 3 2" xfId="12283"/>
    <cellStyle name="20% - Accent6 28 3 2 2" xfId="12284"/>
    <cellStyle name="20% - Accent6 28 3 3" xfId="12285"/>
    <cellStyle name="20% - Accent6 28 3 4" xfId="12286"/>
    <cellStyle name="20% - Accent6 28 4" xfId="12287"/>
    <cellStyle name="20% - Accent6 28 4 2" xfId="12288"/>
    <cellStyle name="20% - Accent6 28 4 2 2" xfId="12289"/>
    <cellStyle name="20% - Accent6 28 4 3" xfId="12290"/>
    <cellStyle name="20% - Accent6 28 4 4" xfId="12291"/>
    <cellStyle name="20% - Accent6 28 5" xfId="12292"/>
    <cellStyle name="20% - Accent6 28 5 2" xfId="12293"/>
    <cellStyle name="20% - Accent6 28 6" xfId="12294"/>
    <cellStyle name="20% - Accent6 28 7" xfId="12295"/>
    <cellStyle name="20% - Accent6 28 8" xfId="12296"/>
    <cellStyle name="20% - Accent6 29" xfId="12297"/>
    <cellStyle name="20% - Accent6 29 2" xfId="12298"/>
    <cellStyle name="20% - Accent6 29 2 2" xfId="12299"/>
    <cellStyle name="20% - Accent6 29 2 2 2" xfId="12300"/>
    <cellStyle name="20% - Accent6 29 2 2 3" xfId="12301"/>
    <cellStyle name="20% - Accent6 29 2 3" xfId="12302"/>
    <cellStyle name="20% - Accent6 29 2 3 2" xfId="12303"/>
    <cellStyle name="20% - Accent6 29 2 4" xfId="12304"/>
    <cellStyle name="20% - Accent6 29 2 5" xfId="12305"/>
    <cellStyle name="20% - Accent6 29 3" xfId="12306"/>
    <cellStyle name="20% - Accent6 29 3 2" xfId="12307"/>
    <cellStyle name="20% - Accent6 29 3 2 2" xfId="12308"/>
    <cellStyle name="20% - Accent6 29 3 3" xfId="12309"/>
    <cellStyle name="20% - Accent6 29 3 4" xfId="12310"/>
    <cellStyle name="20% - Accent6 29 4" xfId="12311"/>
    <cellStyle name="20% - Accent6 29 4 2" xfId="12312"/>
    <cellStyle name="20% - Accent6 29 4 2 2" xfId="12313"/>
    <cellStyle name="20% - Accent6 29 4 3" xfId="12314"/>
    <cellStyle name="20% - Accent6 29 4 4" xfId="12315"/>
    <cellStyle name="20% - Accent6 29 5" xfId="12316"/>
    <cellStyle name="20% - Accent6 29 5 2" xfId="12317"/>
    <cellStyle name="20% - Accent6 29 6" xfId="12318"/>
    <cellStyle name="20% - Accent6 29 7" xfId="12319"/>
    <cellStyle name="20% - Accent6 29 8" xfId="12320"/>
    <cellStyle name="20% - Accent6 3" xfId="12321"/>
    <cellStyle name="20% - Accent6 3 10" xfId="12322"/>
    <cellStyle name="20% - Accent6 3 11" xfId="12323"/>
    <cellStyle name="20% - Accent6 3 12" xfId="12324"/>
    <cellStyle name="20% - Accent6 3 12 2" xfId="12325"/>
    <cellStyle name="20% - Accent6 3 12 2 2" xfId="12326"/>
    <cellStyle name="20% - Accent6 3 12 2 2 2" xfId="12327"/>
    <cellStyle name="20% - Accent6 3 12 2 2 3" xfId="12328"/>
    <cellStyle name="20% - Accent6 3 12 2 3" xfId="12329"/>
    <cellStyle name="20% - Accent6 3 12 2 3 2" xfId="12330"/>
    <cellStyle name="20% - Accent6 3 12 2 4" xfId="12331"/>
    <cellStyle name="20% - Accent6 3 12 2 5" xfId="12332"/>
    <cellStyle name="20% - Accent6 3 12 3" xfId="12333"/>
    <cellStyle name="20% - Accent6 3 12 3 2" xfId="12334"/>
    <cellStyle name="20% - Accent6 3 12 3 2 2" xfId="12335"/>
    <cellStyle name="20% - Accent6 3 12 3 3" xfId="12336"/>
    <cellStyle name="20% - Accent6 3 12 3 4" xfId="12337"/>
    <cellStyle name="20% - Accent6 3 12 4" xfId="12338"/>
    <cellStyle name="20% - Accent6 3 12 4 2" xfId="12339"/>
    <cellStyle name="20% - Accent6 3 12 4 2 2" xfId="12340"/>
    <cellStyle name="20% - Accent6 3 12 4 3" xfId="12341"/>
    <cellStyle name="20% - Accent6 3 12 4 4" xfId="12342"/>
    <cellStyle name="20% - Accent6 3 12 5" xfId="12343"/>
    <cellStyle name="20% - Accent6 3 12 5 2" xfId="12344"/>
    <cellStyle name="20% - Accent6 3 12 6" xfId="12345"/>
    <cellStyle name="20% - Accent6 3 12 7" xfId="12346"/>
    <cellStyle name="20% - Accent6 3 12 8" xfId="12347"/>
    <cellStyle name="20% - Accent6 3 13" xfId="12348"/>
    <cellStyle name="20% - Accent6 3 13 2" xfId="12349"/>
    <cellStyle name="20% - Accent6 3 13 2 2" xfId="12350"/>
    <cellStyle name="20% - Accent6 3 13 2 2 2" xfId="12351"/>
    <cellStyle name="20% - Accent6 3 13 2 2 3" xfId="12352"/>
    <cellStyle name="20% - Accent6 3 13 2 3" xfId="12353"/>
    <cellStyle name="20% - Accent6 3 13 2 3 2" xfId="12354"/>
    <cellStyle name="20% - Accent6 3 13 2 4" xfId="12355"/>
    <cellStyle name="20% - Accent6 3 13 2 5" xfId="12356"/>
    <cellStyle name="20% - Accent6 3 13 3" xfId="12357"/>
    <cellStyle name="20% - Accent6 3 13 3 2" xfId="12358"/>
    <cellStyle name="20% - Accent6 3 13 3 2 2" xfId="12359"/>
    <cellStyle name="20% - Accent6 3 13 3 3" xfId="12360"/>
    <cellStyle name="20% - Accent6 3 13 3 4" xfId="12361"/>
    <cellStyle name="20% - Accent6 3 13 4" xfId="12362"/>
    <cellStyle name="20% - Accent6 3 13 4 2" xfId="12363"/>
    <cellStyle name="20% - Accent6 3 13 4 2 2" xfId="12364"/>
    <cellStyle name="20% - Accent6 3 13 4 3" xfId="12365"/>
    <cellStyle name="20% - Accent6 3 13 4 4" xfId="12366"/>
    <cellStyle name="20% - Accent6 3 13 5" xfId="12367"/>
    <cellStyle name="20% - Accent6 3 13 5 2" xfId="12368"/>
    <cellStyle name="20% - Accent6 3 13 6" xfId="12369"/>
    <cellStyle name="20% - Accent6 3 13 7" xfId="12370"/>
    <cellStyle name="20% - Accent6 3 13 8" xfId="12371"/>
    <cellStyle name="20% - Accent6 3 14" xfId="12372"/>
    <cellStyle name="20% - Accent6 3 14 2" xfId="12373"/>
    <cellStyle name="20% - Accent6 3 14 2 2" xfId="12374"/>
    <cellStyle name="20% - Accent6 3 14 2 2 2" xfId="12375"/>
    <cellStyle name="20% - Accent6 3 14 2 2 3" xfId="12376"/>
    <cellStyle name="20% - Accent6 3 14 2 3" xfId="12377"/>
    <cellStyle name="20% - Accent6 3 14 2 3 2" xfId="12378"/>
    <cellStyle name="20% - Accent6 3 14 2 4" xfId="12379"/>
    <cellStyle name="20% - Accent6 3 14 2 5" xfId="12380"/>
    <cellStyle name="20% - Accent6 3 14 3" xfId="12381"/>
    <cellStyle name="20% - Accent6 3 14 3 2" xfId="12382"/>
    <cellStyle name="20% - Accent6 3 14 3 2 2" xfId="12383"/>
    <cellStyle name="20% - Accent6 3 14 3 3" xfId="12384"/>
    <cellStyle name="20% - Accent6 3 14 3 4" xfId="12385"/>
    <cellStyle name="20% - Accent6 3 14 4" xfId="12386"/>
    <cellStyle name="20% - Accent6 3 14 4 2" xfId="12387"/>
    <cellStyle name="20% - Accent6 3 14 4 2 2" xfId="12388"/>
    <cellStyle name="20% - Accent6 3 14 4 3" xfId="12389"/>
    <cellStyle name="20% - Accent6 3 14 4 4" xfId="12390"/>
    <cellStyle name="20% - Accent6 3 14 5" xfId="12391"/>
    <cellStyle name="20% - Accent6 3 14 5 2" xfId="12392"/>
    <cellStyle name="20% - Accent6 3 14 6" xfId="12393"/>
    <cellStyle name="20% - Accent6 3 14 7" xfId="12394"/>
    <cellStyle name="20% - Accent6 3 14 8" xfId="12395"/>
    <cellStyle name="20% - Accent6 3 2" xfId="12396"/>
    <cellStyle name="20% - Accent6 3 2 10" xfId="12397"/>
    <cellStyle name="20% - Accent6 3 2 2" xfId="12398"/>
    <cellStyle name="20% - Accent6 3 2 2 2" xfId="12399"/>
    <cellStyle name="20% - Accent6 3 2 2 3" xfId="12400"/>
    <cellStyle name="20% - Accent6 3 2 2 4" xfId="12401"/>
    <cellStyle name="20% - Accent6 3 2 3" xfId="12402"/>
    <cellStyle name="20% - Accent6 3 2 3 2" xfId="12403"/>
    <cellStyle name="20% - Accent6 3 2 3 3" xfId="12404"/>
    <cellStyle name="20% - Accent6 3 2 4" xfId="12405"/>
    <cellStyle name="20% - Accent6 3 2 4 2" xfId="12406"/>
    <cellStyle name="20% - Accent6 3 2 4 3" xfId="12407"/>
    <cellStyle name="20% - Accent6 3 2 5" xfId="12408"/>
    <cellStyle name="20% - Accent6 3 2 5 2" xfId="12409"/>
    <cellStyle name="20% - Accent6 3 2 5 3" xfId="12410"/>
    <cellStyle name="20% - Accent6 3 2 6" xfId="12411"/>
    <cellStyle name="20% - Accent6 3 2 6 2" xfId="12412"/>
    <cellStyle name="20% - Accent6 3 2 6 3" xfId="12413"/>
    <cellStyle name="20% - Accent6 3 2 7" xfId="12414"/>
    <cellStyle name="20% - Accent6 3 2 7 2" xfId="12415"/>
    <cellStyle name="20% - Accent6 3 2 7 3" xfId="12416"/>
    <cellStyle name="20% - Accent6 3 2 8" xfId="12417"/>
    <cellStyle name="20% - Accent6 3 2 9" xfId="12418"/>
    <cellStyle name="20% - Accent6 3 2_2009 Actual" xfId="12419"/>
    <cellStyle name="20% - Accent6 3 3" xfId="12420"/>
    <cellStyle name="20% - Accent6 3 3 2" xfId="12421"/>
    <cellStyle name="20% - Accent6 3 3 3" xfId="12422"/>
    <cellStyle name="20% - Accent6 3 3 4" xfId="12423"/>
    <cellStyle name="20% - Accent6 3 4" xfId="12424"/>
    <cellStyle name="20% - Accent6 3 4 2" xfId="12425"/>
    <cellStyle name="20% - Accent6 3 4 3" xfId="12426"/>
    <cellStyle name="20% - Accent6 3 5" xfId="12427"/>
    <cellStyle name="20% - Accent6 3 5 2" xfId="12428"/>
    <cellStyle name="20% - Accent6 3 5 3" xfId="12429"/>
    <cellStyle name="20% - Accent6 3 6" xfId="12430"/>
    <cellStyle name="20% - Accent6 3 6 2" xfId="12431"/>
    <cellStyle name="20% - Accent6 3 6 3" xfId="12432"/>
    <cellStyle name="20% - Accent6 3 7" xfId="12433"/>
    <cellStyle name="20% - Accent6 3 7 2" xfId="12434"/>
    <cellStyle name="20% - Accent6 3 7 3" xfId="12435"/>
    <cellStyle name="20% - Accent6 3 8" xfId="12436"/>
    <cellStyle name="20% - Accent6 3 8 2" xfId="12437"/>
    <cellStyle name="20% - Accent6 3 8 3" xfId="12438"/>
    <cellStyle name="20% - Accent6 3 9" xfId="12439"/>
    <cellStyle name="20% - Accent6 3_2009 Actual" xfId="12440"/>
    <cellStyle name="20% - Accent6 30" xfId="12441"/>
    <cellStyle name="20% - Accent6 30 2" xfId="12442"/>
    <cellStyle name="20% - Accent6 30 2 2" xfId="12443"/>
    <cellStyle name="20% - Accent6 30 2 2 2" xfId="12444"/>
    <cellStyle name="20% - Accent6 30 2 2 3" xfId="12445"/>
    <cellStyle name="20% - Accent6 30 2 3" xfId="12446"/>
    <cellStyle name="20% - Accent6 30 2 3 2" xfId="12447"/>
    <cellStyle name="20% - Accent6 30 2 4" xfId="12448"/>
    <cellStyle name="20% - Accent6 30 2 5" xfId="12449"/>
    <cellStyle name="20% - Accent6 30 3" xfId="12450"/>
    <cellStyle name="20% - Accent6 30 3 2" xfId="12451"/>
    <cellStyle name="20% - Accent6 30 3 2 2" xfId="12452"/>
    <cellStyle name="20% - Accent6 30 3 3" xfId="12453"/>
    <cellStyle name="20% - Accent6 30 3 4" xfId="12454"/>
    <cellStyle name="20% - Accent6 30 4" xfId="12455"/>
    <cellStyle name="20% - Accent6 30 4 2" xfId="12456"/>
    <cellStyle name="20% - Accent6 30 4 2 2" xfId="12457"/>
    <cellStyle name="20% - Accent6 30 4 3" xfId="12458"/>
    <cellStyle name="20% - Accent6 30 4 4" xfId="12459"/>
    <cellStyle name="20% - Accent6 30 5" xfId="12460"/>
    <cellStyle name="20% - Accent6 30 5 2" xfId="12461"/>
    <cellStyle name="20% - Accent6 30 6" xfId="12462"/>
    <cellStyle name="20% - Accent6 30 7" xfId="12463"/>
    <cellStyle name="20% - Accent6 30 8" xfId="12464"/>
    <cellStyle name="20% - Accent6 31" xfId="12465"/>
    <cellStyle name="20% - Accent6 31 2" xfId="12466"/>
    <cellStyle name="20% - Accent6 31 2 2" xfId="12467"/>
    <cellStyle name="20% - Accent6 31 2 2 2" xfId="12468"/>
    <cellStyle name="20% - Accent6 31 2 2 3" xfId="12469"/>
    <cellStyle name="20% - Accent6 31 2 3" xfId="12470"/>
    <cellStyle name="20% - Accent6 31 2 3 2" xfId="12471"/>
    <cellStyle name="20% - Accent6 31 2 4" xfId="12472"/>
    <cellStyle name="20% - Accent6 31 2 5" xfId="12473"/>
    <cellStyle name="20% - Accent6 31 3" xfId="12474"/>
    <cellStyle name="20% - Accent6 31 3 2" xfId="12475"/>
    <cellStyle name="20% - Accent6 31 3 2 2" xfId="12476"/>
    <cellStyle name="20% - Accent6 31 3 3" xfId="12477"/>
    <cellStyle name="20% - Accent6 31 3 4" xfId="12478"/>
    <cellStyle name="20% - Accent6 31 4" xfId="12479"/>
    <cellStyle name="20% - Accent6 31 4 2" xfId="12480"/>
    <cellStyle name="20% - Accent6 31 4 2 2" xfId="12481"/>
    <cellStyle name="20% - Accent6 31 4 3" xfId="12482"/>
    <cellStyle name="20% - Accent6 31 4 4" xfId="12483"/>
    <cellStyle name="20% - Accent6 31 5" xfId="12484"/>
    <cellStyle name="20% - Accent6 31 5 2" xfId="12485"/>
    <cellStyle name="20% - Accent6 31 6" xfId="12486"/>
    <cellStyle name="20% - Accent6 31 7" xfId="12487"/>
    <cellStyle name="20% - Accent6 31 8" xfId="12488"/>
    <cellStyle name="20% - Accent6 32" xfId="12489"/>
    <cellStyle name="20% - Accent6 32 2" xfId="12490"/>
    <cellStyle name="20% - Accent6 32 2 2" xfId="12491"/>
    <cellStyle name="20% - Accent6 32 2 2 2" xfId="12492"/>
    <cellStyle name="20% - Accent6 32 2 2 3" xfId="12493"/>
    <cellStyle name="20% - Accent6 32 2 3" xfId="12494"/>
    <cellStyle name="20% - Accent6 32 2 3 2" xfId="12495"/>
    <cellStyle name="20% - Accent6 32 2 4" xfId="12496"/>
    <cellStyle name="20% - Accent6 32 2 5" xfId="12497"/>
    <cellStyle name="20% - Accent6 32 3" xfId="12498"/>
    <cellStyle name="20% - Accent6 32 3 2" xfId="12499"/>
    <cellStyle name="20% - Accent6 32 3 2 2" xfId="12500"/>
    <cellStyle name="20% - Accent6 32 3 3" xfId="12501"/>
    <cellStyle name="20% - Accent6 32 3 4" xfId="12502"/>
    <cellStyle name="20% - Accent6 32 4" xfId="12503"/>
    <cellStyle name="20% - Accent6 32 4 2" xfId="12504"/>
    <cellStyle name="20% - Accent6 32 4 2 2" xfId="12505"/>
    <cellStyle name="20% - Accent6 32 4 3" xfId="12506"/>
    <cellStyle name="20% - Accent6 32 4 4" xfId="12507"/>
    <cellStyle name="20% - Accent6 32 5" xfId="12508"/>
    <cellStyle name="20% - Accent6 32 5 2" xfId="12509"/>
    <cellStyle name="20% - Accent6 32 6" xfId="12510"/>
    <cellStyle name="20% - Accent6 32 7" xfId="12511"/>
    <cellStyle name="20% - Accent6 32 8" xfId="12512"/>
    <cellStyle name="20% - Accent6 33" xfId="12513"/>
    <cellStyle name="20% - Accent6 33 2" xfId="12514"/>
    <cellStyle name="20% - Accent6 33 2 2" xfId="12515"/>
    <cellStyle name="20% - Accent6 33 2 3" xfId="12516"/>
    <cellStyle name="20% - Accent6 33 3" xfId="12517"/>
    <cellStyle name="20% - Accent6 33 3 2" xfId="12518"/>
    <cellStyle name="20% - Accent6 33 4" xfId="12519"/>
    <cellStyle name="20% - Accent6 33 5" xfId="12520"/>
    <cellStyle name="20% - Accent6 34" xfId="12521"/>
    <cellStyle name="20% - Accent6 34 2" xfId="12522"/>
    <cellStyle name="20% - Accent6 34 2 2" xfId="12523"/>
    <cellStyle name="20% - Accent6 34 2 3" xfId="12524"/>
    <cellStyle name="20% - Accent6 34 3" xfId="12525"/>
    <cellStyle name="20% - Accent6 34 3 2" xfId="12526"/>
    <cellStyle name="20% - Accent6 34 4" xfId="12527"/>
    <cellStyle name="20% - Accent6 34 5" xfId="12528"/>
    <cellStyle name="20% - Accent6 35" xfId="12529"/>
    <cellStyle name="20% - Accent6 35 2" xfId="12530"/>
    <cellStyle name="20% - Accent6 35 2 2" xfId="12531"/>
    <cellStyle name="20% - Accent6 35 2 3" xfId="12532"/>
    <cellStyle name="20% - Accent6 35 3" xfId="12533"/>
    <cellStyle name="20% - Accent6 35 3 2" xfId="12534"/>
    <cellStyle name="20% - Accent6 35 4" xfId="12535"/>
    <cellStyle name="20% - Accent6 35 5" xfId="12536"/>
    <cellStyle name="20% - Accent6 36" xfId="12537"/>
    <cellStyle name="20% - Accent6 36 2" xfId="12538"/>
    <cellStyle name="20% - Accent6 36 2 2" xfId="12539"/>
    <cellStyle name="20% - Accent6 36 2 3" xfId="12540"/>
    <cellStyle name="20% - Accent6 36 3" xfId="12541"/>
    <cellStyle name="20% - Accent6 36 3 2" xfId="12542"/>
    <cellStyle name="20% - Accent6 36 4" xfId="12543"/>
    <cellStyle name="20% - Accent6 36 5" xfId="12544"/>
    <cellStyle name="20% - Accent6 37" xfId="12545"/>
    <cellStyle name="20% - Accent6 37 2" xfId="12546"/>
    <cellStyle name="20% - Accent6 37 2 2" xfId="12547"/>
    <cellStyle name="20% - Accent6 37 2 3" xfId="12548"/>
    <cellStyle name="20% - Accent6 37 3" xfId="12549"/>
    <cellStyle name="20% - Accent6 37 3 2" xfId="12550"/>
    <cellStyle name="20% - Accent6 37 4" xfId="12551"/>
    <cellStyle name="20% - Accent6 37 5" xfId="12552"/>
    <cellStyle name="20% - Accent6 38" xfId="12553"/>
    <cellStyle name="20% - Accent6 38 2" xfId="12554"/>
    <cellStyle name="20% - Accent6 38 2 2" xfId="12555"/>
    <cellStyle name="20% - Accent6 38 2 3" xfId="12556"/>
    <cellStyle name="20% - Accent6 38 3" xfId="12557"/>
    <cellStyle name="20% - Accent6 38 3 2" xfId="12558"/>
    <cellStyle name="20% - Accent6 38 4" xfId="12559"/>
    <cellStyle name="20% - Accent6 38 5" xfId="12560"/>
    <cellStyle name="20% - Accent6 39" xfId="12561"/>
    <cellStyle name="20% - Accent6 39 2" xfId="12562"/>
    <cellStyle name="20% - Accent6 39 2 2" xfId="12563"/>
    <cellStyle name="20% - Accent6 39 2 3" xfId="12564"/>
    <cellStyle name="20% - Accent6 39 3" xfId="12565"/>
    <cellStyle name="20% - Accent6 39 3 2" xfId="12566"/>
    <cellStyle name="20% - Accent6 39 4" xfId="12567"/>
    <cellStyle name="20% - Accent6 39 5" xfId="12568"/>
    <cellStyle name="20% - Accent6 4" xfId="12569"/>
    <cellStyle name="20% - Accent6 4 10" xfId="12570"/>
    <cellStyle name="20% - Accent6 4 2" xfId="12571"/>
    <cellStyle name="20% - Accent6 4 2 2" xfId="12572"/>
    <cellStyle name="20% - Accent6 4 2 2 2" xfId="12573"/>
    <cellStyle name="20% - Accent6 4 2 2 3" xfId="12574"/>
    <cellStyle name="20% - Accent6 4 2 3" xfId="12575"/>
    <cellStyle name="20% - Accent6 4 2 3 2" xfId="12576"/>
    <cellStyle name="20% - Accent6 4 2 3 3" xfId="12577"/>
    <cellStyle name="20% - Accent6 4 2 4" xfId="12578"/>
    <cellStyle name="20% - Accent6 4 2 4 2" xfId="12579"/>
    <cellStyle name="20% - Accent6 4 2 4 3" xfId="12580"/>
    <cellStyle name="20% - Accent6 4 2 5" xfId="12581"/>
    <cellStyle name="20% - Accent6 4 2 5 2" xfId="12582"/>
    <cellStyle name="20% - Accent6 4 2 5 3" xfId="12583"/>
    <cellStyle name="20% - Accent6 4 2 6" xfId="12584"/>
    <cellStyle name="20% - Accent6 4 2 6 2" xfId="12585"/>
    <cellStyle name="20% - Accent6 4 2 6 3" xfId="12586"/>
    <cellStyle name="20% - Accent6 4 2 7" xfId="12587"/>
    <cellStyle name="20% - Accent6 4 2 7 2" xfId="12588"/>
    <cellStyle name="20% - Accent6 4 2 7 3" xfId="12589"/>
    <cellStyle name="20% - Accent6 4 2 8" xfId="12590"/>
    <cellStyle name="20% - Accent6 4 2 9" xfId="12591"/>
    <cellStyle name="20% - Accent6 4 2_2009 Actual" xfId="12592"/>
    <cellStyle name="20% - Accent6 4 3" xfId="12593"/>
    <cellStyle name="20% - Accent6 4 3 2" xfId="12594"/>
    <cellStyle name="20% - Accent6 4 3 3" xfId="12595"/>
    <cellStyle name="20% - Accent6 4 4" xfId="12596"/>
    <cellStyle name="20% - Accent6 4 4 2" xfId="12597"/>
    <cellStyle name="20% - Accent6 4 4 3" xfId="12598"/>
    <cellStyle name="20% - Accent6 4 5" xfId="12599"/>
    <cellStyle name="20% - Accent6 4 5 2" xfId="12600"/>
    <cellStyle name="20% - Accent6 4 5 3" xfId="12601"/>
    <cellStyle name="20% - Accent6 4 6" xfId="12602"/>
    <cellStyle name="20% - Accent6 4 6 2" xfId="12603"/>
    <cellStyle name="20% - Accent6 4 6 3" xfId="12604"/>
    <cellStyle name="20% - Accent6 4 7" xfId="12605"/>
    <cellStyle name="20% - Accent6 4 7 2" xfId="12606"/>
    <cellStyle name="20% - Accent6 4 7 3" xfId="12607"/>
    <cellStyle name="20% - Accent6 4 8" xfId="12608"/>
    <cellStyle name="20% - Accent6 4 8 2" xfId="12609"/>
    <cellStyle name="20% - Accent6 4 8 3" xfId="12610"/>
    <cellStyle name="20% - Accent6 4 9" xfId="12611"/>
    <cellStyle name="20% - Accent6 4_2009 Actual" xfId="12612"/>
    <cellStyle name="20% - Accent6 40" xfId="12613"/>
    <cellStyle name="20% - Accent6 40 2" xfId="12614"/>
    <cellStyle name="20% - Accent6 40 2 2" xfId="12615"/>
    <cellStyle name="20% - Accent6 40 2 3" xfId="12616"/>
    <cellStyle name="20% - Accent6 40 3" xfId="12617"/>
    <cellStyle name="20% - Accent6 40 3 2" xfId="12618"/>
    <cellStyle name="20% - Accent6 40 4" xfId="12619"/>
    <cellStyle name="20% - Accent6 40 5" xfId="12620"/>
    <cellStyle name="20% - Accent6 41" xfId="12621"/>
    <cellStyle name="20% - Accent6 41 2" xfId="12622"/>
    <cellStyle name="20% - Accent6 41 2 2" xfId="12623"/>
    <cellStyle name="20% - Accent6 41 2 3" xfId="12624"/>
    <cellStyle name="20% - Accent6 41 3" xfId="12625"/>
    <cellStyle name="20% - Accent6 41 3 2" xfId="12626"/>
    <cellStyle name="20% - Accent6 41 4" xfId="12627"/>
    <cellStyle name="20% - Accent6 41 5" xfId="12628"/>
    <cellStyle name="20% - Accent6 42" xfId="12629"/>
    <cellStyle name="20% - Accent6 42 2" xfId="12630"/>
    <cellStyle name="20% - Accent6 42 2 2" xfId="12631"/>
    <cellStyle name="20% - Accent6 42 2 3" xfId="12632"/>
    <cellStyle name="20% - Accent6 42 3" xfId="12633"/>
    <cellStyle name="20% - Accent6 42 3 2" xfId="12634"/>
    <cellStyle name="20% - Accent6 42 4" xfId="12635"/>
    <cellStyle name="20% - Accent6 42 5" xfId="12636"/>
    <cellStyle name="20% - Accent6 43" xfId="12637"/>
    <cellStyle name="20% - Accent6 43 2" xfId="12638"/>
    <cellStyle name="20% - Accent6 43 2 2" xfId="12639"/>
    <cellStyle name="20% - Accent6 43 2 3" xfId="12640"/>
    <cellStyle name="20% - Accent6 43 3" xfId="12641"/>
    <cellStyle name="20% - Accent6 43 3 2" xfId="12642"/>
    <cellStyle name="20% - Accent6 43 4" xfId="12643"/>
    <cellStyle name="20% - Accent6 43 5" xfId="12644"/>
    <cellStyle name="20% - Accent6 44" xfId="12645"/>
    <cellStyle name="20% - Accent6 44 2" xfId="12646"/>
    <cellStyle name="20% - Accent6 44 2 2" xfId="12647"/>
    <cellStyle name="20% - Accent6 44 2 3" xfId="12648"/>
    <cellStyle name="20% - Accent6 44 3" xfId="12649"/>
    <cellStyle name="20% - Accent6 44 3 2" xfId="12650"/>
    <cellStyle name="20% - Accent6 44 4" xfId="12651"/>
    <cellStyle name="20% - Accent6 44 5" xfId="12652"/>
    <cellStyle name="20% - Accent6 45" xfId="12653"/>
    <cellStyle name="20% - Accent6 45 2" xfId="12654"/>
    <cellStyle name="20% - Accent6 45 2 2" xfId="12655"/>
    <cellStyle name="20% - Accent6 45 2 3" xfId="12656"/>
    <cellStyle name="20% - Accent6 45 3" xfId="12657"/>
    <cellStyle name="20% - Accent6 45 3 2" xfId="12658"/>
    <cellStyle name="20% - Accent6 45 4" xfId="12659"/>
    <cellStyle name="20% - Accent6 45 5" xfId="12660"/>
    <cellStyle name="20% - Accent6 46" xfId="12661"/>
    <cellStyle name="20% - Accent6 46 2" xfId="12662"/>
    <cellStyle name="20% - Accent6 46 2 2" xfId="12663"/>
    <cellStyle name="20% - Accent6 46 2 3" xfId="12664"/>
    <cellStyle name="20% - Accent6 46 3" xfId="12665"/>
    <cellStyle name="20% - Accent6 46 3 2" xfId="12666"/>
    <cellStyle name="20% - Accent6 46 4" xfId="12667"/>
    <cellStyle name="20% - Accent6 46 5" xfId="12668"/>
    <cellStyle name="20% - Accent6 47" xfId="12669"/>
    <cellStyle name="20% - Accent6 47 2" xfId="12670"/>
    <cellStyle name="20% - Accent6 47 2 2" xfId="12671"/>
    <cellStyle name="20% - Accent6 47 2 3" xfId="12672"/>
    <cellStyle name="20% - Accent6 47 3" xfId="12673"/>
    <cellStyle name="20% - Accent6 47 3 2" xfId="12674"/>
    <cellStyle name="20% - Accent6 47 4" xfId="12675"/>
    <cellStyle name="20% - Accent6 47 5" xfId="12676"/>
    <cellStyle name="20% - Accent6 48" xfId="12677"/>
    <cellStyle name="20% - Accent6 48 2" xfId="12678"/>
    <cellStyle name="20% - Accent6 48 2 2" xfId="12679"/>
    <cellStyle name="20% - Accent6 48 2 3" xfId="12680"/>
    <cellStyle name="20% - Accent6 48 3" xfId="12681"/>
    <cellStyle name="20% - Accent6 48 3 2" xfId="12682"/>
    <cellStyle name="20% - Accent6 48 4" xfId="12683"/>
    <cellStyle name="20% - Accent6 48 5" xfId="12684"/>
    <cellStyle name="20% - Accent6 49" xfId="12685"/>
    <cellStyle name="20% - Accent6 49 2" xfId="12686"/>
    <cellStyle name="20% - Accent6 49 2 2" xfId="12687"/>
    <cellStyle name="20% - Accent6 49 2 3" xfId="12688"/>
    <cellStyle name="20% - Accent6 49 3" xfId="12689"/>
    <cellStyle name="20% - Accent6 49 3 2" xfId="12690"/>
    <cellStyle name="20% - Accent6 49 4" xfId="12691"/>
    <cellStyle name="20% - Accent6 49 5" xfId="12692"/>
    <cellStyle name="20% - Accent6 5" xfId="12693"/>
    <cellStyle name="20% - Accent6 5 10" xfId="12694"/>
    <cellStyle name="20% - Accent6 5 2" xfId="12695"/>
    <cellStyle name="20% - Accent6 5 2 2" xfId="12696"/>
    <cellStyle name="20% - Accent6 5 2 2 2" xfId="12697"/>
    <cellStyle name="20% - Accent6 5 2 2 3" xfId="12698"/>
    <cellStyle name="20% - Accent6 5 2 3" xfId="12699"/>
    <cellStyle name="20% - Accent6 5 2 3 2" xfId="12700"/>
    <cellStyle name="20% - Accent6 5 2 3 3" xfId="12701"/>
    <cellStyle name="20% - Accent6 5 2 4" xfId="12702"/>
    <cellStyle name="20% - Accent6 5 2 4 2" xfId="12703"/>
    <cellStyle name="20% - Accent6 5 2 4 3" xfId="12704"/>
    <cellStyle name="20% - Accent6 5 2 5" xfId="12705"/>
    <cellStyle name="20% - Accent6 5 2 5 2" xfId="12706"/>
    <cellStyle name="20% - Accent6 5 2 5 3" xfId="12707"/>
    <cellStyle name="20% - Accent6 5 2 6" xfId="12708"/>
    <cellStyle name="20% - Accent6 5 2 6 2" xfId="12709"/>
    <cellStyle name="20% - Accent6 5 2 6 3" xfId="12710"/>
    <cellStyle name="20% - Accent6 5 2 7" xfId="12711"/>
    <cellStyle name="20% - Accent6 5 2 7 2" xfId="12712"/>
    <cellStyle name="20% - Accent6 5 2 7 3" xfId="12713"/>
    <cellStyle name="20% - Accent6 5 2 8" xfId="12714"/>
    <cellStyle name="20% - Accent6 5 2 9" xfId="12715"/>
    <cellStyle name="20% - Accent6 5 2_2009 Actual" xfId="12716"/>
    <cellStyle name="20% - Accent6 5 3" xfId="12717"/>
    <cellStyle name="20% - Accent6 5 3 2" xfId="12718"/>
    <cellStyle name="20% - Accent6 5 3 3" xfId="12719"/>
    <cellStyle name="20% - Accent6 5 4" xfId="12720"/>
    <cellStyle name="20% - Accent6 5 4 2" xfId="12721"/>
    <cellStyle name="20% - Accent6 5 4 3" xfId="12722"/>
    <cellStyle name="20% - Accent6 5 5" xfId="12723"/>
    <cellStyle name="20% - Accent6 5 5 2" xfId="12724"/>
    <cellStyle name="20% - Accent6 5 5 3" xfId="12725"/>
    <cellStyle name="20% - Accent6 5 6" xfId="12726"/>
    <cellStyle name="20% - Accent6 5 6 2" xfId="12727"/>
    <cellStyle name="20% - Accent6 5 6 3" xfId="12728"/>
    <cellStyle name="20% - Accent6 5 7" xfId="12729"/>
    <cellStyle name="20% - Accent6 5 7 2" xfId="12730"/>
    <cellStyle name="20% - Accent6 5 7 3" xfId="12731"/>
    <cellStyle name="20% - Accent6 5 8" xfId="12732"/>
    <cellStyle name="20% - Accent6 5 8 2" xfId="12733"/>
    <cellStyle name="20% - Accent6 5 8 3" xfId="12734"/>
    <cellStyle name="20% - Accent6 5 9" xfId="12735"/>
    <cellStyle name="20% - Accent6 5_2009 Actual" xfId="12736"/>
    <cellStyle name="20% - Accent6 50" xfId="12737"/>
    <cellStyle name="20% - Accent6 50 2" xfId="12738"/>
    <cellStyle name="20% - Accent6 50 2 2" xfId="12739"/>
    <cellStyle name="20% - Accent6 50 2 3" xfId="12740"/>
    <cellStyle name="20% - Accent6 50 3" xfId="12741"/>
    <cellStyle name="20% - Accent6 50 3 2" xfId="12742"/>
    <cellStyle name="20% - Accent6 50 4" xfId="12743"/>
    <cellStyle name="20% - Accent6 50 5" xfId="12744"/>
    <cellStyle name="20% - Accent6 51" xfId="12745"/>
    <cellStyle name="20% - Accent6 51 2" xfId="12746"/>
    <cellStyle name="20% - Accent6 51 2 2" xfId="12747"/>
    <cellStyle name="20% - Accent6 51 2 3" xfId="12748"/>
    <cellStyle name="20% - Accent6 51 3" xfId="12749"/>
    <cellStyle name="20% - Accent6 51 3 2" xfId="12750"/>
    <cellStyle name="20% - Accent6 51 4" xfId="12751"/>
    <cellStyle name="20% - Accent6 51 5" xfId="12752"/>
    <cellStyle name="20% - Accent6 52" xfId="12753"/>
    <cellStyle name="20% - Accent6 52 2" xfId="12754"/>
    <cellStyle name="20% - Accent6 52 2 2" xfId="12755"/>
    <cellStyle name="20% - Accent6 52 2 3" xfId="12756"/>
    <cellStyle name="20% - Accent6 52 3" xfId="12757"/>
    <cellStyle name="20% - Accent6 52 3 2" xfId="12758"/>
    <cellStyle name="20% - Accent6 52 4" xfId="12759"/>
    <cellStyle name="20% - Accent6 52 5" xfId="12760"/>
    <cellStyle name="20% - Accent6 53" xfId="12761"/>
    <cellStyle name="20% - Accent6 53 2" xfId="12762"/>
    <cellStyle name="20% - Accent6 53 2 2" xfId="12763"/>
    <cellStyle name="20% - Accent6 53 2 3" xfId="12764"/>
    <cellStyle name="20% - Accent6 53 3" xfId="12765"/>
    <cellStyle name="20% - Accent6 53 3 2" xfId="12766"/>
    <cellStyle name="20% - Accent6 53 4" xfId="12767"/>
    <cellStyle name="20% - Accent6 53 5" xfId="12768"/>
    <cellStyle name="20% - Accent6 54" xfId="12769"/>
    <cellStyle name="20% - Accent6 54 2" xfId="12770"/>
    <cellStyle name="20% - Accent6 54 2 2" xfId="12771"/>
    <cellStyle name="20% - Accent6 54 2 3" xfId="12772"/>
    <cellStyle name="20% - Accent6 54 3" xfId="12773"/>
    <cellStyle name="20% - Accent6 54 3 2" xfId="12774"/>
    <cellStyle name="20% - Accent6 54 4" xfId="12775"/>
    <cellStyle name="20% - Accent6 54 5" xfId="12776"/>
    <cellStyle name="20% - Accent6 55" xfId="12777"/>
    <cellStyle name="20% - Accent6 55 2" xfId="12778"/>
    <cellStyle name="20% - Accent6 55 2 2" xfId="12779"/>
    <cellStyle name="20% - Accent6 55 2 3" xfId="12780"/>
    <cellStyle name="20% - Accent6 55 3" xfId="12781"/>
    <cellStyle name="20% - Accent6 55 3 2" xfId="12782"/>
    <cellStyle name="20% - Accent6 55 4" xfId="12783"/>
    <cellStyle name="20% - Accent6 55 5" xfId="12784"/>
    <cellStyle name="20% - Accent6 56" xfId="12785"/>
    <cellStyle name="20% - Accent6 56 2" xfId="12786"/>
    <cellStyle name="20% - Accent6 56 2 2" xfId="12787"/>
    <cellStyle name="20% - Accent6 56 2 3" xfId="12788"/>
    <cellStyle name="20% - Accent6 56 3" xfId="12789"/>
    <cellStyle name="20% - Accent6 56 3 2" xfId="12790"/>
    <cellStyle name="20% - Accent6 56 4" xfId="12791"/>
    <cellStyle name="20% - Accent6 56 5" xfId="12792"/>
    <cellStyle name="20% - Accent6 57" xfId="12793"/>
    <cellStyle name="20% - Accent6 57 2" xfId="12794"/>
    <cellStyle name="20% - Accent6 57 2 2" xfId="12795"/>
    <cellStyle name="20% - Accent6 57 2 3" xfId="12796"/>
    <cellStyle name="20% - Accent6 57 3" xfId="12797"/>
    <cellStyle name="20% - Accent6 57 3 2" xfId="12798"/>
    <cellStyle name="20% - Accent6 57 4" xfId="12799"/>
    <cellStyle name="20% - Accent6 57 5" xfId="12800"/>
    <cellStyle name="20% - Accent6 58" xfId="12801"/>
    <cellStyle name="20% - Accent6 58 2" xfId="12802"/>
    <cellStyle name="20% - Accent6 58 2 2" xfId="12803"/>
    <cellStyle name="20% - Accent6 58 2 3" xfId="12804"/>
    <cellStyle name="20% - Accent6 58 3" xfId="12805"/>
    <cellStyle name="20% - Accent6 58 3 2" xfId="12806"/>
    <cellStyle name="20% - Accent6 58 4" xfId="12807"/>
    <cellStyle name="20% - Accent6 58 5" xfId="12808"/>
    <cellStyle name="20% - Accent6 59" xfId="12809"/>
    <cellStyle name="20% - Accent6 59 2" xfId="12810"/>
    <cellStyle name="20% - Accent6 59 2 2" xfId="12811"/>
    <cellStyle name="20% - Accent6 59 2 3" xfId="12812"/>
    <cellStyle name="20% - Accent6 59 3" xfId="12813"/>
    <cellStyle name="20% - Accent6 59 3 2" xfId="12814"/>
    <cellStyle name="20% - Accent6 59 4" xfId="12815"/>
    <cellStyle name="20% - Accent6 59 5" xfId="12816"/>
    <cellStyle name="20% - Accent6 6" xfId="12817"/>
    <cellStyle name="20% - Accent6 6 2" xfId="12818"/>
    <cellStyle name="20% - Accent6 6 2 2" xfId="12819"/>
    <cellStyle name="20% - Accent6 6 2 3" xfId="12820"/>
    <cellStyle name="20% - Accent6 6 3" xfId="12821"/>
    <cellStyle name="20% - Accent6 6 3 2" xfId="12822"/>
    <cellStyle name="20% - Accent6 6 3 3" xfId="12823"/>
    <cellStyle name="20% - Accent6 6 4" xfId="12824"/>
    <cellStyle name="20% - Accent6 6 4 2" xfId="12825"/>
    <cellStyle name="20% - Accent6 6 4 3" xfId="12826"/>
    <cellStyle name="20% - Accent6 6 5" xfId="12827"/>
    <cellStyle name="20% - Accent6 6 5 2" xfId="12828"/>
    <cellStyle name="20% - Accent6 6 5 3" xfId="12829"/>
    <cellStyle name="20% - Accent6 6 6" xfId="12830"/>
    <cellStyle name="20% - Accent6 6 6 2" xfId="12831"/>
    <cellStyle name="20% - Accent6 6 6 3" xfId="12832"/>
    <cellStyle name="20% - Accent6 6 7" xfId="12833"/>
    <cellStyle name="20% - Accent6 6 7 2" xfId="12834"/>
    <cellStyle name="20% - Accent6 6 7 3" xfId="12835"/>
    <cellStyle name="20% - Accent6 6 8" xfId="12836"/>
    <cellStyle name="20% - Accent6 6 9" xfId="12837"/>
    <cellStyle name="20% - Accent6 6_2009 Actual" xfId="12838"/>
    <cellStyle name="20% - Accent6 60" xfId="12839"/>
    <cellStyle name="20% - Accent6 60 2" xfId="12840"/>
    <cellStyle name="20% - Accent6 60 2 2" xfId="12841"/>
    <cellStyle name="20% - Accent6 60 2 3" xfId="12842"/>
    <cellStyle name="20% - Accent6 60 3" xfId="12843"/>
    <cellStyle name="20% - Accent6 60 3 2" xfId="12844"/>
    <cellStyle name="20% - Accent6 60 4" xfId="12845"/>
    <cellStyle name="20% - Accent6 60 5" xfId="12846"/>
    <cellStyle name="20% - Accent6 61" xfId="12847"/>
    <cellStyle name="20% - Accent6 61 2" xfId="12848"/>
    <cellStyle name="20% - Accent6 61 2 2" xfId="12849"/>
    <cellStyle name="20% - Accent6 61 2 3" xfId="12850"/>
    <cellStyle name="20% - Accent6 61 3" xfId="12851"/>
    <cellStyle name="20% - Accent6 61 3 2" xfId="12852"/>
    <cellStyle name="20% - Accent6 61 4" xfId="12853"/>
    <cellStyle name="20% - Accent6 61 5" xfId="12854"/>
    <cellStyle name="20% - Accent6 62" xfId="12855"/>
    <cellStyle name="20% - Accent6 62 2" xfId="12856"/>
    <cellStyle name="20% - Accent6 62 2 2" xfId="12857"/>
    <cellStyle name="20% - Accent6 62 2 3" xfId="12858"/>
    <cellStyle name="20% - Accent6 62 3" xfId="12859"/>
    <cellStyle name="20% - Accent6 62 3 2" xfId="12860"/>
    <cellStyle name="20% - Accent6 62 4" xfId="12861"/>
    <cellStyle name="20% - Accent6 62 5" xfId="12862"/>
    <cellStyle name="20% - Accent6 63" xfId="12863"/>
    <cellStyle name="20% - Accent6 63 2" xfId="12864"/>
    <cellStyle name="20% - Accent6 63 2 2" xfId="12865"/>
    <cellStyle name="20% - Accent6 63 2 3" xfId="12866"/>
    <cellStyle name="20% - Accent6 63 3" xfId="12867"/>
    <cellStyle name="20% - Accent6 63 3 2" xfId="12868"/>
    <cellStyle name="20% - Accent6 63 4" xfId="12869"/>
    <cellStyle name="20% - Accent6 63 5" xfId="12870"/>
    <cellStyle name="20% - Accent6 64" xfId="12871"/>
    <cellStyle name="20% - Accent6 64 2" xfId="12872"/>
    <cellStyle name="20% - Accent6 64 2 2" xfId="12873"/>
    <cellStyle name="20% - Accent6 64 2 3" xfId="12874"/>
    <cellStyle name="20% - Accent6 64 3" xfId="12875"/>
    <cellStyle name="20% - Accent6 64 3 2" xfId="12876"/>
    <cellStyle name="20% - Accent6 64 4" xfId="12877"/>
    <cellStyle name="20% - Accent6 64 5" xfId="12878"/>
    <cellStyle name="20% - Accent6 65" xfId="12879"/>
    <cellStyle name="20% - Accent6 65 2" xfId="12880"/>
    <cellStyle name="20% - Accent6 65 2 2" xfId="12881"/>
    <cellStyle name="20% - Accent6 65 2 3" xfId="12882"/>
    <cellStyle name="20% - Accent6 65 3" xfId="12883"/>
    <cellStyle name="20% - Accent6 65 3 2" xfId="12884"/>
    <cellStyle name="20% - Accent6 65 4" xfId="12885"/>
    <cellStyle name="20% - Accent6 65 5" xfId="12886"/>
    <cellStyle name="20% - Accent6 66" xfId="12887"/>
    <cellStyle name="20% - Accent6 66 2" xfId="12888"/>
    <cellStyle name="20% - Accent6 66 2 2" xfId="12889"/>
    <cellStyle name="20% - Accent6 66 3" xfId="12890"/>
    <cellStyle name="20% - Accent6 66 4" xfId="12891"/>
    <cellStyle name="20% - Accent6 67" xfId="12892"/>
    <cellStyle name="20% - Accent6 67 2" xfId="12893"/>
    <cellStyle name="20% - Accent6 67 2 2" xfId="12894"/>
    <cellStyle name="20% - Accent6 67 3" xfId="12895"/>
    <cellStyle name="20% - Accent6 67 4" xfId="12896"/>
    <cellStyle name="20% - Accent6 68" xfId="12897"/>
    <cellStyle name="20% - Accent6 68 2" xfId="12898"/>
    <cellStyle name="20% - Accent6 68 2 2" xfId="12899"/>
    <cellStyle name="20% - Accent6 68 3" xfId="12900"/>
    <cellStyle name="20% - Accent6 68 4" xfId="12901"/>
    <cellStyle name="20% - Accent6 69" xfId="12902"/>
    <cellStyle name="20% - Accent6 69 2" xfId="12903"/>
    <cellStyle name="20% - Accent6 69 2 2" xfId="12904"/>
    <cellStyle name="20% - Accent6 69 3" xfId="12905"/>
    <cellStyle name="20% - Accent6 69 4" xfId="12906"/>
    <cellStyle name="20% - Accent6 7" xfId="12907"/>
    <cellStyle name="20% - Accent6 7 2" xfId="12908"/>
    <cellStyle name="20% - Accent6 7 2 2" xfId="12909"/>
    <cellStyle name="20% - Accent6 7 2 3" xfId="12910"/>
    <cellStyle name="20% - Accent6 7 3" xfId="12911"/>
    <cellStyle name="20% - Accent6 7 3 2" xfId="12912"/>
    <cellStyle name="20% - Accent6 7 3 3" xfId="12913"/>
    <cellStyle name="20% - Accent6 7 4" xfId="12914"/>
    <cellStyle name="20% - Accent6 7 4 2" xfId="12915"/>
    <cellStyle name="20% - Accent6 7 4 3" xfId="12916"/>
    <cellStyle name="20% - Accent6 7 5" xfId="12917"/>
    <cellStyle name="20% - Accent6 7 5 2" xfId="12918"/>
    <cellStyle name="20% - Accent6 7 5 3" xfId="12919"/>
    <cellStyle name="20% - Accent6 7 6" xfId="12920"/>
    <cellStyle name="20% - Accent6 7 6 2" xfId="12921"/>
    <cellStyle name="20% - Accent6 7 6 3" xfId="12922"/>
    <cellStyle name="20% - Accent6 7 7" xfId="12923"/>
    <cellStyle name="20% - Accent6 7 7 2" xfId="12924"/>
    <cellStyle name="20% - Accent6 7 7 3" xfId="12925"/>
    <cellStyle name="20% - Accent6 7 8" xfId="12926"/>
    <cellStyle name="20% - Accent6 7 9" xfId="12927"/>
    <cellStyle name="20% - Accent6 7_2009 Actual" xfId="12928"/>
    <cellStyle name="20% - Accent6 70" xfId="12929"/>
    <cellStyle name="20% - Accent6 70 2" xfId="12930"/>
    <cellStyle name="20% - Accent6 70 2 2" xfId="12931"/>
    <cellStyle name="20% - Accent6 70 3" xfId="12932"/>
    <cellStyle name="20% - Accent6 70 4" xfId="12933"/>
    <cellStyle name="20% - Accent6 71" xfId="12934"/>
    <cellStyle name="20% - Accent6 71 2" xfId="12935"/>
    <cellStyle name="20% - Accent6 71 2 2" xfId="12936"/>
    <cellStyle name="20% - Accent6 71 3" xfId="12937"/>
    <cellStyle name="20% - Accent6 71 4" xfId="12938"/>
    <cellStyle name="20% - Accent6 72" xfId="12939"/>
    <cellStyle name="20% - Accent6 72 2" xfId="12940"/>
    <cellStyle name="20% - Accent6 72 2 2" xfId="12941"/>
    <cellStyle name="20% - Accent6 72 3" xfId="12942"/>
    <cellStyle name="20% - Accent6 72 4" xfId="12943"/>
    <cellStyle name="20% - Accent6 73" xfId="12944"/>
    <cellStyle name="20% - Accent6 73 2" xfId="12945"/>
    <cellStyle name="20% - Accent6 73 2 2" xfId="12946"/>
    <cellStyle name="20% - Accent6 73 3" xfId="12947"/>
    <cellStyle name="20% - Accent6 73 4" xfId="12948"/>
    <cellStyle name="20% - Accent6 74" xfId="12949"/>
    <cellStyle name="20% - Accent6 74 2" xfId="12950"/>
    <cellStyle name="20% - Accent6 74 2 2" xfId="12951"/>
    <cellStyle name="20% - Accent6 74 3" xfId="12952"/>
    <cellStyle name="20% - Accent6 74 4" xfId="12953"/>
    <cellStyle name="20% - Accent6 75" xfId="12954"/>
    <cellStyle name="20% - Accent6 75 2" xfId="12955"/>
    <cellStyle name="20% - Accent6 75 2 2" xfId="12956"/>
    <cellStyle name="20% - Accent6 75 3" xfId="12957"/>
    <cellStyle name="20% - Accent6 75 4" xfId="12958"/>
    <cellStyle name="20% - Accent6 76" xfId="12959"/>
    <cellStyle name="20% - Accent6 76 2" xfId="12960"/>
    <cellStyle name="20% - Accent6 76 2 2" xfId="12961"/>
    <cellStyle name="20% - Accent6 76 3" xfId="12962"/>
    <cellStyle name="20% - Accent6 76 4" xfId="12963"/>
    <cellStyle name="20% - Accent6 77" xfId="12964"/>
    <cellStyle name="20% - Accent6 77 2" xfId="12965"/>
    <cellStyle name="20% - Accent6 77 2 2" xfId="12966"/>
    <cellStyle name="20% - Accent6 77 3" xfId="12967"/>
    <cellStyle name="20% - Accent6 77 4" xfId="12968"/>
    <cellStyle name="20% - Accent6 78" xfId="12969"/>
    <cellStyle name="20% - Accent6 78 2" xfId="12970"/>
    <cellStyle name="20% - Accent6 78 2 2" xfId="12971"/>
    <cellStyle name="20% - Accent6 78 3" xfId="12972"/>
    <cellStyle name="20% - Accent6 78 4" xfId="12973"/>
    <cellStyle name="20% - Accent6 79" xfId="12974"/>
    <cellStyle name="20% - Accent6 79 2" xfId="12975"/>
    <cellStyle name="20% - Accent6 79 2 2" xfId="12976"/>
    <cellStyle name="20% - Accent6 79 3" xfId="12977"/>
    <cellStyle name="20% - Accent6 79 4" xfId="12978"/>
    <cellStyle name="20% - Accent6 8" xfId="12979"/>
    <cellStyle name="20% - Accent6 8 2" xfId="12980"/>
    <cellStyle name="20% - Accent6 8 2 2" xfId="12981"/>
    <cellStyle name="20% - Accent6 8 2 3" xfId="12982"/>
    <cellStyle name="20% - Accent6 8 3" xfId="12983"/>
    <cellStyle name="20% - Accent6 8 3 2" xfId="12984"/>
    <cellStyle name="20% - Accent6 8 3 3" xfId="12985"/>
    <cellStyle name="20% - Accent6 8 4" xfId="12986"/>
    <cellStyle name="20% - Accent6 8 4 2" xfId="12987"/>
    <cellStyle name="20% - Accent6 8 4 3" xfId="12988"/>
    <cellStyle name="20% - Accent6 8 5" xfId="12989"/>
    <cellStyle name="20% - Accent6 8 5 2" xfId="12990"/>
    <cellStyle name="20% - Accent6 8 5 3" xfId="12991"/>
    <cellStyle name="20% - Accent6 8 6" xfId="12992"/>
    <cellStyle name="20% - Accent6 8 6 2" xfId="12993"/>
    <cellStyle name="20% - Accent6 8 6 3" xfId="12994"/>
    <cellStyle name="20% - Accent6 8 7" xfId="12995"/>
    <cellStyle name="20% - Accent6 8 7 2" xfId="12996"/>
    <cellStyle name="20% - Accent6 8 7 3" xfId="12997"/>
    <cellStyle name="20% - Accent6 8 8" xfId="12998"/>
    <cellStyle name="20% - Accent6 8 9" xfId="12999"/>
    <cellStyle name="20% - Accent6 8_2009 Actual" xfId="13000"/>
    <cellStyle name="20% - Accent6 80" xfId="13001"/>
    <cellStyle name="20% - Accent6 80 2" xfId="13002"/>
    <cellStyle name="20% - Accent6 80 2 2" xfId="13003"/>
    <cellStyle name="20% - Accent6 80 3" xfId="13004"/>
    <cellStyle name="20% - Accent6 80 4" xfId="13005"/>
    <cellStyle name="20% - Accent6 81" xfId="13006"/>
    <cellStyle name="20% - Accent6 81 2" xfId="13007"/>
    <cellStyle name="20% - Accent6 81 2 2" xfId="13008"/>
    <cellStyle name="20% - Accent6 81 3" xfId="13009"/>
    <cellStyle name="20% - Accent6 81 4" xfId="13010"/>
    <cellStyle name="20% - Accent6 82" xfId="13011"/>
    <cellStyle name="20% - Accent6 82 2" xfId="13012"/>
    <cellStyle name="20% - Accent6 82 2 2" xfId="13013"/>
    <cellStyle name="20% - Accent6 82 3" xfId="13014"/>
    <cellStyle name="20% - Accent6 82 4" xfId="13015"/>
    <cellStyle name="20% - Accent6 83" xfId="13016"/>
    <cellStyle name="20% - Accent6 83 2" xfId="13017"/>
    <cellStyle name="20% - Accent6 83 2 2" xfId="13018"/>
    <cellStyle name="20% - Accent6 83 3" xfId="13019"/>
    <cellStyle name="20% - Accent6 83 4" xfId="13020"/>
    <cellStyle name="20% - Accent6 84" xfId="13021"/>
    <cellStyle name="20% - Accent6 84 2" xfId="13022"/>
    <cellStyle name="20% - Accent6 84 2 2" xfId="13023"/>
    <cellStyle name="20% - Accent6 84 3" xfId="13024"/>
    <cellStyle name="20% - Accent6 84 4" xfId="13025"/>
    <cellStyle name="20% - Accent6 85" xfId="13026"/>
    <cellStyle name="20% - Accent6 85 2" xfId="13027"/>
    <cellStyle name="20% - Accent6 85 2 2" xfId="13028"/>
    <cellStyle name="20% - Accent6 85 3" xfId="13029"/>
    <cellStyle name="20% - Accent6 85 4" xfId="13030"/>
    <cellStyle name="20% - Accent6 86" xfId="13031"/>
    <cellStyle name="20% - Accent6 86 2" xfId="13032"/>
    <cellStyle name="20% - Accent6 86 2 2" xfId="13033"/>
    <cellStyle name="20% - Accent6 86 3" xfId="13034"/>
    <cellStyle name="20% - Accent6 86 4" xfId="13035"/>
    <cellStyle name="20% - Accent6 87" xfId="13036"/>
    <cellStyle name="20% - Accent6 87 2" xfId="13037"/>
    <cellStyle name="20% - Accent6 87 2 2" xfId="13038"/>
    <cellStyle name="20% - Accent6 87 3" xfId="13039"/>
    <cellStyle name="20% - Accent6 87 4" xfId="13040"/>
    <cellStyle name="20% - Accent6 88" xfId="13041"/>
    <cellStyle name="20% - Accent6 88 2" xfId="13042"/>
    <cellStyle name="20% - Accent6 88 2 2" xfId="13043"/>
    <cellStyle name="20% - Accent6 88 3" xfId="13044"/>
    <cellStyle name="20% - Accent6 88 4" xfId="13045"/>
    <cellStyle name="20% - Accent6 89" xfId="13046"/>
    <cellStyle name="20% - Accent6 89 2" xfId="13047"/>
    <cellStyle name="20% - Accent6 89 2 2" xfId="13048"/>
    <cellStyle name="20% - Accent6 89 3" xfId="13049"/>
    <cellStyle name="20% - Accent6 89 4" xfId="13050"/>
    <cellStyle name="20% - Accent6 9" xfId="13051"/>
    <cellStyle name="20% - Accent6 9 2" xfId="13052"/>
    <cellStyle name="20% - Accent6 9 2 2" xfId="13053"/>
    <cellStyle name="20% - Accent6 9 2 3" xfId="13054"/>
    <cellStyle name="20% - Accent6 9 3" xfId="13055"/>
    <cellStyle name="20% - Accent6 9 3 2" xfId="13056"/>
    <cellStyle name="20% - Accent6 9 3 3" xfId="13057"/>
    <cellStyle name="20% - Accent6 9 4" xfId="13058"/>
    <cellStyle name="20% - Accent6 9 4 2" xfId="13059"/>
    <cellStyle name="20% - Accent6 9 4 3" xfId="13060"/>
    <cellStyle name="20% - Accent6 9 5" xfId="13061"/>
    <cellStyle name="20% - Accent6 9 5 2" xfId="13062"/>
    <cellStyle name="20% - Accent6 9 5 3" xfId="13063"/>
    <cellStyle name="20% - Accent6 9 6" xfId="13064"/>
    <cellStyle name="20% - Accent6 9 6 2" xfId="13065"/>
    <cellStyle name="20% - Accent6 9 6 3" xfId="13066"/>
    <cellStyle name="20% - Accent6 9 7" xfId="13067"/>
    <cellStyle name="20% - Accent6 9 7 2" xfId="13068"/>
    <cellStyle name="20% - Accent6 9 7 3" xfId="13069"/>
    <cellStyle name="20% - Accent6 9 8" xfId="13070"/>
    <cellStyle name="20% - Accent6 9 9" xfId="13071"/>
    <cellStyle name="20% - Accent6 9_2009 Actual" xfId="13072"/>
    <cellStyle name="20% - Accent6 90" xfId="13073"/>
    <cellStyle name="20% - Accent6 90 2" xfId="13074"/>
    <cellStyle name="20% - Accent6 90 2 2" xfId="13075"/>
    <cellStyle name="20% - Accent6 90 3" xfId="13076"/>
    <cellStyle name="20% - Accent6 90 4" xfId="13077"/>
    <cellStyle name="20% - Accent6 91" xfId="13078"/>
    <cellStyle name="20% - Accent6 91 2" xfId="13079"/>
    <cellStyle name="20% - Accent6 91 3" xfId="13080"/>
    <cellStyle name="20% - Accent6 92" xfId="13081"/>
    <cellStyle name="20% - Accent6 92 2" xfId="13082"/>
    <cellStyle name="20% - Accent6 93" xfId="13083"/>
    <cellStyle name="20% - Accent6 93 2" xfId="13084"/>
    <cellStyle name="20% - Accent6 94" xfId="13085"/>
    <cellStyle name="20% - Accent6 94 2" xfId="13086"/>
    <cellStyle name="20% - Accent6 95" xfId="13087"/>
    <cellStyle name="20% - Accent6 95 2" xfId="13088"/>
    <cellStyle name="20% - Accent6 96" xfId="13089"/>
    <cellStyle name="20% - Accent6 96 2" xfId="13090"/>
    <cellStyle name="20% - Accent6 97" xfId="13091"/>
    <cellStyle name="20% - Accent6 97 2" xfId="13092"/>
    <cellStyle name="20% - Accent6 98" xfId="13093"/>
    <cellStyle name="20% - Accent6 98 2" xfId="13094"/>
    <cellStyle name="20% - Accent6 99" xfId="13095"/>
    <cellStyle name="20% - Accent6 99 2" xfId="13096"/>
    <cellStyle name="2-Blue-Input" xfId="13097"/>
    <cellStyle name="3-DarkRed-Data Oth Wks" xfId="13098"/>
    <cellStyle name="40% - Accent1 10" xfId="13099"/>
    <cellStyle name="40% - Accent1 10 2" xfId="13100"/>
    <cellStyle name="40% - Accent1 10 3" xfId="13101"/>
    <cellStyle name="40% - Accent1 10 4" xfId="13102"/>
    <cellStyle name="40% - Accent1 10 5" xfId="13103"/>
    <cellStyle name="40% - Accent1 10 6" xfId="13104"/>
    <cellStyle name="40% - Accent1 10 7" xfId="13105"/>
    <cellStyle name="40% - Accent1 10 8" xfId="13106"/>
    <cellStyle name="40% - Accent1 10_2009 Actual" xfId="13107"/>
    <cellStyle name="40% - Accent1 100" xfId="13108"/>
    <cellStyle name="40% - Accent1 101" xfId="13109"/>
    <cellStyle name="40% - Accent1 102" xfId="13110"/>
    <cellStyle name="40% - Accent1 103" xfId="13111"/>
    <cellStyle name="40% - Accent1 104" xfId="13112"/>
    <cellStyle name="40% - Accent1 105" xfId="13113"/>
    <cellStyle name="40% - Accent1 106" xfId="13114"/>
    <cellStyle name="40% - Accent1 107" xfId="13115"/>
    <cellStyle name="40% - Accent1 108" xfId="13116"/>
    <cellStyle name="40% - Accent1 109" xfId="13117"/>
    <cellStyle name="40% - Accent1 11" xfId="13118"/>
    <cellStyle name="40% - Accent1 11 2" xfId="13119"/>
    <cellStyle name="40% - Accent1 11 3" xfId="13120"/>
    <cellStyle name="40% - Accent1 11 4" xfId="13121"/>
    <cellStyle name="40% - Accent1 11 5" xfId="13122"/>
    <cellStyle name="40% - Accent1 11 6" xfId="13123"/>
    <cellStyle name="40% - Accent1 11 7" xfId="13124"/>
    <cellStyle name="40% - Accent1 11 8" xfId="13125"/>
    <cellStyle name="40% - Accent1 11_2009 Actual" xfId="13126"/>
    <cellStyle name="40% - Accent1 110" xfId="13127"/>
    <cellStyle name="40% - Accent1 111" xfId="13128"/>
    <cellStyle name="40% - Accent1 112" xfId="13129"/>
    <cellStyle name="40% - Accent1 113" xfId="13130"/>
    <cellStyle name="40% - Accent1 114" xfId="13131"/>
    <cellStyle name="40% - Accent1 115" xfId="13132"/>
    <cellStyle name="40% - Accent1 116" xfId="13133"/>
    <cellStyle name="40% - Accent1 117" xfId="13134"/>
    <cellStyle name="40% - Accent1 118" xfId="13135"/>
    <cellStyle name="40% - Accent1 119" xfId="13136"/>
    <cellStyle name="40% - Accent1 12" xfId="13137"/>
    <cellStyle name="40% - Accent1 12 10" xfId="13138"/>
    <cellStyle name="40% - Accent1 12 11" xfId="13139"/>
    <cellStyle name="40% - Accent1 12 2" xfId="13140"/>
    <cellStyle name="40% - Accent1 12 2 2" xfId="13141"/>
    <cellStyle name="40% - Accent1 12 2 3" xfId="13142"/>
    <cellStyle name="40% - Accent1 12 2_Elec Margin Analysis" xfId="13143"/>
    <cellStyle name="40% - Accent1 12 3" xfId="13144"/>
    <cellStyle name="40% - Accent1 12 3 2" xfId="13145"/>
    <cellStyle name="40% - Accent1 12 3 3" xfId="13146"/>
    <cellStyle name="40% - Accent1 12 3_Elec Margin Analysis" xfId="13147"/>
    <cellStyle name="40% - Accent1 12 4" xfId="13148"/>
    <cellStyle name="40% - Accent1 12 4 2" xfId="13149"/>
    <cellStyle name="40% - Accent1 12 4 3" xfId="13150"/>
    <cellStyle name="40% - Accent1 12 4_Elec Margin Analysis" xfId="13151"/>
    <cellStyle name="40% - Accent1 12 5" xfId="13152"/>
    <cellStyle name="40% - Accent1 12 5 2" xfId="13153"/>
    <cellStyle name="40% - Accent1 12 5 3" xfId="13154"/>
    <cellStyle name="40% - Accent1 12 5_Elec Margin Analysis" xfId="13155"/>
    <cellStyle name="40% - Accent1 12 6" xfId="13156"/>
    <cellStyle name="40% - Accent1 12 6 2" xfId="13157"/>
    <cellStyle name="40% - Accent1 12 6 3" xfId="13158"/>
    <cellStyle name="40% - Accent1 12 7" xfId="13159"/>
    <cellStyle name="40% - Accent1 12 8" xfId="13160"/>
    <cellStyle name="40% - Accent1 12 9" xfId="13161"/>
    <cellStyle name="40% - Accent1 12_2009 Actual" xfId="13162"/>
    <cellStyle name="40% - Accent1 120" xfId="13163"/>
    <cellStyle name="40% - Accent1 13" xfId="13164"/>
    <cellStyle name="40% - Accent1 13 2" xfId="13165"/>
    <cellStyle name="40% - Accent1 13 3" xfId="13166"/>
    <cellStyle name="40% - Accent1 13 4" xfId="13167"/>
    <cellStyle name="40% - Accent1 13 5" xfId="13168"/>
    <cellStyle name="40% - Accent1 13 6" xfId="13169"/>
    <cellStyle name="40% - Accent1 13 7" xfId="13170"/>
    <cellStyle name="40% - Accent1 13_2009 Actual" xfId="13171"/>
    <cellStyle name="40% - Accent1 14" xfId="13172"/>
    <cellStyle name="40% - Accent1 14 2" xfId="13173"/>
    <cellStyle name="40% - Accent1 14 3" xfId="13174"/>
    <cellStyle name="40% - Accent1 14 4" xfId="13175"/>
    <cellStyle name="40% - Accent1 14 5" xfId="13176"/>
    <cellStyle name="40% - Accent1 14 6" xfId="13177"/>
    <cellStyle name="40% - Accent1 14 7" xfId="13178"/>
    <cellStyle name="40% - Accent1 14_2009 Actual" xfId="13179"/>
    <cellStyle name="40% - Accent1 15" xfId="13180"/>
    <cellStyle name="40% - Accent1 15 2" xfId="13181"/>
    <cellStyle name="40% - Accent1 15 3" xfId="13182"/>
    <cellStyle name="40% - Accent1 15 4" xfId="13183"/>
    <cellStyle name="40% - Accent1 15 5" xfId="13184"/>
    <cellStyle name="40% - Accent1 15 6" xfId="13185"/>
    <cellStyle name="40% - Accent1 15_BHP" xfId="13186"/>
    <cellStyle name="40% - Accent1 16" xfId="13187"/>
    <cellStyle name="40% - Accent1 17" xfId="13188"/>
    <cellStyle name="40% - Accent1 18" xfId="13189"/>
    <cellStyle name="40% - Accent1 19" xfId="13190"/>
    <cellStyle name="40% - Accent1 19 2" xfId="13191"/>
    <cellStyle name="40% - Accent1 19 3" xfId="13192"/>
    <cellStyle name="40% - Accent1 19_Elec Margin Analysis" xfId="13193"/>
    <cellStyle name="40% - Accent1 2" xfId="13194"/>
    <cellStyle name="40% - Accent1 2 10" xfId="13195"/>
    <cellStyle name="40% - Accent1 2 10 2" xfId="13196"/>
    <cellStyle name="40% - Accent1 2 10 3" xfId="13197"/>
    <cellStyle name="40% - Accent1 2 10 4" xfId="13198"/>
    <cellStyle name="40% - Accent1 2 10 5" xfId="13199"/>
    <cellStyle name="40% - Accent1 2 10 5 2" xfId="13200"/>
    <cellStyle name="40% - Accent1 2 10_BHP" xfId="13201"/>
    <cellStyle name="40% - Accent1 2 100" xfId="13202"/>
    <cellStyle name="40% - Accent1 2 100 2" xfId="13203"/>
    <cellStyle name="40% - Accent1 2 100 2 2" xfId="13204"/>
    <cellStyle name="40% - Accent1 2 100 3" xfId="13205"/>
    <cellStyle name="40% - Accent1 2 100 4" xfId="13206"/>
    <cellStyle name="40% - Accent1 2 101" xfId="13207"/>
    <cellStyle name="40% - Accent1 2 101 2" xfId="13208"/>
    <cellStyle name="40% - Accent1 2 101 2 2" xfId="13209"/>
    <cellStyle name="40% - Accent1 2 101 3" xfId="13210"/>
    <cellStyle name="40% - Accent1 2 101 4" xfId="13211"/>
    <cellStyle name="40% - Accent1 2 102" xfId="13212"/>
    <cellStyle name="40% - Accent1 2 102 2" xfId="13213"/>
    <cellStyle name="40% - Accent1 2 102 2 2" xfId="13214"/>
    <cellStyle name="40% - Accent1 2 102 3" xfId="13215"/>
    <cellStyle name="40% - Accent1 2 102 4" xfId="13216"/>
    <cellStyle name="40% - Accent1 2 103" xfId="13217"/>
    <cellStyle name="40% - Accent1 2 103 2" xfId="13218"/>
    <cellStyle name="40% - Accent1 2 103 2 2" xfId="13219"/>
    <cellStyle name="40% - Accent1 2 103 3" xfId="13220"/>
    <cellStyle name="40% - Accent1 2 103 4" xfId="13221"/>
    <cellStyle name="40% - Accent1 2 104" xfId="13222"/>
    <cellStyle name="40% - Accent1 2 104 2" xfId="13223"/>
    <cellStyle name="40% - Accent1 2 104 2 2" xfId="13224"/>
    <cellStyle name="40% - Accent1 2 104 3" xfId="13225"/>
    <cellStyle name="40% - Accent1 2 104 4" xfId="13226"/>
    <cellStyle name="40% - Accent1 2 105" xfId="13227"/>
    <cellStyle name="40% - Accent1 2 105 2" xfId="13228"/>
    <cellStyle name="40% - Accent1 2 105 2 2" xfId="13229"/>
    <cellStyle name="40% - Accent1 2 105 3" xfId="13230"/>
    <cellStyle name="40% - Accent1 2 105 4" xfId="13231"/>
    <cellStyle name="40% - Accent1 2 106" xfId="13232"/>
    <cellStyle name="40% - Accent1 2 106 2" xfId="13233"/>
    <cellStyle name="40% - Accent1 2 106 2 2" xfId="13234"/>
    <cellStyle name="40% - Accent1 2 106 3" xfId="13235"/>
    <cellStyle name="40% - Accent1 2 106 4" xfId="13236"/>
    <cellStyle name="40% - Accent1 2 107" xfId="13237"/>
    <cellStyle name="40% - Accent1 2 107 2" xfId="13238"/>
    <cellStyle name="40% - Accent1 2 107 2 2" xfId="13239"/>
    <cellStyle name="40% - Accent1 2 107 3" xfId="13240"/>
    <cellStyle name="40% - Accent1 2 107 4" xfId="13241"/>
    <cellStyle name="40% - Accent1 2 108" xfId="13242"/>
    <cellStyle name="40% - Accent1 2 108 2" xfId="13243"/>
    <cellStyle name="40% - Accent1 2 108 2 2" xfId="13244"/>
    <cellStyle name="40% - Accent1 2 108 3" xfId="13245"/>
    <cellStyle name="40% - Accent1 2 108 4" xfId="13246"/>
    <cellStyle name="40% - Accent1 2 109" xfId="13247"/>
    <cellStyle name="40% - Accent1 2 109 2" xfId="13248"/>
    <cellStyle name="40% - Accent1 2 109 2 2" xfId="13249"/>
    <cellStyle name="40% - Accent1 2 109 3" xfId="13250"/>
    <cellStyle name="40% - Accent1 2 109 4" xfId="13251"/>
    <cellStyle name="40% - Accent1 2 11" xfId="13252"/>
    <cellStyle name="40% - Accent1 2 11 2" xfId="13253"/>
    <cellStyle name="40% - Accent1 2 11 3" xfId="13254"/>
    <cellStyle name="40% - Accent1 2 110" xfId="13255"/>
    <cellStyle name="40% - Accent1 2 110 2" xfId="13256"/>
    <cellStyle name="40% - Accent1 2 110 2 2" xfId="13257"/>
    <cellStyle name="40% - Accent1 2 110 3" xfId="13258"/>
    <cellStyle name="40% - Accent1 2 110 4" xfId="13259"/>
    <cellStyle name="40% - Accent1 2 111" xfId="13260"/>
    <cellStyle name="40% - Accent1 2 111 2" xfId="13261"/>
    <cellStyle name="40% - Accent1 2 111 2 2" xfId="13262"/>
    <cellStyle name="40% - Accent1 2 111 3" xfId="13263"/>
    <cellStyle name="40% - Accent1 2 111 4" xfId="13264"/>
    <cellStyle name="40% - Accent1 2 112" xfId="13265"/>
    <cellStyle name="40% - Accent1 2 112 2" xfId="13266"/>
    <cellStyle name="40% - Accent1 2 112 2 2" xfId="13267"/>
    <cellStyle name="40% - Accent1 2 112 3" xfId="13268"/>
    <cellStyle name="40% - Accent1 2 112 4" xfId="13269"/>
    <cellStyle name="40% - Accent1 2 113" xfId="13270"/>
    <cellStyle name="40% - Accent1 2 113 2" xfId="13271"/>
    <cellStyle name="40% - Accent1 2 113 2 2" xfId="13272"/>
    <cellStyle name="40% - Accent1 2 113 3" xfId="13273"/>
    <cellStyle name="40% - Accent1 2 113 4" xfId="13274"/>
    <cellStyle name="40% - Accent1 2 114" xfId="13275"/>
    <cellStyle name="40% - Accent1 2 114 2" xfId="13276"/>
    <cellStyle name="40% - Accent1 2 114 2 2" xfId="13277"/>
    <cellStyle name="40% - Accent1 2 114 3" xfId="13278"/>
    <cellStyle name="40% - Accent1 2 114 4" xfId="13279"/>
    <cellStyle name="40% - Accent1 2 115" xfId="13280"/>
    <cellStyle name="40% - Accent1 2 115 2" xfId="13281"/>
    <cellStyle name="40% - Accent1 2 115 2 2" xfId="13282"/>
    <cellStyle name="40% - Accent1 2 115 3" xfId="13283"/>
    <cellStyle name="40% - Accent1 2 115 4" xfId="13284"/>
    <cellStyle name="40% - Accent1 2 116" xfId="13285"/>
    <cellStyle name="40% - Accent1 2 116 2" xfId="13286"/>
    <cellStyle name="40% - Accent1 2 116 2 2" xfId="13287"/>
    <cellStyle name="40% - Accent1 2 116 3" xfId="13288"/>
    <cellStyle name="40% - Accent1 2 116 4" xfId="13289"/>
    <cellStyle name="40% - Accent1 2 117" xfId="13290"/>
    <cellStyle name="40% - Accent1 2 117 2" xfId="13291"/>
    <cellStyle name="40% - Accent1 2 117 2 2" xfId="13292"/>
    <cellStyle name="40% - Accent1 2 117 3" xfId="13293"/>
    <cellStyle name="40% - Accent1 2 117 4" xfId="13294"/>
    <cellStyle name="40% - Accent1 2 118" xfId="13295"/>
    <cellStyle name="40% - Accent1 2 118 2" xfId="13296"/>
    <cellStyle name="40% - Accent1 2 119" xfId="13297"/>
    <cellStyle name="40% - Accent1 2 119 2" xfId="13298"/>
    <cellStyle name="40% - Accent1 2 12" xfId="13299"/>
    <cellStyle name="40% - Accent1 2 12 2" xfId="13300"/>
    <cellStyle name="40% - Accent1 2 120" xfId="13301"/>
    <cellStyle name="40% - Accent1 2 120 2" xfId="13302"/>
    <cellStyle name="40% - Accent1 2 121" xfId="13303"/>
    <cellStyle name="40% - Accent1 2 121 2" xfId="13304"/>
    <cellStyle name="40% - Accent1 2 122" xfId="13305"/>
    <cellStyle name="40% - Accent1 2 123" xfId="13306"/>
    <cellStyle name="40% - Accent1 2 124" xfId="13307"/>
    <cellStyle name="40% - Accent1 2 125" xfId="13308"/>
    <cellStyle name="40% - Accent1 2 126" xfId="13309"/>
    <cellStyle name="40% - Accent1 2 127" xfId="13310"/>
    <cellStyle name="40% - Accent1 2 128" xfId="13311"/>
    <cellStyle name="40% - Accent1 2 129" xfId="13312"/>
    <cellStyle name="40% - Accent1 2 13" xfId="13313"/>
    <cellStyle name="40% - Accent1 2 130" xfId="13314"/>
    <cellStyle name="40% - Accent1 2 131" xfId="13315"/>
    <cellStyle name="40% - Accent1 2 132" xfId="13316"/>
    <cellStyle name="40% - Accent1 2 133" xfId="13317"/>
    <cellStyle name="40% - Accent1 2 134" xfId="13318"/>
    <cellStyle name="40% - Accent1 2 135" xfId="13319"/>
    <cellStyle name="40% - Accent1 2 136" xfId="13320"/>
    <cellStyle name="40% - Accent1 2 137" xfId="13321"/>
    <cellStyle name="40% - Accent1 2 138" xfId="13322"/>
    <cellStyle name="40% - Accent1 2 139" xfId="13323"/>
    <cellStyle name="40% - Accent1 2 14" xfId="13324"/>
    <cellStyle name="40% - Accent1 2 140" xfId="13325"/>
    <cellStyle name="40% - Accent1 2 141" xfId="13326"/>
    <cellStyle name="40% - Accent1 2 142" xfId="13327"/>
    <cellStyle name="40% - Accent1 2 15" xfId="13328"/>
    <cellStyle name="40% - Accent1 2 16" xfId="13329"/>
    <cellStyle name="40% - Accent1 2 17" xfId="13330"/>
    <cellStyle name="40% - Accent1 2 18" xfId="13331"/>
    <cellStyle name="40% - Accent1 2 18 2" xfId="13332"/>
    <cellStyle name="40% - Accent1 2 18 2 2" xfId="13333"/>
    <cellStyle name="40% - Accent1 2 18 2 2 2" xfId="13334"/>
    <cellStyle name="40% - Accent1 2 18 2 2 3" xfId="13335"/>
    <cellStyle name="40% - Accent1 2 18 2 3" xfId="13336"/>
    <cellStyle name="40% - Accent1 2 18 2 3 2" xfId="13337"/>
    <cellStyle name="40% - Accent1 2 18 2 4" xfId="13338"/>
    <cellStyle name="40% - Accent1 2 18 2 5" xfId="13339"/>
    <cellStyle name="40% - Accent1 2 18 3" xfId="13340"/>
    <cellStyle name="40% - Accent1 2 18 3 2" xfId="13341"/>
    <cellStyle name="40% - Accent1 2 18 3 2 2" xfId="13342"/>
    <cellStyle name="40% - Accent1 2 18 3 3" xfId="13343"/>
    <cellStyle name="40% - Accent1 2 18 3 4" xfId="13344"/>
    <cellStyle name="40% - Accent1 2 18 4" xfId="13345"/>
    <cellStyle name="40% - Accent1 2 18 4 2" xfId="13346"/>
    <cellStyle name="40% - Accent1 2 18 4 2 2" xfId="13347"/>
    <cellStyle name="40% - Accent1 2 18 4 3" xfId="13348"/>
    <cellStyle name="40% - Accent1 2 18 4 4" xfId="13349"/>
    <cellStyle name="40% - Accent1 2 18 5" xfId="13350"/>
    <cellStyle name="40% - Accent1 2 18 5 2" xfId="13351"/>
    <cellStyle name="40% - Accent1 2 18 6" xfId="13352"/>
    <cellStyle name="40% - Accent1 2 18 7" xfId="13353"/>
    <cellStyle name="40% - Accent1 2 18 8" xfId="13354"/>
    <cellStyle name="40% - Accent1 2 19" xfId="13355"/>
    <cellStyle name="40% - Accent1 2 19 2" xfId="13356"/>
    <cellStyle name="40% - Accent1 2 19 2 2" xfId="13357"/>
    <cellStyle name="40% - Accent1 2 19 2 2 2" xfId="13358"/>
    <cellStyle name="40% - Accent1 2 19 2 2 3" xfId="13359"/>
    <cellStyle name="40% - Accent1 2 19 2 3" xfId="13360"/>
    <cellStyle name="40% - Accent1 2 19 2 3 2" xfId="13361"/>
    <cellStyle name="40% - Accent1 2 19 2 4" xfId="13362"/>
    <cellStyle name="40% - Accent1 2 19 2 5" xfId="13363"/>
    <cellStyle name="40% - Accent1 2 19 3" xfId="13364"/>
    <cellStyle name="40% - Accent1 2 19 3 2" xfId="13365"/>
    <cellStyle name="40% - Accent1 2 19 3 2 2" xfId="13366"/>
    <cellStyle name="40% - Accent1 2 19 3 3" xfId="13367"/>
    <cellStyle name="40% - Accent1 2 19 3 4" xfId="13368"/>
    <cellStyle name="40% - Accent1 2 19 4" xfId="13369"/>
    <cellStyle name="40% - Accent1 2 19 4 2" xfId="13370"/>
    <cellStyle name="40% - Accent1 2 19 4 2 2" xfId="13371"/>
    <cellStyle name="40% - Accent1 2 19 4 3" xfId="13372"/>
    <cellStyle name="40% - Accent1 2 19 4 4" xfId="13373"/>
    <cellStyle name="40% - Accent1 2 19 5" xfId="13374"/>
    <cellStyle name="40% - Accent1 2 19 5 2" xfId="13375"/>
    <cellStyle name="40% - Accent1 2 19 6" xfId="13376"/>
    <cellStyle name="40% - Accent1 2 19 7" xfId="13377"/>
    <cellStyle name="40% - Accent1 2 19 8" xfId="13378"/>
    <cellStyle name="40% - Accent1 2 2" xfId="13379"/>
    <cellStyle name="40% - Accent1 2 2 10" xfId="13380"/>
    <cellStyle name="40% - Accent1 2 2 11" xfId="13381"/>
    <cellStyle name="40% - Accent1 2 2 12" xfId="13382"/>
    <cellStyle name="40% - Accent1 2 2 12 2" xfId="13383"/>
    <cellStyle name="40% - Accent1 2 2 12 2 2" xfId="13384"/>
    <cellStyle name="40% - Accent1 2 2 12 2 2 2" xfId="13385"/>
    <cellStyle name="40% - Accent1 2 2 12 2 2 3" xfId="13386"/>
    <cellStyle name="40% - Accent1 2 2 12 2 3" xfId="13387"/>
    <cellStyle name="40% - Accent1 2 2 12 2 3 2" xfId="13388"/>
    <cellStyle name="40% - Accent1 2 2 12 2 4" xfId="13389"/>
    <cellStyle name="40% - Accent1 2 2 12 2 5" xfId="13390"/>
    <cellStyle name="40% - Accent1 2 2 12 3" xfId="13391"/>
    <cellStyle name="40% - Accent1 2 2 12 3 2" xfId="13392"/>
    <cellStyle name="40% - Accent1 2 2 12 3 2 2" xfId="13393"/>
    <cellStyle name="40% - Accent1 2 2 12 3 3" xfId="13394"/>
    <cellStyle name="40% - Accent1 2 2 12 3 4" xfId="13395"/>
    <cellStyle name="40% - Accent1 2 2 12 4" xfId="13396"/>
    <cellStyle name="40% - Accent1 2 2 12 4 2" xfId="13397"/>
    <cellStyle name="40% - Accent1 2 2 12 4 2 2" xfId="13398"/>
    <cellStyle name="40% - Accent1 2 2 12 4 3" xfId="13399"/>
    <cellStyle name="40% - Accent1 2 2 12 4 4" xfId="13400"/>
    <cellStyle name="40% - Accent1 2 2 12 5" xfId="13401"/>
    <cellStyle name="40% - Accent1 2 2 12 5 2" xfId="13402"/>
    <cellStyle name="40% - Accent1 2 2 12 6" xfId="13403"/>
    <cellStyle name="40% - Accent1 2 2 12 7" xfId="13404"/>
    <cellStyle name="40% - Accent1 2 2 12 8" xfId="13405"/>
    <cellStyle name="40% - Accent1 2 2 13" xfId="13406"/>
    <cellStyle name="40% - Accent1 2 2 13 2" xfId="13407"/>
    <cellStyle name="40% - Accent1 2 2 13 2 2" xfId="13408"/>
    <cellStyle name="40% - Accent1 2 2 13 2 2 2" xfId="13409"/>
    <cellStyle name="40% - Accent1 2 2 13 2 2 3" xfId="13410"/>
    <cellStyle name="40% - Accent1 2 2 13 2 3" xfId="13411"/>
    <cellStyle name="40% - Accent1 2 2 13 2 3 2" xfId="13412"/>
    <cellStyle name="40% - Accent1 2 2 13 2 4" xfId="13413"/>
    <cellStyle name="40% - Accent1 2 2 13 2 5" xfId="13414"/>
    <cellStyle name="40% - Accent1 2 2 13 3" xfId="13415"/>
    <cellStyle name="40% - Accent1 2 2 13 3 2" xfId="13416"/>
    <cellStyle name="40% - Accent1 2 2 13 3 2 2" xfId="13417"/>
    <cellStyle name="40% - Accent1 2 2 13 3 3" xfId="13418"/>
    <cellStyle name="40% - Accent1 2 2 13 3 4" xfId="13419"/>
    <cellStyle name="40% - Accent1 2 2 13 4" xfId="13420"/>
    <cellStyle name="40% - Accent1 2 2 13 4 2" xfId="13421"/>
    <cellStyle name="40% - Accent1 2 2 13 4 2 2" xfId="13422"/>
    <cellStyle name="40% - Accent1 2 2 13 4 3" xfId="13423"/>
    <cellStyle name="40% - Accent1 2 2 13 4 4" xfId="13424"/>
    <cellStyle name="40% - Accent1 2 2 13 5" xfId="13425"/>
    <cellStyle name="40% - Accent1 2 2 13 5 2" xfId="13426"/>
    <cellStyle name="40% - Accent1 2 2 13 6" xfId="13427"/>
    <cellStyle name="40% - Accent1 2 2 13 7" xfId="13428"/>
    <cellStyle name="40% - Accent1 2 2 13 8" xfId="13429"/>
    <cellStyle name="40% - Accent1 2 2 14" xfId="13430"/>
    <cellStyle name="40% - Accent1 2 2 14 2" xfId="13431"/>
    <cellStyle name="40% - Accent1 2 2 14 2 2" xfId="13432"/>
    <cellStyle name="40% - Accent1 2 2 14 2 2 2" xfId="13433"/>
    <cellStyle name="40% - Accent1 2 2 14 2 2 3" xfId="13434"/>
    <cellStyle name="40% - Accent1 2 2 14 2 3" xfId="13435"/>
    <cellStyle name="40% - Accent1 2 2 14 2 3 2" xfId="13436"/>
    <cellStyle name="40% - Accent1 2 2 14 2 4" xfId="13437"/>
    <cellStyle name="40% - Accent1 2 2 14 2 5" xfId="13438"/>
    <cellStyle name="40% - Accent1 2 2 14 3" xfId="13439"/>
    <cellStyle name="40% - Accent1 2 2 14 3 2" xfId="13440"/>
    <cellStyle name="40% - Accent1 2 2 14 3 2 2" xfId="13441"/>
    <cellStyle name="40% - Accent1 2 2 14 3 3" xfId="13442"/>
    <cellStyle name="40% - Accent1 2 2 14 3 4" xfId="13443"/>
    <cellStyle name="40% - Accent1 2 2 14 4" xfId="13444"/>
    <cellStyle name="40% - Accent1 2 2 14 4 2" xfId="13445"/>
    <cellStyle name="40% - Accent1 2 2 14 4 2 2" xfId="13446"/>
    <cellStyle name="40% - Accent1 2 2 14 4 3" xfId="13447"/>
    <cellStyle name="40% - Accent1 2 2 14 4 4" xfId="13448"/>
    <cellStyle name="40% - Accent1 2 2 14 5" xfId="13449"/>
    <cellStyle name="40% - Accent1 2 2 14 5 2" xfId="13450"/>
    <cellStyle name="40% - Accent1 2 2 14 6" xfId="13451"/>
    <cellStyle name="40% - Accent1 2 2 14 7" xfId="13452"/>
    <cellStyle name="40% - Accent1 2 2 14 8" xfId="13453"/>
    <cellStyle name="40% - Accent1 2 2 2" xfId="13454"/>
    <cellStyle name="40% - Accent1 2 2 2 10" xfId="13455"/>
    <cellStyle name="40% - Accent1 2 2 2 11" xfId="13456"/>
    <cellStyle name="40% - Accent1 2 2 2 2" xfId="13457"/>
    <cellStyle name="40% - Accent1 2 2 2 3" xfId="13458"/>
    <cellStyle name="40% - Accent1 2 2 2 4" xfId="13459"/>
    <cellStyle name="40% - Accent1 2 2 2 5" xfId="13460"/>
    <cellStyle name="40% - Accent1 2 2 2 6" xfId="13461"/>
    <cellStyle name="40% - Accent1 2 2 2 7" xfId="13462"/>
    <cellStyle name="40% - Accent1 2 2 2 8" xfId="13463"/>
    <cellStyle name="40% - Accent1 2 2 2 9" xfId="13464"/>
    <cellStyle name="40% - Accent1 2 2 2_4Q Ops Metrics Gas &amp; Electric 2010" xfId="13465"/>
    <cellStyle name="40% - Accent1 2 2 3" xfId="13466"/>
    <cellStyle name="40% - Accent1 2 2 3 2" xfId="13467"/>
    <cellStyle name="40% - Accent1 2 2 4" xfId="13468"/>
    <cellStyle name="40% - Accent1 2 2 4 2" xfId="13469"/>
    <cellStyle name="40% - Accent1 2 2 5" xfId="13470"/>
    <cellStyle name="40% - Accent1 2 2 5 2" xfId="13471"/>
    <cellStyle name="40% - Accent1 2 2 6" xfId="13472"/>
    <cellStyle name="40% - Accent1 2 2 6 2" xfId="13473"/>
    <cellStyle name="40% - Accent1 2 2 7" xfId="13474"/>
    <cellStyle name="40% - Accent1 2 2 7 2" xfId="13475"/>
    <cellStyle name="40% - Accent1 2 2 8" xfId="13476"/>
    <cellStyle name="40% - Accent1 2 2 9" xfId="13477"/>
    <cellStyle name="40% - Accent1 2 2_2009 Actual" xfId="13478"/>
    <cellStyle name="40% - Accent1 2 20" xfId="13479"/>
    <cellStyle name="40% - Accent1 2 20 2" xfId="13480"/>
    <cellStyle name="40% - Accent1 2 20 2 2" xfId="13481"/>
    <cellStyle name="40% - Accent1 2 20 2 2 2" xfId="13482"/>
    <cellStyle name="40% - Accent1 2 20 2 2 3" xfId="13483"/>
    <cellStyle name="40% - Accent1 2 20 2 3" xfId="13484"/>
    <cellStyle name="40% - Accent1 2 20 2 3 2" xfId="13485"/>
    <cellStyle name="40% - Accent1 2 20 2 4" xfId="13486"/>
    <cellStyle name="40% - Accent1 2 20 2 5" xfId="13487"/>
    <cellStyle name="40% - Accent1 2 20 3" xfId="13488"/>
    <cellStyle name="40% - Accent1 2 20 3 2" xfId="13489"/>
    <cellStyle name="40% - Accent1 2 20 3 2 2" xfId="13490"/>
    <cellStyle name="40% - Accent1 2 20 3 3" xfId="13491"/>
    <cellStyle name="40% - Accent1 2 20 3 4" xfId="13492"/>
    <cellStyle name="40% - Accent1 2 20 4" xfId="13493"/>
    <cellStyle name="40% - Accent1 2 20 4 2" xfId="13494"/>
    <cellStyle name="40% - Accent1 2 20 4 2 2" xfId="13495"/>
    <cellStyle name="40% - Accent1 2 20 4 3" xfId="13496"/>
    <cellStyle name="40% - Accent1 2 20 4 4" xfId="13497"/>
    <cellStyle name="40% - Accent1 2 20 5" xfId="13498"/>
    <cellStyle name="40% - Accent1 2 20 5 2" xfId="13499"/>
    <cellStyle name="40% - Accent1 2 20 6" xfId="13500"/>
    <cellStyle name="40% - Accent1 2 20 7" xfId="13501"/>
    <cellStyle name="40% - Accent1 2 20 8" xfId="13502"/>
    <cellStyle name="40% - Accent1 2 21" xfId="13503"/>
    <cellStyle name="40% - Accent1 2 21 2" xfId="13504"/>
    <cellStyle name="40% - Accent1 2 21 2 2" xfId="13505"/>
    <cellStyle name="40% - Accent1 2 21 2 2 2" xfId="13506"/>
    <cellStyle name="40% - Accent1 2 21 2 2 3" xfId="13507"/>
    <cellStyle name="40% - Accent1 2 21 2 3" xfId="13508"/>
    <cellStyle name="40% - Accent1 2 21 2 3 2" xfId="13509"/>
    <cellStyle name="40% - Accent1 2 21 2 4" xfId="13510"/>
    <cellStyle name="40% - Accent1 2 21 2 5" xfId="13511"/>
    <cellStyle name="40% - Accent1 2 21 3" xfId="13512"/>
    <cellStyle name="40% - Accent1 2 21 3 2" xfId="13513"/>
    <cellStyle name="40% - Accent1 2 21 3 2 2" xfId="13514"/>
    <cellStyle name="40% - Accent1 2 21 3 3" xfId="13515"/>
    <cellStyle name="40% - Accent1 2 21 3 4" xfId="13516"/>
    <cellStyle name="40% - Accent1 2 21 4" xfId="13517"/>
    <cellStyle name="40% - Accent1 2 21 4 2" xfId="13518"/>
    <cellStyle name="40% - Accent1 2 21 4 2 2" xfId="13519"/>
    <cellStyle name="40% - Accent1 2 21 4 3" xfId="13520"/>
    <cellStyle name="40% - Accent1 2 21 4 4" xfId="13521"/>
    <cellStyle name="40% - Accent1 2 21 5" xfId="13522"/>
    <cellStyle name="40% - Accent1 2 21 5 2" xfId="13523"/>
    <cellStyle name="40% - Accent1 2 21 6" xfId="13524"/>
    <cellStyle name="40% - Accent1 2 21 7" xfId="13525"/>
    <cellStyle name="40% - Accent1 2 21 8" xfId="13526"/>
    <cellStyle name="40% - Accent1 2 22" xfId="13527"/>
    <cellStyle name="40% - Accent1 2 22 2" xfId="13528"/>
    <cellStyle name="40% - Accent1 2 22 2 2" xfId="13529"/>
    <cellStyle name="40% - Accent1 2 22 2 2 2" xfId="13530"/>
    <cellStyle name="40% - Accent1 2 22 2 2 3" xfId="13531"/>
    <cellStyle name="40% - Accent1 2 22 2 3" xfId="13532"/>
    <cellStyle name="40% - Accent1 2 22 2 3 2" xfId="13533"/>
    <cellStyle name="40% - Accent1 2 22 2 4" xfId="13534"/>
    <cellStyle name="40% - Accent1 2 22 2 5" xfId="13535"/>
    <cellStyle name="40% - Accent1 2 22 3" xfId="13536"/>
    <cellStyle name="40% - Accent1 2 22 3 2" xfId="13537"/>
    <cellStyle name="40% - Accent1 2 22 3 2 2" xfId="13538"/>
    <cellStyle name="40% - Accent1 2 22 3 3" xfId="13539"/>
    <cellStyle name="40% - Accent1 2 22 3 4" xfId="13540"/>
    <cellStyle name="40% - Accent1 2 22 4" xfId="13541"/>
    <cellStyle name="40% - Accent1 2 22 4 2" xfId="13542"/>
    <cellStyle name="40% - Accent1 2 22 4 2 2" xfId="13543"/>
    <cellStyle name="40% - Accent1 2 22 4 3" xfId="13544"/>
    <cellStyle name="40% - Accent1 2 22 4 4" xfId="13545"/>
    <cellStyle name="40% - Accent1 2 22 5" xfId="13546"/>
    <cellStyle name="40% - Accent1 2 22 5 2" xfId="13547"/>
    <cellStyle name="40% - Accent1 2 22 6" xfId="13548"/>
    <cellStyle name="40% - Accent1 2 22 7" xfId="13549"/>
    <cellStyle name="40% - Accent1 2 22 8" xfId="13550"/>
    <cellStyle name="40% - Accent1 2 23" xfId="13551"/>
    <cellStyle name="40% - Accent1 2 23 2" xfId="13552"/>
    <cellStyle name="40% - Accent1 2 23 2 2" xfId="13553"/>
    <cellStyle name="40% - Accent1 2 23 2 2 2" xfId="13554"/>
    <cellStyle name="40% - Accent1 2 23 2 2 3" xfId="13555"/>
    <cellStyle name="40% - Accent1 2 23 2 3" xfId="13556"/>
    <cellStyle name="40% - Accent1 2 23 2 3 2" xfId="13557"/>
    <cellStyle name="40% - Accent1 2 23 2 4" xfId="13558"/>
    <cellStyle name="40% - Accent1 2 23 2 5" xfId="13559"/>
    <cellStyle name="40% - Accent1 2 23 3" xfId="13560"/>
    <cellStyle name="40% - Accent1 2 23 3 2" xfId="13561"/>
    <cellStyle name="40% - Accent1 2 23 3 2 2" xfId="13562"/>
    <cellStyle name="40% - Accent1 2 23 3 3" xfId="13563"/>
    <cellStyle name="40% - Accent1 2 23 3 4" xfId="13564"/>
    <cellStyle name="40% - Accent1 2 23 4" xfId="13565"/>
    <cellStyle name="40% - Accent1 2 23 4 2" xfId="13566"/>
    <cellStyle name="40% - Accent1 2 23 4 2 2" xfId="13567"/>
    <cellStyle name="40% - Accent1 2 23 4 3" xfId="13568"/>
    <cellStyle name="40% - Accent1 2 23 4 4" xfId="13569"/>
    <cellStyle name="40% - Accent1 2 23 5" xfId="13570"/>
    <cellStyle name="40% - Accent1 2 23 5 2" xfId="13571"/>
    <cellStyle name="40% - Accent1 2 23 6" xfId="13572"/>
    <cellStyle name="40% - Accent1 2 23 7" xfId="13573"/>
    <cellStyle name="40% - Accent1 2 23 8" xfId="13574"/>
    <cellStyle name="40% - Accent1 2 24" xfId="13575"/>
    <cellStyle name="40% - Accent1 2 24 2" xfId="13576"/>
    <cellStyle name="40% - Accent1 2 24 2 2" xfId="13577"/>
    <cellStyle name="40% - Accent1 2 24 2 2 2" xfId="13578"/>
    <cellStyle name="40% - Accent1 2 24 2 2 3" xfId="13579"/>
    <cellStyle name="40% - Accent1 2 24 2 3" xfId="13580"/>
    <cellStyle name="40% - Accent1 2 24 2 3 2" xfId="13581"/>
    <cellStyle name="40% - Accent1 2 24 2 4" xfId="13582"/>
    <cellStyle name="40% - Accent1 2 24 2 5" xfId="13583"/>
    <cellStyle name="40% - Accent1 2 24 3" xfId="13584"/>
    <cellStyle name="40% - Accent1 2 24 3 2" xfId="13585"/>
    <cellStyle name="40% - Accent1 2 24 3 2 2" xfId="13586"/>
    <cellStyle name="40% - Accent1 2 24 3 3" xfId="13587"/>
    <cellStyle name="40% - Accent1 2 24 3 4" xfId="13588"/>
    <cellStyle name="40% - Accent1 2 24 4" xfId="13589"/>
    <cellStyle name="40% - Accent1 2 24 4 2" xfId="13590"/>
    <cellStyle name="40% - Accent1 2 24 4 2 2" xfId="13591"/>
    <cellStyle name="40% - Accent1 2 24 4 3" xfId="13592"/>
    <cellStyle name="40% - Accent1 2 24 4 4" xfId="13593"/>
    <cellStyle name="40% - Accent1 2 24 5" xfId="13594"/>
    <cellStyle name="40% - Accent1 2 24 5 2" xfId="13595"/>
    <cellStyle name="40% - Accent1 2 24 6" xfId="13596"/>
    <cellStyle name="40% - Accent1 2 24 7" xfId="13597"/>
    <cellStyle name="40% - Accent1 2 24 8" xfId="13598"/>
    <cellStyle name="40% - Accent1 2 25" xfId="13599"/>
    <cellStyle name="40% - Accent1 2 25 2" xfId="13600"/>
    <cellStyle name="40% - Accent1 2 25 2 2" xfId="13601"/>
    <cellStyle name="40% - Accent1 2 25 2 2 2" xfId="13602"/>
    <cellStyle name="40% - Accent1 2 25 2 2 3" xfId="13603"/>
    <cellStyle name="40% - Accent1 2 25 2 3" xfId="13604"/>
    <cellStyle name="40% - Accent1 2 25 2 3 2" xfId="13605"/>
    <cellStyle name="40% - Accent1 2 25 2 4" xfId="13606"/>
    <cellStyle name="40% - Accent1 2 25 2 5" xfId="13607"/>
    <cellStyle name="40% - Accent1 2 25 3" xfId="13608"/>
    <cellStyle name="40% - Accent1 2 25 3 2" xfId="13609"/>
    <cellStyle name="40% - Accent1 2 25 3 2 2" xfId="13610"/>
    <cellStyle name="40% - Accent1 2 25 3 3" xfId="13611"/>
    <cellStyle name="40% - Accent1 2 25 3 4" xfId="13612"/>
    <cellStyle name="40% - Accent1 2 25 4" xfId="13613"/>
    <cellStyle name="40% - Accent1 2 25 4 2" xfId="13614"/>
    <cellStyle name="40% - Accent1 2 25 4 2 2" xfId="13615"/>
    <cellStyle name="40% - Accent1 2 25 4 3" xfId="13616"/>
    <cellStyle name="40% - Accent1 2 25 4 4" xfId="13617"/>
    <cellStyle name="40% - Accent1 2 25 5" xfId="13618"/>
    <cellStyle name="40% - Accent1 2 25 5 2" xfId="13619"/>
    <cellStyle name="40% - Accent1 2 25 6" xfId="13620"/>
    <cellStyle name="40% - Accent1 2 25 7" xfId="13621"/>
    <cellStyle name="40% - Accent1 2 25 8" xfId="13622"/>
    <cellStyle name="40% - Accent1 2 26" xfId="13623"/>
    <cellStyle name="40% - Accent1 2 26 2" xfId="13624"/>
    <cellStyle name="40% - Accent1 2 26 2 2" xfId="13625"/>
    <cellStyle name="40% - Accent1 2 26 2 2 2" xfId="13626"/>
    <cellStyle name="40% - Accent1 2 26 2 2 3" xfId="13627"/>
    <cellStyle name="40% - Accent1 2 26 2 3" xfId="13628"/>
    <cellStyle name="40% - Accent1 2 26 2 3 2" xfId="13629"/>
    <cellStyle name="40% - Accent1 2 26 2 4" xfId="13630"/>
    <cellStyle name="40% - Accent1 2 26 2 5" xfId="13631"/>
    <cellStyle name="40% - Accent1 2 26 3" xfId="13632"/>
    <cellStyle name="40% - Accent1 2 26 3 2" xfId="13633"/>
    <cellStyle name="40% - Accent1 2 26 3 2 2" xfId="13634"/>
    <cellStyle name="40% - Accent1 2 26 3 3" xfId="13635"/>
    <cellStyle name="40% - Accent1 2 26 3 4" xfId="13636"/>
    <cellStyle name="40% - Accent1 2 26 4" xfId="13637"/>
    <cellStyle name="40% - Accent1 2 26 4 2" xfId="13638"/>
    <cellStyle name="40% - Accent1 2 26 4 2 2" xfId="13639"/>
    <cellStyle name="40% - Accent1 2 26 4 3" xfId="13640"/>
    <cellStyle name="40% - Accent1 2 26 4 4" xfId="13641"/>
    <cellStyle name="40% - Accent1 2 26 5" xfId="13642"/>
    <cellStyle name="40% - Accent1 2 26 5 2" xfId="13643"/>
    <cellStyle name="40% - Accent1 2 26 6" xfId="13644"/>
    <cellStyle name="40% - Accent1 2 26 7" xfId="13645"/>
    <cellStyle name="40% - Accent1 2 26 8" xfId="13646"/>
    <cellStyle name="40% - Accent1 2 27" xfId="13647"/>
    <cellStyle name="40% - Accent1 2 27 2" xfId="13648"/>
    <cellStyle name="40% - Accent1 2 27 2 2" xfId="13649"/>
    <cellStyle name="40% - Accent1 2 27 2 2 2" xfId="13650"/>
    <cellStyle name="40% - Accent1 2 27 2 2 3" xfId="13651"/>
    <cellStyle name="40% - Accent1 2 27 2 3" xfId="13652"/>
    <cellStyle name="40% - Accent1 2 27 2 3 2" xfId="13653"/>
    <cellStyle name="40% - Accent1 2 27 2 4" xfId="13654"/>
    <cellStyle name="40% - Accent1 2 27 2 5" xfId="13655"/>
    <cellStyle name="40% - Accent1 2 27 3" xfId="13656"/>
    <cellStyle name="40% - Accent1 2 27 3 2" xfId="13657"/>
    <cellStyle name="40% - Accent1 2 27 3 2 2" xfId="13658"/>
    <cellStyle name="40% - Accent1 2 27 3 3" xfId="13659"/>
    <cellStyle name="40% - Accent1 2 27 3 4" xfId="13660"/>
    <cellStyle name="40% - Accent1 2 27 4" xfId="13661"/>
    <cellStyle name="40% - Accent1 2 27 4 2" xfId="13662"/>
    <cellStyle name="40% - Accent1 2 27 4 2 2" xfId="13663"/>
    <cellStyle name="40% - Accent1 2 27 4 3" xfId="13664"/>
    <cellStyle name="40% - Accent1 2 27 4 4" xfId="13665"/>
    <cellStyle name="40% - Accent1 2 27 5" xfId="13666"/>
    <cellStyle name="40% - Accent1 2 27 5 2" xfId="13667"/>
    <cellStyle name="40% - Accent1 2 27 6" xfId="13668"/>
    <cellStyle name="40% - Accent1 2 27 7" xfId="13669"/>
    <cellStyle name="40% - Accent1 2 27 8" xfId="13670"/>
    <cellStyle name="40% - Accent1 2 28" xfId="13671"/>
    <cellStyle name="40% - Accent1 2 28 2" xfId="13672"/>
    <cellStyle name="40% - Accent1 2 28 2 2" xfId="13673"/>
    <cellStyle name="40% - Accent1 2 28 2 3" xfId="13674"/>
    <cellStyle name="40% - Accent1 2 28 3" xfId="13675"/>
    <cellStyle name="40% - Accent1 2 28 3 2" xfId="13676"/>
    <cellStyle name="40% - Accent1 2 28 4" xfId="13677"/>
    <cellStyle name="40% - Accent1 2 28 5" xfId="13678"/>
    <cellStyle name="40% - Accent1 2 29" xfId="13679"/>
    <cellStyle name="40% - Accent1 2 29 2" xfId="13680"/>
    <cellStyle name="40% - Accent1 2 29 2 2" xfId="13681"/>
    <cellStyle name="40% - Accent1 2 29 2 3" xfId="13682"/>
    <cellStyle name="40% - Accent1 2 29 3" xfId="13683"/>
    <cellStyle name="40% - Accent1 2 29 3 2" xfId="13684"/>
    <cellStyle name="40% - Accent1 2 29 4" xfId="13685"/>
    <cellStyle name="40% - Accent1 2 29 5" xfId="13686"/>
    <cellStyle name="40% - Accent1 2 3" xfId="13687"/>
    <cellStyle name="40% - Accent1 2 3 10" xfId="13688"/>
    <cellStyle name="40% - Accent1 2 3 11" xfId="13689"/>
    <cellStyle name="40% - Accent1 2 3 12" xfId="13690"/>
    <cellStyle name="40% - Accent1 2 3 12 2" xfId="13691"/>
    <cellStyle name="40% - Accent1 2 3 2" xfId="13692"/>
    <cellStyle name="40% - Accent1 2 3 2 2" xfId="13693"/>
    <cellStyle name="40% - Accent1 2 3 2 2 2" xfId="13694"/>
    <cellStyle name="40% - Accent1 2 3 2 3" xfId="13695"/>
    <cellStyle name="40% - Accent1 2 3 3" xfId="13696"/>
    <cellStyle name="40% - Accent1 2 3 3 2" xfId="13697"/>
    <cellStyle name="40% - Accent1 2 3 3 2 2" xfId="13698"/>
    <cellStyle name="40% - Accent1 2 3 4" xfId="13699"/>
    <cellStyle name="40% - Accent1 2 3 4 2" xfId="13700"/>
    <cellStyle name="40% - Accent1 2 3 4 2 2" xfId="13701"/>
    <cellStyle name="40% - Accent1 2 3 5" xfId="13702"/>
    <cellStyle name="40% - Accent1 2 3 5 2" xfId="13703"/>
    <cellStyle name="40% - Accent1 2 3 5 2 2" xfId="13704"/>
    <cellStyle name="40% - Accent1 2 3 6" xfId="13705"/>
    <cellStyle name="40% - Accent1 2 3 6 2" xfId="13706"/>
    <cellStyle name="40% - Accent1 2 3 6 3" xfId="13707"/>
    <cellStyle name="40% - Accent1 2 3 6 4" xfId="13708"/>
    <cellStyle name="40% - Accent1 2 3 6 4 2" xfId="13709"/>
    <cellStyle name="40% - Accent1 2 3 6_Elec Margin Analysis" xfId="13710"/>
    <cellStyle name="40% - Accent1 2 3 7" xfId="13711"/>
    <cellStyle name="40% - Accent1 2 3 7 2" xfId="13712"/>
    <cellStyle name="40% - Accent1 2 3 7 2 2" xfId="13713"/>
    <cellStyle name="40% - Accent1 2 3 8" xfId="13714"/>
    <cellStyle name="40% - Accent1 2 3 8 2" xfId="13715"/>
    <cellStyle name="40% - Accent1 2 3 8 2 2" xfId="13716"/>
    <cellStyle name="40% - Accent1 2 3 9" xfId="13717"/>
    <cellStyle name="40% - Accent1 2 3_2009 Actual" xfId="13718"/>
    <cellStyle name="40% - Accent1 2 30" xfId="13719"/>
    <cellStyle name="40% - Accent1 2 30 2" xfId="13720"/>
    <cellStyle name="40% - Accent1 2 30 2 2" xfId="13721"/>
    <cellStyle name="40% - Accent1 2 30 2 3" xfId="13722"/>
    <cellStyle name="40% - Accent1 2 30 3" xfId="13723"/>
    <cellStyle name="40% - Accent1 2 30 3 2" xfId="13724"/>
    <cellStyle name="40% - Accent1 2 30 4" xfId="13725"/>
    <cellStyle name="40% - Accent1 2 30 5" xfId="13726"/>
    <cellStyle name="40% - Accent1 2 31" xfId="13727"/>
    <cellStyle name="40% - Accent1 2 31 2" xfId="13728"/>
    <cellStyle name="40% - Accent1 2 31 2 2" xfId="13729"/>
    <cellStyle name="40% - Accent1 2 31 2 3" xfId="13730"/>
    <cellStyle name="40% - Accent1 2 31 3" xfId="13731"/>
    <cellStyle name="40% - Accent1 2 31 3 2" xfId="13732"/>
    <cellStyle name="40% - Accent1 2 31 4" xfId="13733"/>
    <cellStyle name="40% - Accent1 2 31 5" xfId="13734"/>
    <cellStyle name="40% - Accent1 2 32" xfId="13735"/>
    <cellStyle name="40% - Accent1 2 32 2" xfId="13736"/>
    <cellStyle name="40% - Accent1 2 32 2 2" xfId="13737"/>
    <cellStyle name="40% - Accent1 2 32 2 3" xfId="13738"/>
    <cellStyle name="40% - Accent1 2 32 3" xfId="13739"/>
    <cellStyle name="40% - Accent1 2 32 3 2" xfId="13740"/>
    <cellStyle name="40% - Accent1 2 32 4" xfId="13741"/>
    <cellStyle name="40% - Accent1 2 32 5" xfId="13742"/>
    <cellStyle name="40% - Accent1 2 33" xfId="13743"/>
    <cellStyle name="40% - Accent1 2 33 2" xfId="13744"/>
    <cellStyle name="40% - Accent1 2 33 2 2" xfId="13745"/>
    <cellStyle name="40% - Accent1 2 33 2 3" xfId="13746"/>
    <cellStyle name="40% - Accent1 2 33 3" xfId="13747"/>
    <cellStyle name="40% - Accent1 2 33 3 2" xfId="13748"/>
    <cellStyle name="40% - Accent1 2 33 4" xfId="13749"/>
    <cellStyle name="40% - Accent1 2 33 5" xfId="13750"/>
    <cellStyle name="40% - Accent1 2 34" xfId="13751"/>
    <cellStyle name="40% - Accent1 2 34 2" xfId="13752"/>
    <cellStyle name="40% - Accent1 2 34 2 2" xfId="13753"/>
    <cellStyle name="40% - Accent1 2 34 2 3" xfId="13754"/>
    <cellStyle name="40% - Accent1 2 34 3" xfId="13755"/>
    <cellStyle name="40% - Accent1 2 34 3 2" xfId="13756"/>
    <cellStyle name="40% - Accent1 2 34 4" xfId="13757"/>
    <cellStyle name="40% - Accent1 2 34 5" xfId="13758"/>
    <cellStyle name="40% - Accent1 2 35" xfId="13759"/>
    <cellStyle name="40% - Accent1 2 35 2" xfId="13760"/>
    <cellStyle name="40% - Accent1 2 35 2 2" xfId="13761"/>
    <cellStyle name="40% - Accent1 2 35 2 3" xfId="13762"/>
    <cellStyle name="40% - Accent1 2 35 3" xfId="13763"/>
    <cellStyle name="40% - Accent1 2 35 3 2" xfId="13764"/>
    <cellStyle name="40% - Accent1 2 35 4" xfId="13765"/>
    <cellStyle name="40% - Accent1 2 35 5" xfId="13766"/>
    <cellStyle name="40% - Accent1 2 36" xfId="13767"/>
    <cellStyle name="40% - Accent1 2 36 2" xfId="13768"/>
    <cellStyle name="40% - Accent1 2 36 2 2" xfId="13769"/>
    <cellStyle name="40% - Accent1 2 36 2 3" xfId="13770"/>
    <cellStyle name="40% - Accent1 2 36 3" xfId="13771"/>
    <cellStyle name="40% - Accent1 2 36 3 2" xfId="13772"/>
    <cellStyle name="40% - Accent1 2 36 4" xfId="13773"/>
    <cellStyle name="40% - Accent1 2 36 5" xfId="13774"/>
    <cellStyle name="40% - Accent1 2 37" xfId="13775"/>
    <cellStyle name="40% - Accent1 2 37 2" xfId="13776"/>
    <cellStyle name="40% - Accent1 2 37 2 2" xfId="13777"/>
    <cellStyle name="40% - Accent1 2 37 2 3" xfId="13778"/>
    <cellStyle name="40% - Accent1 2 37 3" xfId="13779"/>
    <cellStyle name="40% - Accent1 2 37 3 2" xfId="13780"/>
    <cellStyle name="40% - Accent1 2 37 4" xfId="13781"/>
    <cellStyle name="40% - Accent1 2 37 5" xfId="13782"/>
    <cellStyle name="40% - Accent1 2 38" xfId="13783"/>
    <cellStyle name="40% - Accent1 2 38 2" xfId="13784"/>
    <cellStyle name="40% - Accent1 2 38 2 2" xfId="13785"/>
    <cellStyle name="40% - Accent1 2 38 2 3" xfId="13786"/>
    <cellStyle name="40% - Accent1 2 38 3" xfId="13787"/>
    <cellStyle name="40% - Accent1 2 38 3 2" xfId="13788"/>
    <cellStyle name="40% - Accent1 2 38 4" xfId="13789"/>
    <cellStyle name="40% - Accent1 2 38 5" xfId="13790"/>
    <cellStyle name="40% - Accent1 2 39" xfId="13791"/>
    <cellStyle name="40% - Accent1 2 39 2" xfId="13792"/>
    <cellStyle name="40% - Accent1 2 39 2 2" xfId="13793"/>
    <cellStyle name="40% - Accent1 2 39 2 3" xfId="13794"/>
    <cellStyle name="40% - Accent1 2 39 3" xfId="13795"/>
    <cellStyle name="40% - Accent1 2 39 3 2" xfId="13796"/>
    <cellStyle name="40% - Accent1 2 39 4" xfId="13797"/>
    <cellStyle name="40% - Accent1 2 39 5" xfId="13798"/>
    <cellStyle name="40% - Accent1 2 4" xfId="13799"/>
    <cellStyle name="40% - Accent1 2 4 2" xfId="13800"/>
    <cellStyle name="40% - Accent1 2 4 2 2" xfId="13801"/>
    <cellStyle name="40% - Accent1 2 4 3" xfId="13802"/>
    <cellStyle name="40% - Accent1 2 4 4" xfId="13803"/>
    <cellStyle name="40% - Accent1 2 4 5" xfId="13804"/>
    <cellStyle name="40% - Accent1 2 4 6" xfId="13805"/>
    <cellStyle name="40% - Accent1 2 4 7" xfId="13806"/>
    <cellStyle name="40% - Accent1 2 4 8" xfId="13807"/>
    <cellStyle name="40% - Accent1 2 4 8 2" xfId="13808"/>
    <cellStyle name="40% - Accent1 2 4_2009 Actual" xfId="13809"/>
    <cellStyle name="40% - Accent1 2 40" xfId="13810"/>
    <cellStyle name="40% - Accent1 2 40 2" xfId="13811"/>
    <cellStyle name="40% - Accent1 2 40 2 2" xfId="13812"/>
    <cellStyle name="40% - Accent1 2 40 2 3" xfId="13813"/>
    <cellStyle name="40% - Accent1 2 40 3" xfId="13814"/>
    <cellStyle name="40% - Accent1 2 40 3 2" xfId="13815"/>
    <cellStyle name="40% - Accent1 2 40 4" xfId="13816"/>
    <cellStyle name="40% - Accent1 2 40 5" xfId="13817"/>
    <cellStyle name="40% - Accent1 2 41" xfId="13818"/>
    <cellStyle name="40% - Accent1 2 41 2" xfId="13819"/>
    <cellStyle name="40% - Accent1 2 41 2 2" xfId="13820"/>
    <cellStyle name="40% - Accent1 2 41 2 3" xfId="13821"/>
    <cellStyle name="40% - Accent1 2 41 3" xfId="13822"/>
    <cellStyle name="40% - Accent1 2 41 3 2" xfId="13823"/>
    <cellStyle name="40% - Accent1 2 41 4" xfId="13824"/>
    <cellStyle name="40% - Accent1 2 41 5" xfId="13825"/>
    <cellStyle name="40% - Accent1 2 42" xfId="13826"/>
    <cellStyle name="40% - Accent1 2 42 2" xfId="13827"/>
    <cellStyle name="40% - Accent1 2 42 2 2" xfId="13828"/>
    <cellStyle name="40% - Accent1 2 42 2 3" xfId="13829"/>
    <cellStyle name="40% - Accent1 2 42 3" xfId="13830"/>
    <cellStyle name="40% - Accent1 2 42 3 2" xfId="13831"/>
    <cellStyle name="40% - Accent1 2 42 4" xfId="13832"/>
    <cellStyle name="40% - Accent1 2 42 5" xfId="13833"/>
    <cellStyle name="40% - Accent1 2 43" xfId="13834"/>
    <cellStyle name="40% - Accent1 2 43 2" xfId="13835"/>
    <cellStyle name="40% - Accent1 2 43 2 2" xfId="13836"/>
    <cellStyle name="40% - Accent1 2 43 2 3" xfId="13837"/>
    <cellStyle name="40% - Accent1 2 43 3" xfId="13838"/>
    <cellStyle name="40% - Accent1 2 43 3 2" xfId="13839"/>
    <cellStyle name="40% - Accent1 2 43 4" xfId="13840"/>
    <cellStyle name="40% - Accent1 2 43 5" xfId="13841"/>
    <cellStyle name="40% - Accent1 2 44" xfId="13842"/>
    <cellStyle name="40% - Accent1 2 44 2" xfId="13843"/>
    <cellStyle name="40% - Accent1 2 44 2 2" xfId="13844"/>
    <cellStyle name="40% - Accent1 2 44 2 3" xfId="13845"/>
    <cellStyle name="40% - Accent1 2 44 3" xfId="13846"/>
    <cellStyle name="40% - Accent1 2 44 3 2" xfId="13847"/>
    <cellStyle name="40% - Accent1 2 44 4" xfId="13848"/>
    <cellStyle name="40% - Accent1 2 44 5" xfId="13849"/>
    <cellStyle name="40% - Accent1 2 45" xfId="13850"/>
    <cellStyle name="40% - Accent1 2 45 2" xfId="13851"/>
    <cellStyle name="40% - Accent1 2 45 2 2" xfId="13852"/>
    <cellStyle name="40% - Accent1 2 45 2 3" xfId="13853"/>
    <cellStyle name="40% - Accent1 2 45 3" xfId="13854"/>
    <cellStyle name="40% - Accent1 2 45 3 2" xfId="13855"/>
    <cellStyle name="40% - Accent1 2 45 4" xfId="13856"/>
    <cellStyle name="40% - Accent1 2 45 5" xfId="13857"/>
    <cellStyle name="40% - Accent1 2 46" xfId="13858"/>
    <cellStyle name="40% - Accent1 2 46 2" xfId="13859"/>
    <cellStyle name="40% - Accent1 2 46 2 2" xfId="13860"/>
    <cellStyle name="40% - Accent1 2 46 2 3" xfId="13861"/>
    <cellStyle name="40% - Accent1 2 46 3" xfId="13862"/>
    <cellStyle name="40% - Accent1 2 46 3 2" xfId="13863"/>
    <cellStyle name="40% - Accent1 2 46 4" xfId="13864"/>
    <cellStyle name="40% - Accent1 2 46 5" xfId="13865"/>
    <cellStyle name="40% - Accent1 2 47" xfId="13866"/>
    <cellStyle name="40% - Accent1 2 47 2" xfId="13867"/>
    <cellStyle name="40% - Accent1 2 47 2 2" xfId="13868"/>
    <cellStyle name="40% - Accent1 2 47 2 3" xfId="13869"/>
    <cellStyle name="40% - Accent1 2 47 3" xfId="13870"/>
    <cellStyle name="40% - Accent1 2 47 3 2" xfId="13871"/>
    <cellStyle name="40% - Accent1 2 47 4" xfId="13872"/>
    <cellStyle name="40% - Accent1 2 47 5" xfId="13873"/>
    <cellStyle name="40% - Accent1 2 48" xfId="13874"/>
    <cellStyle name="40% - Accent1 2 48 2" xfId="13875"/>
    <cellStyle name="40% - Accent1 2 48 2 2" xfId="13876"/>
    <cellStyle name="40% - Accent1 2 48 2 3" xfId="13877"/>
    <cellStyle name="40% - Accent1 2 48 3" xfId="13878"/>
    <cellStyle name="40% - Accent1 2 48 3 2" xfId="13879"/>
    <cellStyle name="40% - Accent1 2 48 4" xfId="13880"/>
    <cellStyle name="40% - Accent1 2 48 5" xfId="13881"/>
    <cellStyle name="40% - Accent1 2 49" xfId="13882"/>
    <cellStyle name="40% - Accent1 2 49 2" xfId="13883"/>
    <cellStyle name="40% - Accent1 2 49 2 2" xfId="13884"/>
    <cellStyle name="40% - Accent1 2 49 2 3" xfId="13885"/>
    <cellStyle name="40% - Accent1 2 49 3" xfId="13886"/>
    <cellStyle name="40% - Accent1 2 49 3 2" xfId="13887"/>
    <cellStyle name="40% - Accent1 2 49 4" xfId="13888"/>
    <cellStyle name="40% - Accent1 2 49 5" xfId="13889"/>
    <cellStyle name="40% - Accent1 2 5" xfId="13890"/>
    <cellStyle name="40% - Accent1 2 5 2" xfId="13891"/>
    <cellStyle name="40% - Accent1 2 5 3" xfId="13892"/>
    <cellStyle name="40% - Accent1 2 5 4" xfId="13893"/>
    <cellStyle name="40% - Accent1 2 5 5" xfId="13894"/>
    <cellStyle name="40% - Accent1 2 5 6" xfId="13895"/>
    <cellStyle name="40% - Accent1 2 5 7" xfId="13896"/>
    <cellStyle name="40% - Accent1 2 5 8" xfId="13897"/>
    <cellStyle name="40% - Accent1 2 5 8 2" xfId="13898"/>
    <cellStyle name="40% - Accent1 2 5_2009 Actual" xfId="13899"/>
    <cellStyle name="40% - Accent1 2 50" xfId="13900"/>
    <cellStyle name="40% - Accent1 2 50 2" xfId="13901"/>
    <cellStyle name="40% - Accent1 2 50 2 2" xfId="13902"/>
    <cellStyle name="40% - Accent1 2 50 2 3" xfId="13903"/>
    <cellStyle name="40% - Accent1 2 50 3" xfId="13904"/>
    <cellStyle name="40% - Accent1 2 50 3 2" xfId="13905"/>
    <cellStyle name="40% - Accent1 2 50 4" xfId="13906"/>
    <cellStyle name="40% - Accent1 2 50 5" xfId="13907"/>
    <cellStyle name="40% - Accent1 2 51" xfId="13908"/>
    <cellStyle name="40% - Accent1 2 51 2" xfId="13909"/>
    <cellStyle name="40% - Accent1 2 51 2 2" xfId="13910"/>
    <cellStyle name="40% - Accent1 2 51 2 3" xfId="13911"/>
    <cellStyle name="40% - Accent1 2 51 3" xfId="13912"/>
    <cellStyle name="40% - Accent1 2 51 3 2" xfId="13913"/>
    <cellStyle name="40% - Accent1 2 51 4" xfId="13914"/>
    <cellStyle name="40% - Accent1 2 51 5" xfId="13915"/>
    <cellStyle name="40% - Accent1 2 52" xfId="13916"/>
    <cellStyle name="40% - Accent1 2 52 2" xfId="13917"/>
    <cellStyle name="40% - Accent1 2 52 2 2" xfId="13918"/>
    <cellStyle name="40% - Accent1 2 52 2 3" xfId="13919"/>
    <cellStyle name="40% - Accent1 2 52 3" xfId="13920"/>
    <cellStyle name="40% - Accent1 2 52 3 2" xfId="13921"/>
    <cellStyle name="40% - Accent1 2 52 4" xfId="13922"/>
    <cellStyle name="40% - Accent1 2 52 5" xfId="13923"/>
    <cellStyle name="40% - Accent1 2 53" xfId="13924"/>
    <cellStyle name="40% - Accent1 2 53 2" xfId="13925"/>
    <cellStyle name="40% - Accent1 2 53 2 2" xfId="13926"/>
    <cellStyle name="40% - Accent1 2 53 2 3" xfId="13927"/>
    <cellStyle name="40% - Accent1 2 53 3" xfId="13928"/>
    <cellStyle name="40% - Accent1 2 53 3 2" xfId="13929"/>
    <cellStyle name="40% - Accent1 2 53 4" xfId="13930"/>
    <cellStyle name="40% - Accent1 2 53 5" xfId="13931"/>
    <cellStyle name="40% - Accent1 2 54" xfId="13932"/>
    <cellStyle name="40% - Accent1 2 54 2" xfId="13933"/>
    <cellStyle name="40% - Accent1 2 54 2 2" xfId="13934"/>
    <cellStyle name="40% - Accent1 2 54 2 3" xfId="13935"/>
    <cellStyle name="40% - Accent1 2 54 3" xfId="13936"/>
    <cellStyle name="40% - Accent1 2 54 3 2" xfId="13937"/>
    <cellStyle name="40% - Accent1 2 54 4" xfId="13938"/>
    <cellStyle name="40% - Accent1 2 54 5" xfId="13939"/>
    <cellStyle name="40% - Accent1 2 55" xfId="13940"/>
    <cellStyle name="40% - Accent1 2 55 2" xfId="13941"/>
    <cellStyle name="40% - Accent1 2 55 2 2" xfId="13942"/>
    <cellStyle name="40% - Accent1 2 55 2 3" xfId="13943"/>
    <cellStyle name="40% - Accent1 2 55 3" xfId="13944"/>
    <cellStyle name="40% - Accent1 2 55 3 2" xfId="13945"/>
    <cellStyle name="40% - Accent1 2 55 4" xfId="13946"/>
    <cellStyle name="40% - Accent1 2 55 5" xfId="13947"/>
    <cellStyle name="40% - Accent1 2 56" xfId="13948"/>
    <cellStyle name="40% - Accent1 2 56 2" xfId="13949"/>
    <cellStyle name="40% - Accent1 2 56 2 2" xfId="13950"/>
    <cellStyle name="40% - Accent1 2 56 2 3" xfId="13951"/>
    <cellStyle name="40% - Accent1 2 56 3" xfId="13952"/>
    <cellStyle name="40% - Accent1 2 56 3 2" xfId="13953"/>
    <cellStyle name="40% - Accent1 2 56 4" xfId="13954"/>
    <cellStyle name="40% - Accent1 2 56 5" xfId="13955"/>
    <cellStyle name="40% - Accent1 2 57" xfId="13956"/>
    <cellStyle name="40% - Accent1 2 57 2" xfId="13957"/>
    <cellStyle name="40% - Accent1 2 57 2 2" xfId="13958"/>
    <cellStyle name="40% - Accent1 2 57 2 3" xfId="13959"/>
    <cellStyle name="40% - Accent1 2 57 3" xfId="13960"/>
    <cellStyle name="40% - Accent1 2 57 3 2" xfId="13961"/>
    <cellStyle name="40% - Accent1 2 57 4" xfId="13962"/>
    <cellStyle name="40% - Accent1 2 57 5" xfId="13963"/>
    <cellStyle name="40% - Accent1 2 58" xfId="13964"/>
    <cellStyle name="40% - Accent1 2 58 2" xfId="13965"/>
    <cellStyle name="40% - Accent1 2 58 2 2" xfId="13966"/>
    <cellStyle name="40% - Accent1 2 58 2 3" xfId="13967"/>
    <cellStyle name="40% - Accent1 2 58 3" xfId="13968"/>
    <cellStyle name="40% - Accent1 2 58 3 2" xfId="13969"/>
    <cellStyle name="40% - Accent1 2 58 4" xfId="13970"/>
    <cellStyle name="40% - Accent1 2 58 5" xfId="13971"/>
    <cellStyle name="40% - Accent1 2 59" xfId="13972"/>
    <cellStyle name="40% - Accent1 2 59 2" xfId="13973"/>
    <cellStyle name="40% - Accent1 2 59 2 2" xfId="13974"/>
    <cellStyle name="40% - Accent1 2 59 2 3" xfId="13975"/>
    <cellStyle name="40% - Accent1 2 59 3" xfId="13976"/>
    <cellStyle name="40% - Accent1 2 59 3 2" xfId="13977"/>
    <cellStyle name="40% - Accent1 2 59 4" xfId="13978"/>
    <cellStyle name="40% - Accent1 2 59 5" xfId="13979"/>
    <cellStyle name="40% - Accent1 2 6" xfId="13980"/>
    <cellStyle name="40% - Accent1 2 6 2" xfId="13981"/>
    <cellStyle name="40% - Accent1 2 6 3" xfId="13982"/>
    <cellStyle name="40% - Accent1 2 6 4" xfId="13983"/>
    <cellStyle name="40% - Accent1 2 6 5" xfId="13984"/>
    <cellStyle name="40% - Accent1 2 6 6" xfId="13985"/>
    <cellStyle name="40% - Accent1 2 6 7" xfId="13986"/>
    <cellStyle name="40% - Accent1 2 6 8" xfId="13987"/>
    <cellStyle name="40% - Accent1 2 6 8 2" xfId="13988"/>
    <cellStyle name="40% - Accent1 2 6_2009 Actual" xfId="13989"/>
    <cellStyle name="40% - Accent1 2 60" xfId="13990"/>
    <cellStyle name="40% - Accent1 2 60 2" xfId="13991"/>
    <cellStyle name="40% - Accent1 2 60 2 2" xfId="13992"/>
    <cellStyle name="40% - Accent1 2 60 2 3" xfId="13993"/>
    <cellStyle name="40% - Accent1 2 60 3" xfId="13994"/>
    <cellStyle name="40% - Accent1 2 60 3 2" xfId="13995"/>
    <cellStyle name="40% - Accent1 2 60 4" xfId="13996"/>
    <cellStyle name="40% - Accent1 2 60 5" xfId="13997"/>
    <cellStyle name="40% - Accent1 2 61" xfId="13998"/>
    <cellStyle name="40% - Accent1 2 61 2" xfId="13999"/>
    <cellStyle name="40% - Accent1 2 61 2 2" xfId="14000"/>
    <cellStyle name="40% - Accent1 2 61 2 3" xfId="14001"/>
    <cellStyle name="40% - Accent1 2 61 3" xfId="14002"/>
    <cellStyle name="40% - Accent1 2 61 3 2" xfId="14003"/>
    <cellStyle name="40% - Accent1 2 61 4" xfId="14004"/>
    <cellStyle name="40% - Accent1 2 61 5" xfId="14005"/>
    <cellStyle name="40% - Accent1 2 62" xfId="14006"/>
    <cellStyle name="40% - Accent1 2 62 2" xfId="14007"/>
    <cellStyle name="40% - Accent1 2 62 2 2" xfId="14008"/>
    <cellStyle name="40% - Accent1 2 62 2 3" xfId="14009"/>
    <cellStyle name="40% - Accent1 2 62 3" xfId="14010"/>
    <cellStyle name="40% - Accent1 2 62 3 2" xfId="14011"/>
    <cellStyle name="40% - Accent1 2 62 4" xfId="14012"/>
    <cellStyle name="40% - Accent1 2 62 5" xfId="14013"/>
    <cellStyle name="40% - Accent1 2 63" xfId="14014"/>
    <cellStyle name="40% - Accent1 2 63 2" xfId="14015"/>
    <cellStyle name="40% - Accent1 2 63 2 2" xfId="14016"/>
    <cellStyle name="40% - Accent1 2 63 2 3" xfId="14017"/>
    <cellStyle name="40% - Accent1 2 63 3" xfId="14018"/>
    <cellStyle name="40% - Accent1 2 63 3 2" xfId="14019"/>
    <cellStyle name="40% - Accent1 2 63 4" xfId="14020"/>
    <cellStyle name="40% - Accent1 2 63 5" xfId="14021"/>
    <cellStyle name="40% - Accent1 2 64" xfId="14022"/>
    <cellStyle name="40% - Accent1 2 64 2" xfId="14023"/>
    <cellStyle name="40% - Accent1 2 64 2 2" xfId="14024"/>
    <cellStyle name="40% - Accent1 2 64 2 3" xfId="14025"/>
    <cellStyle name="40% - Accent1 2 64 3" xfId="14026"/>
    <cellStyle name="40% - Accent1 2 64 3 2" xfId="14027"/>
    <cellStyle name="40% - Accent1 2 64 4" xfId="14028"/>
    <cellStyle name="40% - Accent1 2 64 5" xfId="14029"/>
    <cellStyle name="40% - Accent1 2 65" xfId="14030"/>
    <cellStyle name="40% - Accent1 2 65 2" xfId="14031"/>
    <cellStyle name="40% - Accent1 2 65 2 2" xfId="14032"/>
    <cellStyle name="40% - Accent1 2 65 2 3" xfId="14033"/>
    <cellStyle name="40% - Accent1 2 65 3" xfId="14034"/>
    <cellStyle name="40% - Accent1 2 65 3 2" xfId="14035"/>
    <cellStyle name="40% - Accent1 2 65 4" xfId="14036"/>
    <cellStyle name="40% - Accent1 2 65 5" xfId="14037"/>
    <cellStyle name="40% - Accent1 2 66" xfId="14038"/>
    <cellStyle name="40% - Accent1 2 66 2" xfId="14039"/>
    <cellStyle name="40% - Accent1 2 66 2 2" xfId="14040"/>
    <cellStyle name="40% - Accent1 2 66 2 3" xfId="14041"/>
    <cellStyle name="40% - Accent1 2 66 3" xfId="14042"/>
    <cellStyle name="40% - Accent1 2 66 3 2" xfId="14043"/>
    <cellStyle name="40% - Accent1 2 66 4" xfId="14044"/>
    <cellStyle name="40% - Accent1 2 66 5" xfId="14045"/>
    <cellStyle name="40% - Accent1 2 67" xfId="14046"/>
    <cellStyle name="40% - Accent1 2 67 2" xfId="14047"/>
    <cellStyle name="40% - Accent1 2 67 2 2" xfId="14048"/>
    <cellStyle name="40% - Accent1 2 67 2 3" xfId="14049"/>
    <cellStyle name="40% - Accent1 2 67 3" xfId="14050"/>
    <cellStyle name="40% - Accent1 2 67 3 2" xfId="14051"/>
    <cellStyle name="40% - Accent1 2 67 4" xfId="14052"/>
    <cellStyle name="40% - Accent1 2 67 5" xfId="14053"/>
    <cellStyle name="40% - Accent1 2 68" xfId="14054"/>
    <cellStyle name="40% - Accent1 2 68 2" xfId="14055"/>
    <cellStyle name="40% - Accent1 2 68 2 2" xfId="14056"/>
    <cellStyle name="40% - Accent1 2 68 2 3" xfId="14057"/>
    <cellStyle name="40% - Accent1 2 68 3" xfId="14058"/>
    <cellStyle name="40% - Accent1 2 68 3 2" xfId="14059"/>
    <cellStyle name="40% - Accent1 2 68 4" xfId="14060"/>
    <cellStyle name="40% - Accent1 2 68 5" xfId="14061"/>
    <cellStyle name="40% - Accent1 2 69" xfId="14062"/>
    <cellStyle name="40% - Accent1 2 69 2" xfId="14063"/>
    <cellStyle name="40% - Accent1 2 69 2 2" xfId="14064"/>
    <cellStyle name="40% - Accent1 2 69 2 3" xfId="14065"/>
    <cellStyle name="40% - Accent1 2 69 3" xfId="14066"/>
    <cellStyle name="40% - Accent1 2 69 3 2" xfId="14067"/>
    <cellStyle name="40% - Accent1 2 69 4" xfId="14068"/>
    <cellStyle name="40% - Accent1 2 69 5" xfId="14069"/>
    <cellStyle name="40% - Accent1 2 7" xfId="14070"/>
    <cellStyle name="40% - Accent1 2 7 2" xfId="14071"/>
    <cellStyle name="40% - Accent1 2 7 3" xfId="14072"/>
    <cellStyle name="40% - Accent1 2 7 4" xfId="14073"/>
    <cellStyle name="40% - Accent1 2 7 5" xfId="14074"/>
    <cellStyle name="40% - Accent1 2 7 5 2" xfId="14075"/>
    <cellStyle name="40% - Accent1 2 7_BHP" xfId="14076"/>
    <cellStyle name="40% - Accent1 2 70" xfId="14077"/>
    <cellStyle name="40% - Accent1 2 70 2" xfId="14078"/>
    <cellStyle name="40% - Accent1 2 70 2 2" xfId="14079"/>
    <cellStyle name="40% - Accent1 2 70 2 3" xfId="14080"/>
    <cellStyle name="40% - Accent1 2 70 3" xfId="14081"/>
    <cellStyle name="40% - Accent1 2 70 3 2" xfId="14082"/>
    <cellStyle name="40% - Accent1 2 70 4" xfId="14083"/>
    <cellStyle name="40% - Accent1 2 70 5" xfId="14084"/>
    <cellStyle name="40% - Accent1 2 71" xfId="14085"/>
    <cellStyle name="40% - Accent1 2 71 2" xfId="14086"/>
    <cellStyle name="40% - Accent1 2 71 2 2" xfId="14087"/>
    <cellStyle name="40% - Accent1 2 71 2 3" xfId="14088"/>
    <cellStyle name="40% - Accent1 2 71 3" xfId="14089"/>
    <cellStyle name="40% - Accent1 2 71 3 2" xfId="14090"/>
    <cellStyle name="40% - Accent1 2 71 4" xfId="14091"/>
    <cellStyle name="40% - Accent1 2 71 5" xfId="14092"/>
    <cellStyle name="40% - Accent1 2 72" xfId="14093"/>
    <cellStyle name="40% - Accent1 2 72 2" xfId="14094"/>
    <cellStyle name="40% - Accent1 2 72 2 2" xfId="14095"/>
    <cellStyle name="40% - Accent1 2 72 2 3" xfId="14096"/>
    <cellStyle name="40% - Accent1 2 72 3" xfId="14097"/>
    <cellStyle name="40% - Accent1 2 72 3 2" xfId="14098"/>
    <cellStyle name="40% - Accent1 2 72 4" xfId="14099"/>
    <cellStyle name="40% - Accent1 2 72 5" xfId="14100"/>
    <cellStyle name="40% - Accent1 2 73" xfId="14101"/>
    <cellStyle name="40% - Accent1 2 73 2" xfId="14102"/>
    <cellStyle name="40% - Accent1 2 73 2 2" xfId="14103"/>
    <cellStyle name="40% - Accent1 2 73 2 3" xfId="14104"/>
    <cellStyle name="40% - Accent1 2 73 3" xfId="14105"/>
    <cellStyle name="40% - Accent1 2 73 3 2" xfId="14106"/>
    <cellStyle name="40% - Accent1 2 73 4" xfId="14107"/>
    <cellStyle name="40% - Accent1 2 73 5" xfId="14108"/>
    <cellStyle name="40% - Accent1 2 74" xfId="14109"/>
    <cellStyle name="40% - Accent1 2 74 2" xfId="14110"/>
    <cellStyle name="40% - Accent1 2 74 2 2" xfId="14111"/>
    <cellStyle name="40% - Accent1 2 74 2 3" xfId="14112"/>
    <cellStyle name="40% - Accent1 2 74 3" xfId="14113"/>
    <cellStyle name="40% - Accent1 2 74 3 2" xfId="14114"/>
    <cellStyle name="40% - Accent1 2 74 4" xfId="14115"/>
    <cellStyle name="40% - Accent1 2 74 5" xfId="14116"/>
    <cellStyle name="40% - Accent1 2 75" xfId="14117"/>
    <cellStyle name="40% - Accent1 2 75 2" xfId="14118"/>
    <cellStyle name="40% - Accent1 2 75 2 2" xfId="14119"/>
    <cellStyle name="40% - Accent1 2 75 2 3" xfId="14120"/>
    <cellStyle name="40% - Accent1 2 75 3" xfId="14121"/>
    <cellStyle name="40% - Accent1 2 75 3 2" xfId="14122"/>
    <cellStyle name="40% - Accent1 2 75 4" xfId="14123"/>
    <cellStyle name="40% - Accent1 2 75 5" xfId="14124"/>
    <cellStyle name="40% - Accent1 2 76" xfId="14125"/>
    <cellStyle name="40% - Accent1 2 76 2" xfId="14126"/>
    <cellStyle name="40% - Accent1 2 76 2 2" xfId="14127"/>
    <cellStyle name="40% - Accent1 2 76 2 3" xfId="14128"/>
    <cellStyle name="40% - Accent1 2 76 3" xfId="14129"/>
    <cellStyle name="40% - Accent1 2 76 3 2" xfId="14130"/>
    <cellStyle name="40% - Accent1 2 76 4" xfId="14131"/>
    <cellStyle name="40% - Accent1 2 76 5" xfId="14132"/>
    <cellStyle name="40% - Accent1 2 77" xfId="14133"/>
    <cellStyle name="40% - Accent1 2 77 2" xfId="14134"/>
    <cellStyle name="40% - Accent1 2 77 2 2" xfId="14135"/>
    <cellStyle name="40% - Accent1 2 77 2 3" xfId="14136"/>
    <cellStyle name="40% - Accent1 2 77 3" xfId="14137"/>
    <cellStyle name="40% - Accent1 2 77 3 2" xfId="14138"/>
    <cellStyle name="40% - Accent1 2 77 4" xfId="14139"/>
    <cellStyle name="40% - Accent1 2 77 5" xfId="14140"/>
    <cellStyle name="40% - Accent1 2 78" xfId="14141"/>
    <cellStyle name="40% - Accent1 2 78 2" xfId="14142"/>
    <cellStyle name="40% - Accent1 2 78 2 2" xfId="14143"/>
    <cellStyle name="40% - Accent1 2 78 2 3" xfId="14144"/>
    <cellStyle name="40% - Accent1 2 78 3" xfId="14145"/>
    <cellStyle name="40% - Accent1 2 78 3 2" xfId="14146"/>
    <cellStyle name="40% - Accent1 2 78 4" xfId="14147"/>
    <cellStyle name="40% - Accent1 2 78 5" xfId="14148"/>
    <cellStyle name="40% - Accent1 2 79" xfId="14149"/>
    <cellStyle name="40% - Accent1 2 79 2" xfId="14150"/>
    <cellStyle name="40% - Accent1 2 79 2 2" xfId="14151"/>
    <cellStyle name="40% - Accent1 2 79 2 3" xfId="14152"/>
    <cellStyle name="40% - Accent1 2 79 3" xfId="14153"/>
    <cellStyle name="40% - Accent1 2 79 3 2" xfId="14154"/>
    <cellStyle name="40% - Accent1 2 79 4" xfId="14155"/>
    <cellStyle name="40% - Accent1 2 79 5" xfId="14156"/>
    <cellStyle name="40% - Accent1 2 8" xfId="14157"/>
    <cellStyle name="40% - Accent1 2 8 2" xfId="14158"/>
    <cellStyle name="40% - Accent1 2 8 3" xfId="14159"/>
    <cellStyle name="40% - Accent1 2 8 4" xfId="14160"/>
    <cellStyle name="40% - Accent1 2 8 5" xfId="14161"/>
    <cellStyle name="40% - Accent1 2 8 5 2" xfId="14162"/>
    <cellStyle name="40% - Accent1 2 8_BHP" xfId="14163"/>
    <cellStyle name="40% - Accent1 2 80" xfId="14164"/>
    <cellStyle name="40% - Accent1 2 80 2" xfId="14165"/>
    <cellStyle name="40% - Accent1 2 80 2 2" xfId="14166"/>
    <cellStyle name="40% - Accent1 2 80 2 3" xfId="14167"/>
    <cellStyle name="40% - Accent1 2 80 3" xfId="14168"/>
    <cellStyle name="40% - Accent1 2 80 3 2" xfId="14169"/>
    <cellStyle name="40% - Accent1 2 80 4" xfId="14170"/>
    <cellStyle name="40% - Accent1 2 80 5" xfId="14171"/>
    <cellStyle name="40% - Accent1 2 81" xfId="14172"/>
    <cellStyle name="40% - Accent1 2 81 2" xfId="14173"/>
    <cellStyle name="40% - Accent1 2 81 2 2" xfId="14174"/>
    <cellStyle name="40% - Accent1 2 81 2 3" xfId="14175"/>
    <cellStyle name="40% - Accent1 2 81 3" xfId="14176"/>
    <cellStyle name="40% - Accent1 2 81 3 2" xfId="14177"/>
    <cellStyle name="40% - Accent1 2 81 4" xfId="14178"/>
    <cellStyle name="40% - Accent1 2 81 5" xfId="14179"/>
    <cellStyle name="40% - Accent1 2 82" xfId="14180"/>
    <cellStyle name="40% - Accent1 2 82 2" xfId="14181"/>
    <cellStyle name="40% - Accent1 2 82 2 2" xfId="14182"/>
    <cellStyle name="40% - Accent1 2 82 2 3" xfId="14183"/>
    <cellStyle name="40% - Accent1 2 82 3" xfId="14184"/>
    <cellStyle name="40% - Accent1 2 82 3 2" xfId="14185"/>
    <cellStyle name="40% - Accent1 2 82 4" xfId="14186"/>
    <cellStyle name="40% - Accent1 2 82 5" xfId="14187"/>
    <cellStyle name="40% - Accent1 2 83" xfId="14188"/>
    <cellStyle name="40% - Accent1 2 83 2" xfId="14189"/>
    <cellStyle name="40% - Accent1 2 83 2 2" xfId="14190"/>
    <cellStyle name="40% - Accent1 2 83 2 3" xfId="14191"/>
    <cellStyle name="40% - Accent1 2 83 3" xfId="14192"/>
    <cellStyle name="40% - Accent1 2 83 3 2" xfId="14193"/>
    <cellStyle name="40% - Accent1 2 83 4" xfId="14194"/>
    <cellStyle name="40% - Accent1 2 83 5" xfId="14195"/>
    <cellStyle name="40% - Accent1 2 84" xfId="14196"/>
    <cellStyle name="40% - Accent1 2 84 2" xfId="14197"/>
    <cellStyle name="40% - Accent1 2 84 2 2" xfId="14198"/>
    <cellStyle name="40% - Accent1 2 84 2 3" xfId="14199"/>
    <cellStyle name="40% - Accent1 2 84 3" xfId="14200"/>
    <cellStyle name="40% - Accent1 2 84 3 2" xfId="14201"/>
    <cellStyle name="40% - Accent1 2 84 4" xfId="14202"/>
    <cellStyle name="40% - Accent1 2 84 5" xfId="14203"/>
    <cellStyle name="40% - Accent1 2 85" xfId="14204"/>
    <cellStyle name="40% - Accent1 2 85 2" xfId="14205"/>
    <cellStyle name="40% - Accent1 2 85 2 2" xfId="14206"/>
    <cellStyle name="40% - Accent1 2 85 2 3" xfId="14207"/>
    <cellStyle name="40% - Accent1 2 85 3" xfId="14208"/>
    <cellStyle name="40% - Accent1 2 85 3 2" xfId="14209"/>
    <cellStyle name="40% - Accent1 2 85 4" xfId="14210"/>
    <cellStyle name="40% - Accent1 2 85 5" xfId="14211"/>
    <cellStyle name="40% - Accent1 2 86" xfId="14212"/>
    <cellStyle name="40% - Accent1 2 86 2" xfId="14213"/>
    <cellStyle name="40% - Accent1 2 86 2 2" xfId="14214"/>
    <cellStyle name="40% - Accent1 2 86 2 3" xfId="14215"/>
    <cellStyle name="40% - Accent1 2 86 3" xfId="14216"/>
    <cellStyle name="40% - Accent1 2 86 3 2" xfId="14217"/>
    <cellStyle name="40% - Accent1 2 86 4" xfId="14218"/>
    <cellStyle name="40% - Accent1 2 86 5" xfId="14219"/>
    <cellStyle name="40% - Accent1 2 87" xfId="14220"/>
    <cellStyle name="40% - Accent1 2 87 2" xfId="14221"/>
    <cellStyle name="40% - Accent1 2 87 2 2" xfId="14222"/>
    <cellStyle name="40% - Accent1 2 87 2 3" xfId="14223"/>
    <cellStyle name="40% - Accent1 2 87 3" xfId="14224"/>
    <cellStyle name="40% - Accent1 2 87 3 2" xfId="14225"/>
    <cellStyle name="40% - Accent1 2 87 4" xfId="14226"/>
    <cellStyle name="40% - Accent1 2 87 5" xfId="14227"/>
    <cellStyle name="40% - Accent1 2 88" xfId="14228"/>
    <cellStyle name="40% - Accent1 2 88 2" xfId="14229"/>
    <cellStyle name="40% - Accent1 2 88 2 2" xfId="14230"/>
    <cellStyle name="40% - Accent1 2 88 2 3" xfId="14231"/>
    <cellStyle name="40% - Accent1 2 88 3" xfId="14232"/>
    <cellStyle name="40% - Accent1 2 88 3 2" xfId="14233"/>
    <cellStyle name="40% - Accent1 2 88 4" xfId="14234"/>
    <cellStyle name="40% - Accent1 2 88 5" xfId="14235"/>
    <cellStyle name="40% - Accent1 2 89" xfId="14236"/>
    <cellStyle name="40% - Accent1 2 89 2" xfId="14237"/>
    <cellStyle name="40% - Accent1 2 89 2 2" xfId="14238"/>
    <cellStyle name="40% - Accent1 2 89 2 3" xfId="14239"/>
    <cellStyle name="40% - Accent1 2 89 3" xfId="14240"/>
    <cellStyle name="40% - Accent1 2 89 3 2" xfId="14241"/>
    <cellStyle name="40% - Accent1 2 89 4" xfId="14242"/>
    <cellStyle name="40% - Accent1 2 89 5" xfId="14243"/>
    <cellStyle name="40% - Accent1 2 9" xfId="14244"/>
    <cellStyle name="40% - Accent1 2 9 2" xfId="14245"/>
    <cellStyle name="40% - Accent1 2 9 3" xfId="14246"/>
    <cellStyle name="40% - Accent1 2 9 4" xfId="14247"/>
    <cellStyle name="40% - Accent1 2 9 5" xfId="14248"/>
    <cellStyle name="40% - Accent1 2 9 5 2" xfId="14249"/>
    <cellStyle name="40% - Accent1 2 9_BHP" xfId="14250"/>
    <cellStyle name="40% - Accent1 2 90" xfId="14251"/>
    <cellStyle name="40% - Accent1 2 90 2" xfId="14252"/>
    <cellStyle name="40% - Accent1 2 90 2 2" xfId="14253"/>
    <cellStyle name="40% - Accent1 2 90 2 3" xfId="14254"/>
    <cellStyle name="40% - Accent1 2 90 3" xfId="14255"/>
    <cellStyle name="40% - Accent1 2 90 3 2" xfId="14256"/>
    <cellStyle name="40% - Accent1 2 90 4" xfId="14257"/>
    <cellStyle name="40% - Accent1 2 90 5" xfId="14258"/>
    <cellStyle name="40% - Accent1 2 91" xfId="14259"/>
    <cellStyle name="40% - Accent1 2 91 2" xfId="14260"/>
    <cellStyle name="40% - Accent1 2 91 2 2" xfId="14261"/>
    <cellStyle name="40% - Accent1 2 91 2 3" xfId="14262"/>
    <cellStyle name="40% - Accent1 2 91 3" xfId="14263"/>
    <cellStyle name="40% - Accent1 2 91 3 2" xfId="14264"/>
    <cellStyle name="40% - Accent1 2 91 4" xfId="14265"/>
    <cellStyle name="40% - Accent1 2 91 5" xfId="14266"/>
    <cellStyle name="40% - Accent1 2 92" xfId="14267"/>
    <cellStyle name="40% - Accent1 2 92 2" xfId="14268"/>
    <cellStyle name="40% - Accent1 2 92 2 2" xfId="14269"/>
    <cellStyle name="40% - Accent1 2 92 3" xfId="14270"/>
    <cellStyle name="40% - Accent1 2 92 4" xfId="14271"/>
    <cellStyle name="40% - Accent1 2 93" xfId="14272"/>
    <cellStyle name="40% - Accent1 2 93 2" xfId="14273"/>
    <cellStyle name="40% - Accent1 2 93 2 2" xfId="14274"/>
    <cellStyle name="40% - Accent1 2 93 3" xfId="14275"/>
    <cellStyle name="40% - Accent1 2 93 4" xfId="14276"/>
    <cellStyle name="40% - Accent1 2 94" xfId="14277"/>
    <cellStyle name="40% - Accent1 2 94 2" xfId="14278"/>
    <cellStyle name="40% - Accent1 2 94 2 2" xfId="14279"/>
    <cellStyle name="40% - Accent1 2 94 3" xfId="14280"/>
    <cellStyle name="40% - Accent1 2 94 4" xfId="14281"/>
    <cellStyle name="40% - Accent1 2 95" xfId="14282"/>
    <cellStyle name="40% - Accent1 2 95 2" xfId="14283"/>
    <cellStyle name="40% - Accent1 2 95 2 2" xfId="14284"/>
    <cellStyle name="40% - Accent1 2 95 3" xfId="14285"/>
    <cellStyle name="40% - Accent1 2 95 4" xfId="14286"/>
    <cellStyle name="40% - Accent1 2 96" xfId="14287"/>
    <cellStyle name="40% - Accent1 2 96 2" xfId="14288"/>
    <cellStyle name="40% - Accent1 2 96 2 2" xfId="14289"/>
    <cellStyle name="40% - Accent1 2 96 3" xfId="14290"/>
    <cellStyle name="40% - Accent1 2 96 4" xfId="14291"/>
    <cellStyle name="40% - Accent1 2 97" xfId="14292"/>
    <cellStyle name="40% - Accent1 2 97 2" xfId="14293"/>
    <cellStyle name="40% - Accent1 2 97 2 2" xfId="14294"/>
    <cellStyle name="40% - Accent1 2 97 3" xfId="14295"/>
    <cellStyle name="40% - Accent1 2 97 4" xfId="14296"/>
    <cellStyle name="40% - Accent1 2 98" xfId="14297"/>
    <cellStyle name="40% - Accent1 2 98 2" xfId="14298"/>
    <cellStyle name="40% - Accent1 2 98 2 2" xfId="14299"/>
    <cellStyle name="40% - Accent1 2 98 3" xfId="14300"/>
    <cellStyle name="40% - Accent1 2 98 4" xfId="14301"/>
    <cellStyle name="40% - Accent1 2 99" xfId="14302"/>
    <cellStyle name="40% - Accent1 2 99 2" xfId="14303"/>
    <cellStyle name="40% - Accent1 2 99 2 2" xfId="14304"/>
    <cellStyle name="40% - Accent1 2 99 3" xfId="14305"/>
    <cellStyle name="40% - Accent1 2 99 4" xfId="14306"/>
    <cellStyle name="40% - Accent1 2_1-10 BHU IS" xfId="14307"/>
    <cellStyle name="40% - Accent1 20" xfId="14308"/>
    <cellStyle name="40% - Accent1 21" xfId="14309"/>
    <cellStyle name="40% - Accent1 22" xfId="14310"/>
    <cellStyle name="40% - Accent1 23" xfId="14311"/>
    <cellStyle name="40% - Accent1 24" xfId="14312"/>
    <cellStyle name="40% - Accent1 25" xfId="14313"/>
    <cellStyle name="40% - Accent1 26" xfId="14314"/>
    <cellStyle name="40% - Accent1 26 2" xfId="14315"/>
    <cellStyle name="40% - Accent1 26 2 2" xfId="14316"/>
    <cellStyle name="40% - Accent1 26 2 2 2" xfId="14317"/>
    <cellStyle name="40% - Accent1 26 2 2 3" xfId="14318"/>
    <cellStyle name="40% - Accent1 26 2 3" xfId="14319"/>
    <cellStyle name="40% - Accent1 26 2 3 2" xfId="14320"/>
    <cellStyle name="40% - Accent1 26 2 4" xfId="14321"/>
    <cellStyle name="40% - Accent1 26 2 5" xfId="14322"/>
    <cellStyle name="40% - Accent1 26 3" xfId="14323"/>
    <cellStyle name="40% - Accent1 26 3 2" xfId="14324"/>
    <cellStyle name="40% - Accent1 26 3 2 2" xfId="14325"/>
    <cellStyle name="40% - Accent1 26 3 3" xfId="14326"/>
    <cellStyle name="40% - Accent1 26 3 4" xfId="14327"/>
    <cellStyle name="40% - Accent1 26 4" xfId="14328"/>
    <cellStyle name="40% - Accent1 26 4 2" xfId="14329"/>
    <cellStyle name="40% - Accent1 26 4 2 2" xfId="14330"/>
    <cellStyle name="40% - Accent1 26 4 3" xfId="14331"/>
    <cellStyle name="40% - Accent1 26 4 4" xfId="14332"/>
    <cellStyle name="40% - Accent1 26 5" xfId="14333"/>
    <cellStyle name="40% - Accent1 26 5 2" xfId="14334"/>
    <cellStyle name="40% - Accent1 26 6" xfId="14335"/>
    <cellStyle name="40% - Accent1 26 7" xfId="14336"/>
    <cellStyle name="40% - Accent1 26 8" xfId="14337"/>
    <cellStyle name="40% - Accent1 27" xfId="14338"/>
    <cellStyle name="40% - Accent1 27 2" xfId="14339"/>
    <cellStyle name="40% - Accent1 27 2 2" xfId="14340"/>
    <cellStyle name="40% - Accent1 27 2 2 2" xfId="14341"/>
    <cellStyle name="40% - Accent1 27 2 2 3" xfId="14342"/>
    <cellStyle name="40% - Accent1 27 2 3" xfId="14343"/>
    <cellStyle name="40% - Accent1 27 2 3 2" xfId="14344"/>
    <cellStyle name="40% - Accent1 27 2 4" xfId="14345"/>
    <cellStyle name="40% - Accent1 27 2 5" xfId="14346"/>
    <cellStyle name="40% - Accent1 27 3" xfId="14347"/>
    <cellStyle name="40% - Accent1 27 3 2" xfId="14348"/>
    <cellStyle name="40% - Accent1 27 3 2 2" xfId="14349"/>
    <cellStyle name="40% - Accent1 27 3 3" xfId="14350"/>
    <cellStyle name="40% - Accent1 27 3 4" xfId="14351"/>
    <cellStyle name="40% - Accent1 27 4" xfId="14352"/>
    <cellStyle name="40% - Accent1 27 4 2" xfId="14353"/>
    <cellStyle name="40% - Accent1 27 4 2 2" xfId="14354"/>
    <cellStyle name="40% - Accent1 27 4 3" xfId="14355"/>
    <cellStyle name="40% - Accent1 27 4 4" xfId="14356"/>
    <cellStyle name="40% - Accent1 27 5" xfId="14357"/>
    <cellStyle name="40% - Accent1 27 5 2" xfId="14358"/>
    <cellStyle name="40% - Accent1 27 6" xfId="14359"/>
    <cellStyle name="40% - Accent1 27 7" xfId="14360"/>
    <cellStyle name="40% - Accent1 27 8" xfId="14361"/>
    <cellStyle name="40% - Accent1 28" xfId="14362"/>
    <cellStyle name="40% - Accent1 28 2" xfId="14363"/>
    <cellStyle name="40% - Accent1 28 2 2" xfId="14364"/>
    <cellStyle name="40% - Accent1 28 2 2 2" xfId="14365"/>
    <cellStyle name="40% - Accent1 28 2 2 3" xfId="14366"/>
    <cellStyle name="40% - Accent1 28 2 3" xfId="14367"/>
    <cellStyle name="40% - Accent1 28 2 3 2" xfId="14368"/>
    <cellStyle name="40% - Accent1 28 2 4" xfId="14369"/>
    <cellStyle name="40% - Accent1 28 2 5" xfId="14370"/>
    <cellStyle name="40% - Accent1 28 3" xfId="14371"/>
    <cellStyle name="40% - Accent1 28 3 2" xfId="14372"/>
    <cellStyle name="40% - Accent1 28 3 2 2" xfId="14373"/>
    <cellStyle name="40% - Accent1 28 3 3" xfId="14374"/>
    <cellStyle name="40% - Accent1 28 3 4" xfId="14375"/>
    <cellStyle name="40% - Accent1 28 4" xfId="14376"/>
    <cellStyle name="40% - Accent1 28 4 2" xfId="14377"/>
    <cellStyle name="40% - Accent1 28 4 2 2" xfId="14378"/>
    <cellStyle name="40% - Accent1 28 4 3" xfId="14379"/>
    <cellStyle name="40% - Accent1 28 4 4" xfId="14380"/>
    <cellStyle name="40% - Accent1 28 5" xfId="14381"/>
    <cellStyle name="40% - Accent1 28 5 2" xfId="14382"/>
    <cellStyle name="40% - Accent1 28 6" xfId="14383"/>
    <cellStyle name="40% - Accent1 28 7" xfId="14384"/>
    <cellStyle name="40% - Accent1 28 8" xfId="14385"/>
    <cellStyle name="40% - Accent1 29" xfId="14386"/>
    <cellStyle name="40% - Accent1 29 2" xfId="14387"/>
    <cellStyle name="40% - Accent1 29 2 2" xfId="14388"/>
    <cellStyle name="40% - Accent1 29 2 2 2" xfId="14389"/>
    <cellStyle name="40% - Accent1 29 2 2 3" xfId="14390"/>
    <cellStyle name="40% - Accent1 29 2 3" xfId="14391"/>
    <cellStyle name="40% - Accent1 29 2 3 2" xfId="14392"/>
    <cellStyle name="40% - Accent1 29 2 4" xfId="14393"/>
    <cellStyle name="40% - Accent1 29 2 5" xfId="14394"/>
    <cellStyle name="40% - Accent1 29 3" xfId="14395"/>
    <cellStyle name="40% - Accent1 29 3 2" xfId="14396"/>
    <cellStyle name="40% - Accent1 29 3 2 2" xfId="14397"/>
    <cellStyle name="40% - Accent1 29 3 3" xfId="14398"/>
    <cellStyle name="40% - Accent1 29 3 4" xfId="14399"/>
    <cellStyle name="40% - Accent1 29 4" xfId="14400"/>
    <cellStyle name="40% - Accent1 29 4 2" xfId="14401"/>
    <cellStyle name="40% - Accent1 29 4 2 2" xfId="14402"/>
    <cellStyle name="40% - Accent1 29 4 3" xfId="14403"/>
    <cellStyle name="40% - Accent1 29 4 4" xfId="14404"/>
    <cellStyle name="40% - Accent1 29 5" xfId="14405"/>
    <cellStyle name="40% - Accent1 29 5 2" xfId="14406"/>
    <cellStyle name="40% - Accent1 29 6" xfId="14407"/>
    <cellStyle name="40% - Accent1 29 7" xfId="14408"/>
    <cellStyle name="40% - Accent1 29 8" xfId="14409"/>
    <cellStyle name="40% - Accent1 3" xfId="14410"/>
    <cellStyle name="40% - Accent1 3 10" xfId="14411"/>
    <cellStyle name="40% - Accent1 3 10 2" xfId="14412"/>
    <cellStyle name="40% - Accent1 3 10 2 2" xfId="14413"/>
    <cellStyle name="40% - Accent1 3 10 2 2 2" xfId="14414"/>
    <cellStyle name="40% - Accent1 3 10 2 2 3" xfId="14415"/>
    <cellStyle name="40% - Accent1 3 10 2 3" xfId="14416"/>
    <cellStyle name="40% - Accent1 3 10 2 3 2" xfId="14417"/>
    <cellStyle name="40% - Accent1 3 10 2 4" xfId="14418"/>
    <cellStyle name="40% - Accent1 3 10 2 5" xfId="14419"/>
    <cellStyle name="40% - Accent1 3 10 3" xfId="14420"/>
    <cellStyle name="40% - Accent1 3 10 3 2" xfId="14421"/>
    <cellStyle name="40% - Accent1 3 10 3 2 2" xfId="14422"/>
    <cellStyle name="40% - Accent1 3 10 3 3" xfId="14423"/>
    <cellStyle name="40% - Accent1 3 10 3 4" xfId="14424"/>
    <cellStyle name="40% - Accent1 3 10 4" xfId="14425"/>
    <cellStyle name="40% - Accent1 3 10 4 2" xfId="14426"/>
    <cellStyle name="40% - Accent1 3 10 4 2 2" xfId="14427"/>
    <cellStyle name="40% - Accent1 3 10 4 3" xfId="14428"/>
    <cellStyle name="40% - Accent1 3 10 4 4" xfId="14429"/>
    <cellStyle name="40% - Accent1 3 10 5" xfId="14430"/>
    <cellStyle name="40% - Accent1 3 10 5 2" xfId="14431"/>
    <cellStyle name="40% - Accent1 3 10 6" xfId="14432"/>
    <cellStyle name="40% - Accent1 3 10 7" xfId="14433"/>
    <cellStyle name="40% - Accent1 3 10 8" xfId="14434"/>
    <cellStyle name="40% - Accent1 3 11" xfId="14435"/>
    <cellStyle name="40% - Accent1 3 11 2" xfId="14436"/>
    <cellStyle name="40% - Accent1 3 11 2 2" xfId="14437"/>
    <cellStyle name="40% - Accent1 3 11 2 2 2" xfId="14438"/>
    <cellStyle name="40% - Accent1 3 11 2 2 3" xfId="14439"/>
    <cellStyle name="40% - Accent1 3 11 2 3" xfId="14440"/>
    <cellStyle name="40% - Accent1 3 11 2 3 2" xfId="14441"/>
    <cellStyle name="40% - Accent1 3 11 2 4" xfId="14442"/>
    <cellStyle name="40% - Accent1 3 11 2 5" xfId="14443"/>
    <cellStyle name="40% - Accent1 3 11 3" xfId="14444"/>
    <cellStyle name="40% - Accent1 3 11 3 2" xfId="14445"/>
    <cellStyle name="40% - Accent1 3 11 3 2 2" xfId="14446"/>
    <cellStyle name="40% - Accent1 3 11 3 3" xfId="14447"/>
    <cellStyle name="40% - Accent1 3 11 3 4" xfId="14448"/>
    <cellStyle name="40% - Accent1 3 11 4" xfId="14449"/>
    <cellStyle name="40% - Accent1 3 11 4 2" xfId="14450"/>
    <cellStyle name="40% - Accent1 3 11 4 2 2" xfId="14451"/>
    <cellStyle name="40% - Accent1 3 11 4 3" xfId="14452"/>
    <cellStyle name="40% - Accent1 3 11 4 4" xfId="14453"/>
    <cellStyle name="40% - Accent1 3 11 5" xfId="14454"/>
    <cellStyle name="40% - Accent1 3 11 5 2" xfId="14455"/>
    <cellStyle name="40% - Accent1 3 11 6" xfId="14456"/>
    <cellStyle name="40% - Accent1 3 11 7" xfId="14457"/>
    <cellStyle name="40% - Accent1 3 11 8" xfId="14458"/>
    <cellStyle name="40% - Accent1 3 12" xfId="14459"/>
    <cellStyle name="40% - Accent1 3 12 2" xfId="14460"/>
    <cellStyle name="40% - Accent1 3 12 2 2" xfId="14461"/>
    <cellStyle name="40% - Accent1 3 12 2 2 2" xfId="14462"/>
    <cellStyle name="40% - Accent1 3 12 2 2 3" xfId="14463"/>
    <cellStyle name="40% - Accent1 3 12 2 3" xfId="14464"/>
    <cellStyle name="40% - Accent1 3 12 2 3 2" xfId="14465"/>
    <cellStyle name="40% - Accent1 3 12 2 4" xfId="14466"/>
    <cellStyle name="40% - Accent1 3 12 2 5" xfId="14467"/>
    <cellStyle name="40% - Accent1 3 12 3" xfId="14468"/>
    <cellStyle name="40% - Accent1 3 12 3 2" xfId="14469"/>
    <cellStyle name="40% - Accent1 3 12 3 2 2" xfId="14470"/>
    <cellStyle name="40% - Accent1 3 12 3 3" xfId="14471"/>
    <cellStyle name="40% - Accent1 3 12 3 4" xfId="14472"/>
    <cellStyle name="40% - Accent1 3 12 4" xfId="14473"/>
    <cellStyle name="40% - Accent1 3 12 4 2" xfId="14474"/>
    <cellStyle name="40% - Accent1 3 12 4 2 2" xfId="14475"/>
    <cellStyle name="40% - Accent1 3 12 4 3" xfId="14476"/>
    <cellStyle name="40% - Accent1 3 12 4 4" xfId="14477"/>
    <cellStyle name="40% - Accent1 3 12 5" xfId="14478"/>
    <cellStyle name="40% - Accent1 3 12 5 2" xfId="14479"/>
    <cellStyle name="40% - Accent1 3 12 6" xfId="14480"/>
    <cellStyle name="40% - Accent1 3 12 7" xfId="14481"/>
    <cellStyle name="40% - Accent1 3 12 8" xfId="14482"/>
    <cellStyle name="40% - Accent1 3 2" xfId="14483"/>
    <cellStyle name="40% - Accent1 3 2 2" xfId="14484"/>
    <cellStyle name="40% - Accent1 3 2 2 2" xfId="14485"/>
    <cellStyle name="40% - Accent1 3 2 3" xfId="14486"/>
    <cellStyle name="40% - Accent1 3 2 4" xfId="14487"/>
    <cellStyle name="40% - Accent1 3 2 5" xfId="14488"/>
    <cellStyle name="40% - Accent1 3 2 6" xfId="14489"/>
    <cellStyle name="40% - Accent1 3 2 7" xfId="14490"/>
    <cellStyle name="40% - Accent1 3 2 8" xfId="14491"/>
    <cellStyle name="40% - Accent1 3 2_2009 Actual" xfId="14492"/>
    <cellStyle name="40% - Accent1 3 3" xfId="14493"/>
    <cellStyle name="40% - Accent1 3 3 2" xfId="14494"/>
    <cellStyle name="40% - Accent1 3 4" xfId="14495"/>
    <cellStyle name="40% - Accent1 3 5" xfId="14496"/>
    <cellStyle name="40% - Accent1 3 6" xfId="14497"/>
    <cellStyle name="40% - Accent1 3 7" xfId="14498"/>
    <cellStyle name="40% - Accent1 3 8" xfId="14499"/>
    <cellStyle name="40% - Accent1 3 9" xfId="14500"/>
    <cellStyle name="40% - Accent1 3_2009 Actual" xfId="14501"/>
    <cellStyle name="40% - Accent1 30" xfId="14502"/>
    <cellStyle name="40% - Accent1 30 2" xfId="14503"/>
    <cellStyle name="40% - Accent1 30 2 2" xfId="14504"/>
    <cellStyle name="40% - Accent1 30 2 2 2" xfId="14505"/>
    <cellStyle name="40% - Accent1 30 2 2 3" xfId="14506"/>
    <cellStyle name="40% - Accent1 30 2 3" xfId="14507"/>
    <cellStyle name="40% - Accent1 30 2 3 2" xfId="14508"/>
    <cellStyle name="40% - Accent1 30 2 4" xfId="14509"/>
    <cellStyle name="40% - Accent1 30 2 5" xfId="14510"/>
    <cellStyle name="40% - Accent1 30 3" xfId="14511"/>
    <cellStyle name="40% - Accent1 30 3 2" xfId="14512"/>
    <cellStyle name="40% - Accent1 30 3 2 2" xfId="14513"/>
    <cellStyle name="40% - Accent1 30 3 3" xfId="14514"/>
    <cellStyle name="40% - Accent1 30 3 4" xfId="14515"/>
    <cellStyle name="40% - Accent1 30 4" xfId="14516"/>
    <cellStyle name="40% - Accent1 30 4 2" xfId="14517"/>
    <cellStyle name="40% - Accent1 30 4 2 2" xfId="14518"/>
    <cellStyle name="40% - Accent1 30 4 3" xfId="14519"/>
    <cellStyle name="40% - Accent1 30 4 4" xfId="14520"/>
    <cellStyle name="40% - Accent1 30 5" xfId="14521"/>
    <cellStyle name="40% - Accent1 30 5 2" xfId="14522"/>
    <cellStyle name="40% - Accent1 30 6" xfId="14523"/>
    <cellStyle name="40% - Accent1 30 7" xfId="14524"/>
    <cellStyle name="40% - Accent1 30 8" xfId="14525"/>
    <cellStyle name="40% - Accent1 31" xfId="14526"/>
    <cellStyle name="40% - Accent1 31 2" xfId="14527"/>
    <cellStyle name="40% - Accent1 31 2 2" xfId="14528"/>
    <cellStyle name="40% - Accent1 31 2 3" xfId="14529"/>
    <cellStyle name="40% - Accent1 31 3" xfId="14530"/>
    <cellStyle name="40% - Accent1 31 3 2" xfId="14531"/>
    <cellStyle name="40% - Accent1 31 4" xfId="14532"/>
    <cellStyle name="40% - Accent1 31 5" xfId="14533"/>
    <cellStyle name="40% - Accent1 32" xfId="14534"/>
    <cellStyle name="40% - Accent1 32 2" xfId="14535"/>
    <cellStyle name="40% - Accent1 32 2 2" xfId="14536"/>
    <cellStyle name="40% - Accent1 32 2 3" xfId="14537"/>
    <cellStyle name="40% - Accent1 32 3" xfId="14538"/>
    <cellStyle name="40% - Accent1 32 3 2" xfId="14539"/>
    <cellStyle name="40% - Accent1 32 4" xfId="14540"/>
    <cellStyle name="40% - Accent1 32 5" xfId="14541"/>
    <cellStyle name="40% - Accent1 33" xfId="14542"/>
    <cellStyle name="40% - Accent1 33 2" xfId="14543"/>
    <cellStyle name="40% - Accent1 33 2 2" xfId="14544"/>
    <cellStyle name="40% - Accent1 33 2 3" xfId="14545"/>
    <cellStyle name="40% - Accent1 33 3" xfId="14546"/>
    <cellStyle name="40% - Accent1 33 3 2" xfId="14547"/>
    <cellStyle name="40% - Accent1 33 4" xfId="14548"/>
    <cellStyle name="40% - Accent1 33 5" xfId="14549"/>
    <cellStyle name="40% - Accent1 34" xfId="14550"/>
    <cellStyle name="40% - Accent1 34 2" xfId="14551"/>
    <cellStyle name="40% - Accent1 34 2 2" xfId="14552"/>
    <cellStyle name="40% - Accent1 34 2 3" xfId="14553"/>
    <cellStyle name="40% - Accent1 34 3" xfId="14554"/>
    <cellStyle name="40% - Accent1 34 3 2" xfId="14555"/>
    <cellStyle name="40% - Accent1 34 4" xfId="14556"/>
    <cellStyle name="40% - Accent1 34 5" xfId="14557"/>
    <cellStyle name="40% - Accent1 35" xfId="14558"/>
    <cellStyle name="40% - Accent1 35 2" xfId="14559"/>
    <cellStyle name="40% - Accent1 35 2 2" xfId="14560"/>
    <cellStyle name="40% - Accent1 35 2 3" xfId="14561"/>
    <cellStyle name="40% - Accent1 35 3" xfId="14562"/>
    <cellStyle name="40% - Accent1 35 3 2" xfId="14563"/>
    <cellStyle name="40% - Accent1 35 4" xfId="14564"/>
    <cellStyle name="40% - Accent1 35 5" xfId="14565"/>
    <cellStyle name="40% - Accent1 36" xfId="14566"/>
    <cellStyle name="40% - Accent1 36 2" xfId="14567"/>
    <cellStyle name="40% - Accent1 36 2 2" xfId="14568"/>
    <cellStyle name="40% - Accent1 36 2 3" xfId="14569"/>
    <cellStyle name="40% - Accent1 36 3" xfId="14570"/>
    <cellStyle name="40% - Accent1 36 3 2" xfId="14571"/>
    <cellStyle name="40% - Accent1 36 4" xfId="14572"/>
    <cellStyle name="40% - Accent1 36 5" xfId="14573"/>
    <cellStyle name="40% - Accent1 37" xfId="14574"/>
    <cellStyle name="40% - Accent1 37 2" xfId="14575"/>
    <cellStyle name="40% - Accent1 37 2 2" xfId="14576"/>
    <cellStyle name="40% - Accent1 37 2 3" xfId="14577"/>
    <cellStyle name="40% - Accent1 37 3" xfId="14578"/>
    <cellStyle name="40% - Accent1 37 3 2" xfId="14579"/>
    <cellStyle name="40% - Accent1 37 4" xfId="14580"/>
    <cellStyle name="40% - Accent1 37 5" xfId="14581"/>
    <cellStyle name="40% - Accent1 38" xfId="14582"/>
    <cellStyle name="40% - Accent1 38 2" xfId="14583"/>
    <cellStyle name="40% - Accent1 38 2 2" xfId="14584"/>
    <cellStyle name="40% - Accent1 38 2 3" xfId="14585"/>
    <cellStyle name="40% - Accent1 38 3" xfId="14586"/>
    <cellStyle name="40% - Accent1 38 3 2" xfId="14587"/>
    <cellStyle name="40% - Accent1 38 4" xfId="14588"/>
    <cellStyle name="40% - Accent1 38 5" xfId="14589"/>
    <cellStyle name="40% - Accent1 39" xfId="14590"/>
    <cellStyle name="40% - Accent1 39 2" xfId="14591"/>
    <cellStyle name="40% - Accent1 39 2 2" xfId="14592"/>
    <cellStyle name="40% - Accent1 39 2 3" xfId="14593"/>
    <cellStyle name="40% - Accent1 39 3" xfId="14594"/>
    <cellStyle name="40% - Accent1 39 3 2" xfId="14595"/>
    <cellStyle name="40% - Accent1 39 4" xfId="14596"/>
    <cellStyle name="40% - Accent1 39 5" xfId="14597"/>
    <cellStyle name="40% - Accent1 4" xfId="14598"/>
    <cellStyle name="40% - Accent1 4 2" xfId="14599"/>
    <cellStyle name="40% - Accent1 4 2 2" xfId="14600"/>
    <cellStyle name="40% - Accent1 4 2 3" xfId="14601"/>
    <cellStyle name="40% - Accent1 4 2 4" xfId="14602"/>
    <cellStyle name="40% - Accent1 4 2 5" xfId="14603"/>
    <cellStyle name="40% - Accent1 4 2 6" xfId="14604"/>
    <cellStyle name="40% - Accent1 4 2 7" xfId="14605"/>
    <cellStyle name="40% - Accent1 4 2_2009 Actual" xfId="14606"/>
    <cellStyle name="40% - Accent1 4 3" xfId="14607"/>
    <cellStyle name="40% - Accent1 4 4" xfId="14608"/>
    <cellStyle name="40% - Accent1 4 5" xfId="14609"/>
    <cellStyle name="40% - Accent1 4 6" xfId="14610"/>
    <cellStyle name="40% - Accent1 4 7" xfId="14611"/>
    <cellStyle name="40% - Accent1 4 8" xfId="14612"/>
    <cellStyle name="40% - Accent1 4_2009 Actual" xfId="14613"/>
    <cellStyle name="40% - Accent1 40" xfId="14614"/>
    <cellStyle name="40% - Accent1 40 2" xfId="14615"/>
    <cellStyle name="40% - Accent1 40 2 2" xfId="14616"/>
    <cellStyle name="40% - Accent1 40 2 3" xfId="14617"/>
    <cellStyle name="40% - Accent1 40 3" xfId="14618"/>
    <cellStyle name="40% - Accent1 40 3 2" xfId="14619"/>
    <cellStyle name="40% - Accent1 40 4" xfId="14620"/>
    <cellStyle name="40% - Accent1 40 5" xfId="14621"/>
    <cellStyle name="40% - Accent1 41" xfId="14622"/>
    <cellStyle name="40% - Accent1 41 2" xfId="14623"/>
    <cellStyle name="40% - Accent1 41 2 2" xfId="14624"/>
    <cellStyle name="40% - Accent1 41 2 3" xfId="14625"/>
    <cellStyle name="40% - Accent1 41 3" xfId="14626"/>
    <cellStyle name="40% - Accent1 41 3 2" xfId="14627"/>
    <cellStyle name="40% - Accent1 41 4" xfId="14628"/>
    <cellStyle name="40% - Accent1 41 5" xfId="14629"/>
    <cellStyle name="40% - Accent1 42" xfId="14630"/>
    <cellStyle name="40% - Accent1 42 2" xfId="14631"/>
    <cellStyle name="40% - Accent1 42 2 2" xfId="14632"/>
    <cellStyle name="40% - Accent1 42 2 3" xfId="14633"/>
    <cellStyle name="40% - Accent1 42 3" xfId="14634"/>
    <cellStyle name="40% - Accent1 42 3 2" xfId="14635"/>
    <cellStyle name="40% - Accent1 42 4" xfId="14636"/>
    <cellStyle name="40% - Accent1 42 5" xfId="14637"/>
    <cellStyle name="40% - Accent1 43" xfId="14638"/>
    <cellStyle name="40% - Accent1 43 2" xfId="14639"/>
    <cellStyle name="40% - Accent1 43 2 2" xfId="14640"/>
    <cellStyle name="40% - Accent1 43 2 3" xfId="14641"/>
    <cellStyle name="40% - Accent1 43 3" xfId="14642"/>
    <cellStyle name="40% - Accent1 43 3 2" xfId="14643"/>
    <cellStyle name="40% - Accent1 43 4" xfId="14644"/>
    <cellStyle name="40% - Accent1 43 5" xfId="14645"/>
    <cellStyle name="40% - Accent1 44" xfId="14646"/>
    <cellStyle name="40% - Accent1 44 2" xfId="14647"/>
    <cellStyle name="40% - Accent1 44 2 2" xfId="14648"/>
    <cellStyle name="40% - Accent1 44 2 3" xfId="14649"/>
    <cellStyle name="40% - Accent1 44 3" xfId="14650"/>
    <cellStyle name="40% - Accent1 44 3 2" xfId="14651"/>
    <cellStyle name="40% - Accent1 44 4" xfId="14652"/>
    <cellStyle name="40% - Accent1 44 5" xfId="14653"/>
    <cellStyle name="40% - Accent1 45" xfId="14654"/>
    <cellStyle name="40% - Accent1 45 2" xfId="14655"/>
    <cellStyle name="40% - Accent1 45 2 2" xfId="14656"/>
    <cellStyle name="40% - Accent1 45 2 3" xfId="14657"/>
    <cellStyle name="40% - Accent1 45 3" xfId="14658"/>
    <cellStyle name="40% - Accent1 45 3 2" xfId="14659"/>
    <cellStyle name="40% - Accent1 45 4" xfId="14660"/>
    <cellStyle name="40% - Accent1 45 5" xfId="14661"/>
    <cellStyle name="40% - Accent1 46" xfId="14662"/>
    <cellStyle name="40% - Accent1 46 2" xfId="14663"/>
    <cellStyle name="40% - Accent1 46 2 2" xfId="14664"/>
    <cellStyle name="40% - Accent1 46 2 3" xfId="14665"/>
    <cellStyle name="40% - Accent1 46 3" xfId="14666"/>
    <cellStyle name="40% - Accent1 46 3 2" xfId="14667"/>
    <cellStyle name="40% - Accent1 46 4" xfId="14668"/>
    <cellStyle name="40% - Accent1 46 5" xfId="14669"/>
    <cellStyle name="40% - Accent1 47" xfId="14670"/>
    <cellStyle name="40% - Accent1 47 2" xfId="14671"/>
    <cellStyle name="40% - Accent1 47 2 2" xfId="14672"/>
    <cellStyle name="40% - Accent1 47 2 3" xfId="14673"/>
    <cellStyle name="40% - Accent1 47 3" xfId="14674"/>
    <cellStyle name="40% - Accent1 47 3 2" xfId="14675"/>
    <cellStyle name="40% - Accent1 47 4" xfId="14676"/>
    <cellStyle name="40% - Accent1 47 5" xfId="14677"/>
    <cellStyle name="40% - Accent1 48" xfId="14678"/>
    <cellStyle name="40% - Accent1 48 2" xfId="14679"/>
    <cellStyle name="40% - Accent1 48 2 2" xfId="14680"/>
    <cellStyle name="40% - Accent1 48 2 3" xfId="14681"/>
    <cellStyle name="40% - Accent1 48 3" xfId="14682"/>
    <cellStyle name="40% - Accent1 48 3 2" xfId="14683"/>
    <cellStyle name="40% - Accent1 48 4" xfId="14684"/>
    <cellStyle name="40% - Accent1 48 5" xfId="14685"/>
    <cellStyle name="40% - Accent1 49" xfId="14686"/>
    <cellStyle name="40% - Accent1 49 2" xfId="14687"/>
    <cellStyle name="40% - Accent1 49 2 2" xfId="14688"/>
    <cellStyle name="40% - Accent1 49 2 3" xfId="14689"/>
    <cellStyle name="40% - Accent1 49 3" xfId="14690"/>
    <cellStyle name="40% - Accent1 49 3 2" xfId="14691"/>
    <cellStyle name="40% - Accent1 49 4" xfId="14692"/>
    <cellStyle name="40% - Accent1 49 5" xfId="14693"/>
    <cellStyle name="40% - Accent1 5" xfId="14694"/>
    <cellStyle name="40% - Accent1 5 2" xfId="14695"/>
    <cellStyle name="40% - Accent1 5 2 2" xfId="14696"/>
    <cellStyle name="40% - Accent1 5 2 3" xfId="14697"/>
    <cellStyle name="40% - Accent1 5 2 4" xfId="14698"/>
    <cellStyle name="40% - Accent1 5 2 5" xfId="14699"/>
    <cellStyle name="40% - Accent1 5 2 6" xfId="14700"/>
    <cellStyle name="40% - Accent1 5 2 7" xfId="14701"/>
    <cellStyle name="40% - Accent1 5 2_2009 Actual" xfId="14702"/>
    <cellStyle name="40% - Accent1 5 3" xfId="14703"/>
    <cellStyle name="40% - Accent1 5 4" xfId="14704"/>
    <cellStyle name="40% - Accent1 5 5" xfId="14705"/>
    <cellStyle name="40% - Accent1 5 6" xfId="14706"/>
    <cellStyle name="40% - Accent1 5 7" xfId="14707"/>
    <cellStyle name="40% - Accent1 5 8" xfId="14708"/>
    <cellStyle name="40% - Accent1 5_2009 Actual" xfId="14709"/>
    <cellStyle name="40% - Accent1 50" xfId="14710"/>
    <cellStyle name="40% - Accent1 50 2" xfId="14711"/>
    <cellStyle name="40% - Accent1 50 2 2" xfId="14712"/>
    <cellStyle name="40% - Accent1 50 2 3" xfId="14713"/>
    <cellStyle name="40% - Accent1 50 3" xfId="14714"/>
    <cellStyle name="40% - Accent1 50 3 2" xfId="14715"/>
    <cellStyle name="40% - Accent1 50 4" xfId="14716"/>
    <cellStyle name="40% - Accent1 50 5" xfId="14717"/>
    <cellStyle name="40% - Accent1 51" xfId="14718"/>
    <cellStyle name="40% - Accent1 51 2" xfId="14719"/>
    <cellStyle name="40% - Accent1 51 2 2" xfId="14720"/>
    <cellStyle name="40% - Accent1 51 2 3" xfId="14721"/>
    <cellStyle name="40% - Accent1 51 3" xfId="14722"/>
    <cellStyle name="40% - Accent1 51 3 2" xfId="14723"/>
    <cellStyle name="40% - Accent1 51 4" xfId="14724"/>
    <cellStyle name="40% - Accent1 51 5" xfId="14725"/>
    <cellStyle name="40% - Accent1 52" xfId="14726"/>
    <cellStyle name="40% - Accent1 52 2" xfId="14727"/>
    <cellStyle name="40% - Accent1 52 2 2" xfId="14728"/>
    <cellStyle name="40% - Accent1 52 2 3" xfId="14729"/>
    <cellStyle name="40% - Accent1 52 3" xfId="14730"/>
    <cellStyle name="40% - Accent1 52 3 2" xfId="14731"/>
    <cellStyle name="40% - Accent1 52 4" xfId="14732"/>
    <cellStyle name="40% - Accent1 52 5" xfId="14733"/>
    <cellStyle name="40% - Accent1 53" xfId="14734"/>
    <cellStyle name="40% - Accent1 53 2" xfId="14735"/>
    <cellStyle name="40% - Accent1 53 2 2" xfId="14736"/>
    <cellStyle name="40% - Accent1 53 2 3" xfId="14737"/>
    <cellStyle name="40% - Accent1 53 3" xfId="14738"/>
    <cellStyle name="40% - Accent1 53 3 2" xfId="14739"/>
    <cellStyle name="40% - Accent1 53 4" xfId="14740"/>
    <cellStyle name="40% - Accent1 53 5" xfId="14741"/>
    <cellStyle name="40% - Accent1 54" xfId="14742"/>
    <cellStyle name="40% - Accent1 54 2" xfId="14743"/>
    <cellStyle name="40% - Accent1 54 2 2" xfId="14744"/>
    <cellStyle name="40% - Accent1 54 2 3" xfId="14745"/>
    <cellStyle name="40% - Accent1 54 3" xfId="14746"/>
    <cellStyle name="40% - Accent1 54 3 2" xfId="14747"/>
    <cellStyle name="40% - Accent1 54 4" xfId="14748"/>
    <cellStyle name="40% - Accent1 54 5" xfId="14749"/>
    <cellStyle name="40% - Accent1 55" xfId="14750"/>
    <cellStyle name="40% - Accent1 55 2" xfId="14751"/>
    <cellStyle name="40% - Accent1 55 2 2" xfId="14752"/>
    <cellStyle name="40% - Accent1 55 2 3" xfId="14753"/>
    <cellStyle name="40% - Accent1 55 3" xfId="14754"/>
    <cellStyle name="40% - Accent1 55 3 2" xfId="14755"/>
    <cellStyle name="40% - Accent1 55 4" xfId="14756"/>
    <cellStyle name="40% - Accent1 55 5" xfId="14757"/>
    <cellStyle name="40% - Accent1 56" xfId="14758"/>
    <cellStyle name="40% - Accent1 56 2" xfId="14759"/>
    <cellStyle name="40% - Accent1 56 2 2" xfId="14760"/>
    <cellStyle name="40% - Accent1 56 2 3" xfId="14761"/>
    <cellStyle name="40% - Accent1 56 3" xfId="14762"/>
    <cellStyle name="40% - Accent1 56 3 2" xfId="14763"/>
    <cellStyle name="40% - Accent1 56 4" xfId="14764"/>
    <cellStyle name="40% - Accent1 56 5" xfId="14765"/>
    <cellStyle name="40% - Accent1 57" xfId="14766"/>
    <cellStyle name="40% - Accent1 57 2" xfId="14767"/>
    <cellStyle name="40% - Accent1 57 2 2" xfId="14768"/>
    <cellStyle name="40% - Accent1 57 2 3" xfId="14769"/>
    <cellStyle name="40% - Accent1 57 3" xfId="14770"/>
    <cellStyle name="40% - Accent1 57 3 2" xfId="14771"/>
    <cellStyle name="40% - Accent1 57 4" xfId="14772"/>
    <cellStyle name="40% - Accent1 57 5" xfId="14773"/>
    <cellStyle name="40% - Accent1 58" xfId="14774"/>
    <cellStyle name="40% - Accent1 58 2" xfId="14775"/>
    <cellStyle name="40% - Accent1 58 2 2" xfId="14776"/>
    <cellStyle name="40% - Accent1 58 2 3" xfId="14777"/>
    <cellStyle name="40% - Accent1 58 3" xfId="14778"/>
    <cellStyle name="40% - Accent1 58 3 2" xfId="14779"/>
    <cellStyle name="40% - Accent1 58 4" xfId="14780"/>
    <cellStyle name="40% - Accent1 58 5" xfId="14781"/>
    <cellStyle name="40% - Accent1 59" xfId="14782"/>
    <cellStyle name="40% - Accent1 59 2" xfId="14783"/>
    <cellStyle name="40% - Accent1 59 2 2" xfId="14784"/>
    <cellStyle name="40% - Accent1 59 2 3" xfId="14785"/>
    <cellStyle name="40% - Accent1 59 3" xfId="14786"/>
    <cellStyle name="40% - Accent1 59 3 2" xfId="14787"/>
    <cellStyle name="40% - Accent1 59 4" xfId="14788"/>
    <cellStyle name="40% - Accent1 59 5" xfId="14789"/>
    <cellStyle name="40% - Accent1 6" xfId="14790"/>
    <cellStyle name="40% - Accent1 6 2" xfId="14791"/>
    <cellStyle name="40% - Accent1 6 3" xfId="14792"/>
    <cellStyle name="40% - Accent1 6 4" xfId="14793"/>
    <cellStyle name="40% - Accent1 6 5" xfId="14794"/>
    <cellStyle name="40% - Accent1 6 6" xfId="14795"/>
    <cellStyle name="40% - Accent1 6 7" xfId="14796"/>
    <cellStyle name="40% - Accent1 6 8" xfId="14797"/>
    <cellStyle name="40% - Accent1 6_2009 Actual" xfId="14798"/>
    <cellStyle name="40% - Accent1 60" xfId="14799"/>
    <cellStyle name="40% - Accent1 60 2" xfId="14800"/>
    <cellStyle name="40% - Accent1 60 2 2" xfId="14801"/>
    <cellStyle name="40% - Accent1 60 2 3" xfId="14802"/>
    <cellStyle name="40% - Accent1 60 3" xfId="14803"/>
    <cellStyle name="40% - Accent1 60 3 2" xfId="14804"/>
    <cellStyle name="40% - Accent1 60 4" xfId="14805"/>
    <cellStyle name="40% - Accent1 60 5" xfId="14806"/>
    <cellStyle name="40% - Accent1 61" xfId="14807"/>
    <cellStyle name="40% - Accent1 61 2" xfId="14808"/>
    <cellStyle name="40% - Accent1 61 2 2" xfId="14809"/>
    <cellStyle name="40% - Accent1 61 2 3" xfId="14810"/>
    <cellStyle name="40% - Accent1 61 3" xfId="14811"/>
    <cellStyle name="40% - Accent1 61 3 2" xfId="14812"/>
    <cellStyle name="40% - Accent1 61 4" xfId="14813"/>
    <cellStyle name="40% - Accent1 61 5" xfId="14814"/>
    <cellStyle name="40% - Accent1 62" xfId="14815"/>
    <cellStyle name="40% - Accent1 62 2" xfId="14816"/>
    <cellStyle name="40% - Accent1 62 2 2" xfId="14817"/>
    <cellStyle name="40% - Accent1 62 2 3" xfId="14818"/>
    <cellStyle name="40% - Accent1 62 3" xfId="14819"/>
    <cellStyle name="40% - Accent1 62 3 2" xfId="14820"/>
    <cellStyle name="40% - Accent1 62 4" xfId="14821"/>
    <cellStyle name="40% - Accent1 62 5" xfId="14822"/>
    <cellStyle name="40% - Accent1 63" xfId="14823"/>
    <cellStyle name="40% - Accent1 63 2" xfId="14824"/>
    <cellStyle name="40% - Accent1 63 2 2" xfId="14825"/>
    <cellStyle name="40% - Accent1 63 2 3" xfId="14826"/>
    <cellStyle name="40% - Accent1 63 3" xfId="14827"/>
    <cellStyle name="40% - Accent1 63 3 2" xfId="14828"/>
    <cellStyle name="40% - Accent1 63 4" xfId="14829"/>
    <cellStyle name="40% - Accent1 63 5" xfId="14830"/>
    <cellStyle name="40% - Accent1 64" xfId="14831"/>
    <cellStyle name="40% - Accent1 64 2" xfId="14832"/>
    <cellStyle name="40% - Accent1 64 2 2" xfId="14833"/>
    <cellStyle name="40% - Accent1 64 3" xfId="14834"/>
    <cellStyle name="40% - Accent1 64 4" xfId="14835"/>
    <cellStyle name="40% - Accent1 65" xfId="14836"/>
    <cellStyle name="40% - Accent1 65 2" xfId="14837"/>
    <cellStyle name="40% - Accent1 65 2 2" xfId="14838"/>
    <cellStyle name="40% - Accent1 65 3" xfId="14839"/>
    <cellStyle name="40% - Accent1 65 4" xfId="14840"/>
    <cellStyle name="40% - Accent1 66" xfId="14841"/>
    <cellStyle name="40% - Accent1 66 2" xfId="14842"/>
    <cellStyle name="40% - Accent1 66 2 2" xfId="14843"/>
    <cellStyle name="40% - Accent1 66 3" xfId="14844"/>
    <cellStyle name="40% - Accent1 66 4" xfId="14845"/>
    <cellStyle name="40% - Accent1 67" xfId="14846"/>
    <cellStyle name="40% - Accent1 67 2" xfId="14847"/>
    <cellStyle name="40% - Accent1 67 2 2" xfId="14848"/>
    <cellStyle name="40% - Accent1 67 3" xfId="14849"/>
    <cellStyle name="40% - Accent1 67 4" xfId="14850"/>
    <cellStyle name="40% - Accent1 68" xfId="14851"/>
    <cellStyle name="40% - Accent1 68 2" xfId="14852"/>
    <cellStyle name="40% - Accent1 68 2 2" xfId="14853"/>
    <cellStyle name="40% - Accent1 68 3" xfId="14854"/>
    <cellStyle name="40% - Accent1 68 4" xfId="14855"/>
    <cellStyle name="40% - Accent1 69" xfId="14856"/>
    <cellStyle name="40% - Accent1 69 2" xfId="14857"/>
    <cellStyle name="40% - Accent1 69 2 2" xfId="14858"/>
    <cellStyle name="40% - Accent1 69 3" xfId="14859"/>
    <cellStyle name="40% - Accent1 69 4" xfId="14860"/>
    <cellStyle name="40% - Accent1 7" xfId="14861"/>
    <cellStyle name="40% - Accent1 7 2" xfId="14862"/>
    <cellStyle name="40% - Accent1 7 3" xfId="14863"/>
    <cellStyle name="40% - Accent1 7 4" xfId="14864"/>
    <cellStyle name="40% - Accent1 7 5" xfId="14865"/>
    <cellStyle name="40% - Accent1 7 6" xfId="14866"/>
    <cellStyle name="40% - Accent1 7 7" xfId="14867"/>
    <cellStyle name="40% - Accent1 7 8" xfId="14868"/>
    <cellStyle name="40% - Accent1 7_2009 Actual" xfId="14869"/>
    <cellStyle name="40% - Accent1 70" xfId="14870"/>
    <cellStyle name="40% - Accent1 70 2" xfId="14871"/>
    <cellStyle name="40% - Accent1 70 2 2" xfId="14872"/>
    <cellStyle name="40% - Accent1 70 3" xfId="14873"/>
    <cellStyle name="40% - Accent1 70 4" xfId="14874"/>
    <cellStyle name="40% - Accent1 71" xfId="14875"/>
    <cellStyle name="40% - Accent1 71 2" xfId="14876"/>
    <cellStyle name="40% - Accent1 71 2 2" xfId="14877"/>
    <cellStyle name="40% - Accent1 71 3" xfId="14878"/>
    <cellStyle name="40% - Accent1 71 4" xfId="14879"/>
    <cellStyle name="40% - Accent1 72" xfId="14880"/>
    <cellStyle name="40% - Accent1 72 2" xfId="14881"/>
    <cellStyle name="40% - Accent1 72 2 2" xfId="14882"/>
    <cellStyle name="40% - Accent1 72 3" xfId="14883"/>
    <cellStyle name="40% - Accent1 72 4" xfId="14884"/>
    <cellStyle name="40% - Accent1 73" xfId="14885"/>
    <cellStyle name="40% - Accent1 73 2" xfId="14886"/>
    <cellStyle name="40% - Accent1 73 2 2" xfId="14887"/>
    <cellStyle name="40% - Accent1 73 3" xfId="14888"/>
    <cellStyle name="40% - Accent1 73 4" xfId="14889"/>
    <cellStyle name="40% - Accent1 74" xfId="14890"/>
    <cellStyle name="40% - Accent1 74 2" xfId="14891"/>
    <cellStyle name="40% - Accent1 74 2 2" xfId="14892"/>
    <cellStyle name="40% - Accent1 74 3" xfId="14893"/>
    <cellStyle name="40% - Accent1 74 4" xfId="14894"/>
    <cellStyle name="40% - Accent1 75" xfId="14895"/>
    <cellStyle name="40% - Accent1 75 2" xfId="14896"/>
    <cellStyle name="40% - Accent1 75 2 2" xfId="14897"/>
    <cellStyle name="40% - Accent1 75 3" xfId="14898"/>
    <cellStyle name="40% - Accent1 75 4" xfId="14899"/>
    <cellStyle name="40% - Accent1 76" xfId="14900"/>
    <cellStyle name="40% - Accent1 76 2" xfId="14901"/>
    <cellStyle name="40% - Accent1 76 2 2" xfId="14902"/>
    <cellStyle name="40% - Accent1 76 3" xfId="14903"/>
    <cellStyle name="40% - Accent1 76 4" xfId="14904"/>
    <cellStyle name="40% - Accent1 77" xfId="14905"/>
    <cellStyle name="40% - Accent1 77 2" xfId="14906"/>
    <cellStyle name="40% - Accent1 77 2 2" xfId="14907"/>
    <cellStyle name="40% - Accent1 77 3" xfId="14908"/>
    <cellStyle name="40% - Accent1 77 4" xfId="14909"/>
    <cellStyle name="40% - Accent1 78" xfId="14910"/>
    <cellStyle name="40% - Accent1 78 2" xfId="14911"/>
    <cellStyle name="40% - Accent1 78 2 2" xfId="14912"/>
    <cellStyle name="40% - Accent1 78 3" xfId="14913"/>
    <cellStyle name="40% - Accent1 78 4" xfId="14914"/>
    <cellStyle name="40% - Accent1 79" xfId="14915"/>
    <cellStyle name="40% - Accent1 79 2" xfId="14916"/>
    <cellStyle name="40% - Accent1 79 2 2" xfId="14917"/>
    <cellStyle name="40% - Accent1 79 3" xfId="14918"/>
    <cellStyle name="40% - Accent1 79 4" xfId="14919"/>
    <cellStyle name="40% - Accent1 8" xfId="14920"/>
    <cellStyle name="40% - Accent1 8 2" xfId="14921"/>
    <cellStyle name="40% - Accent1 8 3" xfId="14922"/>
    <cellStyle name="40% - Accent1 8 4" xfId="14923"/>
    <cellStyle name="40% - Accent1 8 5" xfId="14924"/>
    <cellStyle name="40% - Accent1 8 6" xfId="14925"/>
    <cellStyle name="40% - Accent1 8 7" xfId="14926"/>
    <cellStyle name="40% - Accent1 8 8" xfId="14927"/>
    <cellStyle name="40% - Accent1 8_2009 Actual" xfId="14928"/>
    <cellStyle name="40% - Accent1 80" xfId="14929"/>
    <cellStyle name="40% - Accent1 80 2" xfId="14930"/>
    <cellStyle name="40% - Accent1 80 2 2" xfId="14931"/>
    <cellStyle name="40% - Accent1 80 3" xfId="14932"/>
    <cellStyle name="40% - Accent1 80 4" xfId="14933"/>
    <cellStyle name="40% - Accent1 81" xfId="14934"/>
    <cellStyle name="40% - Accent1 81 2" xfId="14935"/>
    <cellStyle name="40% - Accent1 81 2 2" xfId="14936"/>
    <cellStyle name="40% - Accent1 81 3" xfId="14937"/>
    <cellStyle name="40% - Accent1 81 4" xfId="14938"/>
    <cellStyle name="40% - Accent1 82" xfId="14939"/>
    <cellStyle name="40% - Accent1 82 2" xfId="14940"/>
    <cellStyle name="40% - Accent1 82 2 2" xfId="14941"/>
    <cellStyle name="40% - Accent1 82 3" xfId="14942"/>
    <cellStyle name="40% - Accent1 82 4" xfId="14943"/>
    <cellStyle name="40% - Accent1 83" xfId="14944"/>
    <cellStyle name="40% - Accent1 83 2" xfId="14945"/>
    <cellStyle name="40% - Accent1 83 2 2" xfId="14946"/>
    <cellStyle name="40% - Accent1 83 3" xfId="14947"/>
    <cellStyle name="40% - Accent1 83 4" xfId="14948"/>
    <cellStyle name="40% - Accent1 84" xfId="14949"/>
    <cellStyle name="40% - Accent1 84 2" xfId="14950"/>
    <cellStyle name="40% - Accent1 84 2 2" xfId="14951"/>
    <cellStyle name="40% - Accent1 84 3" xfId="14952"/>
    <cellStyle name="40% - Accent1 84 4" xfId="14953"/>
    <cellStyle name="40% - Accent1 85" xfId="14954"/>
    <cellStyle name="40% - Accent1 85 2" xfId="14955"/>
    <cellStyle name="40% - Accent1 85 2 2" xfId="14956"/>
    <cellStyle name="40% - Accent1 85 3" xfId="14957"/>
    <cellStyle name="40% - Accent1 85 4" xfId="14958"/>
    <cellStyle name="40% - Accent1 86" xfId="14959"/>
    <cellStyle name="40% - Accent1 86 2" xfId="14960"/>
    <cellStyle name="40% - Accent1 86 2 2" xfId="14961"/>
    <cellStyle name="40% - Accent1 86 3" xfId="14962"/>
    <cellStyle name="40% - Accent1 86 4" xfId="14963"/>
    <cellStyle name="40% - Accent1 87" xfId="14964"/>
    <cellStyle name="40% - Accent1 87 2" xfId="14965"/>
    <cellStyle name="40% - Accent1 87 2 2" xfId="14966"/>
    <cellStyle name="40% - Accent1 87 3" xfId="14967"/>
    <cellStyle name="40% - Accent1 87 4" xfId="14968"/>
    <cellStyle name="40% - Accent1 88" xfId="14969"/>
    <cellStyle name="40% - Accent1 88 2" xfId="14970"/>
    <cellStyle name="40% - Accent1 88 2 2" xfId="14971"/>
    <cellStyle name="40% - Accent1 88 3" xfId="14972"/>
    <cellStyle name="40% - Accent1 88 4" xfId="14973"/>
    <cellStyle name="40% - Accent1 89" xfId="14974"/>
    <cellStyle name="40% - Accent1 89 2" xfId="14975"/>
    <cellStyle name="40% - Accent1 89 3" xfId="14976"/>
    <cellStyle name="40% - Accent1 9" xfId="14977"/>
    <cellStyle name="40% - Accent1 9 2" xfId="14978"/>
    <cellStyle name="40% - Accent1 9 3" xfId="14979"/>
    <cellStyle name="40% - Accent1 9 4" xfId="14980"/>
    <cellStyle name="40% - Accent1 9 5" xfId="14981"/>
    <cellStyle name="40% - Accent1 9 6" xfId="14982"/>
    <cellStyle name="40% - Accent1 9 7" xfId="14983"/>
    <cellStyle name="40% - Accent1 9 8" xfId="14984"/>
    <cellStyle name="40% - Accent1 9_2009 Actual" xfId="14985"/>
    <cellStyle name="40% - Accent1 90" xfId="14986"/>
    <cellStyle name="40% - Accent1 90 2" xfId="14987"/>
    <cellStyle name="40% - Accent1 91" xfId="14988"/>
    <cellStyle name="40% - Accent1 91 2" xfId="14989"/>
    <cellStyle name="40% - Accent1 92" xfId="14990"/>
    <cellStyle name="40% - Accent1 92 2" xfId="14991"/>
    <cellStyle name="40% - Accent1 93" xfId="14992"/>
    <cellStyle name="40% - Accent1 93 2" xfId="14993"/>
    <cellStyle name="40% - Accent1 94" xfId="14994"/>
    <cellStyle name="40% - Accent1 94 2" xfId="14995"/>
    <cellStyle name="40% - Accent1 95" xfId="14996"/>
    <cellStyle name="40% - Accent1 95 2" xfId="14997"/>
    <cellStyle name="40% - Accent1 96" xfId="14998"/>
    <cellStyle name="40% - Accent1 96 2" xfId="14999"/>
    <cellStyle name="40% - Accent1 97" xfId="15000"/>
    <cellStyle name="40% - Accent1 97 2" xfId="15001"/>
    <cellStyle name="40% - Accent1 98" xfId="15002"/>
    <cellStyle name="40% - Accent1 98 2" xfId="15003"/>
    <cellStyle name="40% - Accent1 99" xfId="15004"/>
    <cellStyle name="40% - Accent2 10" xfId="15005"/>
    <cellStyle name="40% - Accent2 10 2" xfId="15006"/>
    <cellStyle name="40% - Accent2 10 3" xfId="15007"/>
    <cellStyle name="40% - Accent2 10 4" xfId="15008"/>
    <cellStyle name="40% - Accent2 10 5" xfId="15009"/>
    <cellStyle name="40% - Accent2 10 6" xfId="15010"/>
    <cellStyle name="40% - Accent2 10 7" xfId="15011"/>
    <cellStyle name="40% - Accent2 10 8" xfId="15012"/>
    <cellStyle name="40% - Accent2 10 8 2" xfId="15013"/>
    <cellStyle name="40% - Accent2 10_2009 Actual" xfId="15014"/>
    <cellStyle name="40% - Accent2 100" xfId="15015"/>
    <cellStyle name="40% - Accent2 100 2" xfId="15016"/>
    <cellStyle name="40% - Accent2 100 2 2" xfId="15017"/>
    <cellStyle name="40% - Accent2 100 3" xfId="15018"/>
    <cellStyle name="40% - Accent2 100 4" xfId="15019"/>
    <cellStyle name="40% - Accent2 101" xfId="15020"/>
    <cellStyle name="40% - Accent2 101 2" xfId="15021"/>
    <cellStyle name="40% - Accent2 101 2 2" xfId="15022"/>
    <cellStyle name="40% - Accent2 101 3" xfId="15023"/>
    <cellStyle name="40% - Accent2 101 4" xfId="15024"/>
    <cellStyle name="40% - Accent2 102" xfId="15025"/>
    <cellStyle name="40% - Accent2 102 2" xfId="15026"/>
    <cellStyle name="40% - Accent2 102 2 2" xfId="15027"/>
    <cellStyle name="40% - Accent2 102 3" xfId="15028"/>
    <cellStyle name="40% - Accent2 102 4" xfId="15029"/>
    <cellStyle name="40% - Accent2 103" xfId="15030"/>
    <cellStyle name="40% - Accent2 103 2" xfId="15031"/>
    <cellStyle name="40% - Accent2 103 2 2" xfId="15032"/>
    <cellStyle name="40% - Accent2 103 3" xfId="15033"/>
    <cellStyle name="40% - Accent2 103 4" xfId="15034"/>
    <cellStyle name="40% - Accent2 104" xfId="15035"/>
    <cellStyle name="40% - Accent2 104 2" xfId="15036"/>
    <cellStyle name="40% - Accent2 104 2 2" xfId="15037"/>
    <cellStyle name="40% - Accent2 104 3" xfId="15038"/>
    <cellStyle name="40% - Accent2 104 4" xfId="15039"/>
    <cellStyle name="40% - Accent2 105" xfId="15040"/>
    <cellStyle name="40% - Accent2 105 2" xfId="15041"/>
    <cellStyle name="40% - Accent2 105 2 2" xfId="15042"/>
    <cellStyle name="40% - Accent2 105 3" xfId="15043"/>
    <cellStyle name="40% - Accent2 105 4" xfId="15044"/>
    <cellStyle name="40% - Accent2 106" xfId="15045"/>
    <cellStyle name="40% - Accent2 106 2" xfId="15046"/>
    <cellStyle name="40% - Accent2 106 2 2" xfId="15047"/>
    <cellStyle name="40% - Accent2 106 3" xfId="15048"/>
    <cellStyle name="40% - Accent2 106 4" xfId="15049"/>
    <cellStyle name="40% - Accent2 107" xfId="15050"/>
    <cellStyle name="40% - Accent2 107 2" xfId="15051"/>
    <cellStyle name="40% - Accent2 107 2 2" xfId="15052"/>
    <cellStyle name="40% - Accent2 107 3" xfId="15053"/>
    <cellStyle name="40% - Accent2 107 4" xfId="15054"/>
    <cellStyle name="40% - Accent2 108" xfId="15055"/>
    <cellStyle name="40% - Accent2 108 2" xfId="15056"/>
    <cellStyle name="40% - Accent2 108 2 2" xfId="15057"/>
    <cellStyle name="40% - Accent2 108 3" xfId="15058"/>
    <cellStyle name="40% - Accent2 108 4" xfId="15059"/>
    <cellStyle name="40% - Accent2 109" xfId="15060"/>
    <cellStyle name="40% - Accent2 109 2" xfId="15061"/>
    <cellStyle name="40% - Accent2 109 2 2" xfId="15062"/>
    <cellStyle name="40% - Accent2 109 3" xfId="15063"/>
    <cellStyle name="40% - Accent2 109 4" xfId="15064"/>
    <cellStyle name="40% - Accent2 11" xfId="15065"/>
    <cellStyle name="40% - Accent2 11 2" xfId="15066"/>
    <cellStyle name="40% - Accent2 11 3" xfId="15067"/>
    <cellStyle name="40% - Accent2 11 4" xfId="15068"/>
    <cellStyle name="40% - Accent2 11 5" xfId="15069"/>
    <cellStyle name="40% - Accent2 11 6" xfId="15070"/>
    <cellStyle name="40% - Accent2 11 7" xfId="15071"/>
    <cellStyle name="40% - Accent2 11_2009 Actual" xfId="15072"/>
    <cellStyle name="40% - Accent2 110" xfId="15073"/>
    <cellStyle name="40% - Accent2 110 2" xfId="15074"/>
    <cellStyle name="40% - Accent2 110 2 2" xfId="15075"/>
    <cellStyle name="40% - Accent2 110 3" xfId="15076"/>
    <cellStyle name="40% - Accent2 110 4" xfId="15077"/>
    <cellStyle name="40% - Accent2 111" xfId="15078"/>
    <cellStyle name="40% - Accent2 111 2" xfId="15079"/>
    <cellStyle name="40% - Accent2 111 2 2" xfId="15080"/>
    <cellStyle name="40% - Accent2 111 3" xfId="15081"/>
    <cellStyle name="40% - Accent2 111 4" xfId="15082"/>
    <cellStyle name="40% - Accent2 112" xfId="15083"/>
    <cellStyle name="40% - Accent2 112 2" xfId="15084"/>
    <cellStyle name="40% - Accent2 112 2 2" xfId="15085"/>
    <cellStyle name="40% - Accent2 112 3" xfId="15086"/>
    <cellStyle name="40% - Accent2 112 4" xfId="15087"/>
    <cellStyle name="40% - Accent2 113" xfId="15088"/>
    <cellStyle name="40% - Accent2 113 2" xfId="15089"/>
    <cellStyle name="40% - Accent2 113 2 2" xfId="15090"/>
    <cellStyle name="40% - Accent2 113 3" xfId="15091"/>
    <cellStyle name="40% - Accent2 113 4" xfId="15092"/>
    <cellStyle name="40% - Accent2 114" xfId="15093"/>
    <cellStyle name="40% - Accent2 114 2" xfId="15094"/>
    <cellStyle name="40% - Accent2 114 2 2" xfId="15095"/>
    <cellStyle name="40% - Accent2 114 3" xfId="15096"/>
    <cellStyle name="40% - Accent2 114 4" xfId="15097"/>
    <cellStyle name="40% - Accent2 115" xfId="15098"/>
    <cellStyle name="40% - Accent2 115 2" xfId="15099"/>
    <cellStyle name="40% - Accent2 115 2 2" xfId="15100"/>
    <cellStyle name="40% - Accent2 115 3" xfId="15101"/>
    <cellStyle name="40% - Accent2 115 4" xfId="15102"/>
    <cellStyle name="40% - Accent2 116" xfId="15103"/>
    <cellStyle name="40% - Accent2 116 2" xfId="15104"/>
    <cellStyle name="40% - Accent2 116 2 2" xfId="15105"/>
    <cellStyle name="40% - Accent2 116 3" xfId="15106"/>
    <cellStyle name="40% - Accent2 116 4" xfId="15107"/>
    <cellStyle name="40% - Accent2 117" xfId="15108"/>
    <cellStyle name="40% - Accent2 117 2" xfId="15109"/>
    <cellStyle name="40% - Accent2 117 2 2" xfId="15110"/>
    <cellStyle name="40% - Accent2 117 3" xfId="15111"/>
    <cellStyle name="40% - Accent2 117 4" xfId="15112"/>
    <cellStyle name="40% - Accent2 118" xfId="15113"/>
    <cellStyle name="40% - Accent2 118 2" xfId="15114"/>
    <cellStyle name="40% - Accent2 118 2 2" xfId="15115"/>
    <cellStyle name="40% - Accent2 118 3" xfId="15116"/>
    <cellStyle name="40% - Accent2 118 4" xfId="15117"/>
    <cellStyle name="40% - Accent2 119" xfId="15118"/>
    <cellStyle name="40% - Accent2 119 2" xfId="15119"/>
    <cellStyle name="40% - Accent2 119 2 2" xfId="15120"/>
    <cellStyle name="40% - Accent2 119 3" xfId="15121"/>
    <cellStyle name="40% - Accent2 119 4" xfId="15122"/>
    <cellStyle name="40% - Accent2 12" xfId="15123"/>
    <cellStyle name="40% - Accent2 12 10" xfId="15124"/>
    <cellStyle name="40% - Accent2 12 11" xfId="15125"/>
    <cellStyle name="40% - Accent2 12 2" xfId="15126"/>
    <cellStyle name="40% - Accent2 12 2 2" xfId="15127"/>
    <cellStyle name="40% - Accent2 12 2 3" xfId="15128"/>
    <cellStyle name="40% - Accent2 12 2_Elec Margin Analysis" xfId="15129"/>
    <cellStyle name="40% - Accent2 12 3" xfId="15130"/>
    <cellStyle name="40% - Accent2 12 3 2" xfId="15131"/>
    <cellStyle name="40% - Accent2 12 3 3" xfId="15132"/>
    <cellStyle name="40% - Accent2 12 3_Elec Margin Analysis" xfId="15133"/>
    <cellStyle name="40% - Accent2 12 4" xfId="15134"/>
    <cellStyle name="40% - Accent2 12 4 2" xfId="15135"/>
    <cellStyle name="40% - Accent2 12 4 3" xfId="15136"/>
    <cellStyle name="40% - Accent2 12 4_Elec Margin Analysis" xfId="15137"/>
    <cellStyle name="40% - Accent2 12 5" xfId="15138"/>
    <cellStyle name="40% - Accent2 12 5 2" xfId="15139"/>
    <cellStyle name="40% - Accent2 12 5 3" xfId="15140"/>
    <cellStyle name="40% - Accent2 12 5_Elec Margin Analysis" xfId="15141"/>
    <cellStyle name="40% - Accent2 12 6" xfId="15142"/>
    <cellStyle name="40% - Accent2 12 6 2" xfId="15143"/>
    <cellStyle name="40% - Accent2 12 6 3" xfId="15144"/>
    <cellStyle name="40% - Accent2 12 7" xfId="15145"/>
    <cellStyle name="40% - Accent2 12 8" xfId="15146"/>
    <cellStyle name="40% - Accent2 12 9" xfId="15147"/>
    <cellStyle name="40% - Accent2 12_2009 Actual" xfId="15148"/>
    <cellStyle name="40% - Accent2 120" xfId="15149"/>
    <cellStyle name="40% - Accent2 120 2" xfId="15150"/>
    <cellStyle name="40% - Accent2 120 2 2" xfId="15151"/>
    <cellStyle name="40% - Accent2 120 3" xfId="15152"/>
    <cellStyle name="40% - Accent2 120 4" xfId="15153"/>
    <cellStyle name="40% - Accent2 121" xfId="15154"/>
    <cellStyle name="40% - Accent2 121 2" xfId="15155"/>
    <cellStyle name="40% - Accent2 122" xfId="15156"/>
    <cellStyle name="40% - Accent2 122 2" xfId="15157"/>
    <cellStyle name="40% - Accent2 123" xfId="15158"/>
    <cellStyle name="40% - Accent2 123 2" xfId="15159"/>
    <cellStyle name="40% - Accent2 124" xfId="15160"/>
    <cellStyle name="40% - Accent2 125" xfId="15161"/>
    <cellStyle name="40% - Accent2 126" xfId="15162"/>
    <cellStyle name="40% - Accent2 127" xfId="15163"/>
    <cellStyle name="40% - Accent2 128" xfId="15164"/>
    <cellStyle name="40% - Accent2 129" xfId="15165"/>
    <cellStyle name="40% - Accent2 13" xfId="15166"/>
    <cellStyle name="40% - Accent2 13 2" xfId="15167"/>
    <cellStyle name="40% - Accent2 13 3" xfId="15168"/>
    <cellStyle name="40% - Accent2 13 4" xfId="15169"/>
    <cellStyle name="40% - Accent2 13 5" xfId="15170"/>
    <cellStyle name="40% - Accent2 13 6" xfId="15171"/>
    <cellStyle name="40% - Accent2 13 7" xfId="15172"/>
    <cellStyle name="40% - Accent2 13_2009 Actual" xfId="15173"/>
    <cellStyle name="40% - Accent2 130" xfId="15174"/>
    <cellStyle name="40% - Accent2 131" xfId="15175"/>
    <cellStyle name="40% - Accent2 132" xfId="15176"/>
    <cellStyle name="40% - Accent2 133" xfId="15177"/>
    <cellStyle name="40% - Accent2 134" xfId="15178"/>
    <cellStyle name="40% - Accent2 135" xfId="15179"/>
    <cellStyle name="40% - Accent2 136" xfId="15180"/>
    <cellStyle name="40% - Accent2 137" xfId="15181"/>
    <cellStyle name="40% - Accent2 138" xfId="15182"/>
    <cellStyle name="40% - Accent2 139" xfId="15183"/>
    <cellStyle name="40% - Accent2 14" xfId="15184"/>
    <cellStyle name="40% - Accent2 14 2" xfId="15185"/>
    <cellStyle name="40% - Accent2 14 3" xfId="15186"/>
    <cellStyle name="40% - Accent2 14 4" xfId="15187"/>
    <cellStyle name="40% - Accent2 14 5" xfId="15188"/>
    <cellStyle name="40% - Accent2 14 6" xfId="15189"/>
    <cellStyle name="40% - Accent2 14 7" xfId="15190"/>
    <cellStyle name="40% - Accent2 14_2009 Actual" xfId="15191"/>
    <cellStyle name="40% - Accent2 140" xfId="15192"/>
    <cellStyle name="40% - Accent2 141" xfId="15193"/>
    <cellStyle name="40% - Accent2 142" xfId="15194"/>
    <cellStyle name="40% - Accent2 143" xfId="15195"/>
    <cellStyle name="40% - Accent2 144" xfId="15196"/>
    <cellStyle name="40% - Accent2 15" xfId="15197"/>
    <cellStyle name="40% - Accent2 15 2" xfId="15198"/>
    <cellStyle name="40% - Accent2 15 3" xfId="15199"/>
    <cellStyle name="40% - Accent2 15 4" xfId="15200"/>
    <cellStyle name="40% - Accent2 15 5" xfId="15201"/>
    <cellStyle name="40% - Accent2 16" xfId="15202"/>
    <cellStyle name="40% - Accent2 17" xfId="15203"/>
    <cellStyle name="40% - Accent2 18" xfId="15204"/>
    <cellStyle name="40% - Accent2 19" xfId="15205"/>
    <cellStyle name="40% - Accent2 19 2" xfId="15206"/>
    <cellStyle name="40% - Accent2 19 3" xfId="15207"/>
    <cellStyle name="40% - Accent2 19_Elec Margin Analysis" xfId="15208"/>
    <cellStyle name="40% - Accent2 2" xfId="15209"/>
    <cellStyle name="40% - Accent2 2 10" xfId="15210"/>
    <cellStyle name="40% - Accent2 2 10 2" xfId="15211"/>
    <cellStyle name="40% - Accent2 2 10 3" xfId="15212"/>
    <cellStyle name="40% - Accent2 2 10_Elec Margin Analysis" xfId="15213"/>
    <cellStyle name="40% - Accent2 2 11" xfId="15214"/>
    <cellStyle name="40% - Accent2 2 11 2" xfId="15215"/>
    <cellStyle name="40% - Accent2 2 11 3" xfId="15216"/>
    <cellStyle name="40% - Accent2 2 12" xfId="15217"/>
    <cellStyle name="40% - Accent2 2 13" xfId="15218"/>
    <cellStyle name="40% - Accent2 2 14" xfId="15219"/>
    <cellStyle name="40% - Accent2 2 15" xfId="15220"/>
    <cellStyle name="40% - Accent2 2 16" xfId="15221"/>
    <cellStyle name="40% - Accent2 2 17" xfId="15222"/>
    <cellStyle name="40% - Accent2 2 17 2" xfId="15223"/>
    <cellStyle name="40% - Accent2 2 17 2 2" xfId="15224"/>
    <cellStyle name="40% - Accent2 2 17 2 2 2" xfId="15225"/>
    <cellStyle name="40% - Accent2 2 17 2 2 3" xfId="15226"/>
    <cellStyle name="40% - Accent2 2 17 2 3" xfId="15227"/>
    <cellStyle name="40% - Accent2 2 17 2 3 2" xfId="15228"/>
    <cellStyle name="40% - Accent2 2 17 2 4" xfId="15229"/>
    <cellStyle name="40% - Accent2 2 17 2 5" xfId="15230"/>
    <cellStyle name="40% - Accent2 2 17 3" xfId="15231"/>
    <cellStyle name="40% - Accent2 2 17 3 2" xfId="15232"/>
    <cellStyle name="40% - Accent2 2 17 3 2 2" xfId="15233"/>
    <cellStyle name="40% - Accent2 2 17 3 3" xfId="15234"/>
    <cellStyle name="40% - Accent2 2 17 3 4" xfId="15235"/>
    <cellStyle name="40% - Accent2 2 17 4" xfId="15236"/>
    <cellStyle name="40% - Accent2 2 17 4 2" xfId="15237"/>
    <cellStyle name="40% - Accent2 2 17 4 2 2" xfId="15238"/>
    <cellStyle name="40% - Accent2 2 17 4 3" xfId="15239"/>
    <cellStyle name="40% - Accent2 2 17 4 4" xfId="15240"/>
    <cellStyle name="40% - Accent2 2 17 5" xfId="15241"/>
    <cellStyle name="40% - Accent2 2 17 5 2" xfId="15242"/>
    <cellStyle name="40% - Accent2 2 17 6" xfId="15243"/>
    <cellStyle name="40% - Accent2 2 17 7" xfId="15244"/>
    <cellStyle name="40% - Accent2 2 17 8" xfId="15245"/>
    <cellStyle name="40% - Accent2 2 18" xfId="15246"/>
    <cellStyle name="40% - Accent2 2 18 2" xfId="15247"/>
    <cellStyle name="40% - Accent2 2 18 2 2" xfId="15248"/>
    <cellStyle name="40% - Accent2 2 18 2 2 2" xfId="15249"/>
    <cellStyle name="40% - Accent2 2 18 2 2 3" xfId="15250"/>
    <cellStyle name="40% - Accent2 2 18 2 3" xfId="15251"/>
    <cellStyle name="40% - Accent2 2 18 2 3 2" xfId="15252"/>
    <cellStyle name="40% - Accent2 2 18 2 4" xfId="15253"/>
    <cellStyle name="40% - Accent2 2 18 2 5" xfId="15254"/>
    <cellStyle name="40% - Accent2 2 18 3" xfId="15255"/>
    <cellStyle name="40% - Accent2 2 18 3 2" xfId="15256"/>
    <cellStyle name="40% - Accent2 2 18 3 2 2" xfId="15257"/>
    <cellStyle name="40% - Accent2 2 18 3 3" xfId="15258"/>
    <cellStyle name="40% - Accent2 2 18 3 4" xfId="15259"/>
    <cellStyle name="40% - Accent2 2 18 4" xfId="15260"/>
    <cellStyle name="40% - Accent2 2 18 4 2" xfId="15261"/>
    <cellStyle name="40% - Accent2 2 18 4 2 2" xfId="15262"/>
    <cellStyle name="40% - Accent2 2 18 4 3" xfId="15263"/>
    <cellStyle name="40% - Accent2 2 18 4 4" xfId="15264"/>
    <cellStyle name="40% - Accent2 2 18 5" xfId="15265"/>
    <cellStyle name="40% - Accent2 2 18 5 2" xfId="15266"/>
    <cellStyle name="40% - Accent2 2 18 6" xfId="15267"/>
    <cellStyle name="40% - Accent2 2 18 7" xfId="15268"/>
    <cellStyle name="40% - Accent2 2 18 8" xfId="15269"/>
    <cellStyle name="40% - Accent2 2 19" xfId="15270"/>
    <cellStyle name="40% - Accent2 2 19 2" xfId="15271"/>
    <cellStyle name="40% - Accent2 2 19 2 2" xfId="15272"/>
    <cellStyle name="40% - Accent2 2 19 2 2 2" xfId="15273"/>
    <cellStyle name="40% - Accent2 2 19 2 2 3" xfId="15274"/>
    <cellStyle name="40% - Accent2 2 19 2 3" xfId="15275"/>
    <cellStyle name="40% - Accent2 2 19 2 3 2" xfId="15276"/>
    <cellStyle name="40% - Accent2 2 19 2 4" xfId="15277"/>
    <cellStyle name="40% - Accent2 2 19 2 5" xfId="15278"/>
    <cellStyle name="40% - Accent2 2 19 3" xfId="15279"/>
    <cellStyle name="40% - Accent2 2 19 3 2" xfId="15280"/>
    <cellStyle name="40% - Accent2 2 19 3 2 2" xfId="15281"/>
    <cellStyle name="40% - Accent2 2 19 3 3" xfId="15282"/>
    <cellStyle name="40% - Accent2 2 19 3 4" xfId="15283"/>
    <cellStyle name="40% - Accent2 2 19 4" xfId="15284"/>
    <cellStyle name="40% - Accent2 2 19 4 2" xfId="15285"/>
    <cellStyle name="40% - Accent2 2 19 4 2 2" xfId="15286"/>
    <cellStyle name="40% - Accent2 2 19 4 3" xfId="15287"/>
    <cellStyle name="40% - Accent2 2 19 4 4" xfId="15288"/>
    <cellStyle name="40% - Accent2 2 19 5" xfId="15289"/>
    <cellStyle name="40% - Accent2 2 19 5 2" xfId="15290"/>
    <cellStyle name="40% - Accent2 2 19 6" xfId="15291"/>
    <cellStyle name="40% - Accent2 2 19 7" xfId="15292"/>
    <cellStyle name="40% - Accent2 2 19 8" xfId="15293"/>
    <cellStyle name="40% - Accent2 2 2" xfId="15294"/>
    <cellStyle name="40% - Accent2 2 2 10" xfId="15295"/>
    <cellStyle name="40% - Accent2 2 2 11" xfId="15296"/>
    <cellStyle name="40% - Accent2 2 2 12" xfId="15297"/>
    <cellStyle name="40% - Accent2 2 2 12 2" xfId="15298"/>
    <cellStyle name="40% - Accent2 2 2 12 2 2" xfId="15299"/>
    <cellStyle name="40% - Accent2 2 2 12 2 2 2" xfId="15300"/>
    <cellStyle name="40% - Accent2 2 2 12 2 2 3" xfId="15301"/>
    <cellStyle name="40% - Accent2 2 2 12 2 3" xfId="15302"/>
    <cellStyle name="40% - Accent2 2 2 12 2 3 2" xfId="15303"/>
    <cellStyle name="40% - Accent2 2 2 12 2 4" xfId="15304"/>
    <cellStyle name="40% - Accent2 2 2 12 2 5" xfId="15305"/>
    <cellStyle name="40% - Accent2 2 2 12 3" xfId="15306"/>
    <cellStyle name="40% - Accent2 2 2 12 3 2" xfId="15307"/>
    <cellStyle name="40% - Accent2 2 2 12 3 2 2" xfId="15308"/>
    <cellStyle name="40% - Accent2 2 2 12 3 3" xfId="15309"/>
    <cellStyle name="40% - Accent2 2 2 12 3 4" xfId="15310"/>
    <cellStyle name="40% - Accent2 2 2 12 4" xfId="15311"/>
    <cellStyle name="40% - Accent2 2 2 12 4 2" xfId="15312"/>
    <cellStyle name="40% - Accent2 2 2 12 4 2 2" xfId="15313"/>
    <cellStyle name="40% - Accent2 2 2 12 4 3" xfId="15314"/>
    <cellStyle name="40% - Accent2 2 2 12 4 4" xfId="15315"/>
    <cellStyle name="40% - Accent2 2 2 12 5" xfId="15316"/>
    <cellStyle name="40% - Accent2 2 2 12 5 2" xfId="15317"/>
    <cellStyle name="40% - Accent2 2 2 12 6" xfId="15318"/>
    <cellStyle name="40% - Accent2 2 2 12 7" xfId="15319"/>
    <cellStyle name="40% - Accent2 2 2 12 8" xfId="15320"/>
    <cellStyle name="40% - Accent2 2 2 13" xfId="15321"/>
    <cellStyle name="40% - Accent2 2 2 13 2" xfId="15322"/>
    <cellStyle name="40% - Accent2 2 2 13 2 2" xfId="15323"/>
    <cellStyle name="40% - Accent2 2 2 13 2 2 2" xfId="15324"/>
    <cellStyle name="40% - Accent2 2 2 13 2 2 3" xfId="15325"/>
    <cellStyle name="40% - Accent2 2 2 13 2 3" xfId="15326"/>
    <cellStyle name="40% - Accent2 2 2 13 2 3 2" xfId="15327"/>
    <cellStyle name="40% - Accent2 2 2 13 2 4" xfId="15328"/>
    <cellStyle name="40% - Accent2 2 2 13 2 5" xfId="15329"/>
    <cellStyle name="40% - Accent2 2 2 13 3" xfId="15330"/>
    <cellStyle name="40% - Accent2 2 2 13 3 2" xfId="15331"/>
    <cellStyle name="40% - Accent2 2 2 13 3 2 2" xfId="15332"/>
    <cellStyle name="40% - Accent2 2 2 13 3 3" xfId="15333"/>
    <cellStyle name="40% - Accent2 2 2 13 3 4" xfId="15334"/>
    <cellStyle name="40% - Accent2 2 2 13 4" xfId="15335"/>
    <cellStyle name="40% - Accent2 2 2 13 4 2" xfId="15336"/>
    <cellStyle name="40% - Accent2 2 2 13 4 2 2" xfId="15337"/>
    <cellStyle name="40% - Accent2 2 2 13 4 3" xfId="15338"/>
    <cellStyle name="40% - Accent2 2 2 13 4 4" xfId="15339"/>
    <cellStyle name="40% - Accent2 2 2 13 5" xfId="15340"/>
    <cellStyle name="40% - Accent2 2 2 13 5 2" xfId="15341"/>
    <cellStyle name="40% - Accent2 2 2 13 6" xfId="15342"/>
    <cellStyle name="40% - Accent2 2 2 13 7" xfId="15343"/>
    <cellStyle name="40% - Accent2 2 2 13 8" xfId="15344"/>
    <cellStyle name="40% - Accent2 2 2 14" xfId="15345"/>
    <cellStyle name="40% - Accent2 2 2 14 2" xfId="15346"/>
    <cellStyle name="40% - Accent2 2 2 14 2 2" xfId="15347"/>
    <cellStyle name="40% - Accent2 2 2 14 2 3" xfId="15348"/>
    <cellStyle name="40% - Accent2 2 2 14 3" xfId="15349"/>
    <cellStyle name="40% - Accent2 2 2 14 3 2" xfId="15350"/>
    <cellStyle name="40% - Accent2 2 2 14 4" xfId="15351"/>
    <cellStyle name="40% - Accent2 2 2 14 5" xfId="15352"/>
    <cellStyle name="40% - Accent2 2 2 15" xfId="15353"/>
    <cellStyle name="40% - Accent2 2 2 15 2" xfId="15354"/>
    <cellStyle name="40% - Accent2 2 2 15 2 2" xfId="15355"/>
    <cellStyle name="40% - Accent2 2 2 15 3" xfId="15356"/>
    <cellStyle name="40% - Accent2 2 2 15 4" xfId="15357"/>
    <cellStyle name="40% - Accent2 2 2 16" xfId="15358"/>
    <cellStyle name="40% - Accent2 2 2 16 2" xfId="15359"/>
    <cellStyle name="40% - Accent2 2 2 16 2 2" xfId="15360"/>
    <cellStyle name="40% - Accent2 2 2 16 3" xfId="15361"/>
    <cellStyle name="40% - Accent2 2 2 16 4" xfId="15362"/>
    <cellStyle name="40% - Accent2 2 2 17" xfId="15363"/>
    <cellStyle name="40% - Accent2 2 2 18" xfId="15364"/>
    <cellStyle name="40% - Accent2 2 2 18 2" xfId="15365"/>
    <cellStyle name="40% - Accent2 2 2 19" xfId="15366"/>
    <cellStyle name="40% - Accent2 2 2 2" xfId="15367"/>
    <cellStyle name="40% - Accent2 2 2 2 10" xfId="15368"/>
    <cellStyle name="40% - Accent2 2 2 2 2" xfId="15369"/>
    <cellStyle name="40% - Accent2 2 2 2 3" xfId="15370"/>
    <cellStyle name="40% - Accent2 2 2 2 4" xfId="15371"/>
    <cellStyle name="40% - Accent2 2 2 2 5" xfId="15372"/>
    <cellStyle name="40% - Accent2 2 2 2 6" xfId="15373"/>
    <cellStyle name="40% - Accent2 2 2 2 7" xfId="15374"/>
    <cellStyle name="40% - Accent2 2 2 2 8" xfId="15375"/>
    <cellStyle name="40% - Accent2 2 2 2 9" xfId="15376"/>
    <cellStyle name="40% - Accent2 2 2 2_4Q Ops Metrics Gas &amp; Electric 2010" xfId="15377"/>
    <cellStyle name="40% - Accent2 2 2 20" xfId="15378"/>
    <cellStyle name="40% - Accent2 2 2 21" xfId="15379"/>
    <cellStyle name="40% - Accent2 2 2 3" xfId="15380"/>
    <cellStyle name="40% - Accent2 2 2 4" xfId="15381"/>
    <cellStyle name="40% - Accent2 2 2 5" xfId="15382"/>
    <cellStyle name="40% - Accent2 2 2 6" xfId="15383"/>
    <cellStyle name="40% - Accent2 2 2 7" xfId="15384"/>
    <cellStyle name="40% - Accent2 2 2 8" xfId="15385"/>
    <cellStyle name="40% - Accent2 2 2 9" xfId="15386"/>
    <cellStyle name="40% - Accent2 2 2_2009 Actual" xfId="15387"/>
    <cellStyle name="40% - Accent2 2 20" xfId="15388"/>
    <cellStyle name="40% - Accent2 2 20 2" xfId="15389"/>
    <cellStyle name="40% - Accent2 2 20 2 2" xfId="15390"/>
    <cellStyle name="40% - Accent2 2 20 2 2 2" xfId="15391"/>
    <cellStyle name="40% - Accent2 2 20 2 2 3" xfId="15392"/>
    <cellStyle name="40% - Accent2 2 20 2 3" xfId="15393"/>
    <cellStyle name="40% - Accent2 2 20 2 3 2" xfId="15394"/>
    <cellStyle name="40% - Accent2 2 20 2 4" xfId="15395"/>
    <cellStyle name="40% - Accent2 2 20 2 5" xfId="15396"/>
    <cellStyle name="40% - Accent2 2 20 3" xfId="15397"/>
    <cellStyle name="40% - Accent2 2 20 3 2" xfId="15398"/>
    <cellStyle name="40% - Accent2 2 20 3 2 2" xfId="15399"/>
    <cellStyle name="40% - Accent2 2 20 3 3" xfId="15400"/>
    <cellStyle name="40% - Accent2 2 20 3 4" xfId="15401"/>
    <cellStyle name="40% - Accent2 2 20 4" xfId="15402"/>
    <cellStyle name="40% - Accent2 2 20 4 2" xfId="15403"/>
    <cellStyle name="40% - Accent2 2 20 4 2 2" xfId="15404"/>
    <cellStyle name="40% - Accent2 2 20 4 3" xfId="15405"/>
    <cellStyle name="40% - Accent2 2 20 4 4" xfId="15406"/>
    <cellStyle name="40% - Accent2 2 20 5" xfId="15407"/>
    <cellStyle name="40% - Accent2 2 20 5 2" xfId="15408"/>
    <cellStyle name="40% - Accent2 2 20 6" xfId="15409"/>
    <cellStyle name="40% - Accent2 2 20 7" xfId="15410"/>
    <cellStyle name="40% - Accent2 2 20 8" xfId="15411"/>
    <cellStyle name="40% - Accent2 2 21" xfId="15412"/>
    <cellStyle name="40% - Accent2 2 21 2" xfId="15413"/>
    <cellStyle name="40% - Accent2 2 21 2 2" xfId="15414"/>
    <cellStyle name="40% - Accent2 2 21 2 2 2" xfId="15415"/>
    <cellStyle name="40% - Accent2 2 21 2 2 3" xfId="15416"/>
    <cellStyle name="40% - Accent2 2 21 2 3" xfId="15417"/>
    <cellStyle name="40% - Accent2 2 21 2 3 2" xfId="15418"/>
    <cellStyle name="40% - Accent2 2 21 2 4" xfId="15419"/>
    <cellStyle name="40% - Accent2 2 21 2 5" xfId="15420"/>
    <cellStyle name="40% - Accent2 2 21 3" xfId="15421"/>
    <cellStyle name="40% - Accent2 2 21 3 2" xfId="15422"/>
    <cellStyle name="40% - Accent2 2 21 3 2 2" xfId="15423"/>
    <cellStyle name="40% - Accent2 2 21 3 3" xfId="15424"/>
    <cellStyle name="40% - Accent2 2 21 3 4" xfId="15425"/>
    <cellStyle name="40% - Accent2 2 21 4" xfId="15426"/>
    <cellStyle name="40% - Accent2 2 21 4 2" xfId="15427"/>
    <cellStyle name="40% - Accent2 2 21 4 2 2" xfId="15428"/>
    <cellStyle name="40% - Accent2 2 21 4 3" xfId="15429"/>
    <cellStyle name="40% - Accent2 2 21 4 4" xfId="15430"/>
    <cellStyle name="40% - Accent2 2 21 5" xfId="15431"/>
    <cellStyle name="40% - Accent2 2 21 5 2" xfId="15432"/>
    <cellStyle name="40% - Accent2 2 21 6" xfId="15433"/>
    <cellStyle name="40% - Accent2 2 21 7" xfId="15434"/>
    <cellStyle name="40% - Accent2 2 21 8" xfId="15435"/>
    <cellStyle name="40% - Accent2 2 22" xfId="15436"/>
    <cellStyle name="40% - Accent2 2 22 2" xfId="15437"/>
    <cellStyle name="40% - Accent2 2 22 2 2" xfId="15438"/>
    <cellStyle name="40% - Accent2 2 22 2 2 2" xfId="15439"/>
    <cellStyle name="40% - Accent2 2 22 2 2 3" xfId="15440"/>
    <cellStyle name="40% - Accent2 2 22 2 3" xfId="15441"/>
    <cellStyle name="40% - Accent2 2 22 2 3 2" xfId="15442"/>
    <cellStyle name="40% - Accent2 2 22 2 4" xfId="15443"/>
    <cellStyle name="40% - Accent2 2 22 2 5" xfId="15444"/>
    <cellStyle name="40% - Accent2 2 22 3" xfId="15445"/>
    <cellStyle name="40% - Accent2 2 22 3 2" xfId="15446"/>
    <cellStyle name="40% - Accent2 2 22 3 2 2" xfId="15447"/>
    <cellStyle name="40% - Accent2 2 22 3 3" xfId="15448"/>
    <cellStyle name="40% - Accent2 2 22 3 4" xfId="15449"/>
    <cellStyle name="40% - Accent2 2 22 4" xfId="15450"/>
    <cellStyle name="40% - Accent2 2 22 4 2" xfId="15451"/>
    <cellStyle name="40% - Accent2 2 22 4 2 2" xfId="15452"/>
    <cellStyle name="40% - Accent2 2 22 4 3" xfId="15453"/>
    <cellStyle name="40% - Accent2 2 22 4 4" xfId="15454"/>
    <cellStyle name="40% - Accent2 2 22 5" xfId="15455"/>
    <cellStyle name="40% - Accent2 2 22 5 2" xfId="15456"/>
    <cellStyle name="40% - Accent2 2 22 6" xfId="15457"/>
    <cellStyle name="40% - Accent2 2 22 7" xfId="15458"/>
    <cellStyle name="40% - Accent2 2 22 8" xfId="15459"/>
    <cellStyle name="40% - Accent2 2 23" xfId="15460"/>
    <cellStyle name="40% - Accent2 2 23 2" xfId="15461"/>
    <cellStyle name="40% - Accent2 2 23 2 2" xfId="15462"/>
    <cellStyle name="40% - Accent2 2 23 2 2 2" xfId="15463"/>
    <cellStyle name="40% - Accent2 2 23 2 2 3" xfId="15464"/>
    <cellStyle name="40% - Accent2 2 23 2 3" xfId="15465"/>
    <cellStyle name="40% - Accent2 2 23 2 3 2" xfId="15466"/>
    <cellStyle name="40% - Accent2 2 23 2 4" xfId="15467"/>
    <cellStyle name="40% - Accent2 2 23 2 5" xfId="15468"/>
    <cellStyle name="40% - Accent2 2 23 3" xfId="15469"/>
    <cellStyle name="40% - Accent2 2 23 3 2" xfId="15470"/>
    <cellStyle name="40% - Accent2 2 23 3 2 2" xfId="15471"/>
    <cellStyle name="40% - Accent2 2 23 3 3" xfId="15472"/>
    <cellStyle name="40% - Accent2 2 23 3 4" xfId="15473"/>
    <cellStyle name="40% - Accent2 2 23 4" xfId="15474"/>
    <cellStyle name="40% - Accent2 2 23 4 2" xfId="15475"/>
    <cellStyle name="40% - Accent2 2 23 4 2 2" xfId="15476"/>
    <cellStyle name="40% - Accent2 2 23 4 3" xfId="15477"/>
    <cellStyle name="40% - Accent2 2 23 4 4" xfId="15478"/>
    <cellStyle name="40% - Accent2 2 23 5" xfId="15479"/>
    <cellStyle name="40% - Accent2 2 23 5 2" xfId="15480"/>
    <cellStyle name="40% - Accent2 2 23 6" xfId="15481"/>
    <cellStyle name="40% - Accent2 2 23 7" xfId="15482"/>
    <cellStyle name="40% - Accent2 2 23 8" xfId="15483"/>
    <cellStyle name="40% - Accent2 2 24" xfId="15484"/>
    <cellStyle name="40% - Accent2 2 24 2" xfId="15485"/>
    <cellStyle name="40% - Accent2 2 24 2 2" xfId="15486"/>
    <cellStyle name="40% - Accent2 2 24 2 2 2" xfId="15487"/>
    <cellStyle name="40% - Accent2 2 24 2 2 3" xfId="15488"/>
    <cellStyle name="40% - Accent2 2 24 2 3" xfId="15489"/>
    <cellStyle name="40% - Accent2 2 24 2 3 2" xfId="15490"/>
    <cellStyle name="40% - Accent2 2 24 2 4" xfId="15491"/>
    <cellStyle name="40% - Accent2 2 24 2 5" xfId="15492"/>
    <cellStyle name="40% - Accent2 2 24 3" xfId="15493"/>
    <cellStyle name="40% - Accent2 2 24 3 2" xfId="15494"/>
    <cellStyle name="40% - Accent2 2 24 3 2 2" xfId="15495"/>
    <cellStyle name="40% - Accent2 2 24 3 3" xfId="15496"/>
    <cellStyle name="40% - Accent2 2 24 3 4" xfId="15497"/>
    <cellStyle name="40% - Accent2 2 24 4" xfId="15498"/>
    <cellStyle name="40% - Accent2 2 24 4 2" xfId="15499"/>
    <cellStyle name="40% - Accent2 2 24 4 2 2" xfId="15500"/>
    <cellStyle name="40% - Accent2 2 24 4 3" xfId="15501"/>
    <cellStyle name="40% - Accent2 2 24 4 4" xfId="15502"/>
    <cellStyle name="40% - Accent2 2 24 5" xfId="15503"/>
    <cellStyle name="40% - Accent2 2 24 5 2" xfId="15504"/>
    <cellStyle name="40% - Accent2 2 24 6" xfId="15505"/>
    <cellStyle name="40% - Accent2 2 24 7" xfId="15506"/>
    <cellStyle name="40% - Accent2 2 24 8" xfId="15507"/>
    <cellStyle name="40% - Accent2 2 25" xfId="15508"/>
    <cellStyle name="40% - Accent2 2 25 2" xfId="15509"/>
    <cellStyle name="40% - Accent2 2 25 2 2" xfId="15510"/>
    <cellStyle name="40% - Accent2 2 25 2 2 2" xfId="15511"/>
    <cellStyle name="40% - Accent2 2 25 2 2 3" xfId="15512"/>
    <cellStyle name="40% - Accent2 2 25 2 3" xfId="15513"/>
    <cellStyle name="40% - Accent2 2 25 2 3 2" xfId="15514"/>
    <cellStyle name="40% - Accent2 2 25 2 4" xfId="15515"/>
    <cellStyle name="40% - Accent2 2 25 2 5" xfId="15516"/>
    <cellStyle name="40% - Accent2 2 25 3" xfId="15517"/>
    <cellStyle name="40% - Accent2 2 25 3 2" xfId="15518"/>
    <cellStyle name="40% - Accent2 2 25 3 2 2" xfId="15519"/>
    <cellStyle name="40% - Accent2 2 25 3 3" xfId="15520"/>
    <cellStyle name="40% - Accent2 2 25 3 4" xfId="15521"/>
    <cellStyle name="40% - Accent2 2 25 4" xfId="15522"/>
    <cellStyle name="40% - Accent2 2 25 4 2" xfId="15523"/>
    <cellStyle name="40% - Accent2 2 25 4 2 2" xfId="15524"/>
    <cellStyle name="40% - Accent2 2 25 4 3" xfId="15525"/>
    <cellStyle name="40% - Accent2 2 25 4 4" xfId="15526"/>
    <cellStyle name="40% - Accent2 2 25 5" xfId="15527"/>
    <cellStyle name="40% - Accent2 2 25 5 2" xfId="15528"/>
    <cellStyle name="40% - Accent2 2 25 6" xfId="15529"/>
    <cellStyle name="40% - Accent2 2 25 7" xfId="15530"/>
    <cellStyle name="40% - Accent2 2 25 8" xfId="15531"/>
    <cellStyle name="40% - Accent2 2 26" xfId="15532"/>
    <cellStyle name="40% - Accent2 2 26 2" xfId="15533"/>
    <cellStyle name="40% - Accent2 2 26 2 2" xfId="15534"/>
    <cellStyle name="40% - Accent2 2 26 2 2 2" xfId="15535"/>
    <cellStyle name="40% - Accent2 2 26 2 2 3" xfId="15536"/>
    <cellStyle name="40% - Accent2 2 26 2 3" xfId="15537"/>
    <cellStyle name="40% - Accent2 2 26 2 3 2" xfId="15538"/>
    <cellStyle name="40% - Accent2 2 26 2 4" xfId="15539"/>
    <cellStyle name="40% - Accent2 2 26 2 5" xfId="15540"/>
    <cellStyle name="40% - Accent2 2 26 3" xfId="15541"/>
    <cellStyle name="40% - Accent2 2 26 3 2" xfId="15542"/>
    <cellStyle name="40% - Accent2 2 26 3 2 2" xfId="15543"/>
    <cellStyle name="40% - Accent2 2 26 3 3" xfId="15544"/>
    <cellStyle name="40% - Accent2 2 26 3 4" xfId="15545"/>
    <cellStyle name="40% - Accent2 2 26 4" xfId="15546"/>
    <cellStyle name="40% - Accent2 2 26 4 2" xfId="15547"/>
    <cellStyle name="40% - Accent2 2 26 4 2 2" xfId="15548"/>
    <cellStyle name="40% - Accent2 2 26 4 3" xfId="15549"/>
    <cellStyle name="40% - Accent2 2 26 4 4" xfId="15550"/>
    <cellStyle name="40% - Accent2 2 26 5" xfId="15551"/>
    <cellStyle name="40% - Accent2 2 26 5 2" xfId="15552"/>
    <cellStyle name="40% - Accent2 2 26 6" xfId="15553"/>
    <cellStyle name="40% - Accent2 2 26 7" xfId="15554"/>
    <cellStyle name="40% - Accent2 2 26 8" xfId="15555"/>
    <cellStyle name="40% - Accent2 2 3" xfId="15556"/>
    <cellStyle name="40% - Accent2 2 3 10" xfId="15557"/>
    <cellStyle name="40% - Accent2 2 3 11" xfId="15558"/>
    <cellStyle name="40% - Accent2 2 3 2" xfId="15559"/>
    <cellStyle name="40% - Accent2 2 3 2 2" xfId="15560"/>
    <cellStyle name="40% - Accent2 2 3 2 2 2" xfId="15561"/>
    <cellStyle name="40% - Accent2 2 3 2 3" xfId="15562"/>
    <cellStyle name="40% - Accent2 2 3 3" xfId="15563"/>
    <cellStyle name="40% - Accent2 2 3 3 2" xfId="15564"/>
    <cellStyle name="40% - Accent2 2 3 4" xfId="15565"/>
    <cellStyle name="40% - Accent2 2 3 5" xfId="15566"/>
    <cellStyle name="40% - Accent2 2 3 6" xfId="15567"/>
    <cellStyle name="40% - Accent2 2 3 6 2" xfId="15568"/>
    <cellStyle name="40% - Accent2 2 3 6 3" xfId="15569"/>
    <cellStyle name="40% - Accent2 2 3 6_Elec Margin Analysis" xfId="15570"/>
    <cellStyle name="40% - Accent2 2 3 7" xfId="15571"/>
    <cellStyle name="40% - Accent2 2 3 8" xfId="15572"/>
    <cellStyle name="40% - Accent2 2 3 9" xfId="15573"/>
    <cellStyle name="40% - Accent2 2 3_2009 Actual" xfId="15574"/>
    <cellStyle name="40% - Accent2 2 4" xfId="15575"/>
    <cellStyle name="40% - Accent2 2 4 2" xfId="15576"/>
    <cellStyle name="40% - Accent2 2 4 2 2" xfId="15577"/>
    <cellStyle name="40% - Accent2 2 4 3" xfId="15578"/>
    <cellStyle name="40% - Accent2 2 4 4" xfId="15579"/>
    <cellStyle name="40% - Accent2 2 4 5" xfId="15580"/>
    <cellStyle name="40% - Accent2 2 4 6" xfId="15581"/>
    <cellStyle name="40% - Accent2 2 4 7" xfId="15582"/>
    <cellStyle name="40% - Accent2 2 4_2009 Actual" xfId="15583"/>
    <cellStyle name="40% - Accent2 2 5" xfId="15584"/>
    <cellStyle name="40% - Accent2 2 5 2" xfId="15585"/>
    <cellStyle name="40% - Accent2 2 5 3" xfId="15586"/>
    <cellStyle name="40% - Accent2 2 5 4" xfId="15587"/>
    <cellStyle name="40% - Accent2 2 5 5" xfId="15588"/>
    <cellStyle name="40% - Accent2 2 5 6" xfId="15589"/>
    <cellStyle name="40% - Accent2 2 5 7" xfId="15590"/>
    <cellStyle name="40% - Accent2 2 5_2009 Actual" xfId="15591"/>
    <cellStyle name="40% - Accent2 2 6" xfId="15592"/>
    <cellStyle name="40% - Accent2 2 6 2" xfId="15593"/>
    <cellStyle name="40% - Accent2 2 6 3" xfId="15594"/>
    <cellStyle name="40% - Accent2 2 6 4" xfId="15595"/>
    <cellStyle name="40% - Accent2 2 6 5" xfId="15596"/>
    <cellStyle name="40% - Accent2 2 6 6" xfId="15597"/>
    <cellStyle name="40% - Accent2 2 6 7" xfId="15598"/>
    <cellStyle name="40% - Accent2 2 6_2009 Actual" xfId="15599"/>
    <cellStyle name="40% - Accent2 2 7" xfId="15600"/>
    <cellStyle name="40% - Accent2 2 7 2" xfId="15601"/>
    <cellStyle name="40% - Accent2 2 7 3" xfId="15602"/>
    <cellStyle name="40% - Accent2 2 7_Elec Margin Analysis" xfId="15603"/>
    <cellStyle name="40% - Accent2 2 8" xfId="15604"/>
    <cellStyle name="40% - Accent2 2 8 2" xfId="15605"/>
    <cellStyle name="40% - Accent2 2 8 3" xfId="15606"/>
    <cellStyle name="40% - Accent2 2 8_Elec Margin Analysis" xfId="15607"/>
    <cellStyle name="40% - Accent2 2 9" xfId="15608"/>
    <cellStyle name="40% - Accent2 2 9 2" xfId="15609"/>
    <cellStyle name="40% - Accent2 2 9 3" xfId="15610"/>
    <cellStyle name="40% - Accent2 2 9_Elec Margin Analysis" xfId="15611"/>
    <cellStyle name="40% - Accent2 2_2009 Actual" xfId="15612"/>
    <cellStyle name="40% - Accent2 20" xfId="15613"/>
    <cellStyle name="40% - Accent2 21" xfId="15614"/>
    <cellStyle name="40% - Accent2 22" xfId="15615"/>
    <cellStyle name="40% - Accent2 23" xfId="15616"/>
    <cellStyle name="40% - Accent2 24" xfId="15617"/>
    <cellStyle name="40% - Accent2 25" xfId="15618"/>
    <cellStyle name="40% - Accent2 26" xfId="15619"/>
    <cellStyle name="40% - Accent2 26 2" xfId="15620"/>
    <cellStyle name="40% - Accent2 26 2 2" xfId="15621"/>
    <cellStyle name="40% - Accent2 26 2 2 2" xfId="15622"/>
    <cellStyle name="40% - Accent2 26 2 2 3" xfId="15623"/>
    <cellStyle name="40% - Accent2 26 2 3" xfId="15624"/>
    <cellStyle name="40% - Accent2 26 2 3 2" xfId="15625"/>
    <cellStyle name="40% - Accent2 26 2 4" xfId="15626"/>
    <cellStyle name="40% - Accent2 26 2 5" xfId="15627"/>
    <cellStyle name="40% - Accent2 26 3" xfId="15628"/>
    <cellStyle name="40% - Accent2 26 3 2" xfId="15629"/>
    <cellStyle name="40% - Accent2 26 3 2 2" xfId="15630"/>
    <cellStyle name="40% - Accent2 26 3 3" xfId="15631"/>
    <cellStyle name="40% - Accent2 26 3 4" xfId="15632"/>
    <cellStyle name="40% - Accent2 26 4" xfId="15633"/>
    <cellStyle name="40% - Accent2 26 4 2" xfId="15634"/>
    <cellStyle name="40% - Accent2 26 4 2 2" xfId="15635"/>
    <cellStyle name="40% - Accent2 26 4 3" xfId="15636"/>
    <cellStyle name="40% - Accent2 26 4 4" xfId="15637"/>
    <cellStyle name="40% - Accent2 26 5" xfId="15638"/>
    <cellStyle name="40% - Accent2 26 5 2" xfId="15639"/>
    <cellStyle name="40% - Accent2 26 6" xfId="15640"/>
    <cellStyle name="40% - Accent2 26 7" xfId="15641"/>
    <cellStyle name="40% - Accent2 26 8" xfId="15642"/>
    <cellStyle name="40% - Accent2 27" xfId="15643"/>
    <cellStyle name="40% - Accent2 27 2" xfId="15644"/>
    <cellStyle name="40% - Accent2 27 2 2" xfId="15645"/>
    <cellStyle name="40% - Accent2 27 2 2 2" xfId="15646"/>
    <cellStyle name="40% - Accent2 27 2 2 3" xfId="15647"/>
    <cellStyle name="40% - Accent2 27 2 3" xfId="15648"/>
    <cellStyle name="40% - Accent2 27 2 3 2" xfId="15649"/>
    <cellStyle name="40% - Accent2 27 2 4" xfId="15650"/>
    <cellStyle name="40% - Accent2 27 2 5" xfId="15651"/>
    <cellStyle name="40% - Accent2 27 3" xfId="15652"/>
    <cellStyle name="40% - Accent2 27 3 2" xfId="15653"/>
    <cellStyle name="40% - Accent2 27 3 2 2" xfId="15654"/>
    <cellStyle name="40% - Accent2 27 3 3" xfId="15655"/>
    <cellStyle name="40% - Accent2 27 3 4" xfId="15656"/>
    <cellStyle name="40% - Accent2 27 4" xfId="15657"/>
    <cellStyle name="40% - Accent2 27 4 2" xfId="15658"/>
    <cellStyle name="40% - Accent2 27 4 2 2" xfId="15659"/>
    <cellStyle name="40% - Accent2 27 4 3" xfId="15660"/>
    <cellStyle name="40% - Accent2 27 4 4" xfId="15661"/>
    <cellStyle name="40% - Accent2 27 5" xfId="15662"/>
    <cellStyle name="40% - Accent2 27 5 2" xfId="15663"/>
    <cellStyle name="40% - Accent2 27 6" xfId="15664"/>
    <cellStyle name="40% - Accent2 27 7" xfId="15665"/>
    <cellStyle name="40% - Accent2 27 8" xfId="15666"/>
    <cellStyle name="40% - Accent2 28" xfId="15667"/>
    <cellStyle name="40% - Accent2 28 2" xfId="15668"/>
    <cellStyle name="40% - Accent2 28 2 2" xfId="15669"/>
    <cellStyle name="40% - Accent2 28 2 2 2" xfId="15670"/>
    <cellStyle name="40% - Accent2 28 2 2 3" xfId="15671"/>
    <cellStyle name="40% - Accent2 28 2 3" xfId="15672"/>
    <cellStyle name="40% - Accent2 28 2 3 2" xfId="15673"/>
    <cellStyle name="40% - Accent2 28 2 4" xfId="15674"/>
    <cellStyle name="40% - Accent2 28 2 5" xfId="15675"/>
    <cellStyle name="40% - Accent2 28 3" xfId="15676"/>
    <cellStyle name="40% - Accent2 28 3 2" xfId="15677"/>
    <cellStyle name="40% - Accent2 28 3 2 2" xfId="15678"/>
    <cellStyle name="40% - Accent2 28 3 3" xfId="15679"/>
    <cellStyle name="40% - Accent2 28 3 4" xfId="15680"/>
    <cellStyle name="40% - Accent2 28 4" xfId="15681"/>
    <cellStyle name="40% - Accent2 28 4 2" xfId="15682"/>
    <cellStyle name="40% - Accent2 28 4 2 2" xfId="15683"/>
    <cellStyle name="40% - Accent2 28 4 3" xfId="15684"/>
    <cellStyle name="40% - Accent2 28 4 4" xfId="15685"/>
    <cellStyle name="40% - Accent2 28 5" xfId="15686"/>
    <cellStyle name="40% - Accent2 28 5 2" xfId="15687"/>
    <cellStyle name="40% - Accent2 28 6" xfId="15688"/>
    <cellStyle name="40% - Accent2 28 7" xfId="15689"/>
    <cellStyle name="40% - Accent2 28 8" xfId="15690"/>
    <cellStyle name="40% - Accent2 29" xfId="15691"/>
    <cellStyle name="40% - Accent2 29 2" xfId="15692"/>
    <cellStyle name="40% - Accent2 29 2 2" xfId="15693"/>
    <cellStyle name="40% - Accent2 29 2 2 2" xfId="15694"/>
    <cellStyle name="40% - Accent2 29 2 2 3" xfId="15695"/>
    <cellStyle name="40% - Accent2 29 2 3" xfId="15696"/>
    <cellStyle name="40% - Accent2 29 2 3 2" xfId="15697"/>
    <cellStyle name="40% - Accent2 29 2 4" xfId="15698"/>
    <cellStyle name="40% - Accent2 29 2 5" xfId="15699"/>
    <cellStyle name="40% - Accent2 29 3" xfId="15700"/>
    <cellStyle name="40% - Accent2 29 3 2" xfId="15701"/>
    <cellStyle name="40% - Accent2 29 3 2 2" xfId="15702"/>
    <cellStyle name="40% - Accent2 29 3 3" xfId="15703"/>
    <cellStyle name="40% - Accent2 29 3 4" xfId="15704"/>
    <cellStyle name="40% - Accent2 29 4" xfId="15705"/>
    <cellStyle name="40% - Accent2 29 4 2" xfId="15706"/>
    <cellStyle name="40% - Accent2 29 4 2 2" xfId="15707"/>
    <cellStyle name="40% - Accent2 29 4 3" xfId="15708"/>
    <cellStyle name="40% - Accent2 29 4 4" xfId="15709"/>
    <cellStyle name="40% - Accent2 29 5" xfId="15710"/>
    <cellStyle name="40% - Accent2 29 5 2" xfId="15711"/>
    <cellStyle name="40% - Accent2 29 6" xfId="15712"/>
    <cellStyle name="40% - Accent2 29 7" xfId="15713"/>
    <cellStyle name="40% - Accent2 29 8" xfId="15714"/>
    <cellStyle name="40% - Accent2 3" xfId="15715"/>
    <cellStyle name="40% - Accent2 3 10" xfId="15716"/>
    <cellStyle name="40% - Accent2 3 10 2" xfId="15717"/>
    <cellStyle name="40% - Accent2 3 10 2 2" xfId="15718"/>
    <cellStyle name="40% - Accent2 3 10 2 2 2" xfId="15719"/>
    <cellStyle name="40% - Accent2 3 10 2 2 3" xfId="15720"/>
    <cellStyle name="40% - Accent2 3 10 2 3" xfId="15721"/>
    <cellStyle name="40% - Accent2 3 10 2 3 2" xfId="15722"/>
    <cellStyle name="40% - Accent2 3 10 2 4" xfId="15723"/>
    <cellStyle name="40% - Accent2 3 10 2 5" xfId="15724"/>
    <cellStyle name="40% - Accent2 3 10 3" xfId="15725"/>
    <cellStyle name="40% - Accent2 3 10 3 2" xfId="15726"/>
    <cellStyle name="40% - Accent2 3 10 3 2 2" xfId="15727"/>
    <cellStyle name="40% - Accent2 3 10 3 3" xfId="15728"/>
    <cellStyle name="40% - Accent2 3 10 3 4" xfId="15729"/>
    <cellStyle name="40% - Accent2 3 10 4" xfId="15730"/>
    <cellStyle name="40% - Accent2 3 10 4 2" xfId="15731"/>
    <cellStyle name="40% - Accent2 3 10 4 2 2" xfId="15732"/>
    <cellStyle name="40% - Accent2 3 10 4 3" xfId="15733"/>
    <cellStyle name="40% - Accent2 3 10 4 4" xfId="15734"/>
    <cellStyle name="40% - Accent2 3 10 5" xfId="15735"/>
    <cellStyle name="40% - Accent2 3 10 5 2" xfId="15736"/>
    <cellStyle name="40% - Accent2 3 10 6" xfId="15737"/>
    <cellStyle name="40% - Accent2 3 10 7" xfId="15738"/>
    <cellStyle name="40% - Accent2 3 10 8" xfId="15739"/>
    <cellStyle name="40% - Accent2 3 11" xfId="15740"/>
    <cellStyle name="40% - Accent2 3 11 2" xfId="15741"/>
    <cellStyle name="40% - Accent2 3 11 2 2" xfId="15742"/>
    <cellStyle name="40% - Accent2 3 11 2 2 2" xfId="15743"/>
    <cellStyle name="40% - Accent2 3 11 2 2 3" xfId="15744"/>
    <cellStyle name="40% - Accent2 3 11 2 3" xfId="15745"/>
    <cellStyle name="40% - Accent2 3 11 2 3 2" xfId="15746"/>
    <cellStyle name="40% - Accent2 3 11 2 4" xfId="15747"/>
    <cellStyle name="40% - Accent2 3 11 2 5" xfId="15748"/>
    <cellStyle name="40% - Accent2 3 11 3" xfId="15749"/>
    <cellStyle name="40% - Accent2 3 11 3 2" xfId="15750"/>
    <cellStyle name="40% - Accent2 3 11 3 2 2" xfId="15751"/>
    <cellStyle name="40% - Accent2 3 11 3 3" xfId="15752"/>
    <cellStyle name="40% - Accent2 3 11 3 4" xfId="15753"/>
    <cellStyle name="40% - Accent2 3 11 4" xfId="15754"/>
    <cellStyle name="40% - Accent2 3 11 4 2" xfId="15755"/>
    <cellStyle name="40% - Accent2 3 11 4 2 2" xfId="15756"/>
    <cellStyle name="40% - Accent2 3 11 4 3" xfId="15757"/>
    <cellStyle name="40% - Accent2 3 11 4 4" xfId="15758"/>
    <cellStyle name="40% - Accent2 3 11 5" xfId="15759"/>
    <cellStyle name="40% - Accent2 3 11 5 2" xfId="15760"/>
    <cellStyle name="40% - Accent2 3 11 6" xfId="15761"/>
    <cellStyle name="40% - Accent2 3 11 7" xfId="15762"/>
    <cellStyle name="40% - Accent2 3 11 8" xfId="15763"/>
    <cellStyle name="40% - Accent2 3 12" xfId="15764"/>
    <cellStyle name="40% - Accent2 3 12 2" xfId="15765"/>
    <cellStyle name="40% - Accent2 3 12 2 2" xfId="15766"/>
    <cellStyle name="40% - Accent2 3 12 2 3" xfId="15767"/>
    <cellStyle name="40% - Accent2 3 12 3" xfId="15768"/>
    <cellStyle name="40% - Accent2 3 12 3 2" xfId="15769"/>
    <cellStyle name="40% - Accent2 3 12 4" xfId="15770"/>
    <cellStyle name="40% - Accent2 3 12 5" xfId="15771"/>
    <cellStyle name="40% - Accent2 3 13" xfId="15772"/>
    <cellStyle name="40% - Accent2 3 13 2" xfId="15773"/>
    <cellStyle name="40% - Accent2 3 13 2 2" xfId="15774"/>
    <cellStyle name="40% - Accent2 3 13 3" xfId="15775"/>
    <cellStyle name="40% - Accent2 3 13 4" xfId="15776"/>
    <cellStyle name="40% - Accent2 3 14" xfId="15777"/>
    <cellStyle name="40% - Accent2 3 14 2" xfId="15778"/>
    <cellStyle name="40% - Accent2 3 14 2 2" xfId="15779"/>
    <cellStyle name="40% - Accent2 3 14 3" xfId="15780"/>
    <cellStyle name="40% - Accent2 3 14 4" xfId="15781"/>
    <cellStyle name="40% - Accent2 3 15" xfId="15782"/>
    <cellStyle name="40% - Accent2 3 15 2" xfId="15783"/>
    <cellStyle name="40% - Accent2 3 16" xfId="15784"/>
    <cellStyle name="40% - Accent2 3 17" xfId="15785"/>
    <cellStyle name="40% - Accent2 3 18" xfId="15786"/>
    <cellStyle name="40% - Accent2 3 2" xfId="15787"/>
    <cellStyle name="40% - Accent2 3 2 2" xfId="15788"/>
    <cellStyle name="40% - Accent2 3 2 3" xfId="15789"/>
    <cellStyle name="40% - Accent2 3 2 4" xfId="15790"/>
    <cellStyle name="40% - Accent2 3 2 5" xfId="15791"/>
    <cellStyle name="40% - Accent2 3 2 6" xfId="15792"/>
    <cellStyle name="40% - Accent2 3 2 7" xfId="15793"/>
    <cellStyle name="40% - Accent2 3 2 8" xfId="15794"/>
    <cellStyle name="40% - Accent2 3 2 8 2" xfId="15795"/>
    <cellStyle name="40% - Accent2 3 2_2009 Actual" xfId="15796"/>
    <cellStyle name="40% - Accent2 3 3" xfId="15797"/>
    <cellStyle name="40% - Accent2 3 3 2" xfId="15798"/>
    <cellStyle name="40% - Accent2 3 3 2 2" xfId="15799"/>
    <cellStyle name="40% - Accent2 3 4" xfId="15800"/>
    <cellStyle name="40% - Accent2 3 4 2" xfId="15801"/>
    <cellStyle name="40% - Accent2 3 4 2 2" xfId="15802"/>
    <cellStyle name="40% - Accent2 3 5" xfId="15803"/>
    <cellStyle name="40% - Accent2 3 5 2" xfId="15804"/>
    <cellStyle name="40% - Accent2 3 5 2 2" xfId="15805"/>
    <cellStyle name="40% - Accent2 3 6" xfId="15806"/>
    <cellStyle name="40% - Accent2 3 6 2" xfId="15807"/>
    <cellStyle name="40% - Accent2 3 6 2 2" xfId="15808"/>
    <cellStyle name="40% - Accent2 3 7" xfId="15809"/>
    <cellStyle name="40% - Accent2 3 7 2" xfId="15810"/>
    <cellStyle name="40% - Accent2 3 7 2 2" xfId="15811"/>
    <cellStyle name="40% - Accent2 3 8" xfId="15812"/>
    <cellStyle name="40% - Accent2 3 8 2" xfId="15813"/>
    <cellStyle name="40% - Accent2 3 8 2 2" xfId="15814"/>
    <cellStyle name="40% - Accent2 3 9" xfId="15815"/>
    <cellStyle name="40% - Accent2 3_2009 Actual" xfId="15816"/>
    <cellStyle name="40% - Accent2 30" xfId="15817"/>
    <cellStyle name="40% - Accent2 30 2" xfId="15818"/>
    <cellStyle name="40% - Accent2 30 2 2" xfId="15819"/>
    <cellStyle name="40% - Accent2 30 2 2 2" xfId="15820"/>
    <cellStyle name="40% - Accent2 30 2 2 3" xfId="15821"/>
    <cellStyle name="40% - Accent2 30 2 3" xfId="15822"/>
    <cellStyle name="40% - Accent2 30 2 3 2" xfId="15823"/>
    <cellStyle name="40% - Accent2 30 2 4" xfId="15824"/>
    <cellStyle name="40% - Accent2 30 2 5" xfId="15825"/>
    <cellStyle name="40% - Accent2 30 3" xfId="15826"/>
    <cellStyle name="40% - Accent2 30 3 2" xfId="15827"/>
    <cellStyle name="40% - Accent2 30 3 2 2" xfId="15828"/>
    <cellStyle name="40% - Accent2 30 3 3" xfId="15829"/>
    <cellStyle name="40% - Accent2 30 3 4" xfId="15830"/>
    <cellStyle name="40% - Accent2 30 4" xfId="15831"/>
    <cellStyle name="40% - Accent2 30 4 2" xfId="15832"/>
    <cellStyle name="40% - Accent2 30 4 2 2" xfId="15833"/>
    <cellStyle name="40% - Accent2 30 4 3" xfId="15834"/>
    <cellStyle name="40% - Accent2 30 4 4" xfId="15835"/>
    <cellStyle name="40% - Accent2 30 5" xfId="15836"/>
    <cellStyle name="40% - Accent2 30 5 2" xfId="15837"/>
    <cellStyle name="40% - Accent2 30 6" xfId="15838"/>
    <cellStyle name="40% - Accent2 30 7" xfId="15839"/>
    <cellStyle name="40% - Accent2 30 8" xfId="15840"/>
    <cellStyle name="40% - Accent2 31" xfId="15841"/>
    <cellStyle name="40% - Accent2 31 2" xfId="15842"/>
    <cellStyle name="40% - Accent2 31 2 2" xfId="15843"/>
    <cellStyle name="40% - Accent2 31 2 3" xfId="15844"/>
    <cellStyle name="40% - Accent2 31 3" xfId="15845"/>
    <cellStyle name="40% - Accent2 31 3 2" xfId="15846"/>
    <cellStyle name="40% - Accent2 31 4" xfId="15847"/>
    <cellStyle name="40% - Accent2 31 5" xfId="15848"/>
    <cellStyle name="40% - Accent2 32" xfId="15849"/>
    <cellStyle name="40% - Accent2 32 2" xfId="15850"/>
    <cellStyle name="40% - Accent2 32 2 2" xfId="15851"/>
    <cellStyle name="40% - Accent2 32 2 3" xfId="15852"/>
    <cellStyle name="40% - Accent2 32 3" xfId="15853"/>
    <cellStyle name="40% - Accent2 32 3 2" xfId="15854"/>
    <cellStyle name="40% - Accent2 32 4" xfId="15855"/>
    <cellStyle name="40% - Accent2 32 5" xfId="15856"/>
    <cellStyle name="40% - Accent2 33" xfId="15857"/>
    <cellStyle name="40% - Accent2 33 2" xfId="15858"/>
    <cellStyle name="40% - Accent2 33 2 2" xfId="15859"/>
    <cellStyle name="40% - Accent2 33 2 3" xfId="15860"/>
    <cellStyle name="40% - Accent2 33 3" xfId="15861"/>
    <cellStyle name="40% - Accent2 33 3 2" xfId="15862"/>
    <cellStyle name="40% - Accent2 33 4" xfId="15863"/>
    <cellStyle name="40% - Accent2 33 5" xfId="15864"/>
    <cellStyle name="40% - Accent2 34" xfId="15865"/>
    <cellStyle name="40% - Accent2 34 2" xfId="15866"/>
    <cellStyle name="40% - Accent2 34 2 2" xfId="15867"/>
    <cellStyle name="40% - Accent2 34 2 3" xfId="15868"/>
    <cellStyle name="40% - Accent2 34 3" xfId="15869"/>
    <cellStyle name="40% - Accent2 34 3 2" xfId="15870"/>
    <cellStyle name="40% - Accent2 34 4" xfId="15871"/>
    <cellStyle name="40% - Accent2 34 5" xfId="15872"/>
    <cellStyle name="40% - Accent2 35" xfId="15873"/>
    <cellStyle name="40% - Accent2 35 2" xfId="15874"/>
    <cellStyle name="40% - Accent2 35 2 2" xfId="15875"/>
    <cellStyle name="40% - Accent2 35 2 3" xfId="15876"/>
    <cellStyle name="40% - Accent2 35 3" xfId="15877"/>
    <cellStyle name="40% - Accent2 35 3 2" xfId="15878"/>
    <cellStyle name="40% - Accent2 35 4" xfId="15879"/>
    <cellStyle name="40% - Accent2 35 5" xfId="15880"/>
    <cellStyle name="40% - Accent2 36" xfId="15881"/>
    <cellStyle name="40% - Accent2 36 2" xfId="15882"/>
    <cellStyle name="40% - Accent2 36 2 2" xfId="15883"/>
    <cellStyle name="40% - Accent2 36 2 3" xfId="15884"/>
    <cellStyle name="40% - Accent2 36 3" xfId="15885"/>
    <cellStyle name="40% - Accent2 36 3 2" xfId="15886"/>
    <cellStyle name="40% - Accent2 36 4" xfId="15887"/>
    <cellStyle name="40% - Accent2 36 5" xfId="15888"/>
    <cellStyle name="40% - Accent2 37" xfId="15889"/>
    <cellStyle name="40% - Accent2 37 2" xfId="15890"/>
    <cellStyle name="40% - Accent2 37 2 2" xfId="15891"/>
    <cellStyle name="40% - Accent2 37 2 3" xfId="15892"/>
    <cellStyle name="40% - Accent2 37 3" xfId="15893"/>
    <cellStyle name="40% - Accent2 37 3 2" xfId="15894"/>
    <cellStyle name="40% - Accent2 37 4" xfId="15895"/>
    <cellStyle name="40% - Accent2 37 5" xfId="15896"/>
    <cellStyle name="40% - Accent2 38" xfId="15897"/>
    <cellStyle name="40% - Accent2 38 2" xfId="15898"/>
    <cellStyle name="40% - Accent2 38 2 2" xfId="15899"/>
    <cellStyle name="40% - Accent2 38 2 3" xfId="15900"/>
    <cellStyle name="40% - Accent2 38 3" xfId="15901"/>
    <cellStyle name="40% - Accent2 38 3 2" xfId="15902"/>
    <cellStyle name="40% - Accent2 38 4" xfId="15903"/>
    <cellStyle name="40% - Accent2 38 5" xfId="15904"/>
    <cellStyle name="40% - Accent2 39" xfId="15905"/>
    <cellStyle name="40% - Accent2 39 2" xfId="15906"/>
    <cellStyle name="40% - Accent2 39 2 2" xfId="15907"/>
    <cellStyle name="40% - Accent2 39 2 3" xfId="15908"/>
    <cellStyle name="40% - Accent2 39 3" xfId="15909"/>
    <cellStyle name="40% - Accent2 39 3 2" xfId="15910"/>
    <cellStyle name="40% - Accent2 39 4" xfId="15911"/>
    <cellStyle name="40% - Accent2 39 5" xfId="15912"/>
    <cellStyle name="40% - Accent2 4" xfId="15913"/>
    <cellStyle name="40% - Accent2 4 2" xfId="15914"/>
    <cellStyle name="40% - Accent2 4 2 2" xfId="15915"/>
    <cellStyle name="40% - Accent2 4 2 3" xfId="15916"/>
    <cellStyle name="40% - Accent2 4 2 4" xfId="15917"/>
    <cellStyle name="40% - Accent2 4 2 5" xfId="15918"/>
    <cellStyle name="40% - Accent2 4 2 6" xfId="15919"/>
    <cellStyle name="40% - Accent2 4 2 7" xfId="15920"/>
    <cellStyle name="40% - Accent2 4 2_2009 Actual" xfId="15921"/>
    <cellStyle name="40% - Accent2 4 3" xfId="15922"/>
    <cellStyle name="40% - Accent2 4 4" xfId="15923"/>
    <cellStyle name="40% - Accent2 4 5" xfId="15924"/>
    <cellStyle name="40% - Accent2 4 6" xfId="15925"/>
    <cellStyle name="40% - Accent2 4 7" xfId="15926"/>
    <cellStyle name="40% - Accent2 4 8" xfId="15927"/>
    <cellStyle name="40% - Accent2 4 9" xfId="15928"/>
    <cellStyle name="40% - Accent2 4 9 2" xfId="15929"/>
    <cellStyle name="40% - Accent2 4_2009 Actual" xfId="15930"/>
    <cellStyle name="40% - Accent2 40" xfId="15931"/>
    <cellStyle name="40% - Accent2 40 2" xfId="15932"/>
    <cellStyle name="40% - Accent2 40 2 2" xfId="15933"/>
    <cellStyle name="40% - Accent2 40 2 3" xfId="15934"/>
    <cellStyle name="40% - Accent2 40 3" xfId="15935"/>
    <cellStyle name="40% - Accent2 40 3 2" xfId="15936"/>
    <cellStyle name="40% - Accent2 40 4" xfId="15937"/>
    <cellStyle name="40% - Accent2 40 5" xfId="15938"/>
    <cellStyle name="40% - Accent2 41" xfId="15939"/>
    <cellStyle name="40% - Accent2 41 2" xfId="15940"/>
    <cellStyle name="40% - Accent2 41 2 2" xfId="15941"/>
    <cellStyle name="40% - Accent2 41 2 3" xfId="15942"/>
    <cellStyle name="40% - Accent2 41 3" xfId="15943"/>
    <cellStyle name="40% - Accent2 41 3 2" xfId="15944"/>
    <cellStyle name="40% - Accent2 41 4" xfId="15945"/>
    <cellStyle name="40% - Accent2 41 5" xfId="15946"/>
    <cellStyle name="40% - Accent2 42" xfId="15947"/>
    <cellStyle name="40% - Accent2 42 2" xfId="15948"/>
    <cellStyle name="40% - Accent2 42 2 2" xfId="15949"/>
    <cellStyle name="40% - Accent2 42 2 3" xfId="15950"/>
    <cellStyle name="40% - Accent2 42 3" xfId="15951"/>
    <cellStyle name="40% - Accent2 42 3 2" xfId="15952"/>
    <cellStyle name="40% - Accent2 42 4" xfId="15953"/>
    <cellStyle name="40% - Accent2 42 5" xfId="15954"/>
    <cellStyle name="40% - Accent2 43" xfId="15955"/>
    <cellStyle name="40% - Accent2 43 2" xfId="15956"/>
    <cellStyle name="40% - Accent2 43 2 2" xfId="15957"/>
    <cellStyle name="40% - Accent2 43 2 3" xfId="15958"/>
    <cellStyle name="40% - Accent2 43 3" xfId="15959"/>
    <cellStyle name="40% - Accent2 43 3 2" xfId="15960"/>
    <cellStyle name="40% - Accent2 43 4" xfId="15961"/>
    <cellStyle name="40% - Accent2 43 5" xfId="15962"/>
    <cellStyle name="40% - Accent2 44" xfId="15963"/>
    <cellStyle name="40% - Accent2 44 2" xfId="15964"/>
    <cellStyle name="40% - Accent2 44 2 2" xfId="15965"/>
    <cellStyle name="40% - Accent2 44 2 3" xfId="15966"/>
    <cellStyle name="40% - Accent2 44 3" xfId="15967"/>
    <cellStyle name="40% - Accent2 44 3 2" xfId="15968"/>
    <cellStyle name="40% - Accent2 44 4" xfId="15969"/>
    <cellStyle name="40% - Accent2 44 5" xfId="15970"/>
    <cellStyle name="40% - Accent2 45" xfId="15971"/>
    <cellStyle name="40% - Accent2 45 2" xfId="15972"/>
    <cellStyle name="40% - Accent2 45 2 2" xfId="15973"/>
    <cellStyle name="40% - Accent2 45 2 3" xfId="15974"/>
    <cellStyle name="40% - Accent2 45 3" xfId="15975"/>
    <cellStyle name="40% - Accent2 45 3 2" xfId="15976"/>
    <cellStyle name="40% - Accent2 45 4" xfId="15977"/>
    <cellStyle name="40% - Accent2 45 5" xfId="15978"/>
    <cellStyle name="40% - Accent2 46" xfId="15979"/>
    <cellStyle name="40% - Accent2 46 2" xfId="15980"/>
    <cellStyle name="40% - Accent2 46 2 2" xfId="15981"/>
    <cellStyle name="40% - Accent2 46 2 3" xfId="15982"/>
    <cellStyle name="40% - Accent2 46 3" xfId="15983"/>
    <cellStyle name="40% - Accent2 46 3 2" xfId="15984"/>
    <cellStyle name="40% - Accent2 46 4" xfId="15985"/>
    <cellStyle name="40% - Accent2 46 5" xfId="15986"/>
    <cellStyle name="40% - Accent2 47" xfId="15987"/>
    <cellStyle name="40% - Accent2 47 2" xfId="15988"/>
    <cellStyle name="40% - Accent2 47 2 2" xfId="15989"/>
    <cellStyle name="40% - Accent2 47 2 3" xfId="15990"/>
    <cellStyle name="40% - Accent2 47 3" xfId="15991"/>
    <cellStyle name="40% - Accent2 47 3 2" xfId="15992"/>
    <cellStyle name="40% - Accent2 47 4" xfId="15993"/>
    <cellStyle name="40% - Accent2 47 5" xfId="15994"/>
    <cellStyle name="40% - Accent2 48" xfId="15995"/>
    <cellStyle name="40% - Accent2 48 2" xfId="15996"/>
    <cellStyle name="40% - Accent2 48 2 2" xfId="15997"/>
    <cellStyle name="40% - Accent2 48 2 3" xfId="15998"/>
    <cellStyle name="40% - Accent2 48 3" xfId="15999"/>
    <cellStyle name="40% - Accent2 48 3 2" xfId="16000"/>
    <cellStyle name="40% - Accent2 48 4" xfId="16001"/>
    <cellStyle name="40% - Accent2 48 5" xfId="16002"/>
    <cellStyle name="40% - Accent2 49" xfId="16003"/>
    <cellStyle name="40% - Accent2 49 2" xfId="16004"/>
    <cellStyle name="40% - Accent2 49 2 2" xfId="16005"/>
    <cellStyle name="40% - Accent2 49 2 3" xfId="16006"/>
    <cellStyle name="40% - Accent2 49 3" xfId="16007"/>
    <cellStyle name="40% - Accent2 49 3 2" xfId="16008"/>
    <cellStyle name="40% - Accent2 49 4" xfId="16009"/>
    <cellStyle name="40% - Accent2 49 5" xfId="16010"/>
    <cellStyle name="40% - Accent2 5" xfId="16011"/>
    <cellStyle name="40% - Accent2 5 2" xfId="16012"/>
    <cellStyle name="40% - Accent2 5 2 2" xfId="16013"/>
    <cellStyle name="40% - Accent2 5 2 3" xfId="16014"/>
    <cellStyle name="40% - Accent2 5 2 4" xfId="16015"/>
    <cellStyle name="40% - Accent2 5 2 5" xfId="16016"/>
    <cellStyle name="40% - Accent2 5 2 6" xfId="16017"/>
    <cellStyle name="40% - Accent2 5 2 7" xfId="16018"/>
    <cellStyle name="40% - Accent2 5 2_2009 Actual" xfId="16019"/>
    <cellStyle name="40% - Accent2 5 3" xfId="16020"/>
    <cellStyle name="40% - Accent2 5 4" xfId="16021"/>
    <cellStyle name="40% - Accent2 5 5" xfId="16022"/>
    <cellStyle name="40% - Accent2 5 6" xfId="16023"/>
    <cellStyle name="40% - Accent2 5 7" xfId="16024"/>
    <cellStyle name="40% - Accent2 5 8" xfId="16025"/>
    <cellStyle name="40% - Accent2 5 9" xfId="16026"/>
    <cellStyle name="40% - Accent2 5 9 2" xfId="16027"/>
    <cellStyle name="40% - Accent2 5_2009 Actual" xfId="16028"/>
    <cellStyle name="40% - Accent2 50" xfId="16029"/>
    <cellStyle name="40% - Accent2 50 2" xfId="16030"/>
    <cellStyle name="40% - Accent2 50 2 2" xfId="16031"/>
    <cellStyle name="40% - Accent2 50 2 3" xfId="16032"/>
    <cellStyle name="40% - Accent2 50 3" xfId="16033"/>
    <cellStyle name="40% - Accent2 50 3 2" xfId="16034"/>
    <cellStyle name="40% - Accent2 50 4" xfId="16035"/>
    <cellStyle name="40% - Accent2 50 5" xfId="16036"/>
    <cellStyle name="40% - Accent2 51" xfId="16037"/>
    <cellStyle name="40% - Accent2 51 2" xfId="16038"/>
    <cellStyle name="40% - Accent2 51 2 2" xfId="16039"/>
    <cellStyle name="40% - Accent2 51 2 3" xfId="16040"/>
    <cellStyle name="40% - Accent2 51 3" xfId="16041"/>
    <cellStyle name="40% - Accent2 51 3 2" xfId="16042"/>
    <cellStyle name="40% - Accent2 51 4" xfId="16043"/>
    <cellStyle name="40% - Accent2 51 5" xfId="16044"/>
    <cellStyle name="40% - Accent2 52" xfId="16045"/>
    <cellStyle name="40% - Accent2 52 2" xfId="16046"/>
    <cellStyle name="40% - Accent2 52 2 2" xfId="16047"/>
    <cellStyle name="40% - Accent2 52 2 3" xfId="16048"/>
    <cellStyle name="40% - Accent2 52 3" xfId="16049"/>
    <cellStyle name="40% - Accent2 52 3 2" xfId="16050"/>
    <cellStyle name="40% - Accent2 52 4" xfId="16051"/>
    <cellStyle name="40% - Accent2 52 5" xfId="16052"/>
    <cellStyle name="40% - Accent2 53" xfId="16053"/>
    <cellStyle name="40% - Accent2 53 2" xfId="16054"/>
    <cellStyle name="40% - Accent2 53 2 2" xfId="16055"/>
    <cellStyle name="40% - Accent2 53 2 3" xfId="16056"/>
    <cellStyle name="40% - Accent2 53 3" xfId="16057"/>
    <cellStyle name="40% - Accent2 53 3 2" xfId="16058"/>
    <cellStyle name="40% - Accent2 53 4" xfId="16059"/>
    <cellStyle name="40% - Accent2 53 5" xfId="16060"/>
    <cellStyle name="40% - Accent2 54" xfId="16061"/>
    <cellStyle name="40% - Accent2 54 2" xfId="16062"/>
    <cellStyle name="40% - Accent2 54 2 2" xfId="16063"/>
    <cellStyle name="40% - Accent2 54 2 3" xfId="16064"/>
    <cellStyle name="40% - Accent2 54 3" xfId="16065"/>
    <cellStyle name="40% - Accent2 54 3 2" xfId="16066"/>
    <cellStyle name="40% - Accent2 54 4" xfId="16067"/>
    <cellStyle name="40% - Accent2 54 5" xfId="16068"/>
    <cellStyle name="40% - Accent2 55" xfId="16069"/>
    <cellStyle name="40% - Accent2 55 2" xfId="16070"/>
    <cellStyle name="40% - Accent2 55 2 2" xfId="16071"/>
    <cellStyle name="40% - Accent2 55 2 3" xfId="16072"/>
    <cellStyle name="40% - Accent2 55 3" xfId="16073"/>
    <cellStyle name="40% - Accent2 55 3 2" xfId="16074"/>
    <cellStyle name="40% - Accent2 55 4" xfId="16075"/>
    <cellStyle name="40% - Accent2 55 5" xfId="16076"/>
    <cellStyle name="40% - Accent2 56" xfId="16077"/>
    <cellStyle name="40% - Accent2 56 2" xfId="16078"/>
    <cellStyle name="40% - Accent2 56 2 2" xfId="16079"/>
    <cellStyle name="40% - Accent2 56 2 3" xfId="16080"/>
    <cellStyle name="40% - Accent2 56 3" xfId="16081"/>
    <cellStyle name="40% - Accent2 56 3 2" xfId="16082"/>
    <cellStyle name="40% - Accent2 56 4" xfId="16083"/>
    <cellStyle name="40% - Accent2 56 5" xfId="16084"/>
    <cellStyle name="40% - Accent2 57" xfId="16085"/>
    <cellStyle name="40% - Accent2 57 2" xfId="16086"/>
    <cellStyle name="40% - Accent2 57 2 2" xfId="16087"/>
    <cellStyle name="40% - Accent2 57 2 3" xfId="16088"/>
    <cellStyle name="40% - Accent2 57 3" xfId="16089"/>
    <cellStyle name="40% - Accent2 57 3 2" xfId="16090"/>
    <cellStyle name="40% - Accent2 57 4" xfId="16091"/>
    <cellStyle name="40% - Accent2 57 5" xfId="16092"/>
    <cellStyle name="40% - Accent2 58" xfId="16093"/>
    <cellStyle name="40% - Accent2 58 2" xfId="16094"/>
    <cellStyle name="40% - Accent2 58 2 2" xfId="16095"/>
    <cellStyle name="40% - Accent2 58 2 3" xfId="16096"/>
    <cellStyle name="40% - Accent2 58 3" xfId="16097"/>
    <cellStyle name="40% - Accent2 58 3 2" xfId="16098"/>
    <cellStyle name="40% - Accent2 58 4" xfId="16099"/>
    <cellStyle name="40% - Accent2 58 5" xfId="16100"/>
    <cellStyle name="40% - Accent2 59" xfId="16101"/>
    <cellStyle name="40% - Accent2 59 2" xfId="16102"/>
    <cellStyle name="40% - Accent2 59 2 2" xfId="16103"/>
    <cellStyle name="40% - Accent2 59 2 3" xfId="16104"/>
    <cellStyle name="40% - Accent2 59 3" xfId="16105"/>
    <cellStyle name="40% - Accent2 59 3 2" xfId="16106"/>
    <cellStyle name="40% - Accent2 59 4" xfId="16107"/>
    <cellStyle name="40% - Accent2 59 5" xfId="16108"/>
    <cellStyle name="40% - Accent2 6" xfId="16109"/>
    <cellStyle name="40% - Accent2 6 2" xfId="16110"/>
    <cellStyle name="40% - Accent2 6 3" xfId="16111"/>
    <cellStyle name="40% - Accent2 6 4" xfId="16112"/>
    <cellStyle name="40% - Accent2 6 4 2" xfId="16113"/>
    <cellStyle name="40% - Accent2 6_2009 Actual" xfId="16114"/>
    <cellStyle name="40% - Accent2 60" xfId="16115"/>
    <cellStyle name="40% - Accent2 60 2" xfId="16116"/>
    <cellStyle name="40% - Accent2 60 2 2" xfId="16117"/>
    <cellStyle name="40% - Accent2 60 2 3" xfId="16118"/>
    <cellStyle name="40% - Accent2 60 3" xfId="16119"/>
    <cellStyle name="40% - Accent2 60 3 2" xfId="16120"/>
    <cellStyle name="40% - Accent2 60 4" xfId="16121"/>
    <cellStyle name="40% - Accent2 60 5" xfId="16122"/>
    <cellStyle name="40% - Accent2 61" xfId="16123"/>
    <cellStyle name="40% - Accent2 61 2" xfId="16124"/>
    <cellStyle name="40% - Accent2 61 2 2" xfId="16125"/>
    <cellStyle name="40% - Accent2 61 2 3" xfId="16126"/>
    <cellStyle name="40% - Accent2 61 3" xfId="16127"/>
    <cellStyle name="40% - Accent2 61 3 2" xfId="16128"/>
    <cellStyle name="40% - Accent2 61 4" xfId="16129"/>
    <cellStyle name="40% - Accent2 61 5" xfId="16130"/>
    <cellStyle name="40% - Accent2 62" xfId="16131"/>
    <cellStyle name="40% - Accent2 62 2" xfId="16132"/>
    <cellStyle name="40% - Accent2 62 2 2" xfId="16133"/>
    <cellStyle name="40% - Accent2 62 2 3" xfId="16134"/>
    <cellStyle name="40% - Accent2 62 3" xfId="16135"/>
    <cellStyle name="40% - Accent2 62 3 2" xfId="16136"/>
    <cellStyle name="40% - Accent2 62 4" xfId="16137"/>
    <cellStyle name="40% - Accent2 62 5" xfId="16138"/>
    <cellStyle name="40% - Accent2 63" xfId="16139"/>
    <cellStyle name="40% - Accent2 63 2" xfId="16140"/>
    <cellStyle name="40% - Accent2 63 2 2" xfId="16141"/>
    <cellStyle name="40% - Accent2 63 2 3" xfId="16142"/>
    <cellStyle name="40% - Accent2 63 3" xfId="16143"/>
    <cellStyle name="40% - Accent2 63 3 2" xfId="16144"/>
    <cellStyle name="40% - Accent2 63 4" xfId="16145"/>
    <cellStyle name="40% - Accent2 63 5" xfId="16146"/>
    <cellStyle name="40% - Accent2 64" xfId="16147"/>
    <cellStyle name="40% - Accent2 64 2" xfId="16148"/>
    <cellStyle name="40% - Accent2 64 2 2" xfId="16149"/>
    <cellStyle name="40% - Accent2 64 2 3" xfId="16150"/>
    <cellStyle name="40% - Accent2 64 3" xfId="16151"/>
    <cellStyle name="40% - Accent2 64 3 2" xfId="16152"/>
    <cellStyle name="40% - Accent2 64 4" xfId="16153"/>
    <cellStyle name="40% - Accent2 64 5" xfId="16154"/>
    <cellStyle name="40% - Accent2 65" xfId="16155"/>
    <cellStyle name="40% - Accent2 65 2" xfId="16156"/>
    <cellStyle name="40% - Accent2 65 2 2" xfId="16157"/>
    <cellStyle name="40% - Accent2 65 2 3" xfId="16158"/>
    <cellStyle name="40% - Accent2 65 3" xfId="16159"/>
    <cellStyle name="40% - Accent2 65 3 2" xfId="16160"/>
    <cellStyle name="40% - Accent2 65 4" xfId="16161"/>
    <cellStyle name="40% - Accent2 65 5" xfId="16162"/>
    <cellStyle name="40% - Accent2 66" xfId="16163"/>
    <cellStyle name="40% - Accent2 66 2" xfId="16164"/>
    <cellStyle name="40% - Accent2 66 2 2" xfId="16165"/>
    <cellStyle name="40% - Accent2 66 2 3" xfId="16166"/>
    <cellStyle name="40% - Accent2 66 3" xfId="16167"/>
    <cellStyle name="40% - Accent2 66 3 2" xfId="16168"/>
    <cellStyle name="40% - Accent2 66 4" xfId="16169"/>
    <cellStyle name="40% - Accent2 66 5" xfId="16170"/>
    <cellStyle name="40% - Accent2 67" xfId="16171"/>
    <cellStyle name="40% - Accent2 67 2" xfId="16172"/>
    <cellStyle name="40% - Accent2 67 2 2" xfId="16173"/>
    <cellStyle name="40% - Accent2 67 2 3" xfId="16174"/>
    <cellStyle name="40% - Accent2 67 3" xfId="16175"/>
    <cellStyle name="40% - Accent2 67 3 2" xfId="16176"/>
    <cellStyle name="40% - Accent2 67 4" xfId="16177"/>
    <cellStyle name="40% - Accent2 67 5" xfId="16178"/>
    <cellStyle name="40% - Accent2 68" xfId="16179"/>
    <cellStyle name="40% - Accent2 68 2" xfId="16180"/>
    <cellStyle name="40% - Accent2 68 2 2" xfId="16181"/>
    <cellStyle name="40% - Accent2 68 2 3" xfId="16182"/>
    <cellStyle name="40% - Accent2 68 3" xfId="16183"/>
    <cellStyle name="40% - Accent2 68 3 2" xfId="16184"/>
    <cellStyle name="40% - Accent2 68 4" xfId="16185"/>
    <cellStyle name="40% - Accent2 68 5" xfId="16186"/>
    <cellStyle name="40% - Accent2 69" xfId="16187"/>
    <cellStyle name="40% - Accent2 69 2" xfId="16188"/>
    <cellStyle name="40% - Accent2 69 2 2" xfId="16189"/>
    <cellStyle name="40% - Accent2 69 2 3" xfId="16190"/>
    <cellStyle name="40% - Accent2 69 3" xfId="16191"/>
    <cellStyle name="40% - Accent2 69 3 2" xfId="16192"/>
    <cellStyle name="40% - Accent2 69 4" xfId="16193"/>
    <cellStyle name="40% - Accent2 69 5" xfId="16194"/>
    <cellStyle name="40% - Accent2 7" xfId="16195"/>
    <cellStyle name="40% - Accent2 7 2" xfId="16196"/>
    <cellStyle name="40% - Accent2 7 2 2" xfId="16197"/>
    <cellStyle name="40% - Accent2 70" xfId="16198"/>
    <cellStyle name="40% - Accent2 70 2" xfId="16199"/>
    <cellStyle name="40% - Accent2 70 2 2" xfId="16200"/>
    <cellStyle name="40% - Accent2 70 2 3" xfId="16201"/>
    <cellStyle name="40% - Accent2 70 3" xfId="16202"/>
    <cellStyle name="40% - Accent2 70 3 2" xfId="16203"/>
    <cellStyle name="40% - Accent2 70 4" xfId="16204"/>
    <cellStyle name="40% - Accent2 70 5" xfId="16205"/>
    <cellStyle name="40% - Accent2 71" xfId="16206"/>
    <cellStyle name="40% - Accent2 71 2" xfId="16207"/>
    <cellStyle name="40% - Accent2 71 2 2" xfId="16208"/>
    <cellStyle name="40% - Accent2 71 2 3" xfId="16209"/>
    <cellStyle name="40% - Accent2 71 3" xfId="16210"/>
    <cellStyle name="40% - Accent2 71 3 2" xfId="16211"/>
    <cellStyle name="40% - Accent2 71 4" xfId="16212"/>
    <cellStyle name="40% - Accent2 71 5" xfId="16213"/>
    <cellStyle name="40% - Accent2 72" xfId="16214"/>
    <cellStyle name="40% - Accent2 72 2" xfId="16215"/>
    <cellStyle name="40% - Accent2 72 2 2" xfId="16216"/>
    <cellStyle name="40% - Accent2 72 2 3" xfId="16217"/>
    <cellStyle name="40% - Accent2 72 3" xfId="16218"/>
    <cellStyle name="40% - Accent2 72 3 2" xfId="16219"/>
    <cellStyle name="40% - Accent2 72 4" xfId="16220"/>
    <cellStyle name="40% - Accent2 72 5" xfId="16221"/>
    <cellStyle name="40% - Accent2 73" xfId="16222"/>
    <cellStyle name="40% - Accent2 73 2" xfId="16223"/>
    <cellStyle name="40% - Accent2 73 2 2" xfId="16224"/>
    <cellStyle name="40% - Accent2 73 2 3" xfId="16225"/>
    <cellStyle name="40% - Accent2 73 3" xfId="16226"/>
    <cellStyle name="40% - Accent2 73 3 2" xfId="16227"/>
    <cellStyle name="40% - Accent2 73 4" xfId="16228"/>
    <cellStyle name="40% - Accent2 73 5" xfId="16229"/>
    <cellStyle name="40% - Accent2 74" xfId="16230"/>
    <cellStyle name="40% - Accent2 74 2" xfId="16231"/>
    <cellStyle name="40% - Accent2 74 2 2" xfId="16232"/>
    <cellStyle name="40% - Accent2 74 2 3" xfId="16233"/>
    <cellStyle name="40% - Accent2 74 3" xfId="16234"/>
    <cellStyle name="40% - Accent2 74 3 2" xfId="16235"/>
    <cellStyle name="40% - Accent2 74 4" xfId="16236"/>
    <cellStyle name="40% - Accent2 74 5" xfId="16237"/>
    <cellStyle name="40% - Accent2 75" xfId="16238"/>
    <cellStyle name="40% - Accent2 75 2" xfId="16239"/>
    <cellStyle name="40% - Accent2 75 2 2" xfId="16240"/>
    <cellStyle name="40% - Accent2 75 2 3" xfId="16241"/>
    <cellStyle name="40% - Accent2 75 3" xfId="16242"/>
    <cellStyle name="40% - Accent2 75 3 2" xfId="16243"/>
    <cellStyle name="40% - Accent2 75 4" xfId="16244"/>
    <cellStyle name="40% - Accent2 75 5" xfId="16245"/>
    <cellStyle name="40% - Accent2 76" xfId="16246"/>
    <cellStyle name="40% - Accent2 76 2" xfId="16247"/>
    <cellStyle name="40% - Accent2 76 2 2" xfId="16248"/>
    <cellStyle name="40% - Accent2 76 2 3" xfId="16249"/>
    <cellStyle name="40% - Accent2 76 3" xfId="16250"/>
    <cellStyle name="40% - Accent2 76 3 2" xfId="16251"/>
    <cellStyle name="40% - Accent2 76 4" xfId="16252"/>
    <cellStyle name="40% - Accent2 76 5" xfId="16253"/>
    <cellStyle name="40% - Accent2 77" xfId="16254"/>
    <cellStyle name="40% - Accent2 77 2" xfId="16255"/>
    <cellStyle name="40% - Accent2 77 2 2" xfId="16256"/>
    <cellStyle name="40% - Accent2 77 2 3" xfId="16257"/>
    <cellStyle name="40% - Accent2 77 3" xfId="16258"/>
    <cellStyle name="40% - Accent2 77 3 2" xfId="16259"/>
    <cellStyle name="40% - Accent2 77 4" xfId="16260"/>
    <cellStyle name="40% - Accent2 77 5" xfId="16261"/>
    <cellStyle name="40% - Accent2 78" xfId="16262"/>
    <cellStyle name="40% - Accent2 78 2" xfId="16263"/>
    <cellStyle name="40% - Accent2 78 2 2" xfId="16264"/>
    <cellStyle name="40% - Accent2 78 2 3" xfId="16265"/>
    <cellStyle name="40% - Accent2 78 3" xfId="16266"/>
    <cellStyle name="40% - Accent2 78 3 2" xfId="16267"/>
    <cellStyle name="40% - Accent2 78 4" xfId="16268"/>
    <cellStyle name="40% - Accent2 78 5" xfId="16269"/>
    <cellStyle name="40% - Accent2 79" xfId="16270"/>
    <cellStyle name="40% - Accent2 79 2" xfId="16271"/>
    <cellStyle name="40% - Accent2 79 2 2" xfId="16272"/>
    <cellStyle name="40% - Accent2 79 2 3" xfId="16273"/>
    <cellStyle name="40% - Accent2 79 3" xfId="16274"/>
    <cellStyle name="40% - Accent2 79 3 2" xfId="16275"/>
    <cellStyle name="40% - Accent2 79 4" xfId="16276"/>
    <cellStyle name="40% - Accent2 79 5" xfId="16277"/>
    <cellStyle name="40% - Accent2 8" xfId="16278"/>
    <cellStyle name="40% - Accent2 8 2" xfId="16279"/>
    <cellStyle name="40% - Accent2 8 2 2" xfId="16280"/>
    <cellStyle name="40% - Accent2 80" xfId="16281"/>
    <cellStyle name="40% - Accent2 80 2" xfId="16282"/>
    <cellStyle name="40% - Accent2 80 2 2" xfId="16283"/>
    <cellStyle name="40% - Accent2 80 2 3" xfId="16284"/>
    <cellStyle name="40% - Accent2 80 3" xfId="16285"/>
    <cellStyle name="40% - Accent2 80 3 2" xfId="16286"/>
    <cellStyle name="40% - Accent2 80 4" xfId="16287"/>
    <cellStyle name="40% - Accent2 80 5" xfId="16288"/>
    <cellStyle name="40% - Accent2 81" xfId="16289"/>
    <cellStyle name="40% - Accent2 81 2" xfId="16290"/>
    <cellStyle name="40% - Accent2 81 2 2" xfId="16291"/>
    <cellStyle name="40% - Accent2 81 2 3" xfId="16292"/>
    <cellStyle name="40% - Accent2 81 3" xfId="16293"/>
    <cellStyle name="40% - Accent2 81 3 2" xfId="16294"/>
    <cellStyle name="40% - Accent2 81 4" xfId="16295"/>
    <cellStyle name="40% - Accent2 81 5" xfId="16296"/>
    <cellStyle name="40% - Accent2 82" xfId="16297"/>
    <cellStyle name="40% - Accent2 82 2" xfId="16298"/>
    <cellStyle name="40% - Accent2 82 2 2" xfId="16299"/>
    <cellStyle name="40% - Accent2 82 2 3" xfId="16300"/>
    <cellStyle name="40% - Accent2 82 3" xfId="16301"/>
    <cellStyle name="40% - Accent2 82 3 2" xfId="16302"/>
    <cellStyle name="40% - Accent2 82 4" xfId="16303"/>
    <cellStyle name="40% - Accent2 82 5" xfId="16304"/>
    <cellStyle name="40% - Accent2 83" xfId="16305"/>
    <cellStyle name="40% - Accent2 83 2" xfId="16306"/>
    <cellStyle name="40% - Accent2 83 2 2" xfId="16307"/>
    <cellStyle name="40% - Accent2 83 2 3" xfId="16308"/>
    <cellStyle name="40% - Accent2 83 3" xfId="16309"/>
    <cellStyle name="40% - Accent2 83 3 2" xfId="16310"/>
    <cellStyle name="40% - Accent2 83 4" xfId="16311"/>
    <cellStyle name="40% - Accent2 83 5" xfId="16312"/>
    <cellStyle name="40% - Accent2 84" xfId="16313"/>
    <cellStyle name="40% - Accent2 84 2" xfId="16314"/>
    <cellStyle name="40% - Accent2 84 2 2" xfId="16315"/>
    <cellStyle name="40% - Accent2 84 2 3" xfId="16316"/>
    <cellStyle name="40% - Accent2 84 3" xfId="16317"/>
    <cellStyle name="40% - Accent2 84 3 2" xfId="16318"/>
    <cellStyle name="40% - Accent2 84 4" xfId="16319"/>
    <cellStyle name="40% - Accent2 84 5" xfId="16320"/>
    <cellStyle name="40% - Accent2 85" xfId="16321"/>
    <cellStyle name="40% - Accent2 85 2" xfId="16322"/>
    <cellStyle name="40% - Accent2 85 2 2" xfId="16323"/>
    <cellStyle name="40% - Accent2 85 2 3" xfId="16324"/>
    <cellStyle name="40% - Accent2 85 3" xfId="16325"/>
    <cellStyle name="40% - Accent2 85 3 2" xfId="16326"/>
    <cellStyle name="40% - Accent2 85 4" xfId="16327"/>
    <cellStyle name="40% - Accent2 85 5" xfId="16328"/>
    <cellStyle name="40% - Accent2 86" xfId="16329"/>
    <cellStyle name="40% - Accent2 86 2" xfId="16330"/>
    <cellStyle name="40% - Accent2 86 2 2" xfId="16331"/>
    <cellStyle name="40% - Accent2 86 2 3" xfId="16332"/>
    <cellStyle name="40% - Accent2 86 3" xfId="16333"/>
    <cellStyle name="40% - Accent2 86 3 2" xfId="16334"/>
    <cellStyle name="40% - Accent2 86 4" xfId="16335"/>
    <cellStyle name="40% - Accent2 86 5" xfId="16336"/>
    <cellStyle name="40% - Accent2 87" xfId="16337"/>
    <cellStyle name="40% - Accent2 87 2" xfId="16338"/>
    <cellStyle name="40% - Accent2 87 2 2" xfId="16339"/>
    <cellStyle name="40% - Accent2 87 2 3" xfId="16340"/>
    <cellStyle name="40% - Accent2 87 3" xfId="16341"/>
    <cellStyle name="40% - Accent2 87 3 2" xfId="16342"/>
    <cellStyle name="40% - Accent2 87 4" xfId="16343"/>
    <cellStyle name="40% - Accent2 87 5" xfId="16344"/>
    <cellStyle name="40% - Accent2 88" xfId="16345"/>
    <cellStyle name="40% - Accent2 88 2" xfId="16346"/>
    <cellStyle name="40% - Accent2 88 2 2" xfId="16347"/>
    <cellStyle name="40% - Accent2 88 2 3" xfId="16348"/>
    <cellStyle name="40% - Accent2 88 3" xfId="16349"/>
    <cellStyle name="40% - Accent2 88 3 2" xfId="16350"/>
    <cellStyle name="40% - Accent2 88 4" xfId="16351"/>
    <cellStyle name="40% - Accent2 88 5" xfId="16352"/>
    <cellStyle name="40% - Accent2 89" xfId="16353"/>
    <cellStyle name="40% - Accent2 89 2" xfId="16354"/>
    <cellStyle name="40% - Accent2 89 2 2" xfId="16355"/>
    <cellStyle name="40% - Accent2 89 2 3" xfId="16356"/>
    <cellStyle name="40% - Accent2 89 3" xfId="16357"/>
    <cellStyle name="40% - Accent2 89 3 2" xfId="16358"/>
    <cellStyle name="40% - Accent2 89 4" xfId="16359"/>
    <cellStyle name="40% - Accent2 89 5" xfId="16360"/>
    <cellStyle name="40% - Accent2 9" xfId="16361"/>
    <cellStyle name="40% - Accent2 9 2" xfId="16362"/>
    <cellStyle name="40% - Accent2 9 2 2" xfId="16363"/>
    <cellStyle name="40% - Accent2 90" xfId="16364"/>
    <cellStyle name="40% - Accent2 90 2" xfId="16365"/>
    <cellStyle name="40% - Accent2 90 2 2" xfId="16366"/>
    <cellStyle name="40% - Accent2 90 2 3" xfId="16367"/>
    <cellStyle name="40% - Accent2 90 3" xfId="16368"/>
    <cellStyle name="40% - Accent2 90 3 2" xfId="16369"/>
    <cellStyle name="40% - Accent2 90 4" xfId="16370"/>
    <cellStyle name="40% - Accent2 90 5" xfId="16371"/>
    <cellStyle name="40% - Accent2 91" xfId="16372"/>
    <cellStyle name="40% - Accent2 91 2" xfId="16373"/>
    <cellStyle name="40% - Accent2 91 2 2" xfId="16374"/>
    <cellStyle name="40% - Accent2 91 2 3" xfId="16375"/>
    <cellStyle name="40% - Accent2 91 3" xfId="16376"/>
    <cellStyle name="40% - Accent2 91 3 2" xfId="16377"/>
    <cellStyle name="40% - Accent2 91 4" xfId="16378"/>
    <cellStyle name="40% - Accent2 91 5" xfId="16379"/>
    <cellStyle name="40% - Accent2 92" xfId="16380"/>
    <cellStyle name="40% - Accent2 92 2" xfId="16381"/>
    <cellStyle name="40% - Accent2 92 2 2" xfId="16382"/>
    <cellStyle name="40% - Accent2 92 2 3" xfId="16383"/>
    <cellStyle name="40% - Accent2 92 3" xfId="16384"/>
    <cellStyle name="40% - Accent2 92 3 2" xfId="16385"/>
    <cellStyle name="40% - Accent2 92 4" xfId="16386"/>
    <cellStyle name="40% - Accent2 92 5" xfId="16387"/>
    <cellStyle name="40% - Accent2 93" xfId="16388"/>
    <cellStyle name="40% - Accent2 93 2" xfId="16389"/>
    <cellStyle name="40% - Accent2 93 2 2" xfId="16390"/>
    <cellStyle name="40% - Accent2 93 2 3" xfId="16391"/>
    <cellStyle name="40% - Accent2 93 3" xfId="16392"/>
    <cellStyle name="40% - Accent2 93 3 2" xfId="16393"/>
    <cellStyle name="40% - Accent2 93 4" xfId="16394"/>
    <cellStyle name="40% - Accent2 93 5" xfId="16395"/>
    <cellStyle name="40% - Accent2 94" xfId="16396"/>
    <cellStyle name="40% - Accent2 94 2" xfId="16397"/>
    <cellStyle name="40% - Accent2 94 2 2" xfId="16398"/>
    <cellStyle name="40% - Accent2 94 2 3" xfId="16399"/>
    <cellStyle name="40% - Accent2 94 3" xfId="16400"/>
    <cellStyle name="40% - Accent2 94 3 2" xfId="16401"/>
    <cellStyle name="40% - Accent2 94 4" xfId="16402"/>
    <cellStyle name="40% - Accent2 94 5" xfId="16403"/>
    <cellStyle name="40% - Accent2 95" xfId="16404"/>
    <cellStyle name="40% - Accent2 95 2" xfId="16405"/>
    <cellStyle name="40% - Accent2 95 2 2" xfId="16406"/>
    <cellStyle name="40% - Accent2 95 3" xfId="16407"/>
    <cellStyle name="40% - Accent2 95 4" xfId="16408"/>
    <cellStyle name="40% - Accent2 96" xfId="16409"/>
    <cellStyle name="40% - Accent2 96 2" xfId="16410"/>
    <cellStyle name="40% - Accent2 96 2 2" xfId="16411"/>
    <cellStyle name="40% - Accent2 96 3" xfId="16412"/>
    <cellStyle name="40% - Accent2 96 4" xfId="16413"/>
    <cellStyle name="40% - Accent2 97" xfId="16414"/>
    <cellStyle name="40% - Accent2 97 2" xfId="16415"/>
    <cellStyle name="40% - Accent2 97 2 2" xfId="16416"/>
    <cellStyle name="40% - Accent2 97 3" xfId="16417"/>
    <cellStyle name="40% - Accent2 97 4" xfId="16418"/>
    <cellStyle name="40% - Accent2 98" xfId="16419"/>
    <cellStyle name="40% - Accent2 98 2" xfId="16420"/>
    <cellStyle name="40% - Accent2 98 2 2" xfId="16421"/>
    <cellStyle name="40% - Accent2 98 3" xfId="16422"/>
    <cellStyle name="40% - Accent2 98 4" xfId="16423"/>
    <cellStyle name="40% - Accent2 99" xfId="16424"/>
    <cellStyle name="40% - Accent2 99 2" xfId="16425"/>
    <cellStyle name="40% - Accent2 99 2 2" xfId="16426"/>
    <cellStyle name="40% - Accent2 99 3" xfId="16427"/>
    <cellStyle name="40% - Accent2 99 4" xfId="16428"/>
    <cellStyle name="40% - Accent3 10" xfId="16429"/>
    <cellStyle name="40% - Accent3 10 2" xfId="16430"/>
    <cellStyle name="40% - Accent3 11" xfId="16431"/>
    <cellStyle name="40% - Accent3 11 2" xfId="16432"/>
    <cellStyle name="40% - Accent3 12" xfId="16433"/>
    <cellStyle name="40% - Accent3 13" xfId="16434"/>
    <cellStyle name="40% - Accent3 14" xfId="16435"/>
    <cellStyle name="40% - Accent3 15" xfId="16436"/>
    <cellStyle name="40% - Accent3 15 2" xfId="16437"/>
    <cellStyle name="40% - Accent3 16" xfId="16438"/>
    <cellStyle name="40% - Accent3 17" xfId="16439"/>
    <cellStyle name="40% - Accent3 18" xfId="16440"/>
    <cellStyle name="40% - Accent3 18 2" xfId="16441"/>
    <cellStyle name="40% - Accent3 18 2 2" xfId="16442"/>
    <cellStyle name="40% - Accent3 18 2 2 2" xfId="16443"/>
    <cellStyle name="40% - Accent3 18 2 2 3" xfId="16444"/>
    <cellStyle name="40% - Accent3 18 2 3" xfId="16445"/>
    <cellStyle name="40% - Accent3 18 2 3 2" xfId="16446"/>
    <cellStyle name="40% - Accent3 18 2 4" xfId="16447"/>
    <cellStyle name="40% - Accent3 18 2 5" xfId="16448"/>
    <cellStyle name="40% - Accent3 18 3" xfId="16449"/>
    <cellStyle name="40% - Accent3 18 3 2" xfId="16450"/>
    <cellStyle name="40% - Accent3 18 3 2 2" xfId="16451"/>
    <cellStyle name="40% - Accent3 18 3 3" xfId="16452"/>
    <cellStyle name="40% - Accent3 18 3 4" xfId="16453"/>
    <cellStyle name="40% - Accent3 18 4" xfId="16454"/>
    <cellStyle name="40% - Accent3 18 4 2" xfId="16455"/>
    <cellStyle name="40% - Accent3 18 4 2 2" xfId="16456"/>
    <cellStyle name="40% - Accent3 18 4 3" xfId="16457"/>
    <cellStyle name="40% - Accent3 18 4 4" xfId="16458"/>
    <cellStyle name="40% - Accent3 18 5" xfId="16459"/>
    <cellStyle name="40% - Accent3 18 5 2" xfId="16460"/>
    <cellStyle name="40% - Accent3 18 6" xfId="16461"/>
    <cellStyle name="40% - Accent3 18 7" xfId="16462"/>
    <cellStyle name="40% - Accent3 18 8" xfId="16463"/>
    <cellStyle name="40% - Accent3 19" xfId="16464"/>
    <cellStyle name="40% - Accent3 19 2" xfId="16465"/>
    <cellStyle name="40% - Accent3 19 2 2" xfId="16466"/>
    <cellStyle name="40% - Accent3 19 2 2 2" xfId="16467"/>
    <cellStyle name="40% - Accent3 19 2 2 3" xfId="16468"/>
    <cellStyle name="40% - Accent3 19 2 3" xfId="16469"/>
    <cellStyle name="40% - Accent3 19 2 3 2" xfId="16470"/>
    <cellStyle name="40% - Accent3 19 2 4" xfId="16471"/>
    <cellStyle name="40% - Accent3 19 2 5" xfId="16472"/>
    <cellStyle name="40% - Accent3 19 3" xfId="16473"/>
    <cellStyle name="40% - Accent3 19 3 2" xfId="16474"/>
    <cellStyle name="40% - Accent3 19 3 2 2" xfId="16475"/>
    <cellStyle name="40% - Accent3 19 3 3" xfId="16476"/>
    <cellStyle name="40% - Accent3 19 3 4" xfId="16477"/>
    <cellStyle name="40% - Accent3 19 4" xfId="16478"/>
    <cellStyle name="40% - Accent3 19 4 2" xfId="16479"/>
    <cellStyle name="40% - Accent3 19 4 2 2" xfId="16480"/>
    <cellStyle name="40% - Accent3 19 4 3" xfId="16481"/>
    <cellStyle name="40% - Accent3 19 4 4" xfId="16482"/>
    <cellStyle name="40% - Accent3 19 5" xfId="16483"/>
    <cellStyle name="40% - Accent3 19 5 2" xfId="16484"/>
    <cellStyle name="40% - Accent3 19 6" xfId="16485"/>
    <cellStyle name="40% - Accent3 19 7" xfId="16486"/>
    <cellStyle name="40% - Accent3 19 8" xfId="16487"/>
    <cellStyle name="40% - Accent3 2" xfId="16488"/>
    <cellStyle name="40% - Accent3 2 10" xfId="16489"/>
    <cellStyle name="40% - Accent3 2 10 2" xfId="16490"/>
    <cellStyle name="40% - Accent3 2 10 2 2" xfId="16491"/>
    <cellStyle name="40% - Accent3 2 11" xfId="16492"/>
    <cellStyle name="40% - Accent3 2 12" xfId="16493"/>
    <cellStyle name="40% - Accent3 2 13" xfId="16494"/>
    <cellStyle name="40% - Accent3 2 14" xfId="16495"/>
    <cellStyle name="40% - Accent3 2 14 2" xfId="16496"/>
    <cellStyle name="40% - Accent3 2 14 2 2" xfId="16497"/>
    <cellStyle name="40% - Accent3 2 14 2 2 2" xfId="16498"/>
    <cellStyle name="40% - Accent3 2 14 2 2 3" xfId="16499"/>
    <cellStyle name="40% - Accent3 2 14 2 3" xfId="16500"/>
    <cellStyle name="40% - Accent3 2 14 2 3 2" xfId="16501"/>
    <cellStyle name="40% - Accent3 2 14 2 4" xfId="16502"/>
    <cellStyle name="40% - Accent3 2 14 2 5" xfId="16503"/>
    <cellStyle name="40% - Accent3 2 14 3" xfId="16504"/>
    <cellStyle name="40% - Accent3 2 14 3 2" xfId="16505"/>
    <cellStyle name="40% - Accent3 2 14 3 2 2" xfId="16506"/>
    <cellStyle name="40% - Accent3 2 14 3 3" xfId="16507"/>
    <cellStyle name="40% - Accent3 2 14 3 4" xfId="16508"/>
    <cellStyle name="40% - Accent3 2 14 4" xfId="16509"/>
    <cellStyle name="40% - Accent3 2 14 4 2" xfId="16510"/>
    <cellStyle name="40% - Accent3 2 14 4 2 2" xfId="16511"/>
    <cellStyle name="40% - Accent3 2 14 4 3" xfId="16512"/>
    <cellStyle name="40% - Accent3 2 14 4 4" xfId="16513"/>
    <cellStyle name="40% - Accent3 2 14 5" xfId="16514"/>
    <cellStyle name="40% - Accent3 2 14 5 2" xfId="16515"/>
    <cellStyle name="40% - Accent3 2 14 6" xfId="16516"/>
    <cellStyle name="40% - Accent3 2 14 7" xfId="16517"/>
    <cellStyle name="40% - Accent3 2 14 8" xfId="16518"/>
    <cellStyle name="40% - Accent3 2 15" xfId="16519"/>
    <cellStyle name="40% - Accent3 2 15 2" xfId="16520"/>
    <cellStyle name="40% - Accent3 2 15 2 2" xfId="16521"/>
    <cellStyle name="40% - Accent3 2 15 2 2 2" xfId="16522"/>
    <cellStyle name="40% - Accent3 2 15 2 2 3" xfId="16523"/>
    <cellStyle name="40% - Accent3 2 15 2 3" xfId="16524"/>
    <cellStyle name="40% - Accent3 2 15 2 3 2" xfId="16525"/>
    <cellStyle name="40% - Accent3 2 15 2 4" xfId="16526"/>
    <cellStyle name="40% - Accent3 2 15 2 5" xfId="16527"/>
    <cellStyle name="40% - Accent3 2 15 3" xfId="16528"/>
    <cellStyle name="40% - Accent3 2 15 3 2" xfId="16529"/>
    <cellStyle name="40% - Accent3 2 15 3 2 2" xfId="16530"/>
    <cellStyle name="40% - Accent3 2 15 3 3" xfId="16531"/>
    <cellStyle name="40% - Accent3 2 15 3 4" xfId="16532"/>
    <cellStyle name="40% - Accent3 2 15 4" xfId="16533"/>
    <cellStyle name="40% - Accent3 2 15 4 2" xfId="16534"/>
    <cellStyle name="40% - Accent3 2 15 4 2 2" xfId="16535"/>
    <cellStyle name="40% - Accent3 2 15 4 3" xfId="16536"/>
    <cellStyle name="40% - Accent3 2 15 4 4" xfId="16537"/>
    <cellStyle name="40% - Accent3 2 15 5" xfId="16538"/>
    <cellStyle name="40% - Accent3 2 15 5 2" xfId="16539"/>
    <cellStyle name="40% - Accent3 2 15 6" xfId="16540"/>
    <cellStyle name="40% - Accent3 2 15 7" xfId="16541"/>
    <cellStyle name="40% - Accent3 2 15 8" xfId="16542"/>
    <cellStyle name="40% - Accent3 2 16" xfId="16543"/>
    <cellStyle name="40% - Accent3 2 16 2" xfId="16544"/>
    <cellStyle name="40% - Accent3 2 16 2 2" xfId="16545"/>
    <cellStyle name="40% - Accent3 2 16 2 2 2" xfId="16546"/>
    <cellStyle name="40% - Accent3 2 16 2 2 3" xfId="16547"/>
    <cellStyle name="40% - Accent3 2 16 2 3" xfId="16548"/>
    <cellStyle name="40% - Accent3 2 16 2 3 2" xfId="16549"/>
    <cellStyle name="40% - Accent3 2 16 2 4" xfId="16550"/>
    <cellStyle name="40% - Accent3 2 16 2 5" xfId="16551"/>
    <cellStyle name="40% - Accent3 2 16 3" xfId="16552"/>
    <cellStyle name="40% - Accent3 2 16 3 2" xfId="16553"/>
    <cellStyle name="40% - Accent3 2 16 3 2 2" xfId="16554"/>
    <cellStyle name="40% - Accent3 2 16 3 3" xfId="16555"/>
    <cellStyle name="40% - Accent3 2 16 3 4" xfId="16556"/>
    <cellStyle name="40% - Accent3 2 16 4" xfId="16557"/>
    <cellStyle name="40% - Accent3 2 16 4 2" xfId="16558"/>
    <cellStyle name="40% - Accent3 2 16 4 2 2" xfId="16559"/>
    <cellStyle name="40% - Accent3 2 16 4 3" xfId="16560"/>
    <cellStyle name="40% - Accent3 2 16 4 4" xfId="16561"/>
    <cellStyle name="40% - Accent3 2 16 5" xfId="16562"/>
    <cellStyle name="40% - Accent3 2 16 5 2" xfId="16563"/>
    <cellStyle name="40% - Accent3 2 16 6" xfId="16564"/>
    <cellStyle name="40% - Accent3 2 16 7" xfId="16565"/>
    <cellStyle name="40% - Accent3 2 16 8" xfId="16566"/>
    <cellStyle name="40% - Accent3 2 17" xfId="16567"/>
    <cellStyle name="40% - Accent3 2 17 2" xfId="16568"/>
    <cellStyle name="40% - Accent3 2 17 2 2" xfId="16569"/>
    <cellStyle name="40% - Accent3 2 17 2 3" xfId="16570"/>
    <cellStyle name="40% - Accent3 2 17 3" xfId="16571"/>
    <cellStyle name="40% - Accent3 2 17 3 2" xfId="16572"/>
    <cellStyle name="40% - Accent3 2 17 4" xfId="16573"/>
    <cellStyle name="40% - Accent3 2 17 5" xfId="16574"/>
    <cellStyle name="40% - Accent3 2 18" xfId="16575"/>
    <cellStyle name="40% - Accent3 2 18 2" xfId="16576"/>
    <cellStyle name="40% - Accent3 2 18 2 2" xfId="16577"/>
    <cellStyle name="40% - Accent3 2 18 2 3" xfId="16578"/>
    <cellStyle name="40% - Accent3 2 18 3" xfId="16579"/>
    <cellStyle name="40% - Accent3 2 18 3 2" xfId="16580"/>
    <cellStyle name="40% - Accent3 2 18 4" xfId="16581"/>
    <cellStyle name="40% - Accent3 2 18 5" xfId="16582"/>
    <cellStyle name="40% - Accent3 2 19" xfId="16583"/>
    <cellStyle name="40% - Accent3 2 19 2" xfId="16584"/>
    <cellStyle name="40% - Accent3 2 19 2 2" xfId="16585"/>
    <cellStyle name="40% - Accent3 2 19 3" xfId="16586"/>
    <cellStyle name="40% - Accent3 2 19 4" xfId="16587"/>
    <cellStyle name="40% - Accent3 2 2" xfId="16588"/>
    <cellStyle name="40% - Accent3 2 2 10" xfId="16589"/>
    <cellStyle name="40% - Accent3 2 2 11" xfId="16590"/>
    <cellStyle name="40% - Accent3 2 2 12" xfId="16591"/>
    <cellStyle name="40% - Accent3 2 2 12 2" xfId="16592"/>
    <cellStyle name="40% - Accent3 2 2 12 2 2" xfId="16593"/>
    <cellStyle name="40% - Accent3 2 2 12 2 2 2" xfId="16594"/>
    <cellStyle name="40% - Accent3 2 2 12 2 2 3" xfId="16595"/>
    <cellStyle name="40% - Accent3 2 2 12 2 3" xfId="16596"/>
    <cellStyle name="40% - Accent3 2 2 12 2 3 2" xfId="16597"/>
    <cellStyle name="40% - Accent3 2 2 12 2 4" xfId="16598"/>
    <cellStyle name="40% - Accent3 2 2 12 2 5" xfId="16599"/>
    <cellStyle name="40% - Accent3 2 2 12 3" xfId="16600"/>
    <cellStyle name="40% - Accent3 2 2 12 3 2" xfId="16601"/>
    <cellStyle name="40% - Accent3 2 2 12 3 2 2" xfId="16602"/>
    <cellStyle name="40% - Accent3 2 2 12 3 3" xfId="16603"/>
    <cellStyle name="40% - Accent3 2 2 12 3 4" xfId="16604"/>
    <cellStyle name="40% - Accent3 2 2 12 4" xfId="16605"/>
    <cellStyle name="40% - Accent3 2 2 12 4 2" xfId="16606"/>
    <cellStyle name="40% - Accent3 2 2 12 4 2 2" xfId="16607"/>
    <cellStyle name="40% - Accent3 2 2 12 4 3" xfId="16608"/>
    <cellStyle name="40% - Accent3 2 2 12 4 4" xfId="16609"/>
    <cellStyle name="40% - Accent3 2 2 12 5" xfId="16610"/>
    <cellStyle name="40% - Accent3 2 2 12 5 2" xfId="16611"/>
    <cellStyle name="40% - Accent3 2 2 12 6" xfId="16612"/>
    <cellStyle name="40% - Accent3 2 2 12 7" xfId="16613"/>
    <cellStyle name="40% - Accent3 2 2 12 8" xfId="16614"/>
    <cellStyle name="40% - Accent3 2 2 13" xfId="16615"/>
    <cellStyle name="40% - Accent3 2 2 13 2" xfId="16616"/>
    <cellStyle name="40% - Accent3 2 2 13 2 2" xfId="16617"/>
    <cellStyle name="40% - Accent3 2 2 13 2 2 2" xfId="16618"/>
    <cellStyle name="40% - Accent3 2 2 13 2 2 3" xfId="16619"/>
    <cellStyle name="40% - Accent3 2 2 13 2 3" xfId="16620"/>
    <cellStyle name="40% - Accent3 2 2 13 2 3 2" xfId="16621"/>
    <cellStyle name="40% - Accent3 2 2 13 2 4" xfId="16622"/>
    <cellStyle name="40% - Accent3 2 2 13 2 5" xfId="16623"/>
    <cellStyle name="40% - Accent3 2 2 13 3" xfId="16624"/>
    <cellStyle name="40% - Accent3 2 2 13 3 2" xfId="16625"/>
    <cellStyle name="40% - Accent3 2 2 13 3 2 2" xfId="16626"/>
    <cellStyle name="40% - Accent3 2 2 13 3 3" xfId="16627"/>
    <cellStyle name="40% - Accent3 2 2 13 3 4" xfId="16628"/>
    <cellStyle name="40% - Accent3 2 2 13 4" xfId="16629"/>
    <cellStyle name="40% - Accent3 2 2 13 4 2" xfId="16630"/>
    <cellStyle name="40% - Accent3 2 2 13 4 2 2" xfId="16631"/>
    <cellStyle name="40% - Accent3 2 2 13 4 3" xfId="16632"/>
    <cellStyle name="40% - Accent3 2 2 13 4 4" xfId="16633"/>
    <cellStyle name="40% - Accent3 2 2 13 5" xfId="16634"/>
    <cellStyle name="40% - Accent3 2 2 13 5 2" xfId="16635"/>
    <cellStyle name="40% - Accent3 2 2 13 6" xfId="16636"/>
    <cellStyle name="40% - Accent3 2 2 13 7" xfId="16637"/>
    <cellStyle name="40% - Accent3 2 2 13 8" xfId="16638"/>
    <cellStyle name="40% - Accent3 2 2 14" xfId="16639"/>
    <cellStyle name="40% - Accent3 2 2 14 2" xfId="16640"/>
    <cellStyle name="40% - Accent3 2 2 14 2 2" xfId="16641"/>
    <cellStyle name="40% - Accent3 2 2 14 2 2 2" xfId="16642"/>
    <cellStyle name="40% - Accent3 2 2 14 2 2 3" xfId="16643"/>
    <cellStyle name="40% - Accent3 2 2 14 2 3" xfId="16644"/>
    <cellStyle name="40% - Accent3 2 2 14 2 3 2" xfId="16645"/>
    <cellStyle name="40% - Accent3 2 2 14 2 4" xfId="16646"/>
    <cellStyle name="40% - Accent3 2 2 14 2 5" xfId="16647"/>
    <cellStyle name="40% - Accent3 2 2 14 3" xfId="16648"/>
    <cellStyle name="40% - Accent3 2 2 14 3 2" xfId="16649"/>
    <cellStyle name="40% - Accent3 2 2 14 3 2 2" xfId="16650"/>
    <cellStyle name="40% - Accent3 2 2 14 3 3" xfId="16651"/>
    <cellStyle name="40% - Accent3 2 2 14 3 4" xfId="16652"/>
    <cellStyle name="40% - Accent3 2 2 14 4" xfId="16653"/>
    <cellStyle name="40% - Accent3 2 2 14 4 2" xfId="16654"/>
    <cellStyle name="40% - Accent3 2 2 14 4 2 2" xfId="16655"/>
    <cellStyle name="40% - Accent3 2 2 14 4 3" xfId="16656"/>
    <cellStyle name="40% - Accent3 2 2 14 4 4" xfId="16657"/>
    <cellStyle name="40% - Accent3 2 2 14 5" xfId="16658"/>
    <cellStyle name="40% - Accent3 2 2 14 5 2" xfId="16659"/>
    <cellStyle name="40% - Accent3 2 2 14 6" xfId="16660"/>
    <cellStyle name="40% - Accent3 2 2 14 7" xfId="16661"/>
    <cellStyle name="40% - Accent3 2 2 14 8" xfId="16662"/>
    <cellStyle name="40% - Accent3 2 2 2" xfId="16663"/>
    <cellStyle name="40% - Accent3 2 2 2 10" xfId="16664"/>
    <cellStyle name="40% - Accent3 2 2 2 11" xfId="16665"/>
    <cellStyle name="40% - Accent3 2 2 2 2" xfId="16666"/>
    <cellStyle name="40% - Accent3 2 2 2 3" xfId="16667"/>
    <cellStyle name="40% - Accent3 2 2 2 4" xfId="16668"/>
    <cellStyle name="40% - Accent3 2 2 2 5" xfId="16669"/>
    <cellStyle name="40% - Accent3 2 2 2 6" xfId="16670"/>
    <cellStyle name="40% - Accent3 2 2 2 7" xfId="16671"/>
    <cellStyle name="40% - Accent3 2 2 2 8" xfId="16672"/>
    <cellStyle name="40% - Accent3 2 2 2 9" xfId="16673"/>
    <cellStyle name="40% - Accent3 2 2 2_4Q Ops Metrics Gas &amp; Electric 2010" xfId="16674"/>
    <cellStyle name="40% - Accent3 2 2 3" xfId="16675"/>
    <cellStyle name="40% - Accent3 2 2 4" xfId="16676"/>
    <cellStyle name="40% - Accent3 2 2 5" xfId="16677"/>
    <cellStyle name="40% - Accent3 2 2 6" xfId="16678"/>
    <cellStyle name="40% - Accent3 2 2 7" xfId="16679"/>
    <cellStyle name="40% - Accent3 2 2 8" xfId="16680"/>
    <cellStyle name="40% - Accent3 2 2 9" xfId="16681"/>
    <cellStyle name="40% - Accent3 2 2_4Q Ops Metrics Gas &amp; Electric 2010" xfId="16682"/>
    <cellStyle name="40% - Accent3 2 20" xfId="16683"/>
    <cellStyle name="40% - Accent3 2 20 2" xfId="16684"/>
    <cellStyle name="40% - Accent3 2 20 2 2" xfId="16685"/>
    <cellStyle name="40% - Accent3 2 20 3" xfId="16686"/>
    <cellStyle name="40% - Accent3 2 20 4" xfId="16687"/>
    <cellStyle name="40% - Accent3 2 21" xfId="16688"/>
    <cellStyle name="40% - Accent3 2 21 2" xfId="16689"/>
    <cellStyle name="40% - Accent3 2 22" xfId="16690"/>
    <cellStyle name="40% - Accent3 2 23" xfId="16691"/>
    <cellStyle name="40% - Accent3 2 24" xfId="16692"/>
    <cellStyle name="40% - Accent3 2 25" xfId="16693"/>
    <cellStyle name="40% - Accent3 2 26" xfId="16694"/>
    <cellStyle name="40% - Accent3 2 27" xfId="16695"/>
    <cellStyle name="40% - Accent3 2 28" xfId="16696"/>
    <cellStyle name="40% - Accent3 2 29" xfId="16697"/>
    <cellStyle name="40% - Accent3 2 3" xfId="16698"/>
    <cellStyle name="40% - Accent3 2 3 2" xfId="16699"/>
    <cellStyle name="40% - Accent3 2 3 2 2" xfId="16700"/>
    <cellStyle name="40% - Accent3 2 3 2 2 2" xfId="16701"/>
    <cellStyle name="40% - Accent3 2 3 2 3" xfId="16702"/>
    <cellStyle name="40% - Accent3 2 3 3" xfId="16703"/>
    <cellStyle name="40% - Accent3 2 3 3 2" xfId="16704"/>
    <cellStyle name="40% - Accent3 2 3 4" xfId="16705"/>
    <cellStyle name="40% - Accent3 2 3 4 2" xfId="16706"/>
    <cellStyle name="40% - Accent3 2 3 5" xfId="16707"/>
    <cellStyle name="40% - Accent3 2 3 5 2" xfId="16708"/>
    <cellStyle name="40% - Accent3 2 3 6" xfId="16709"/>
    <cellStyle name="40% - Accent3 2 3 6 2" xfId="16710"/>
    <cellStyle name="40% - Accent3 2 3 7" xfId="16711"/>
    <cellStyle name="40% - Accent3 2 3 7 2" xfId="16712"/>
    <cellStyle name="40% - Accent3 2 3 8" xfId="16713"/>
    <cellStyle name="40% - Accent3 2 3 8 2" xfId="16714"/>
    <cellStyle name="40% - Accent3 2 3 9" xfId="16715"/>
    <cellStyle name="40% - Accent3 2 3 9 2" xfId="16716"/>
    <cellStyle name="40% - Accent3 2 3_Dakota Panel" xfId="16717"/>
    <cellStyle name="40% - Accent3 2 30" xfId="16718"/>
    <cellStyle name="40% - Accent3 2 31" xfId="16719"/>
    <cellStyle name="40% - Accent3 2 32" xfId="16720"/>
    <cellStyle name="40% - Accent3 2 33" xfId="16721"/>
    <cellStyle name="40% - Accent3 2 34" xfId="16722"/>
    <cellStyle name="40% - Accent3 2 35" xfId="16723"/>
    <cellStyle name="40% - Accent3 2 36" xfId="16724"/>
    <cellStyle name="40% - Accent3 2 37" xfId="16725"/>
    <cellStyle name="40% - Accent3 2 38" xfId="16726"/>
    <cellStyle name="40% - Accent3 2 39" xfId="16727"/>
    <cellStyle name="40% - Accent3 2 4" xfId="16728"/>
    <cellStyle name="40% - Accent3 2 4 2" xfId="16729"/>
    <cellStyle name="40% - Accent3 2 4 2 2" xfId="16730"/>
    <cellStyle name="40% - Accent3 2 4 3" xfId="16731"/>
    <cellStyle name="40% - Accent3 2 40" xfId="16732"/>
    <cellStyle name="40% - Accent3 2 41" xfId="16733"/>
    <cellStyle name="40% - Accent3 2 42" xfId="16734"/>
    <cellStyle name="40% - Accent3 2 5" xfId="16735"/>
    <cellStyle name="40% - Accent3 2 5 2" xfId="16736"/>
    <cellStyle name="40% - Accent3 2 5 2 2" xfId="16737"/>
    <cellStyle name="40% - Accent3 2 6" xfId="16738"/>
    <cellStyle name="40% - Accent3 2 6 2" xfId="16739"/>
    <cellStyle name="40% - Accent3 2 6 2 2" xfId="16740"/>
    <cellStyle name="40% - Accent3 2 7" xfId="16741"/>
    <cellStyle name="40% - Accent3 2 7 2" xfId="16742"/>
    <cellStyle name="40% - Accent3 2 7 2 2" xfId="16743"/>
    <cellStyle name="40% - Accent3 2 8" xfId="16744"/>
    <cellStyle name="40% - Accent3 2 8 2" xfId="16745"/>
    <cellStyle name="40% - Accent3 2 8 2 2" xfId="16746"/>
    <cellStyle name="40% - Accent3 2 9" xfId="16747"/>
    <cellStyle name="40% - Accent3 2 9 2" xfId="16748"/>
    <cellStyle name="40% - Accent3 2 9 2 2" xfId="16749"/>
    <cellStyle name="40% - Accent3 2_1-10 BHU IS" xfId="16750"/>
    <cellStyle name="40% - Accent3 20" xfId="16751"/>
    <cellStyle name="40% - Accent3 20 2" xfId="16752"/>
    <cellStyle name="40% - Accent3 20 2 2" xfId="16753"/>
    <cellStyle name="40% - Accent3 20 2 3" xfId="16754"/>
    <cellStyle name="40% - Accent3 20 3" xfId="16755"/>
    <cellStyle name="40% - Accent3 20 3 2" xfId="16756"/>
    <cellStyle name="40% - Accent3 20 4" xfId="16757"/>
    <cellStyle name="40% - Accent3 20 5" xfId="16758"/>
    <cellStyle name="40% - Accent3 21" xfId="16759"/>
    <cellStyle name="40% - Accent3 21 2" xfId="16760"/>
    <cellStyle name="40% - Accent3 21 2 2" xfId="16761"/>
    <cellStyle name="40% - Accent3 21 3" xfId="16762"/>
    <cellStyle name="40% - Accent3 21 4" xfId="16763"/>
    <cellStyle name="40% - Accent3 22" xfId="16764"/>
    <cellStyle name="40% - Accent3 22 2" xfId="16765"/>
    <cellStyle name="40% - Accent3 22 2 2" xfId="16766"/>
    <cellStyle name="40% - Accent3 22 3" xfId="16767"/>
    <cellStyle name="40% - Accent3 22 4" xfId="16768"/>
    <cellStyle name="40% - Accent3 23" xfId="16769"/>
    <cellStyle name="40% - Accent3 23 2" xfId="16770"/>
    <cellStyle name="40% - Accent3 24" xfId="16771"/>
    <cellStyle name="40% - Accent3 25" xfId="16772"/>
    <cellStyle name="40% - Accent3 26" xfId="16773"/>
    <cellStyle name="40% - Accent3 3" xfId="16774"/>
    <cellStyle name="40% - Accent3 3 10" xfId="16775"/>
    <cellStyle name="40% - Accent3 3 10 2" xfId="16776"/>
    <cellStyle name="40% - Accent3 3 10 2 2" xfId="16777"/>
    <cellStyle name="40% - Accent3 3 10 2 2 2" xfId="16778"/>
    <cellStyle name="40% - Accent3 3 10 2 2 3" xfId="16779"/>
    <cellStyle name="40% - Accent3 3 10 2 3" xfId="16780"/>
    <cellStyle name="40% - Accent3 3 10 2 3 2" xfId="16781"/>
    <cellStyle name="40% - Accent3 3 10 2 4" xfId="16782"/>
    <cellStyle name="40% - Accent3 3 10 2 5" xfId="16783"/>
    <cellStyle name="40% - Accent3 3 10 3" xfId="16784"/>
    <cellStyle name="40% - Accent3 3 10 3 2" xfId="16785"/>
    <cellStyle name="40% - Accent3 3 10 3 2 2" xfId="16786"/>
    <cellStyle name="40% - Accent3 3 10 3 3" xfId="16787"/>
    <cellStyle name="40% - Accent3 3 10 3 4" xfId="16788"/>
    <cellStyle name="40% - Accent3 3 10 4" xfId="16789"/>
    <cellStyle name="40% - Accent3 3 10 4 2" xfId="16790"/>
    <cellStyle name="40% - Accent3 3 10 4 2 2" xfId="16791"/>
    <cellStyle name="40% - Accent3 3 10 4 3" xfId="16792"/>
    <cellStyle name="40% - Accent3 3 10 4 4" xfId="16793"/>
    <cellStyle name="40% - Accent3 3 10 5" xfId="16794"/>
    <cellStyle name="40% - Accent3 3 10 5 2" xfId="16795"/>
    <cellStyle name="40% - Accent3 3 10 6" xfId="16796"/>
    <cellStyle name="40% - Accent3 3 10 7" xfId="16797"/>
    <cellStyle name="40% - Accent3 3 10 8" xfId="16798"/>
    <cellStyle name="40% - Accent3 3 11" xfId="16799"/>
    <cellStyle name="40% - Accent3 3 11 2" xfId="16800"/>
    <cellStyle name="40% - Accent3 3 11 2 2" xfId="16801"/>
    <cellStyle name="40% - Accent3 3 11 2 2 2" xfId="16802"/>
    <cellStyle name="40% - Accent3 3 11 2 2 3" xfId="16803"/>
    <cellStyle name="40% - Accent3 3 11 2 3" xfId="16804"/>
    <cellStyle name="40% - Accent3 3 11 2 3 2" xfId="16805"/>
    <cellStyle name="40% - Accent3 3 11 2 4" xfId="16806"/>
    <cellStyle name="40% - Accent3 3 11 2 5" xfId="16807"/>
    <cellStyle name="40% - Accent3 3 11 3" xfId="16808"/>
    <cellStyle name="40% - Accent3 3 11 3 2" xfId="16809"/>
    <cellStyle name="40% - Accent3 3 11 3 2 2" xfId="16810"/>
    <cellStyle name="40% - Accent3 3 11 3 3" xfId="16811"/>
    <cellStyle name="40% - Accent3 3 11 3 4" xfId="16812"/>
    <cellStyle name="40% - Accent3 3 11 4" xfId="16813"/>
    <cellStyle name="40% - Accent3 3 11 4 2" xfId="16814"/>
    <cellStyle name="40% - Accent3 3 11 4 2 2" xfId="16815"/>
    <cellStyle name="40% - Accent3 3 11 4 3" xfId="16816"/>
    <cellStyle name="40% - Accent3 3 11 4 4" xfId="16817"/>
    <cellStyle name="40% - Accent3 3 11 5" xfId="16818"/>
    <cellStyle name="40% - Accent3 3 11 5 2" xfId="16819"/>
    <cellStyle name="40% - Accent3 3 11 6" xfId="16820"/>
    <cellStyle name="40% - Accent3 3 11 7" xfId="16821"/>
    <cellStyle name="40% - Accent3 3 11 8" xfId="16822"/>
    <cellStyle name="40% - Accent3 3 2" xfId="16823"/>
    <cellStyle name="40% - Accent3 3 2 2" xfId="16824"/>
    <cellStyle name="40% - Accent3 3 2 2 2" xfId="16825"/>
    <cellStyle name="40% - Accent3 3 2 3" xfId="16826"/>
    <cellStyle name="40% - Accent3 3 2_Income Statement Query October" xfId="16827"/>
    <cellStyle name="40% - Accent3 3 3" xfId="16828"/>
    <cellStyle name="40% - Accent3 3 3 2" xfId="16829"/>
    <cellStyle name="40% - Accent3 3 4" xfId="16830"/>
    <cellStyle name="40% - Accent3 3 4 2" xfId="16831"/>
    <cellStyle name="40% - Accent3 3 4 2 2" xfId="16832"/>
    <cellStyle name="40% - Accent3 3 4 2 2 2" xfId="16833"/>
    <cellStyle name="40% - Accent3 3 4 2 2 3" xfId="16834"/>
    <cellStyle name="40% - Accent3 3 4 2 3" xfId="16835"/>
    <cellStyle name="40% - Accent3 3 4 2 3 2" xfId="16836"/>
    <cellStyle name="40% - Accent3 3 4 2 4" xfId="16837"/>
    <cellStyle name="40% - Accent3 3 4 2 5" xfId="16838"/>
    <cellStyle name="40% - Accent3 3 4 3" xfId="16839"/>
    <cellStyle name="40% - Accent3 3 4 3 2" xfId="16840"/>
    <cellStyle name="40% - Accent3 3 4 3 2 2" xfId="16841"/>
    <cellStyle name="40% - Accent3 3 4 3 3" xfId="16842"/>
    <cellStyle name="40% - Accent3 3 4 3 4" xfId="16843"/>
    <cellStyle name="40% - Accent3 3 4 4" xfId="16844"/>
    <cellStyle name="40% - Accent3 3 4 4 2" xfId="16845"/>
    <cellStyle name="40% - Accent3 3 4 4 2 2" xfId="16846"/>
    <cellStyle name="40% - Accent3 3 4 4 3" xfId="16847"/>
    <cellStyle name="40% - Accent3 3 4 4 4" xfId="16848"/>
    <cellStyle name="40% - Accent3 3 4 5" xfId="16849"/>
    <cellStyle name="40% - Accent3 3 4 5 2" xfId="16850"/>
    <cellStyle name="40% - Accent3 3 4 6" xfId="16851"/>
    <cellStyle name="40% - Accent3 3 4 7" xfId="16852"/>
    <cellStyle name="40% - Accent3 3 4 8" xfId="16853"/>
    <cellStyle name="40% - Accent3 3 5" xfId="16854"/>
    <cellStyle name="40% - Accent3 3 5 2" xfId="16855"/>
    <cellStyle name="40% - Accent3 3 5 2 2" xfId="16856"/>
    <cellStyle name="40% - Accent3 3 5 2 2 2" xfId="16857"/>
    <cellStyle name="40% - Accent3 3 5 2 2 3" xfId="16858"/>
    <cellStyle name="40% - Accent3 3 5 2 3" xfId="16859"/>
    <cellStyle name="40% - Accent3 3 5 2 3 2" xfId="16860"/>
    <cellStyle name="40% - Accent3 3 5 2 4" xfId="16861"/>
    <cellStyle name="40% - Accent3 3 5 2 5" xfId="16862"/>
    <cellStyle name="40% - Accent3 3 5 3" xfId="16863"/>
    <cellStyle name="40% - Accent3 3 5 3 2" xfId="16864"/>
    <cellStyle name="40% - Accent3 3 5 3 2 2" xfId="16865"/>
    <cellStyle name="40% - Accent3 3 5 3 3" xfId="16866"/>
    <cellStyle name="40% - Accent3 3 5 3 4" xfId="16867"/>
    <cellStyle name="40% - Accent3 3 5 4" xfId="16868"/>
    <cellStyle name="40% - Accent3 3 5 4 2" xfId="16869"/>
    <cellStyle name="40% - Accent3 3 5 4 2 2" xfId="16870"/>
    <cellStyle name="40% - Accent3 3 5 4 3" xfId="16871"/>
    <cellStyle name="40% - Accent3 3 5 4 4" xfId="16872"/>
    <cellStyle name="40% - Accent3 3 5 5" xfId="16873"/>
    <cellStyle name="40% - Accent3 3 5 5 2" xfId="16874"/>
    <cellStyle name="40% - Accent3 3 5 6" xfId="16875"/>
    <cellStyle name="40% - Accent3 3 5 7" xfId="16876"/>
    <cellStyle name="40% - Accent3 3 5 8" xfId="16877"/>
    <cellStyle name="40% - Accent3 3 6" xfId="16878"/>
    <cellStyle name="40% - Accent3 3 6 2" xfId="16879"/>
    <cellStyle name="40% - Accent3 3 6 2 2" xfId="16880"/>
    <cellStyle name="40% - Accent3 3 6 2 2 2" xfId="16881"/>
    <cellStyle name="40% - Accent3 3 6 2 2 3" xfId="16882"/>
    <cellStyle name="40% - Accent3 3 6 2 3" xfId="16883"/>
    <cellStyle name="40% - Accent3 3 6 2 3 2" xfId="16884"/>
    <cellStyle name="40% - Accent3 3 6 2 4" xfId="16885"/>
    <cellStyle name="40% - Accent3 3 6 2 5" xfId="16886"/>
    <cellStyle name="40% - Accent3 3 6 3" xfId="16887"/>
    <cellStyle name="40% - Accent3 3 6 3 2" xfId="16888"/>
    <cellStyle name="40% - Accent3 3 6 3 2 2" xfId="16889"/>
    <cellStyle name="40% - Accent3 3 6 3 3" xfId="16890"/>
    <cellStyle name="40% - Accent3 3 6 3 4" xfId="16891"/>
    <cellStyle name="40% - Accent3 3 6 4" xfId="16892"/>
    <cellStyle name="40% - Accent3 3 6 4 2" xfId="16893"/>
    <cellStyle name="40% - Accent3 3 6 4 2 2" xfId="16894"/>
    <cellStyle name="40% - Accent3 3 6 4 3" xfId="16895"/>
    <cellStyle name="40% - Accent3 3 6 4 4" xfId="16896"/>
    <cellStyle name="40% - Accent3 3 6 5" xfId="16897"/>
    <cellStyle name="40% - Accent3 3 6 5 2" xfId="16898"/>
    <cellStyle name="40% - Accent3 3 6 6" xfId="16899"/>
    <cellStyle name="40% - Accent3 3 6 7" xfId="16900"/>
    <cellStyle name="40% - Accent3 3 6 8" xfId="16901"/>
    <cellStyle name="40% - Accent3 3 7" xfId="16902"/>
    <cellStyle name="40% - Accent3 3 7 2" xfId="16903"/>
    <cellStyle name="40% - Accent3 3 7 2 2" xfId="16904"/>
    <cellStyle name="40% - Accent3 3 7 2 2 2" xfId="16905"/>
    <cellStyle name="40% - Accent3 3 7 2 2 3" xfId="16906"/>
    <cellStyle name="40% - Accent3 3 7 2 3" xfId="16907"/>
    <cellStyle name="40% - Accent3 3 7 2 3 2" xfId="16908"/>
    <cellStyle name="40% - Accent3 3 7 2 4" xfId="16909"/>
    <cellStyle name="40% - Accent3 3 7 2 5" xfId="16910"/>
    <cellStyle name="40% - Accent3 3 7 3" xfId="16911"/>
    <cellStyle name="40% - Accent3 3 7 3 2" xfId="16912"/>
    <cellStyle name="40% - Accent3 3 7 3 2 2" xfId="16913"/>
    <cellStyle name="40% - Accent3 3 7 3 3" xfId="16914"/>
    <cellStyle name="40% - Accent3 3 7 3 4" xfId="16915"/>
    <cellStyle name="40% - Accent3 3 7 4" xfId="16916"/>
    <cellStyle name="40% - Accent3 3 7 4 2" xfId="16917"/>
    <cellStyle name="40% - Accent3 3 7 4 2 2" xfId="16918"/>
    <cellStyle name="40% - Accent3 3 7 4 3" xfId="16919"/>
    <cellStyle name="40% - Accent3 3 7 4 4" xfId="16920"/>
    <cellStyle name="40% - Accent3 3 7 5" xfId="16921"/>
    <cellStyle name="40% - Accent3 3 7 5 2" xfId="16922"/>
    <cellStyle name="40% - Accent3 3 7 6" xfId="16923"/>
    <cellStyle name="40% - Accent3 3 7 7" xfId="16924"/>
    <cellStyle name="40% - Accent3 3 7 8" xfId="16925"/>
    <cellStyle name="40% - Accent3 3 8" xfId="16926"/>
    <cellStyle name="40% - Accent3 3 8 2" xfId="16927"/>
    <cellStyle name="40% - Accent3 3 8 2 2" xfId="16928"/>
    <cellStyle name="40% - Accent3 3 8 2 2 2" xfId="16929"/>
    <cellStyle name="40% - Accent3 3 8 2 2 3" xfId="16930"/>
    <cellStyle name="40% - Accent3 3 8 2 3" xfId="16931"/>
    <cellStyle name="40% - Accent3 3 8 2 3 2" xfId="16932"/>
    <cellStyle name="40% - Accent3 3 8 2 4" xfId="16933"/>
    <cellStyle name="40% - Accent3 3 8 2 5" xfId="16934"/>
    <cellStyle name="40% - Accent3 3 8 3" xfId="16935"/>
    <cellStyle name="40% - Accent3 3 8 3 2" xfId="16936"/>
    <cellStyle name="40% - Accent3 3 8 3 2 2" xfId="16937"/>
    <cellStyle name="40% - Accent3 3 8 3 3" xfId="16938"/>
    <cellStyle name="40% - Accent3 3 8 3 4" xfId="16939"/>
    <cellStyle name="40% - Accent3 3 8 4" xfId="16940"/>
    <cellStyle name="40% - Accent3 3 8 4 2" xfId="16941"/>
    <cellStyle name="40% - Accent3 3 8 4 2 2" xfId="16942"/>
    <cellStyle name="40% - Accent3 3 8 4 3" xfId="16943"/>
    <cellStyle name="40% - Accent3 3 8 4 4" xfId="16944"/>
    <cellStyle name="40% - Accent3 3 8 5" xfId="16945"/>
    <cellStyle name="40% - Accent3 3 8 5 2" xfId="16946"/>
    <cellStyle name="40% - Accent3 3 8 6" xfId="16947"/>
    <cellStyle name="40% - Accent3 3 8 7" xfId="16948"/>
    <cellStyle name="40% - Accent3 3 8 8" xfId="16949"/>
    <cellStyle name="40% - Accent3 3 9" xfId="16950"/>
    <cellStyle name="40% - Accent3 3 9 2" xfId="16951"/>
    <cellStyle name="40% - Accent3 3 9 2 2" xfId="16952"/>
    <cellStyle name="40% - Accent3 3 9 2 2 2" xfId="16953"/>
    <cellStyle name="40% - Accent3 3 9 2 2 3" xfId="16954"/>
    <cellStyle name="40% - Accent3 3 9 2 3" xfId="16955"/>
    <cellStyle name="40% - Accent3 3 9 2 3 2" xfId="16956"/>
    <cellStyle name="40% - Accent3 3 9 2 4" xfId="16957"/>
    <cellStyle name="40% - Accent3 3 9 2 5" xfId="16958"/>
    <cellStyle name="40% - Accent3 3 9 3" xfId="16959"/>
    <cellStyle name="40% - Accent3 3 9 3 2" xfId="16960"/>
    <cellStyle name="40% - Accent3 3 9 3 2 2" xfId="16961"/>
    <cellStyle name="40% - Accent3 3 9 3 3" xfId="16962"/>
    <cellStyle name="40% - Accent3 3 9 3 4" xfId="16963"/>
    <cellStyle name="40% - Accent3 3 9 4" xfId="16964"/>
    <cellStyle name="40% - Accent3 3 9 4 2" xfId="16965"/>
    <cellStyle name="40% - Accent3 3 9 4 2 2" xfId="16966"/>
    <cellStyle name="40% - Accent3 3 9 4 3" xfId="16967"/>
    <cellStyle name="40% - Accent3 3 9 4 4" xfId="16968"/>
    <cellStyle name="40% - Accent3 3 9 5" xfId="16969"/>
    <cellStyle name="40% - Accent3 3 9 5 2" xfId="16970"/>
    <cellStyle name="40% - Accent3 3 9 6" xfId="16971"/>
    <cellStyle name="40% - Accent3 3 9 7" xfId="16972"/>
    <cellStyle name="40% - Accent3 3 9 8" xfId="16973"/>
    <cellStyle name="40% - Accent3 3_4Q Ops Metrics Gas &amp; Electric 2010" xfId="16974"/>
    <cellStyle name="40% - Accent3 4" xfId="16975"/>
    <cellStyle name="40% - Accent3 4 2" xfId="16976"/>
    <cellStyle name="40% - Accent3 4 2 2" xfId="16977"/>
    <cellStyle name="40% - Accent3 4 2_Income Statement Query October" xfId="16978"/>
    <cellStyle name="40% - Accent3 4_4Q Ops Metrics Gas &amp; Electric 2010" xfId="16979"/>
    <cellStyle name="40% - Accent3 5" xfId="16980"/>
    <cellStyle name="40% - Accent3 5 2" xfId="16981"/>
    <cellStyle name="40% - Accent3 5 2 2" xfId="16982"/>
    <cellStyle name="40% - Accent3 5 2_Income Statement Query October" xfId="16983"/>
    <cellStyle name="40% - Accent3 5_4Q Ops Metrics Gas &amp; Electric 2010" xfId="16984"/>
    <cellStyle name="40% - Accent3 6" xfId="16985"/>
    <cellStyle name="40% - Accent3 6 2" xfId="16986"/>
    <cellStyle name="40% - Accent3 7" xfId="16987"/>
    <cellStyle name="40% - Accent3 7 2" xfId="16988"/>
    <cellStyle name="40% - Accent3 8" xfId="16989"/>
    <cellStyle name="40% - Accent3 8 2" xfId="16990"/>
    <cellStyle name="40% - Accent3 9" xfId="16991"/>
    <cellStyle name="40% - Accent3 9 2" xfId="16992"/>
    <cellStyle name="40% - Accent4 10" xfId="16993"/>
    <cellStyle name="40% - Accent4 10 2" xfId="16994"/>
    <cellStyle name="40% - Accent4 11" xfId="16995"/>
    <cellStyle name="40% - Accent4 11 2" xfId="16996"/>
    <cellStyle name="40% - Accent4 12" xfId="16997"/>
    <cellStyle name="40% - Accent4 13" xfId="16998"/>
    <cellStyle name="40% - Accent4 14" xfId="16999"/>
    <cellStyle name="40% - Accent4 15" xfId="17000"/>
    <cellStyle name="40% - Accent4 15 2" xfId="17001"/>
    <cellStyle name="40% - Accent4 16" xfId="17002"/>
    <cellStyle name="40% - Accent4 17" xfId="17003"/>
    <cellStyle name="40% - Accent4 18" xfId="17004"/>
    <cellStyle name="40% - Accent4 18 2" xfId="17005"/>
    <cellStyle name="40% - Accent4 18 2 2" xfId="17006"/>
    <cellStyle name="40% - Accent4 18 2 2 2" xfId="17007"/>
    <cellStyle name="40% - Accent4 18 2 2 3" xfId="17008"/>
    <cellStyle name="40% - Accent4 18 2 3" xfId="17009"/>
    <cellStyle name="40% - Accent4 18 2 3 2" xfId="17010"/>
    <cellStyle name="40% - Accent4 18 2 4" xfId="17011"/>
    <cellStyle name="40% - Accent4 18 2 5" xfId="17012"/>
    <cellStyle name="40% - Accent4 18 3" xfId="17013"/>
    <cellStyle name="40% - Accent4 18 3 2" xfId="17014"/>
    <cellStyle name="40% - Accent4 18 3 2 2" xfId="17015"/>
    <cellStyle name="40% - Accent4 18 3 3" xfId="17016"/>
    <cellStyle name="40% - Accent4 18 3 4" xfId="17017"/>
    <cellStyle name="40% - Accent4 18 4" xfId="17018"/>
    <cellStyle name="40% - Accent4 18 4 2" xfId="17019"/>
    <cellStyle name="40% - Accent4 18 4 2 2" xfId="17020"/>
    <cellStyle name="40% - Accent4 18 4 3" xfId="17021"/>
    <cellStyle name="40% - Accent4 18 4 4" xfId="17022"/>
    <cellStyle name="40% - Accent4 18 5" xfId="17023"/>
    <cellStyle name="40% - Accent4 18 5 2" xfId="17024"/>
    <cellStyle name="40% - Accent4 18 6" xfId="17025"/>
    <cellStyle name="40% - Accent4 18 7" xfId="17026"/>
    <cellStyle name="40% - Accent4 18 8" xfId="17027"/>
    <cellStyle name="40% - Accent4 19" xfId="17028"/>
    <cellStyle name="40% - Accent4 19 2" xfId="17029"/>
    <cellStyle name="40% - Accent4 19 2 2" xfId="17030"/>
    <cellStyle name="40% - Accent4 19 2 2 2" xfId="17031"/>
    <cellStyle name="40% - Accent4 19 2 2 3" xfId="17032"/>
    <cellStyle name="40% - Accent4 19 2 3" xfId="17033"/>
    <cellStyle name="40% - Accent4 19 2 3 2" xfId="17034"/>
    <cellStyle name="40% - Accent4 19 2 4" xfId="17035"/>
    <cellStyle name="40% - Accent4 19 2 5" xfId="17036"/>
    <cellStyle name="40% - Accent4 19 3" xfId="17037"/>
    <cellStyle name="40% - Accent4 19 3 2" xfId="17038"/>
    <cellStyle name="40% - Accent4 19 3 2 2" xfId="17039"/>
    <cellStyle name="40% - Accent4 19 3 3" xfId="17040"/>
    <cellStyle name="40% - Accent4 19 3 4" xfId="17041"/>
    <cellStyle name="40% - Accent4 19 4" xfId="17042"/>
    <cellStyle name="40% - Accent4 19 4 2" xfId="17043"/>
    <cellStyle name="40% - Accent4 19 4 2 2" xfId="17044"/>
    <cellStyle name="40% - Accent4 19 4 3" xfId="17045"/>
    <cellStyle name="40% - Accent4 19 4 4" xfId="17046"/>
    <cellStyle name="40% - Accent4 19 5" xfId="17047"/>
    <cellStyle name="40% - Accent4 19 5 2" xfId="17048"/>
    <cellStyle name="40% - Accent4 19 6" xfId="17049"/>
    <cellStyle name="40% - Accent4 19 7" xfId="17050"/>
    <cellStyle name="40% - Accent4 19 8" xfId="17051"/>
    <cellStyle name="40% - Accent4 2" xfId="17052"/>
    <cellStyle name="40% - Accent4 2 10" xfId="17053"/>
    <cellStyle name="40% - Accent4 2 10 2" xfId="17054"/>
    <cellStyle name="40% - Accent4 2 10 2 2" xfId="17055"/>
    <cellStyle name="40% - Accent4 2 11" xfId="17056"/>
    <cellStyle name="40% - Accent4 2 12" xfId="17057"/>
    <cellStyle name="40% - Accent4 2 13" xfId="17058"/>
    <cellStyle name="40% - Accent4 2 14" xfId="17059"/>
    <cellStyle name="40% - Accent4 2 14 2" xfId="17060"/>
    <cellStyle name="40% - Accent4 2 14 2 2" xfId="17061"/>
    <cellStyle name="40% - Accent4 2 14 2 2 2" xfId="17062"/>
    <cellStyle name="40% - Accent4 2 14 2 2 3" xfId="17063"/>
    <cellStyle name="40% - Accent4 2 14 2 3" xfId="17064"/>
    <cellStyle name="40% - Accent4 2 14 2 3 2" xfId="17065"/>
    <cellStyle name="40% - Accent4 2 14 2 4" xfId="17066"/>
    <cellStyle name="40% - Accent4 2 14 2 5" xfId="17067"/>
    <cellStyle name="40% - Accent4 2 14 3" xfId="17068"/>
    <cellStyle name="40% - Accent4 2 14 3 2" xfId="17069"/>
    <cellStyle name="40% - Accent4 2 14 3 2 2" xfId="17070"/>
    <cellStyle name="40% - Accent4 2 14 3 3" xfId="17071"/>
    <cellStyle name="40% - Accent4 2 14 3 4" xfId="17072"/>
    <cellStyle name="40% - Accent4 2 14 4" xfId="17073"/>
    <cellStyle name="40% - Accent4 2 14 4 2" xfId="17074"/>
    <cellStyle name="40% - Accent4 2 14 4 2 2" xfId="17075"/>
    <cellStyle name="40% - Accent4 2 14 4 3" xfId="17076"/>
    <cellStyle name="40% - Accent4 2 14 4 4" xfId="17077"/>
    <cellStyle name="40% - Accent4 2 14 5" xfId="17078"/>
    <cellStyle name="40% - Accent4 2 14 5 2" xfId="17079"/>
    <cellStyle name="40% - Accent4 2 14 6" xfId="17080"/>
    <cellStyle name="40% - Accent4 2 14 7" xfId="17081"/>
    <cellStyle name="40% - Accent4 2 14 8" xfId="17082"/>
    <cellStyle name="40% - Accent4 2 15" xfId="17083"/>
    <cellStyle name="40% - Accent4 2 15 2" xfId="17084"/>
    <cellStyle name="40% - Accent4 2 15 2 2" xfId="17085"/>
    <cellStyle name="40% - Accent4 2 15 2 2 2" xfId="17086"/>
    <cellStyle name="40% - Accent4 2 15 2 2 3" xfId="17087"/>
    <cellStyle name="40% - Accent4 2 15 2 3" xfId="17088"/>
    <cellStyle name="40% - Accent4 2 15 2 3 2" xfId="17089"/>
    <cellStyle name="40% - Accent4 2 15 2 4" xfId="17090"/>
    <cellStyle name="40% - Accent4 2 15 2 5" xfId="17091"/>
    <cellStyle name="40% - Accent4 2 15 3" xfId="17092"/>
    <cellStyle name="40% - Accent4 2 15 3 2" xfId="17093"/>
    <cellStyle name="40% - Accent4 2 15 3 2 2" xfId="17094"/>
    <cellStyle name="40% - Accent4 2 15 3 3" xfId="17095"/>
    <cellStyle name="40% - Accent4 2 15 3 4" xfId="17096"/>
    <cellStyle name="40% - Accent4 2 15 4" xfId="17097"/>
    <cellStyle name="40% - Accent4 2 15 4 2" xfId="17098"/>
    <cellStyle name="40% - Accent4 2 15 4 2 2" xfId="17099"/>
    <cellStyle name="40% - Accent4 2 15 4 3" xfId="17100"/>
    <cellStyle name="40% - Accent4 2 15 4 4" xfId="17101"/>
    <cellStyle name="40% - Accent4 2 15 5" xfId="17102"/>
    <cellStyle name="40% - Accent4 2 15 5 2" xfId="17103"/>
    <cellStyle name="40% - Accent4 2 15 6" xfId="17104"/>
    <cellStyle name="40% - Accent4 2 15 7" xfId="17105"/>
    <cellStyle name="40% - Accent4 2 15 8" xfId="17106"/>
    <cellStyle name="40% - Accent4 2 16" xfId="17107"/>
    <cellStyle name="40% - Accent4 2 16 2" xfId="17108"/>
    <cellStyle name="40% - Accent4 2 16 2 2" xfId="17109"/>
    <cellStyle name="40% - Accent4 2 16 2 2 2" xfId="17110"/>
    <cellStyle name="40% - Accent4 2 16 2 2 3" xfId="17111"/>
    <cellStyle name="40% - Accent4 2 16 2 3" xfId="17112"/>
    <cellStyle name="40% - Accent4 2 16 2 3 2" xfId="17113"/>
    <cellStyle name="40% - Accent4 2 16 2 4" xfId="17114"/>
    <cellStyle name="40% - Accent4 2 16 2 5" xfId="17115"/>
    <cellStyle name="40% - Accent4 2 16 3" xfId="17116"/>
    <cellStyle name="40% - Accent4 2 16 3 2" xfId="17117"/>
    <cellStyle name="40% - Accent4 2 16 3 2 2" xfId="17118"/>
    <cellStyle name="40% - Accent4 2 16 3 3" xfId="17119"/>
    <cellStyle name="40% - Accent4 2 16 3 4" xfId="17120"/>
    <cellStyle name="40% - Accent4 2 16 4" xfId="17121"/>
    <cellStyle name="40% - Accent4 2 16 4 2" xfId="17122"/>
    <cellStyle name="40% - Accent4 2 16 4 2 2" xfId="17123"/>
    <cellStyle name="40% - Accent4 2 16 4 3" xfId="17124"/>
    <cellStyle name="40% - Accent4 2 16 4 4" xfId="17125"/>
    <cellStyle name="40% - Accent4 2 16 5" xfId="17126"/>
    <cellStyle name="40% - Accent4 2 16 5 2" xfId="17127"/>
    <cellStyle name="40% - Accent4 2 16 6" xfId="17128"/>
    <cellStyle name="40% - Accent4 2 16 7" xfId="17129"/>
    <cellStyle name="40% - Accent4 2 16 8" xfId="17130"/>
    <cellStyle name="40% - Accent4 2 17" xfId="17131"/>
    <cellStyle name="40% - Accent4 2 17 2" xfId="17132"/>
    <cellStyle name="40% - Accent4 2 17 2 2" xfId="17133"/>
    <cellStyle name="40% - Accent4 2 17 2 3" xfId="17134"/>
    <cellStyle name="40% - Accent4 2 17 3" xfId="17135"/>
    <cellStyle name="40% - Accent4 2 17 3 2" xfId="17136"/>
    <cellStyle name="40% - Accent4 2 17 4" xfId="17137"/>
    <cellStyle name="40% - Accent4 2 17 5" xfId="17138"/>
    <cellStyle name="40% - Accent4 2 18" xfId="17139"/>
    <cellStyle name="40% - Accent4 2 18 2" xfId="17140"/>
    <cellStyle name="40% - Accent4 2 18 2 2" xfId="17141"/>
    <cellStyle name="40% - Accent4 2 18 2 3" xfId="17142"/>
    <cellStyle name="40% - Accent4 2 18 3" xfId="17143"/>
    <cellStyle name="40% - Accent4 2 18 3 2" xfId="17144"/>
    <cellStyle name="40% - Accent4 2 18 4" xfId="17145"/>
    <cellStyle name="40% - Accent4 2 18 5" xfId="17146"/>
    <cellStyle name="40% - Accent4 2 19" xfId="17147"/>
    <cellStyle name="40% - Accent4 2 19 2" xfId="17148"/>
    <cellStyle name="40% - Accent4 2 19 2 2" xfId="17149"/>
    <cellStyle name="40% - Accent4 2 19 3" xfId="17150"/>
    <cellStyle name="40% - Accent4 2 19 4" xfId="17151"/>
    <cellStyle name="40% - Accent4 2 2" xfId="17152"/>
    <cellStyle name="40% - Accent4 2 2 10" xfId="17153"/>
    <cellStyle name="40% - Accent4 2 2 11" xfId="17154"/>
    <cellStyle name="40% - Accent4 2 2 12" xfId="17155"/>
    <cellStyle name="40% - Accent4 2 2 12 2" xfId="17156"/>
    <cellStyle name="40% - Accent4 2 2 12 2 2" xfId="17157"/>
    <cellStyle name="40% - Accent4 2 2 12 2 2 2" xfId="17158"/>
    <cellStyle name="40% - Accent4 2 2 12 2 2 3" xfId="17159"/>
    <cellStyle name="40% - Accent4 2 2 12 2 3" xfId="17160"/>
    <cellStyle name="40% - Accent4 2 2 12 2 3 2" xfId="17161"/>
    <cellStyle name="40% - Accent4 2 2 12 2 4" xfId="17162"/>
    <cellStyle name="40% - Accent4 2 2 12 2 5" xfId="17163"/>
    <cellStyle name="40% - Accent4 2 2 12 3" xfId="17164"/>
    <cellStyle name="40% - Accent4 2 2 12 3 2" xfId="17165"/>
    <cellStyle name="40% - Accent4 2 2 12 3 2 2" xfId="17166"/>
    <cellStyle name="40% - Accent4 2 2 12 3 3" xfId="17167"/>
    <cellStyle name="40% - Accent4 2 2 12 3 4" xfId="17168"/>
    <cellStyle name="40% - Accent4 2 2 12 4" xfId="17169"/>
    <cellStyle name="40% - Accent4 2 2 12 4 2" xfId="17170"/>
    <cellStyle name="40% - Accent4 2 2 12 4 2 2" xfId="17171"/>
    <cellStyle name="40% - Accent4 2 2 12 4 3" xfId="17172"/>
    <cellStyle name="40% - Accent4 2 2 12 4 4" xfId="17173"/>
    <cellStyle name="40% - Accent4 2 2 12 5" xfId="17174"/>
    <cellStyle name="40% - Accent4 2 2 12 5 2" xfId="17175"/>
    <cellStyle name="40% - Accent4 2 2 12 6" xfId="17176"/>
    <cellStyle name="40% - Accent4 2 2 12 7" xfId="17177"/>
    <cellStyle name="40% - Accent4 2 2 12 8" xfId="17178"/>
    <cellStyle name="40% - Accent4 2 2 13" xfId="17179"/>
    <cellStyle name="40% - Accent4 2 2 13 2" xfId="17180"/>
    <cellStyle name="40% - Accent4 2 2 13 2 2" xfId="17181"/>
    <cellStyle name="40% - Accent4 2 2 13 2 2 2" xfId="17182"/>
    <cellStyle name="40% - Accent4 2 2 13 2 2 3" xfId="17183"/>
    <cellStyle name="40% - Accent4 2 2 13 2 3" xfId="17184"/>
    <cellStyle name="40% - Accent4 2 2 13 2 3 2" xfId="17185"/>
    <cellStyle name="40% - Accent4 2 2 13 2 4" xfId="17186"/>
    <cellStyle name="40% - Accent4 2 2 13 2 5" xfId="17187"/>
    <cellStyle name="40% - Accent4 2 2 13 3" xfId="17188"/>
    <cellStyle name="40% - Accent4 2 2 13 3 2" xfId="17189"/>
    <cellStyle name="40% - Accent4 2 2 13 3 2 2" xfId="17190"/>
    <cellStyle name="40% - Accent4 2 2 13 3 3" xfId="17191"/>
    <cellStyle name="40% - Accent4 2 2 13 3 4" xfId="17192"/>
    <cellStyle name="40% - Accent4 2 2 13 4" xfId="17193"/>
    <cellStyle name="40% - Accent4 2 2 13 4 2" xfId="17194"/>
    <cellStyle name="40% - Accent4 2 2 13 4 2 2" xfId="17195"/>
    <cellStyle name="40% - Accent4 2 2 13 4 3" xfId="17196"/>
    <cellStyle name="40% - Accent4 2 2 13 4 4" xfId="17197"/>
    <cellStyle name="40% - Accent4 2 2 13 5" xfId="17198"/>
    <cellStyle name="40% - Accent4 2 2 13 5 2" xfId="17199"/>
    <cellStyle name="40% - Accent4 2 2 13 6" xfId="17200"/>
    <cellStyle name="40% - Accent4 2 2 13 7" xfId="17201"/>
    <cellStyle name="40% - Accent4 2 2 13 8" xfId="17202"/>
    <cellStyle name="40% - Accent4 2 2 14" xfId="17203"/>
    <cellStyle name="40% - Accent4 2 2 14 2" xfId="17204"/>
    <cellStyle name="40% - Accent4 2 2 14 2 2" xfId="17205"/>
    <cellStyle name="40% - Accent4 2 2 14 2 2 2" xfId="17206"/>
    <cellStyle name="40% - Accent4 2 2 14 2 2 3" xfId="17207"/>
    <cellStyle name="40% - Accent4 2 2 14 2 3" xfId="17208"/>
    <cellStyle name="40% - Accent4 2 2 14 2 3 2" xfId="17209"/>
    <cellStyle name="40% - Accent4 2 2 14 2 4" xfId="17210"/>
    <cellStyle name="40% - Accent4 2 2 14 2 5" xfId="17211"/>
    <cellStyle name="40% - Accent4 2 2 14 3" xfId="17212"/>
    <cellStyle name="40% - Accent4 2 2 14 3 2" xfId="17213"/>
    <cellStyle name="40% - Accent4 2 2 14 3 2 2" xfId="17214"/>
    <cellStyle name="40% - Accent4 2 2 14 3 3" xfId="17215"/>
    <cellStyle name="40% - Accent4 2 2 14 3 4" xfId="17216"/>
    <cellStyle name="40% - Accent4 2 2 14 4" xfId="17217"/>
    <cellStyle name="40% - Accent4 2 2 14 4 2" xfId="17218"/>
    <cellStyle name="40% - Accent4 2 2 14 4 2 2" xfId="17219"/>
    <cellStyle name="40% - Accent4 2 2 14 4 3" xfId="17220"/>
    <cellStyle name="40% - Accent4 2 2 14 4 4" xfId="17221"/>
    <cellStyle name="40% - Accent4 2 2 14 5" xfId="17222"/>
    <cellStyle name="40% - Accent4 2 2 14 5 2" xfId="17223"/>
    <cellStyle name="40% - Accent4 2 2 14 6" xfId="17224"/>
    <cellStyle name="40% - Accent4 2 2 14 7" xfId="17225"/>
    <cellStyle name="40% - Accent4 2 2 14 8" xfId="17226"/>
    <cellStyle name="40% - Accent4 2 2 2" xfId="17227"/>
    <cellStyle name="40% - Accent4 2 2 2 10" xfId="17228"/>
    <cellStyle name="40% - Accent4 2 2 2 11" xfId="17229"/>
    <cellStyle name="40% - Accent4 2 2 2 2" xfId="17230"/>
    <cellStyle name="40% - Accent4 2 2 2 3" xfId="17231"/>
    <cellStyle name="40% - Accent4 2 2 2 4" xfId="17232"/>
    <cellStyle name="40% - Accent4 2 2 2 5" xfId="17233"/>
    <cellStyle name="40% - Accent4 2 2 2 6" xfId="17234"/>
    <cellStyle name="40% - Accent4 2 2 2 7" xfId="17235"/>
    <cellStyle name="40% - Accent4 2 2 2 8" xfId="17236"/>
    <cellStyle name="40% - Accent4 2 2 2 9" xfId="17237"/>
    <cellStyle name="40% - Accent4 2 2 2_4Q Ops Metrics Gas &amp; Electric 2010" xfId="17238"/>
    <cellStyle name="40% - Accent4 2 2 3" xfId="17239"/>
    <cellStyle name="40% - Accent4 2 2 4" xfId="17240"/>
    <cellStyle name="40% - Accent4 2 2 5" xfId="17241"/>
    <cellStyle name="40% - Accent4 2 2 6" xfId="17242"/>
    <cellStyle name="40% - Accent4 2 2 7" xfId="17243"/>
    <cellStyle name="40% - Accent4 2 2 8" xfId="17244"/>
    <cellStyle name="40% - Accent4 2 2 9" xfId="17245"/>
    <cellStyle name="40% - Accent4 2 2_4Q Ops Metrics Gas &amp; Electric 2010" xfId="17246"/>
    <cellStyle name="40% - Accent4 2 20" xfId="17247"/>
    <cellStyle name="40% - Accent4 2 20 2" xfId="17248"/>
    <cellStyle name="40% - Accent4 2 20 2 2" xfId="17249"/>
    <cellStyle name="40% - Accent4 2 20 3" xfId="17250"/>
    <cellStyle name="40% - Accent4 2 20 4" xfId="17251"/>
    <cellStyle name="40% - Accent4 2 21" xfId="17252"/>
    <cellStyle name="40% - Accent4 2 21 2" xfId="17253"/>
    <cellStyle name="40% - Accent4 2 22" xfId="17254"/>
    <cellStyle name="40% - Accent4 2 23" xfId="17255"/>
    <cellStyle name="40% - Accent4 2 24" xfId="17256"/>
    <cellStyle name="40% - Accent4 2 25" xfId="17257"/>
    <cellStyle name="40% - Accent4 2 26" xfId="17258"/>
    <cellStyle name="40% - Accent4 2 27" xfId="17259"/>
    <cellStyle name="40% - Accent4 2 28" xfId="17260"/>
    <cellStyle name="40% - Accent4 2 29" xfId="17261"/>
    <cellStyle name="40% - Accent4 2 3" xfId="17262"/>
    <cellStyle name="40% - Accent4 2 3 2" xfId="17263"/>
    <cellStyle name="40% - Accent4 2 3 2 2" xfId="17264"/>
    <cellStyle name="40% - Accent4 2 3 2 2 2" xfId="17265"/>
    <cellStyle name="40% - Accent4 2 3 2 3" xfId="17266"/>
    <cellStyle name="40% - Accent4 2 3 3" xfId="17267"/>
    <cellStyle name="40% - Accent4 2 3 3 2" xfId="17268"/>
    <cellStyle name="40% - Accent4 2 3 4" xfId="17269"/>
    <cellStyle name="40% - Accent4 2 3 4 2" xfId="17270"/>
    <cellStyle name="40% - Accent4 2 3 5" xfId="17271"/>
    <cellStyle name="40% - Accent4 2 3 5 2" xfId="17272"/>
    <cellStyle name="40% - Accent4 2 3 6" xfId="17273"/>
    <cellStyle name="40% - Accent4 2 3 6 2" xfId="17274"/>
    <cellStyle name="40% - Accent4 2 3 7" xfId="17275"/>
    <cellStyle name="40% - Accent4 2 3 7 2" xfId="17276"/>
    <cellStyle name="40% - Accent4 2 3 8" xfId="17277"/>
    <cellStyle name="40% - Accent4 2 3 8 2" xfId="17278"/>
    <cellStyle name="40% - Accent4 2 3 9" xfId="17279"/>
    <cellStyle name="40% - Accent4 2 3 9 2" xfId="17280"/>
    <cellStyle name="40% - Accent4 2 3_Dakota Panel" xfId="17281"/>
    <cellStyle name="40% - Accent4 2 30" xfId="17282"/>
    <cellStyle name="40% - Accent4 2 31" xfId="17283"/>
    <cellStyle name="40% - Accent4 2 32" xfId="17284"/>
    <cellStyle name="40% - Accent4 2 33" xfId="17285"/>
    <cellStyle name="40% - Accent4 2 34" xfId="17286"/>
    <cellStyle name="40% - Accent4 2 35" xfId="17287"/>
    <cellStyle name="40% - Accent4 2 36" xfId="17288"/>
    <cellStyle name="40% - Accent4 2 37" xfId="17289"/>
    <cellStyle name="40% - Accent4 2 38" xfId="17290"/>
    <cellStyle name="40% - Accent4 2 39" xfId="17291"/>
    <cellStyle name="40% - Accent4 2 4" xfId="17292"/>
    <cellStyle name="40% - Accent4 2 4 2" xfId="17293"/>
    <cellStyle name="40% - Accent4 2 4 2 2" xfId="17294"/>
    <cellStyle name="40% - Accent4 2 4 3" xfId="17295"/>
    <cellStyle name="40% - Accent4 2 40" xfId="17296"/>
    <cellStyle name="40% - Accent4 2 41" xfId="17297"/>
    <cellStyle name="40% - Accent4 2 42" xfId="17298"/>
    <cellStyle name="40% - Accent4 2 5" xfId="17299"/>
    <cellStyle name="40% - Accent4 2 5 2" xfId="17300"/>
    <cellStyle name="40% - Accent4 2 5 2 2" xfId="17301"/>
    <cellStyle name="40% - Accent4 2 6" xfId="17302"/>
    <cellStyle name="40% - Accent4 2 6 2" xfId="17303"/>
    <cellStyle name="40% - Accent4 2 6 2 2" xfId="17304"/>
    <cellStyle name="40% - Accent4 2 7" xfId="17305"/>
    <cellStyle name="40% - Accent4 2 7 2" xfId="17306"/>
    <cellStyle name="40% - Accent4 2 7 2 2" xfId="17307"/>
    <cellStyle name="40% - Accent4 2 8" xfId="17308"/>
    <cellStyle name="40% - Accent4 2 8 2" xfId="17309"/>
    <cellStyle name="40% - Accent4 2 8 2 2" xfId="17310"/>
    <cellStyle name="40% - Accent4 2 9" xfId="17311"/>
    <cellStyle name="40% - Accent4 2 9 2" xfId="17312"/>
    <cellStyle name="40% - Accent4 2 9 2 2" xfId="17313"/>
    <cellStyle name="40% - Accent4 2_1-10 BHU IS" xfId="17314"/>
    <cellStyle name="40% - Accent4 20" xfId="17315"/>
    <cellStyle name="40% - Accent4 20 2" xfId="17316"/>
    <cellStyle name="40% - Accent4 20 2 2" xfId="17317"/>
    <cellStyle name="40% - Accent4 20 2 3" xfId="17318"/>
    <cellStyle name="40% - Accent4 20 3" xfId="17319"/>
    <cellStyle name="40% - Accent4 20 3 2" xfId="17320"/>
    <cellStyle name="40% - Accent4 20 4" xfId="17321"/>
    <cellStyle name="40% - Accent4 20 5" xfId="17322"/>
    <cellStyle name="40% - Accent4 21" xfId="17323"/>
    <cellStyle name="40% - Accent4 21 2" xfId="17324"/>
    <cellStyle name="40% - Accent4 21 2 2" xfId="17325"/>
    <cellStyle name="40% - Accent4 21 3" xfId="17326"/>
    <cellStyle name="40% - Accent4 21 4" xfId="17327"/>
    <cellStyle name="40% - Accent4 22" xfId="17328"/>
    <cellStyle name="40% - Accent4 22 2" xfId="17329"/>
    <cellStyle name="40% - Accent4 22 2 2" xfId="17330"/>
    <cellStyle name="40% - Accent4 22 3" xfId="17331"/>
    <cellStyle name="40% - Accent4 22 4" xfId="17332"/>
    <cellStyle name="40% - Accent4 23" xfId="17333"/>
    <cellStyle name="40% - Accent4 23 2" xfId="17334"/>
    <cellStyle name="40% - Accent4 24" xfId="17335"/>
    <cellStyle name="40% - Accent4 25" xfId="17336"/>
    <cellStyle name="40% - Accent4 26" xfId="17337"/>
    <cellStyle name="40% - Accent4 3" xfId="17338"/>
    <cellStyle name="40% - Accent4 3 10" xfId="17339"/>
    <cellStyle name="40% - Accent4 3 10 2" xfId="17340"/>
    <cellStyle name="40% - Accent4 3 10 2 2" xfId="17341"/>
    <cellStyle name="40% - Accent4 3 10 2 2 2" xfId="17342"/>
    <cellStyle name="40% - Accent4 3 10 2 2 3" xfId="17343"/>
    <cellStyle name="40% - Accent4 3 10 2 3" xfId="17344"/>
    <cellStyle name="40% - Accent4 3 10 2 3 2" xfId="17345"/>
    <cellStyle name="40% - Accent4 3 10 2 4" xfId="17346"/>
    <cellStyle name="40% - Accent4 3 10 2 5" xfId="17347"/>
    <cellStyle name="40% - Accent4 3 10 3" xfId="17348"/>
    <cellStyle name="40% - Accent4 3 10 3 2" xfId="17349"/>
    <cellStyle name="40% - Accent4 3 10 3 2 2" xfId="17350"/>
    <cellStyle name="40% - Accent4 3 10 3 3" xfId="17351"/>
    <cellStyle name="40% - Accent4 3 10 3 4" xfId="17352"/>
    <cellStyle name="40% - Accent4 3 10 4" xfId="17353"/>
    <cellStyle name="40% - Accent4 3 10 4 2" xfId="17354"/>
    <cellStyle name="40% - Accent4 3 10 4 2 2" xfId="17355"/>
    <cellStyle name="40% - Accent4 3 10 4 3" xfId="17356"/>
    <cellStyle name="40% - Accent4 3 10 4 4" xfId="17357"/>
    <cellStyle name="40% - Accent4 3 10 5" xfId="17358"/>
    <cellStyle name="40% - Accent4 3 10 5 2" xfId="17359"/>
    <cellStyle name="40% - Accent4 3 10 6" xfId="17360"/>
    <cellStyle name="40% - Accent4 3 10 7" xfId="17361"/>
    <cellStyle name="40% - Accent4 3 10 8" xfId="17362"/>
    <cellStyle name="40% - Accent4 3 11" xfId="17363"/>
    <cellStyle name="40% - Accent4 3 11 2" xfId="17364"/>
    <cellStyle name="40% - Accent4 3 11 2 2" xfId="17365"/>
    <cellStyle name="40% - Accent4 3 11 2 2 2" xfId="17366"/>
    <cellStyle name="40% - Accent4 3 11 2 2 3" xfId="17367"/>
    <cellStyle name="40% - Accent4 3 11 2 3" xfId="17368"/>
    <cellStyle name="40% - Accent4 3 11 2 3 2" xfId="17369"/>
    <cellStyle name="40% - Accent4 3 11 2 4" xfId="17370"/>
    <cellStyle name="40% - Accent4 3 11 2 5" xfId="17371"/>
    <cellStyle name="40% - Accent4 3 11 3" xfId="17372"/>
    <cellStyle name="40% - Accent4 3 11 3 2" xfId="17373"/>
    <cellStyle name="40% - Accent4 3 11 3 2 2" xfId="17374"/>
    <cellStyle name="40% - Accent4 3 11 3 3" xfId="17375"/>
    <cellStyle name="40% - Accent4 3 11 3 4" xfId="17376"/>
    <cellStyle name="40% - Accent4 3 11 4" xfId="17377"/>
    <cellStyle name="40% - Accent4 3 11 4 2" xfId="17378"/>
    <cellStyle name="40% - Accent4 3 11 4 2 2" xfId="17379"/>
    <cellStyle name="40% - Accent4 3 11 4 3" xfId="17380"/>
    <cellStyle name="40% - Accent4 3 11 4 4" xfId="17381"/>
    <cellStyle name="40% - Accent4 3 11 5" xfId="17382"/>
    <cellStyle name="40% - Accent4 3 11 5 2" xfId="17383"/>
    <cellStyle name="40% - Accent4 3 11 6" xfId="17384"/>
    <cellStyle name="40% - Accent4 3 11 7" xfId="17385"/>
    <cellStyle name="40% - Accent4 3 11 8" xfId="17386"/>
    <cellStyle name="40% - Accent4 3 2" xfId="17387"/>
    <cellStyle name="40% - Accent4 3 2 2" xfId="17388"/>
    <cellStyle name="40% - Accent4 3 2 2 2" xfId="17389"/>
    <cellStyle name="40% - Accent4 3 2 3" xfId="17390"/>
    <cellStyle name="40% - Accent4 3 2_Income Statement Query October" xfId="17391"/>
    <cellStyle name="40% - Accent4 3 3" xfId="17392"/>
    <cellStyle name="40% - Accent4 3 3 2" xfId="17393"/>
    <cellStyle name="40% - Accent4 3 4" xfId="17394"/>
    <cellStyle name="40% - Accent4 3 4 2" xfId="17395"/>
    <cellStyle name="40% - Accent4 3 4 2 2" xfId="17396"/>
    <cellStyle name="40% - Accent4 3 4 2 2 2" xfId="17397"/>
    <cellStyle name="40% - Accent4 3 4 2 2 3" xfId="17398"/>
    <cellStyle name="40% - Accent4 3 4 2 3" xfId="17399"/>
    <cellStyle name="40% - Accent4 3 4 2 3 2" xfId="17400"/>
    <cellStyle name="40% - Accent4 3 4 2 4" xfId="17401"/>
    <cellStyle name="40% - Accent4 3 4 2 5" xfId="17402"/>
    <cellStyle name="40% - Accent4 3 4 3" xfId="17403"/>
    <cellStyle name="40% - Accent4 3 4 3 2" xfId="17404"/>
    <cellStyle name="40% - Accent4 3 4 3 2 2" xfId="17405"/>
    <cellStyle name="40% - Accent4 3 4 3 3" xfId="17406"/>
    <cellStyle name="40% - Accent4 3 4 3 4" xfId="17407"/>
    <cellStyle name="40% - Accent4 3 4 4" xfId="17408"/>
    <cellStyle name="40% - Accent4 3 4 4 2" xfId="17409"/>
    <cellStyle name="40% - Accent4 3 4 4 2 2" xfId="17410"/>
    <cellStyle name="40% - Accent4 3 4 4 3" xfId="17411"/>
    <cellStyle name="40% - Accent4 3 4 4 4" xfId="17412"/>
    <cellStyle name="40% - Accent4 3 4 5" xfId="17413"/>
    <cellStyle name="40% - Accent4 3 4 5 2" xfId="17414"/>
    <cellStyle name="40% - Accent4 3 4 6" xfId="17415"/>
    <cellStyle name="40% - Accent4 3 4 7" xfId="17416"/>
    <cellStyle name="40% - Accent4 3 4 8" xfId="17417"/>
    <cellStyle name="40% - Accent4 3 5" xfId="17418"/>
    <cellStyle name="40% - Accent4 3 5 2" xfId="17419"/>
    <cellStyle name="40% - Accent4 3 5 2 2" xfId="17420"/>
    <cellStyle name="40% - Accent4 3 5 2 2 2" xfId="17421"/>
    <cellStyle name="40% - Accent4 3 5 2 2 3" xfId="17422"/>
    <cellStyle name="40% - Accent4 3 5 2 3" xfId="17423"/>
    <cellStyle name="40% - Accent4 3 5 2 3 2" xfId="17424"/>
    <cellStyle name="40% - Accent4 3 5 2 4" xfId="17425"/>
    <cellStyle name="40% - Accent4 3 5 2 5" xfId="17426"/>
    <cellStyle name="40% - Accent4 3 5 3" xfId="17427"/>
    <cellStyle name="40% - Accent4 3 5 3 2" xfId="17428"/>
    <cellStyle name="40% - Accent4 3 5 3 2 2" xfId="17429"/>
    <cellStyle name="40% - Accent4 3 5 3 3" xfId="17430"/>
    <cellStyle name="40% - Accent4 3 5 3 4" xfId="17431"/>
    <cellStyle name="40% - Accent4 3 5 4" xfId="17432"/>
    <cellStyle name="40% - Accent4 3 5 4 2" xfId="17433"/>
    <cellStyle name="40% - Accent4 3 5 4 2 2" xfId="17434"/>
    <cellStyle name="40% - Accent4 3 5 4 3" xfId="17435"/>
    <cellStyle name="40% - Accent4 3 5 4 4" xfId="17436"/>
    <cellStyle name="40% - Accent4 3 5 5" xfId="17437"/>
    <cellStyle name="40% - Accent4 3 5 5 2" xfId="17438"/>
    <cellStyle name="40% - Accent4 3 5 6" xfId="17439"/>
    <cellStyle name="40% - Accent4 3 5 7" xfId="17440"/>
    <cellStyle name="40% - Accent4 3 5 8" xfId="17441"/>
    <cellStyle name="40% - Accent4 3 6" xfId="17442"/>
    <cellStyle name="40% - Accent4 3 6 2" xfId="17443"/>
    <cellStyle name="40% - Accent4 3 6 2 2" xfId="17444"/>
    <cellStyle name="40% - Accent4 3 6 2 2 2" xfId="17445"/>
    <cellStyle name="40% - Accent4 3 6 2 2 3" xfId="17446"/>
    <cellStyle name="40% - Accent4 3 6 2 3" xfId="17447"/>
    <cellStyle name="40% - Accent4 3 6 2 3 2" xfId="17448"/>
    <cellStyle name="40% - Accent4 3 6 2 4" xfId="17449"/>
    <cellStyle name="40% - Accent4 3 6 2 5" xfId="17450"/>
    <cellStyle name="40% - Accent4 3 6 3" xfId="17451"/>
    <cellStyle name="40% - Accent4 3 6 3 2" xfId="17452"/>
    <cellStyle name="40% - Accent4 3 6 3 2 2" xfId="17453"/>
    <cellStyle name="40% - Accent4 3 6 3 3" xfId="17454"/>
    <cellStyle name="40% - Accent4 3 6 3 4" xfId="17455"/>
    <cellStyle name="40% - Accent4 3 6 4" xfId="17456"/>
    <cellStyle name="40% - Accent4 3 6 4 2" xfId="17457"/>
    <cellStyle name="40% - Accent4 3 6 4 2 2" xfId="17458"/>
    <cellStyle name="40% - Accent4 3 6 4 3" xfId="17459"/>
    <cellStyle name="40% - Accent4 3 6 4 4" xfId="17460"/>
    <cellStyle name="40% - Accent4 3 6 5" xfId="17461"/>
    <cellStyle name="40% - Accent4 3 6 5 2" xfId="17462"/>
    <cellStyle name="40% - Accent4 3 6 6" xfId="17463"/>
    <cellStyle name="40% - Accent4 3 6 7" xfId="17464"/>
    <cellStyle name="40% - Accent4 3 6 8" xfId="17465"/>
    <cellStyle name="40% - Accent4 3 7" xfId="17466"/>
    <cellStyle name="40% - Accent4 3 7 2" xfId="17467"/>
    <cellStyle name="40% - Accent4 3 7 2 2" xfId="17468"/>
    <cellStyle name="40% - Accent4 3 7 2 2 2" xfId="17469"/>
    <cellStyle name="40% - Accent4 3 7 2 2 3" xfId="17470"/>
    <cellStyle name="40% - Accent4 3 7 2 3" xfId="17471"/>
    <cellStyle name="40% - Accent4 3 7 2 3 2" xfId="17472"/>
    <cellStyle name="40% - Accent4 3 7 2 4" xfId="17473"/>
    <cellStyle name="40% - Accent4 3 7 2 5" xfId="17474"/>
    <cellStyle name="40% - Accent4 3 7 3" xfId="17475"/>
    <cellStyle name="40% - Accent4 3 7 3 2" xfId="17476"/>
    <cellStyle name="40% - Accent4 3 7 3 2 2" xfId="17477"/>
    <cellStyle name="40% - Accent4 3 7 3 3" xfId="17478"/>
    <cellStyle name="40% - Accent4 3 7 3 4" xfId="17479"/>
    <cellStyle name="40% - Accent4 3 7 4" xfId="17480"/>
    <cellStyle name="40% - Accent4 3 7 4 2" xfId="17481"/>
    <cellStyle name="40% - Accent4 3 7 4 2 2" xfId="17482"/>
    <cellStyle name="40% - Accent4 3 7 4 3" xfId="17483"/>
    <cellStyle name="40% - Accent4 3 7 4 4" xfId="17484"/>
    <cellStyle name="40% - Accent4 3 7 5" xfId="17485"/>
    <cellStyle name="40% - Accent4 3 7 5 2" xfId="17486"/>
    <cellStyle name="40% - Accent4 3 7 6" xfId="17487"/>
    <cellStyle name="40% - Accent4 3 7 7" xfId="17488"/>
    <cellStyle name="40% - Accent4 3 7 8" xfId="17489"/>
    <cellStyle name="40% - Accent4 3 8" xfId="17490"/>
    <cellStyle name="40% - Accent4 3 8 2" xfId="17491"/>
    <cellStyle name="40% - Accent4 3 8 2 2" xfId="17492"/>
    <cellStyle name="40% - Accent4 3 8 2 2 2" xfId="17493"/>
    <cellStyle name="40% - Accent4 3 8 2 2 3" xfId="17494"/>
    <cellStyle name="40% - Accent4 3 8 2 3" xfId="17495"/>
    <cellStyle name="40% - Accent4 3 8 2 3 2" xfId="17496"/>
    <cellStyle name="40% - Accent4 3 8 2 4" xfId="17497"/>
    <cellStyle name="40% - Accent4 3 8 2 5" xfId="17498"/>
    <cellStyle name="40% - Accent4 3 8 3" xfId="17499"/>
    <cellStyle name="40% - Accent4 3 8 3 2" xfId="17500"/>
    <cellStyle name="40% - Accent4 3 8 3 2 2" xfId="17501"/>
    <cellStyle name="40% - Accent4 3 8 3 3" xfId="17502"/>
    <cellStyle name="40% - Accent4 3 8 3 4" xfId="17503"/>
    <cellStyle name="40% - Accent4 3 8 4" xfId="17504"/>
    <cellStyle name="40% - Accent4 3 8 4 2" xfId="17505"/>
    <cellStyle name="40% - Accent4 3 8 4 2 2" xfId="17506"/>
    <cellStyle name="40% - Accent4 3 8 4 3" xfId="17507"/>
    <cellStyle name="40% - Accent4 3 8 4 4" xfId="17508"/>
    <cellStyle name="40% - Accent4 3 8 5" xfId="17509"/>
    <cellStyle name="40% - Accent4 3 8 5 2" xfId="17510"/>
    <cellStyle name="40% - Accent4 3 8 6" xfId="17511"/>
    <cellStyle name="40% - Accent4 3 8 7" xfId="17512"/>
    <cellStyle name="40% - Accent4 3 8 8" xfId="17513"/>
    <cellStyle name="40% - Accent4 3 9" xfId="17514"/>
    <cellStyle name="40% - Accent4 3 9 2" xfId="17515"/>
    <cellStyle name="40% - Accent4 3 9 2 2" xfId="17516"/>
    <cellStyle name="40% - Accent4 3 9 2 2 2" xfId="17517"/>
    <cellStyle name="40% - Accent4 3 9 2 2 3" xfId="17518"/>
    <cellStyle name="40% - Accent4 3 9 2 3" xfId="17519"/>
    <cellStyle name="40% - Accent4 3 9 2 3 2" xfId="17520"/>
    <cellStyle name="40% - Accent4 3 9 2 4" xfId="17521"/>
    <cellStyle name="40% - Accent4 3 9 2 5" xfId="17522"/>
    <cellStyle name="40% - Accent4 3 9 3" xfId="17523"/>
    <cellStyle name="40% - Accent4 3 9 3 2" xfId="17524"/>
    <cellStyle name="40% - Accent4 3 9 3 2 2" xfId="17525"/>
    <cellStyle name="40% - Accent4 3 9 3 3" xfId="17526"/>
    <cellStyle name="40% - Accent4 3 9 3 4" xfId="17527"/>
    <cellStyle name="40% - Accent4 3 9 4" xfId="17528"/>
    <cellStyle name="40% - Accent4 3 9 4 2" xfId="17529"/>
    <cellStyle name="40% - Accent4 3 9 4 2 2" xfId="17530"/>
    <cellStyle name="40% - Accent4 3 9 4 3" xfId="17531"/>
    <cellStyle name="40% - Accent4 3 9 4 4" xfId="17532"/>
    <cellStyle name="40% - Accent4 3 9 5" xfId="17533"/>
    <cellStyle name="40% - Accent4 3 9 5 2" xfId="17534"/>
    <cellStyle name="40% - Accent4 3 9 6" xfId="17535"/>
    <cellStyle name="40% - Accent4 3 9 7" xfId="17536"/>
    <cellStyle name="40% - Accent4 3 9 8" xfId="17537"/>
    <cellStyle name="40% - Accent4 3_4Q Ops Metrics Gas &amp; Electric 2010" xfId="17538"/>
    <cellStyle name="40% - Accent4 4" xfId="17539"/>
    <cellStyle name="40% - Accent4 4 2" xfId="17540"/>
    <cellStyle name="40% - Accent4 4 2 2" xfId="17541"/>
    <cellStyle name="40% - Accent4 4 2_Income Statement Query October" xfId="17542"/>
    <cellStyle name="40% - Accent4 4_4Q Ops Metrics Gas &amp; Electric 2010" xfId="17543"/>
    <cellStyle name="40% - Accent4 5" xfId="17544"/>
    <cellStyle name="40% - Accent4 5 2" xfId="17545"/>
    <cellStyle name="40% - Accent4 5 2 2" xfId="17546"/>
    <cellStyle name="40% - Accent4 5 2_Income Statement Query October" xfId="17547"/>
    <cellStyle name="40% - Accent4 5_4Q Ops Metrics Gas &amp; Electric 2010" xfId="17548"/>
    <cellStyle name="40% - Accent4 6" xfId="17549"/>
    <cellStyle name="40% - Accent4 6 2" xfId="17550"/>
    <cellStyle name="40% - Accent4 7" xfId="17551"/>
    <cellStyle name="40% - Accent4 7 2" xfId="17552"/>
    <cellStyle name="40% - Accent4 8" xfId="17553"/>
    <cellStyle name="40% - Accent4 8 2" xfId="17554"/>
    <cellStyle name="40% - Accent4 9" xfId="17555"/>
    <cellStyle name="40% - Accent4 9 2" xfId="17556"/>
    <cellStyle name="40% - Accent5 10" xfId="17557"/>
    <cellStyle name="40% - Accent5 10 2" xfId="17558"/>
    <cellStyle name="40% - Accent5 11" xfId="17559"/>
    <cellStyle name="40% - Accent5 11 2" xfId="17560"/>
    <cellStyle name="40% - Accent5 12" xfId="17561"/>
    <cellStyle name="40% - Accent5 13" xfId="17562"/>
    <cellStyle name="40% - Accent5 14" xfId="17563"/>
    <cellStyle name="40% - Accent5 15" xfId="17564"/>
    <cellStyle name="40% - Accent5 15 2" xfId="17565"/>
    <cellStyle name="40% - Accent5 16" xfId="17566"/>
    <cellStyle name="40% - Accent5 17" xfId="17567"/>
    <cellStyle name="40% - Accent5 18" xfId="17568"/>
    <cellStyle name="40% - Accent5 18 2" xfId="17569"/>
    <cellStyle name="40% - Accent5 18 2 2" xfId="17570"/>
    <cellStyle name="40% - Accent5 18 2 2 2" xfId="17571"/>
    <cellStyle name="40% - Accent5 18 2 2 3" xfId="17572"/>
    <cellStyle name="40% - Accent5 18 2 3" xfId="17573"/>
    <cellStyle name="40% - Accent5 18 2 3 2" xfId="17574"/>
    <cellStyle name="40% - Accent5 18 2 4" xfId="17575"/>
    <cellStyle name="40% - Accent5 18 2 5" xfId="17576"/>
    <cellStyle name="40% - Accent5 18 3" xfId="17577"/>
    <cellStyle name="40% - Accent5 18 3 2" xfId="17578"/>
    <cellStyle name="40% - Accent5 18 3 2 2" xfId="17579"/>
    <cellStyle name="40% - Accent5 18 3 3" xfId="17580"/>
    <cellStyle name="40% - Accent5 18 3 4" xfId="17581"/>
    <cellStyle name="40% - Accent5 18 4" xfId="17582"/>
    <cellStyle name="40% - Accent5 18 4 2" xfId="17583"/>
    <cellStyle name="40% - Accent5 18 4 2 2" xfId="17584"/>
    <cellStyle name="40% - Accent5 18 4 3" xfId="17585"/>
    <cellStyle name="40% - Accent5 18 4 4" xfId="17586"/>
    <cellStyle name="40% - Accent5 18 5" xfId="17587"/>
    <cellStyle name="40% - Accent5 18 5 2" xfId="17588"/>
    <cellStyle name="40% - Accent5 18 6" xfId="17589"/>
    <cellStyle name="40% - Accent5 18 7" xfId="17590"/>
    <cellStyle name="40% - Accent5 18 8" xfId="17591"/>
    <cellStyle name="40% - Accent5 19" xfId="17592"/>
    <cellStyle name="40% - Accent5 19 2" xfId="17593"/>
    <cellStyle name="40% - Accent5 19 2 2" xfId="17594"/>
    <cellStyle name="40% - Accent5 19 2 2 2" xfId="17595"/>
    <cellStyle name="40% - Accent5 19 2 2 3" xfId="17596"/>
    <cellStyle name="40% - Accent5 19 2 3" xfId="17597"/>
    <cellStyle name="40% - Accent5 19 2 3 2" xfId="17598"/>
    <cellStyle name="40% - Accent5 19 2 4" xfId="17599"/>
    <cellStyle name="40% - Accent5 19 2 5" xfId="17600"/>
    <cellStyle name="40% - Accent5 19 3" xfId="17601"/>
    <cellStyle name="40% - Accent5 19 3 2" xfId="17602"/>
    <cellStyle name="40% - Accent5 19 3 2 2" xfId="17603"/>
    <cellStyle name="40% - Accent5 19 3 3" xfId="17604"/>
    <cellStyle name="40% - Accent5 19 3 4" xfId="17605"/>
    <cellStyle name="40% - Accent5 19 4" xfId="17606"/>
    <cellStyle name="40% - Accent5 19 4 2" xfId="17607"/>
    <cellStyle name="40% - Accent5 19 4 2 2" xfId="17608"/>
    <cellStyle name="40% - Accent5 19 4 3" xfId="17609"/>
    <cellStyle name="40% - Accent5 19 4 4" xfId="17610"/>
    <cellStyle name="40% - Accent5 19 5" xfId="17611"/>
    <cellStyle name="40% - Accent5 19 5 2" xfId="17612"/>
    <cellStyle name="40% - Accent5 19 6" xfId="17613"/>
    <cellStyle name="40% - Accent5 19 7" xfId="17614"/>
    <cellStyle name="40% - Accent5 19 8" xfId="17615"/>
    <cellStyle name="40% - Accent5 2" xfId="17616"/>
    <cellStyle name="40% - Accent5 2 10" xfId="17617"/>
    <cellStyle name="40% - Accent5 2 10 2" xfId="17618"/>
    <cellStyle name="40% - Accent5 2 10 2 2" xfId="17619"/>
    <cellStyle name="40% - Accent5 2 11" xfId="17620"/>
    <cellStyle name="40% - Accent5 2 12" xfId="17621"/>
    <cellStyle name="40% - Accent5 2 13" xfId="17622"/>
    <cellStyle name="40% - Accent5 2 14" xfId="17623"/>
    <cellStyle name="40% - Accent5 2 14 2" xfId="17624"/>
    <cellStyle name="40% - Accent5 2 14 2 2" xfId="17625"/>
    <cellStyle name="40% - Accent5 2 14 2 2 2" xfId="17626"/>
    <cellStyle name="40% - Accent5 2 14 2 2 3" xfId="17627"/>
    <cellStyle name="40% - Accent5 2 14 2 3" xfId="17628"/>
    <cellStyle name="40% - Accent5 2 14 2 3 2" xfId="17629"/>
    <cellStyle name="40% - Accent5 2 14 2 4" xfId="17630"/>
    <cellStyle name="40% - Accent5 2 14 2 5" xfId="17631"/>
    <cellStyle name="40% - Accent5 2 14 3" xfId="17632"/>
    <cellStyle name="40% - Accent5 2 14 3 2" xfId="17633"/>
    <cellStyle name="40% - Accent5 2 14 3 2 2" xfId="17634"/>
    <cellStyle name="40% - Accent5 2 14 3 3" xfId="17635"/>
    <cellStyle name="40% - Accent5 2 14 3 4" xfId="17636"/>
    <cellStyle name="40% - Accent5 2 14 4" xfId="17637"/>
    <cellStyle name="40% - Accent5 2 14 4 2" xfId="17638"/>
    <cellStyle name="40% - Accent5 2 14 4 2 2" xfId="17639"/>
    <cellStyle name="40% - Accent5 2 14 4 3" xfId="17640"/>
    <cellStyle name="40% - Accent5 2 14 4 4" xfId="17641"/>
    <cellStyle name="40% - Accent5 2 14 5" xfId="17642"/>
    <cellStyle name="40% - Accent5 2 14 5 2" xfId="17643"/>
    <cellStyle name="40% - Accent5 2 14 6" xfId="17644"/>
    <cellStyle name="40% - Accent5 2 14 7" xfId="17645"/>
    <cellStyle name="40% - Accent5 2 14 8" xfId="17646"/>
    <cellStyle name="40% - Accent5 2 15" xfId="17647"/>
    <cellStyle name="40% - Accent5 2 15 2" xfId="17648"/>
    <cellStyle name="40% - Accent5 2 15 2 2" xfId="17649"/>
    <cellStyle name="40% - Accent5 2 15 2 2 2" xfId="17650"/>
    <cellStyle name="40% - Accent5 2 15 2 2 3" xfId="17651"/>
    <cellStyle name="40% - Accent5 2 15 2 3" xfId="17652"/>
    <cellStyle name="40% - Accent5 2 15 2 3 2" xfId="17653"/>
    <cellStyle name="40% - Accent5 2 15 2 4" xfId="17654"/>
    <cellStyle name="40% - Accent5 2 15 2 5" xfId="17655"/>
    <cellStyle name="40% - Accent5 2 15 3" xfId="17656"/>
    <cellStyle name="40% - Accent5 2 15 3 2" xfId="17657"/>
    <cellStyle name="40% - Accent5 2 15 3 2 2" xfId="17658"/>
    <cellStyle name="40% - Accent5 2 15 3 3" xfId="17659"/>
    <cellStyle name="40% - Accent5 2 15 3 4" xfId="17660"/>
    <cellStyle name="40% - Accent5 2 15 4" xfId="17661"/>
    <cellStyle name="40% - Accent5 2 15 4 2" xfId="17662"/>
    <cellStyle name="40% - Accent5 2 15 4 2 2" xfId="17663"/>
    <cellStyle name="40% - Accent5 2 15 4 3" xfId="17664"/>
    <cellStyle name="40% - Accent5 2 15 4 4" xfId="17665"/>
    <cellStyle name="40% - Accent5 2 15 5" xfId="17666"/>
    <cellStyle name="40% - Accent5 2 15 5 2" xfId="17667"/>
    <cellStyle name="40% - Accent5 2 15 6" xfId="17668"/>
    <cellStyle name="40% - Accent5 2 15 7" xfId="17669"/>
    <cellStyle name="40% - Accent5 2 15 8" xfId="17670"/>
    <cellStyle name="40% - Accent5 2 16" xfId="17671"/>
    <cellStyle name="40% - Accent5 2 16 2" xfId="17672"/>
    <cellStyle name="40% - Accent5 2 16 2 2" xfId="17673"/>
    <cellStyle name="40% - Accent5 2 16 2 2 2" xfId="17674"/>
    <cellStyle name="40% - Accent5 2 16 2 2 3" xfId="17675"/>
    <cellStyle name="40% - Accent5 2 16 2 3" xfId="17676"/>
    <cellStyle name="40% - Accent5 2 16 2 3 2" xfId="17677"/>
    <cellStyle name="40% - Accent5 2 16 2 4" xfId="17678"/>
    <cellStyle name="40% - Accent5 2 16 2 5" xfId="17679"/>
    <cellStyle name="40% - Accent5 2 16 3" xfId="17680"/>
    <cellStyle name="40% - Accent5 2 16 3 2" xfId="17681"/>
    <cellStyle name="40% - Accent5 2 16 3 2 2" xfId="17682"/>
    <cellStyle name="40% - Accent5 2 16 3 3" xfId="17683"/>
    <cellStyle name="40% - Accent5 2 16 3 4" xfId="17684"/>
    <cellStyle name="40% - Accent5 2 16 4" xfId="17685"/>
    <cellStyle name="40% - Accent5 2 16 4 2" xfId="17686"/>
    <cellStyle name="40% - Accent5 2 16 4 2 2" xfId="17687"/>
    <cellStyle name="40% - Accent5 2 16 4 3" xfId="17688"/>
    <cellStyle name="40% - Accent5 2 16 4 4" xfId="17689"/>
    <cellStyle name="40% - Accent5 2 16 5" xfId="17690"/>
    <cellStyle name="40% - Accent5 2 16 5 2" xfId="17691"/>
    <cellStyle name="40% - Accent5 2 16 6" xfId="17692"/>
    <cellStyle name="40% - Accent5 2 16 7" xfId="17693"/>
    <cellStyle name="40% - Accent5 2 16 8" xfId="17694"/>
    <cellStyle name="40% - Accent5 2 17" xfId="17695"/>
    <cellStyle name="40% - Accent5 2 17 2" xfId="17696"/>
    <cellStyle name="40% - Accent5 2 17 2 2" xfId="17697"/>
    <cellStyle name="40% - Accent5 2 17 2 3" xfId="17698"/>
    <cellStyle name="40% - Accent5 2 17 3" xfId="17699"/>
    <cellStyle name="40% - Accent5 2 17 3 2" xfId="17700"/>
    <cellStyle name="40% - Accent5 2 17 4" xfId="17701"/>
    <cellStyle name="40% - Accent5 2 17 5" xfId="17702"/>
    <cellStyle name="40% - Accent5 2 18" xfId="17703"/>
    <cellStyle name="40% - Accent5 2 18 2" xfId="17704"/>
    <cellStyle name="40% - Accent5 2 18 2 2" xfId="17705"/>
    <cellStyle name="40% - Accent5 2 18 2 3" xfId="17706"/>
    <cellStyle name="40% - Accent5 2 18 3" xfId="17707"/>
    <cellStyle name="40% - Accent5 2 18 3 2" xfId="17708"/>
    <cellStyle name="40% - Accent5 2 18 4" xfId="17709"/>
    <cellStyle name="40% - Accent5 2 18 5" xfId="17710"/>
    <cellStyle name="40% - Accent5 2 19" xfId="17711"/>
    <cellStyle name="40% - Accent5 2 19 2" xfId="17712"/>
    <cellStyle name="40% - Accent5 2 19 2 2" xfId="17713"/>
    <cellStyle name="40% - Accent5 2 19 3" xfId="17714"/>
    <cellStyle name="40% - Accent5 2 19 4" xfId="17715"/>
    <cellStyle name="40% - Accent5 2 2" xfId="17716"/>
    <cellStyle name="40% - Accent5 2 2 10" xfId="17717"/>
    <cellStyle name="40% - Accent5 2 2 11" xfId="17718"/>
    <cellStyle name="40% - Accent5 2 2 12" xfId="17719"/>
    <cellStyle name="40% - Accent5 2 2 12 2" xfId="17720"/>
    <cellStyle name="40% - Accent5 2 2 12 2 2" xfId="17721"/>
    <cellStyle name="40% - Accent5 2 2 12 2 2 2" xfId="17722"/>
    <cellStyle name="40% - Accent5 2 2 12 2 2 3" xfId="17723"/>
    <cellStyle name="40% - Accent5 2 2 12 2 3" xfId="17724"/>
    <cellStyle name="40% - Accent5 2 2 12 2 3 2" xfId="17725"/>
    <cellStyle name="40% - Accent5 2 2 12 2 4" xfId="17726"/>
    <cellStyle name="40% - Accent5 2 2 12 2 5" xfId="17727"/>
    <cellStyle name="40% - Accent5 2 2 12 3" xfId="17728"/>
    <cellStyle name="40% - Accent5 2 2 12 3 2" xfId="17729"/>
    <cellStyle name="40% - Accent5 2 2 12 3 2 2" xfId="17730"/>
    <cellStyle name="40% - Accent5 2 2 12 3 3" xfId="17731"/>
    <cellStyle name="40% - Accent5 2 2 12 3 4" xfId="17732"/>
    <cellStyle name="40% - Accent5 2 2 12 4" xfId="17733"/>
    <cellStyle name="40% - Accent5 2 2 12 4 2" xfId="17734"/>
    <cellStyle name="40% - Accent5 2 2 12 4 2 2" xfId="17735"/>
    <cellStyle name="40% - Accent5 2 2 12 4 3" xfId="17736"/>
    <cellStyle name="40% - Accent5 2 2 12 4 4" xfId="17737"/>
    <cellStyle name="40% - Accent5 2 2 12 5" xfId="17738"/>
    <cellStyle name="40% - Accent5 2 2 12 5 2" xfId="17739"/>
    <cellStyle name="40% - Accent5 2 2 12 6" xfId="17740"/>
    <cellStyle name="40% - Accent5 2 2 12 7" xfId="17741"/>
    <cellStyle name="40% - Accent5 2 2 12 8" xfId="17742"/>
    <cellStyle name="40% - Accent5 2 2 13" xfId="17743"/>
    <cellStyle name="40% - Accent5 2 2 13 2" xfId="17744"/>
    <cellStyle name="40% - Accent5 2 2 13 2 2" xfId="17745"/>
    <cellStyle name="40% - Accent5 2 2 13 2 2 2" xfId="17746"/>
    <cellStyle name="40% - Accent5 2 2 13 2 2 3" xfId="17747"/>
    <cellStyle name="40% - Accent5 2 2 13 2 3" xfId="17748"/>
    <cellStyle name="40% - Accent5 2 2 13 2 3 2" xfId="17749"/>
    <cellStyle name="40% - Accent5 2 2 13 2 4" xfId="17750"/>
    <cellStyle name="40% - Accent5 2 2 13 2 5" xfId="17751"/>
    <cellStyle name="40% - Accent5 2 2 13 3" xfId="17752"/>
    <cellStyle name="40% - Accent5 2 2 13 3 2" xfId="17753"/>
    <cellStyle name="40% - Accent5 2 2 13 3 2 2" xfId="17754"/>
    <cellStyle name="40% - Accent5 2 2 13 3 3" xfId="17755"/>
    <cellStyle name="40% - Accent5 2 2 13 3 4" xfId="17756"/>
    <cellStyle name="40% - Accent5 2 2 13 4" xfId="17757"/>
    <cellStyle name="40% - Accent5 2 2 13 4 2" xfId="17758"/>
    <cellStyle name="40% - Accent5 2 2 13 4 2 2" xfId="17759"/>
    <cellStyle name="40% - Accent5 2 2 13 4 3" xfId="17760"/>
    <cellStyle name="40% - Accent5 2 2 13 4 4" xfId="17761"/>
    <cellStyle name="40% - Accent5 2 2 13 5" xfId="17762"/>
    <cellStyle name="40% - Accent5 2 2 13 5 2" xfId="17763"/>
    <cellStyle name="40% - Accent5 2 2 13 6" xfId="17764"/>
    <cellStyle name="40% - Accent5 2 2 13 7" xfId="17765"/>
    <cellStyle name="40% - Accent5 2 2 13 8" xfId="17766"/>
    <cellStyle name="40% - Accent5 2 2 14" xfId="17767"/>
    <cellStyle name="40% - Accent5 2 2 14 2" xfId="17768"/>
    <cellStyle name="40% - Accent5 2 2 14 2 2" xfId="17769"/>
    <cellStyle name="40% - Accent5 2 2 14 2 2 2" xfId="17770"/>
    <cellStyle name="40% - Accent5 2 2 14 2 2 3" xfId="17771"/>
    <cellStyle name="40% - Accent5 2 2 14 2 3" xfId="17772"/>
    <cellStyle name="40% - Accent5 2 2 14 2 3 2" xfId="17773"/>
    <cellStyle name="40% - Accent5 2 2 14 2 4" xfId="17774"/>
    <cellStyle name="40% - Accent5 2 2 14 2 5" xfId="17775"/>
    <cellStyle name="40% - Accent5 2 2 14 3" xfId="17776"/>
    <cellStyle name="40% - Accent5 2 2 14 3 2" xfId="17777"/>
    <cellStyle name="40% - Accent5 2 2 14 3 2 2" xfId="17778"/>
    <cellStyle name="40% - Accent5 2 2 14 3 3" xfId="17779"/>
    <cellStyle name="40% - Accent5 2 2 14 3 4" xfId="17780"/>
    <cellStyle name="40% - Accent5 2 2 14 4" xfId="17781"/>
    <cellStyle name="40% - Accent5 2 2 14 4 2" xfId="17782"/>
    <cellStyle name="40% - Accent5 2 2 14 4 2 2" xfId="17783"/>
    <cellStyle name="40% - Accent5 2 2 14 4 3" xfId="17784"/>
    <cellStyle name="40% - Accent5 2 2 14 4 4" xfId="17785"/>
    <cellStyle name="40% - Accent5 2 2 14 5" xfId="17786"/>
    <cellStyle name="40% - Accent5 2 2 14 5 2" xfId="17787"/>
    <cellStyle name="40% - Accent5 2 2 14 6" xfId="17788"/>
    <cellStyle name="40% - Accent5 2 2 14 7" xfId="17789"/>
    <cellStyle name="40% - Accent5 2 2 14 8" xfId="17790"/>
    <cellStyle name="40% - Accent5 2 2 2" xfId="17791"/>
    <cellStyle name="40% - Accent5 2 2 2 10" xfId="17792"/>
    <cellStyle name="40% - Accent5 2 2 2 11" xfId="17793"/>
    <cellStyle name="40% - Accent5 2 2 2 2" xfId="17794"/>
    <cellStyle name="40% - Accent5 2 2 2 3" xfId="17795"/>
    <cellStyle name="40% - Accent5 2 2 2 4" xfId="17796"/>
    <cellStyle name="40% - Accent5 2 2 2 5" xfId="17797"/>
    <cellStyle name="40% - Accent5 2 2 2 6" xfId="17798"/>
    <cellStyle name="40% - Accent5 2 2 2 7" xfId="17799"/>
    <cellStyle name="40% - Accent5 2 2 2 8" xfId="17800"/>
    <cellStyle name="40% - Accent5 2 2 2 9" xfId="17801"/>
    <cellStyle name="40% - Accent5 2 2 2_4Q Ops Metrics Gas &amp; Electric 2010" xfId="17802"/>
    <cellStyle name="40% - Accent5 2 2 3" xfId="17803"/>
    <cellStyle name="40% - Accent5 2 2 4" xfId="17804"/>
    <cellStyle name="40% - Accent5 2 2 5" xfId="17805"/>
    <cellStyle name="40% - Accent5 2 2 6" xfId="17806"/>
    <cellStyle name="40% - Accent5 2 2 7" xfId="17807"/>
    <cellStyle name="40% - Accent5 2 2 8" xfId="17808"/>
    <cellStyle name="40% - Accent5 2 2 9" xfId="17809"/>
    <cellStyle name="40% - Accent5 2 2_4Q Ops Metrics Gas &amp; Electric 2010" xfId="17810"/>
    <cellStyle name="40% - Accent5 2 20" xfId="17811"/>
    <cellStyle name="40% - Accent5 2 20 2" xfId="17812"/>
    <cellStyle name="40% - Accent5 2 20 2 2" xfId="17813"/>
    <cellStyle name="40% - Accent5 2 20 3" xfId="17814"/>
    <cellStyle name="40% - Accent5 2 20 4" xfId="17815"/>
    <cellStyle name="40% - Accent5 2 21" xfId="17816"/>
    <cellStyle name="40% - Accent5 2 21 2" xfId="17817"/>
    <cellStyle name="40% - Accent5 2 22" xfId="17818"/>
    <cellStyle name="40% - Accent5 2 23" xfId="17819"/>
    <cellStyle name="40% - Accent5 2 24" xfId="17820"/>
    <cellStyle name="40% - Accent5 2 25" xfId="17821"/>
    <cellStyle name="40% - Accent5 2 26" xfId="17822"/>
    <cellStyle name="40% - Accent5 2 27" xfId="17823"/>
    <cellStyle name="40% - Accent5 2 28" xfId="17824"/>
    <cellStyle name="40% - Accent5 2 29" xfId="17825"/>
    <cellStyle name="40% - Accent5 2 3" xfId="17826"/>
    <cellStyle name="40% - Accent5 2 3 2" xfId="17827"/>
    <cellStyle name="40% - Accent5 2 3 2 2" xfId="17828"/>
    <cellStyle name="40% - Accent5 2 3 2 2 2" xfId="17829"/>
    <cellStyle name="40% - Accent5 2 3 2 3" xfId="17830"/>
    <cellStyle name="40% - Accent5 2 3 3" xfId="17831"/>
    <cellStyle name="40% - Accent5 2 3 3 2" xfId="17832"/>
    <cellStyle name="40% - Accent5 2 3 4" xfId="17833"/>
    <cellStyle name="40% - Accent5 2 3 4 2" xfId="17834"/>
    <cellStyle name="40% - Accent5 2 3 5" xfId="17835"/>
    <cellStyle name="40% - Accent5 2 3 5 2" xfId="17836"/>
    <cellStyle name="40% - Accent5 2 3 6" xfId="17837"/>
    <cellStyle name="40% - Accent5 2 3 6 2" xfId="17838"/>
    <cellStyle name="40% - Accent5 2 3 7" xfId="17839"/>
    <cellStyle name="40% - Accent5 2 3 7 2" xfId="17840"/>
    <cellStyle name="40% - Accent5 2 3 8" xfId="17841"/>
    <cellStyle name="40% - Accent5 2 3 8 2" xfId="17842"/>
    <cellStyle name="40% - Accent5 2 3 9" xfId="17843"/>
    <cellStyle name="40% - Accent5 2 3 9 2" xfId="17844"/>
    <cellStyle name="40% - Accent5 2 3_Dakota Panel" xfId="17845"/>
    <cellStyle name="40% - Accent5 2 30" xfId="17846"/>
    <cellStyle name="40% - Accent5 2 31" xfId="17847"/>
    <cellStyle name="40% - Accent5 2 32" xfId="17848"/>
    <cellStyle name="40% - Accent5 2 33" xfId="17849"/>
    <cellStyle name="40% - Accent5 2 34" xfId="17850"/>
    <cellStyle name="40% - Accent5 2 35" xfId="17851"/>
    <cellStyle name="40% - Accent5 2 36" xfId="17852"/>
    <cellStyle name="40% - Accent5 2 37" xfId="17853"/>
    <cellStyle name="40% - Accent5 2 38" xfId="17854"/>
    <cellStyle name="40% - Accent5 2 39" xfId="17855"/>
    <cellStyle name="40% - Accent5 2 4" xfId="17856"/>
    <cellStyle name="40% - Accent5 2 4 2" xfId="17857"/>
    <cellStyle name="40% - Accent5 2 4 2 2" xfId="17858"/>
    <cellStyle name="40% - Accent5 2 4 3" xfId="17859"/>
    <cellStyle name="40% - Accent5 2 40" xfId="17860"/>
    <cellStyle name="40% - Accent5 2 41" xfId="17861"/>
    <cellStyle name="40% - Accent5 2 42" xfId="17862"/>
    <cellStyle name="40% - Accent5 2 5" xfId="17863"/>
    <cellStyle name="40% - Accent5 2 5 2" xfId="17864"/>
    <cellStyle name="40% - Accent5 2 5 2 2" xfId="17865"/>
    <cellStyle name="40% - Accent5 2 6" xfId="17866"/>
    <cellStyle name="40% - Accent5 2 6 2" xfId="17867"/>
    <cellStyle name="40% - Accent5 2 6 2 2" xfId="17868"/>
    <cellStyle name="40% - Accent5 2 7" xfId="17869"/>
    <cellStyle name="40% - Accent5 2 7 2" xfId="17870"/>
    <cellStyle name="40% - Accent5 2 7 2 2" xfId="17871"/>
    <cellStyle name="40% - Accent5 2 8" xfId="17872"/>
    <cellStyle name="40% - Accent5 2 8 2" xfId="17873"/>
    <cellStyle name="40% - Accent5 2 8 2 2" xfId="17874"/>
    <cellStyle name="40% - Accent5 2 9" xfId="17875"/>
    <cellStyle name="40% - Accent5 2 9 2" xfId="17876"/>
    <cellStyle name="40% - Accent5 2 9 2 2" xfId="17877"/>
    <cellStyle name="40% - Accent5 2_1-10 BHU IS" xfId="17878"/>
    <cellStyle name="40% - Accent5 20" xfId="17879"/>
    <cellStyle name="40% - Accent5 20 2" xfId="17880"/>
    <cellStyle name="40% - Accent5 20 2 2" xfId="17881"/>
    <cellStyle name="40% - Accent5 20 2 3" xfId="17882"/>
    <cellStyle name="40% - Accent5 20 3" xfId="17883"/>
    <cellStyle name="40% - Accent5 20 3 2" xfId="17884"/>
    <cellStyle name="40% - Accent5 20 4" xfId="17885"/>
    <cellStyle name="40% - Accent5 20 5" xfId="17886"/>
    <cellStyle name="40% - Accent5 21" xfId="17887"/>
    <cellStyle name="40% - Accent5 21 2" xfId="17888"/>
    <cellStyle name="40% - Accent5 21 2 2" xfId="17889"/>
    <cellStyle name="40% - Accent5 21 3" xfId="17890"/>
    <cellStyle name="40% - Accent5 21 4" xfId="17891"/>
    <cellStyle name="40% - Accent5 22" xfId="17892"/>
    <cellStyle name="40% - Accent5 22 2" xfId="17893"/>
    <cellStyle name="40% - Accent5 22 2 2" xfId="17894"/>
    <cellStyle name="40% - Accent5 22 3" xfId="17895"/>
    <cellStyle name="40% - Accent5 22 4" xfId="17896"/>
    <cellStyle name="40% - Accent5 23" xfId="17897"/>
    <cellStyle name="40% - Accent5 23 2" xfId="17898"/>
    <cellStyle name="40% - Accent5 24" xfId="17899"/>
    <cellStyle name="40% - Accent5 25" xfId="17900"/>
    <cellStyle name="40% - Accent5 26" xfId="17901"/>
    <cellStyle name="40% - Accent5 3" xfId="17902"/>
    <cellStyle name="40% - Accent5 3 10" xfId="17903"/>
    <cellStyle name="40% - Accent5 3 10 2" xfId="17904"/>
    <cellStyle name="40% - Accent5 3 10 2 2" xfId="17905"/>
    <cellStyle name="40% - Accent5 3 10 2 2 2" xfId="17906"/>
    <cellStyle name="40% - Accent5 3 10 2 2 3" xfId="17907"/>
    <cellStyle name="40% - Accent5 3 10 2 3" xfId="17908"/>
    <cellStyle name="40% - Accent5 3 10 2 3 2" xfId="17909"/>
    <cellStyle name="40% - Accent5 3 10 2 4" xfId="17910"/>
    <cellStyle name="40% - Accent5 3 10 2 5" xfId="17911"/>
    <cellStyle name="40% - Accent5 3 10 3" xfId="17912"/>
    <cellStyle name="40% - Accent5 3 10 3 2" xfId="17913"/>
    <cellStyle name="40% - Accent5 3 10 3 2 2" xfId="17914"/>
    <cellStyle name="40% - Accent5 3 10 3 3" xfId="17915"/>
    <cellStyle name="40% - Accent5 3 10 3 4" xfId="17916"/>
    <cellStyle name="40% - Accent5 3 10 4" xfId="17917"/>
    <cellStyle name="40% - Accent5 3 10 4 2" xfId="17918"/>
    <cellStyle name="40% - Accent5 3 10 4 2 2" xfId="17919"/>
    <cellStyle name="40% - Accent5 3 10 4 3" xfId="17920"/>
    <cellStyle name="40% - Accent5 3 10 4 4" xfId="17921"/>
    <cellStyle name="40% - Accent5 3 10 5" xfId="17922"/>
    <cellStyle name="40% - Accent5 3 10 5 2" xfId="17923"/>
    <cellStyle name="40% - Accent5 3 10 6" xfId="17924"/>
    <cellStyle name="40% - Accent5 3 10 7" xfId="17925"/>
    <cellStyle name="40% - Accent5 3 10 8" xfId="17926"/>
    <cellStyle name="40% - Accent5 3 11" xfId="17927"/>
    <cellStyle name="40% - Accent5 3 11 2" xfId="17928"/>
    <cellStyle name="40% - Accent5 3 11 2 2" xfId="17929"/>
    <cellStyle name="40% - Accent5 3 11 2 2 2" xfId="17930"/>
    <cellStyle name="40% - Accent5 3 11 2 2 3" xfId="17931"/>
    <cellStyle name="40% - Accent5 3 11 2 3" xfId="17932"/>
    <cellStyle name="40% - Accent5 3 11 2 3 2" xfId="17933"/>
    <cellStyle name="40% - Accent5 3 11 2 4" xfId="17934"/>
    <cellStyle name="40% - Accent5 3 11 2 5" xfId="17935"/>
    <cellStyle name="40% - Accent5 3 11 3" xfId="17936"/>
    <cellStyle name="40% - Accent5 3 11 3 2" xfId="17937"/>
    <cellStyle name="40% - Accent5 3 11 3 2 2" xfId="17938"/>
    <cellStyle name="40% - Accent5 3 11 3 3" xfId="17939"/>
    <cellStyle name="40% - Accent5 3 11 3 4" xfId="17940"/>
    <cellStyle name="40% - Accent5 3 11 4" xfId="17941"/>
    <cellStyle name="40% - Accent5 3 11 4 2" xfId="17942"/>
    <cellStyle name="40% - Accent5 3 11 4 2 2" xfId="17943"/>
    <cellStyle name="40% - Accent5 3 11 4 3" xfId="17944"/>
    <cellStyle name="40% - Accent5 3 11 4 4" xfId="17945"/>
    <cellStyle name="40% - Accent5 3 11 5" xfId="17946"/>
    <cellStyle name="40% - Accent5 3 11 5 2" xfId="17947"/>
    <cellStyle name="40% - Accent5 3 11 6" xfId="17948"/>
    <cellStyle name="40% - Accent5 3 11 7" xfId="17949"/>
    <cellStyle name="40% - Accent5 3 11 8" xfId="17950"/>
    <cellStyle name="40% - Accent5 3 2" xfId="17951"/>
    <cellStyle name="40% - Accent5 3 2 2" xfId="17952"/>
    <cellStyle name="40% - Accent5 3 2 2 2" xfId="17953"/>
    <cellStyle name="40% - Accent5 3 2 3" xfId="17954"/>
    <cellStyle name="40% - Accent5 3 2_Income Statement Query October" xfId="17955"/>
    <cellStyle name="40% - Accent5 3 3" xfId="17956"/>
    <cellStyle name="40% - Accent5 3 3 2" xfId="17957"/>
    <cellStyle name="40% - Accent5 3 4" xfId="17958"/>
    <cellStyle name="40% - Accent5 3 4 2" xfId="17959"/>
    <cellStyle name="40% - Accent5 3 4 2 2" xfId="17960"/>
    <cellStyle name="40% - Accent5 3 4 2 2 2" xfId="17961"/>
    <cellStyle name="40% - Accent5 3 4 2 2 3" xfId="17962"/>
    <cellStyle name="40% - Accent5 3 4 2 3" xfId="17963"/>
    <cellStyle name="40% - Accent5 3 4 2 3 2" xfId="17964"/>
    <cellStyle name="40% - Accent5 3 4 2 4" xfId="17965"/>
    <cellStyle name="40% - Accent5 3 4 2 5" xfId="17966"/>
    <cellStyle name="40% - Accent5 3 4 3" xfId="17967"/>
    <cellStyle name="40% - Accent5 3 4 3 2" xfId="17968"/>
    <cellStyle name="40% - Accent5 3 4 3 2 2" xfId="17969"/>
    <cellStyle name="40% - Accent5 3 4 3 3" xfId="17970"/>
    <cellStyle name="40% - Accent5 3 4 3 4" xfId="17971"/>
    <cellStyle name="40% - Accent5 3 4 4" xfId="17972"/>
    <cellStyle name="40% - Accent5 3 4 4 2" xfId="17973"/>
    <cellStyle name="40% - Accent5 3 4 4 2 2" xfId="17974"/>
    <cellStyle name="40% - Accent5 3 4 4 3" xfId="17975"/>
    <cellStyle name="40% - Accent5 3 4 4 4" xfId="17976"/>
    <cellStyle name="40% - Accent5 3 4 5" xfId="17977"/>
    <cellStyle name="40% - Accent5 3 4 5 2" xfId="17978"/>
    <cellStyle name="40% - Accent5 3 4 6" xfId="17979"/>
    <cellStyle name="40% - Accent5 3 4 7" xfId="17980"/>
    <cellStyle name="40% - Accent5 3 4 8" xfId="17981"/>
    <cellStyle name="40% - Accent5 3 5" xfId="17982"/>
    <cellStyle name="40% - Accent5 3 5 2" xfId="17983"/>
    <cellStyle name="40% - Accent5 3 5 2 2" xfId="17984"/>
    <cellStyle name="40% - Accent5 3 5 2 2 2" xfId="17985"/>
    <cellStyle name="40% - Accent5 3 5 2 2 3" xfId="17986"/>
    <cellStyle name="40% - Accent5 3 5 2 3" xfId="17987"/>
    <cellStyle name="40% - Accent5 3 5 2 3 2" xfId="17988"/>
    <cellStyle name="40% - Accent5 3 5 2 4" xfId="17989"/>
    <cellStyle name="40% - Accent5 3 5 2 5" xfId="17990"/>
    <cellStyle name="40% - Accent5 3 5 3" xfId="17991"/>
    <cellStyle name="40% - Accent5 3 5 3 2" xfId="17992"/>
    <cellStyle name="40% - Accent5 3 5 3 2 2" xfId="17993"/>
    <cellStyle name="40% - Accent5 3 5 3 3" xfId="17994"/>
    <cellStyle name="40% - Accent5 3 5 3 4" xfId="17995"/>
    <cellStyle name="40% - Accent5 3 5 4" xfId="17996"/>
    <cellStyle name="40% - Accent5 3 5 4 2" xfId="17997"/>
    <cellStyle name="40% - Accent5 3 5 4 2 2" xfId="17998"/>
    <cellStyle name="40% - Accent5 3 5 4 3" xfId="17999"/>
    <cellStyle name="40% - Accent5 3 5 4 4" xfId="18000"/>
    <cellStyle name="40% - Accent5 3 5 5" xfId="18001"/>
    <cellStyle name="40% - Accent5 3 5 5 2" xfId="18002"/>
    <cellStyle name="40% - Accent5 3 5 6" xfId="18003"/>
    <cellStyle name="40% - Accent5 3 5 7" xfId="18004"/>
    <cellStyle name="40% - Accent5 3 5 8" xfId="18005"/>
    <cellStyle name="40% - Accent5 3 6" xfId="18006"/>
    <cellStyle name="40% - Accent5 3 6 2" xfId="18007"/>
    <cellStyle name="40% - Accent5 3 6 2 2" xfId="18008"/>
    <cellStyle name="40% - Accent5 3 6 2 2 2" xfId="18009"/>
    <cellStyle name="40% - Accent5 3 6 2 2 3" xfId="18010"/>
    <cellStyle name="40% - Accent5 3 6 2 3" xfId="18011"/>
    <cellStyle name="40% - Accent5 3 6 2 3 2" xfId="18012"/>
    <cellStyle name="40% - Accent5 3 6 2 4" xfId="18013"/>
    <cellStyle name="40% - Accent5 3 6 2 5" xfId="18014"/>
    <cellStyle name="40% - Accent5 3 6 3" xfId="18015"/>
    <cellStyle name="40% - Accent5 3 6 3 2" xfId="18016"/>
    <cellStyle name="40% - Accent5 3 6 3 2 2" xfId="18017"/>
    <cellStyle name="40% - Accent5 3 6 3 3" xfId="18018"/>
    <cellStyle name="40% - Accent5 3 6 3 4" xfId="18019"/>
    <cellStyle name="40% - Accent5 3 6 4" xfId="18020"/>
    <cellStyle name="40% - Accent5 3 6 4 2" xfId="18021"/>
    <cellStyle name="40% - Accent5 3 6 4 2 2" xfId="18022"/>
    <cellStyle name="40% - Accent5 3 6 4 3" xfId="18023"/>
    <cellStyle name="40% - Accent5 3 6 4 4" xfId="18024"/>
    <cellStyle name="40% - Accent5 3 6 5" xfId="18025"/>
    <cellStyle name="40% - Accent5 3 6 5 2" xfId="18026"/>
    <cellStyle name="40% - Accent5 3 6 6" xfId="18027"/>
    <cellStyle name="40% - Accent5 3 6 7" xfId="18028"/>
    <cellStyle name="40% - Accent5 3 6 8" xfId="18029"/>
    <cellStyle name="40% - Accent5 3 7" xfId="18030"/>
    <cellStyle name="40% - Accent5 3 7 2" xfId="18031"/>
    <cellStyle name="40% - Accent5 3 7 2 2" xfId="18032"/>
    <cellStyle name="40% - Accent5 3 7 2 2 2" xfId="18033"/>
    <cellStyle name="40% - Accent5 3 7 2 2 3" xfId="18034"/>
    <cellStyle name="40% - Accent5 3 7 2 3" xfId="18035"/>
    <cellStyle name="40% - Accent5 3 7 2 3 2" xfId="18036"/>
    <cellStyle name="40% - Accent5 3 7 2 4" xfId="18037"/>
    <cellStyle name="40% - Accent5 3 7 2 5" xfId="18038"/>
    <cellStyle name="40% - Accent5 3 7 3" xfId="18039"/>
    <cellStyle name="40% - Accent5 3 7 3 2" xfId="18040"/>
    <cellStyle name="40% - Accent5 3 7 3 2 2" xfId="18041"/>
    <cellStyle name="40% - Accent5 3 7 3 3" xfId="18042"/>
    <cellStyle name="40% - Accent5 3 7 3 4" xfId="18043"/>
    <cellStyle name="40% - Accent5 3 7 4" xfId="18044"/>
    <cellStyle name="40% - Accent5 3 7 4 2" xfId="18045"/>
    <cellStyle name="40% - Accent5 3 7 4 2 2" xfId="18046"/>
    <cellStyle name="40% - Accent5 3 7 4 3" xfId="18047"/>
    <cellStyle name="40% - Accent5 3 7 4 4" xfId="18048"/>
    <cellStyle name="40% - Accent5 3 7 5" xfId="18049"/>
    <cellStyle name="40% - Accent5 3 7 5 2" xfId="18050"/>
    <cellStyle name="40% - Accent5 3 7 6" xfId="18051"/>
    <cellStyle name="40% - Accent5 3 7 7" xfId="18052"/>
    <cellStyle name="40% - Accent5 3 7 8" xfId="18053"/>
    <cellStyle name="40% - Accent5 3 8" xfId="18054"/>
    <cellStyle name="40% - Accent5 3 8 2" xfId="18055"/>
    <cellStyle name="40% - Accent5 3 8 2 2" xfId="18056"/>
    <cellStyle name="40% - Accent5 3 8 2 2 2" xfId="18057"/>
    <cellStyle name="40% - Accent5 3 8 2 2 3" xfId="18058"/>
    <cellStyle name="40% - Accent5 3 8 2 3" xfId="18059"/>
    <cellStyle name="40% - Accent5 3 8 2 3 2" xfId="18060"/>
    <cellStyle name="40% - Accent5 3 8 2 4" xfId="18061"/>
    <cellStyle name="40% - Accent5 3 8 2 5" xfId="18062"/>
    <cellStyle name="40% - Accent5 3 8 3" xfId="18063"/>
    <cellStyle name="40% - Accent5 3 8 3 2" xfId="18064"/>
    <cellStyle name="40% - Accent5 3 8 3 2 2" xfId="18065"/>
    <cellStyle name="40% - Accent5 3 8 3 3" xfId="18066"/>
    <cellStyle name="40% - Accent5 3 8 3 4" xfId="18067"/>
    <cellStyle name="40% - Accent5 3 8 4" xfId="18068"/>
    <cellStyle name="40% - Accent5 3 8 4 2" xfId="18069"/>
    <cellStyle name="40% - Accent5 3 8 4 2 2" xfId="18070"/>
    <cellStyle name="40% - Accent5 3 8 4 3" xfId="18071"/>
    <cellStyle name="40% - Accent5 3 8 4 4" xfId="18072"/>
    <cellStyle name="40% - Accent5 3 8 5" xfId="18073"/>
    <cellStyle name="40% - Accent5 3 8 5 2" xfId="18074"/>
    <cellStyle name="40% - Accent5 3 8 6" xfId="18075"/>
    <cellStyle name="40% - Accent5 3 8 7" xfId="18076"/>
    <cellStyle name="40% - Accent5 3 8 8" xfId="18077"/>
    <cellStyle name="40% - Accent5 3 9" xfId="18078"/>
    <cellStyle name="40% - Accent5 3 9 2" xfId="18079"/>
    <cellStyle name="40% - Accent5 3 9 2 2" xfId="18080"/>
    <cellStyle name="40% - Accent5 3 9 2 2 2" xfId="18081"/>
    <cellStyle name="40% - Accent5 3 9 2 2 3" xfId="18082"/>
    <cellStyle name="40% - Accent5 3 9 2 3" xfId="18083"/>
    <cellStyle name="40% - Accent5 3 9 2 3 2" xfId="18084"/>
    <cellStyle name="40% - Accent5 3 9 2 4" xfId="18085"/>
    <cellStyle name="40% - Accent5 3 9 2 5" xfId="18086"/>
    <cellStyle name="40% - Accent5 3 9 3" xfId="18087"/>
    <cellStyle name="40% - Accent5 3 9 3 2" xfId="18088"/>
    <cellStyle name="40% - Accent5 3 9 3 2 2" xfId="18089"/>
    <cellStyle name="40% - Accent5 3 9 3 3" xfId="18090"/>
    <cellStyle name="40% - Accent5 3 9 3 4" xfId="18091"/>
    <cellStyle name="40% - Accent5 3 9 4" xfId="18092"/>
    <cellStyle name="40% - Accent5 3 9 4 2" xfId="18093"/>
    <cellStyle name="40% - Accent5 3 9 4 2 2" xfId="18094"/>
    <cellStyle name="40% - Accent5 3 9 4 3" xfId="18095"/>
    <cellStyle name="40% - Accent5 3 9 4 4" xfId="18096"/>
    <cellStyle name="40% - Accent5 3 9 5" xfId="18097"/>
    <cellStyle name="40% - Accent5 3 9 5 2" xfId="18098"/>
    <cellStyle name="40% - Accent5 3 9 6" xfId="18099"/>
    <cellStyle name="40% - Accent5 3 9 7" xfId="18100"/>
    <cellStyle name="40% - Accent5 3 9 8" xfId="18101"/>
    <cellStyle name="40% - Accent5 3_4Q Ops Metrics Gas &amp; Electric 2010" xfId="18102"/>
    <cellStyle name="40% - Accent5 4" xfId="18103"/>
    <cellStyle name="40% - Accent5 4 2" xfId="18104"/>
    <cellStyle name="40% - Accent5 4 2 2" xfId="18105"/>
    <cellStyle name="40% - Accent5 4 2_Income Statement Query October" xfId="18106"/>
    <cellStyle name="40% - Accent5 4_4Q Ops Metrics Gas &amp; Electric 2010" xfId="18107"/>
    <cellStyle name="40% - Accent5 5" xfId="18108"/>
    <cellStyle name="40% - Accent5 5 2" xfId="18109"/>
    <cellStyle name="40% - Accent5 5 2 2" xfId="18110"/>
    <cellStyle name="40% - Accent5 5 2_Income Statement Query October" xfId="18111"/>
    <cellStyle name="40% - Accent5 5_4Q Ops Metrics Gas &amp; Electric 2010" xfId="18112"/>
    <cellStyle name="40% - Accent5 6" xfId="18113"/>
    <cellStyle name="40% - Accent5 6 2" xfId="18114"/>
    <cellStyle name="40% - Accent5 7" xfId="18115"/>
    <cellStyle name="40% - Accent5 7 2" xfId="18116"/>
    <cellStyle name="40% - Accent5 8" xfId="18117"/>
    <cellStyle name="40% - Accent5 8 2" xfId="18118"/>
    <cellStyle name="40% - Accent5 9" xfId="18119"/>
    <cellStyle name="40% - Accent5 9 2" xfId="18120"/>
    <cellStyle name="40% - Accent6 10" xfId="18121"/>
    <cellStyle name="40% - Accent6 10 2" xfId="18122"/>
    <cellStyle name="40% - Accent6 11" xfId="18123"/>
    <cellStyle name="40% - Accent6 11 2" xfId="18124"/>
    <cellStyle name="40% - Accent6 12" xfId="18125"/>
    <cellStyle name="40% - Accent6 13" xfId="18126"/>
    <cellStyle name="40% - Accent6 14" xfId="18127"/>
    <cellStyle name="40% - Accent6 15" xfId="18128"/>
    <cellStyle name="40% - Accent6 15 2" xfId="18129"/>
    <cellStyle name="40% - Accent6 16" xfId="18130"/>
    <cellStyle name="40% - Accent6 17" xfId="18131"/>
    <cellStyle name="40% - Accent6 18" xfId="18132"/>
    <cellStyle name="40% - Accent6 18 2" xfId="18133"/>
    <cellStyle name="40% - Accent6 18 2 2" xfId="18134"/>
    <cellStyle name="40% - Accent6 18 2 2 2" xfId="18135"/>
    <cellStyle name="40% - Accent6 18 2 2 3" xfId="18136"/>
    <cellStyle name="40% - Accent6 18 2 3" xfId="18137"/>
    <cellStyle name="40% - Accent6 18 2 3 2" xfId="18138"/>
    <cellStyle name="40% - Accent6 18 2 4" xfId="18139"/>
    <cellStyle name="40% - Accent6 18 2 5" xfId="18140"/>
    <cellStyle name="40% - Accent6 18 3" xfId="18141"/>
    <cellStyle name="40% - Accent6 18 3 2" xfId="18142"/>
    <cellStyle name="40% - Accent6 18 3 2 2" xfId="18143"/>
    <cellStyle name="40% - Accent6 18 3 3" xfId="18144"/>
    <cellStyle name="40% - Accent6 18 3 4" xfId="18145"/>
    <cellStyle name="40% - Accent6 18 4" xfId="18146"/>
    <cellStyle name="40% - Accent6 18 4 2" xfId="18147"/>
    <cellStyle name="40% - Accent6 18 4 2 2" xfId="18148"/>
    <cellStyle name="40% - Accent6 18 4 3" xfId="18149"/>
    <cellStyle name="40% - Accent6 18 4 4" xfId="18150"/>
    <cellStyle name="40% - Accent6 18 5" xfId="18151"/>
    <cellStyle name="40% - Accent6 18 5 2" xfId="18152"/>
    <cellStyle name="40% - Accent6 18 6" xfId="18153"/>
    <cellStyle name="40% - Accent6 18 7" xfId="18154"/>
    <cellStyle name="40% - Accent6 18 8" xfId="18155"/>
    <cellStyle name="40% - Accent6 19" xfId="18156"/>
    <cellStyle name="40% - Accent6 19 2" xfId="18157"/>
    <cellStyle name="40% - Accent6 19 2 2" xfId="18158"/>
    <cellStyle name="40% - Accent6 19 2 2 2" xfId="18159"/>
    <cellStyle name="40% - Accent6 19 2 2 3" xfId="18160"/>
    <cellStyle name="40% - Accent6 19 2 3" xfId="18161"/>
    <cellStyle name="40% - Accent6 19 2 3 2" xfId="18162"/>
    <cellStyle name="40% - Accent6 19 2 4" xfId="18163"/>
    <cellStyle name="40% - Accent6 19 2 5" xfId="18164"/>
    <cellStyle name="40% - Accent6 19 3" xfId="18165"/>
    <cellStyle name="40% - Accent6 19 3 2" xfId="18166"/>
    <cellStyle name="40% - Accent6 19 3 2 2" xfId="18167"/>
    <cellStyle name="40% - Accent6 19 3 3" xfId="18168"/>
    <cellStyle name="40% - Accent6 19 3 4" xfId="18169"/>
    <cellStyle name="40% - Accent6 19 4" xfId="18170"/>
    <cellStyle name="40% - Accent6 19 4 2" xfId="18171"/>
    <cellStyle name="40% - Accent6 19 4 2 2" xfId="18172"/>
    <cellStyle name="40% - Accent6 19 4 3" xfId="18173"/>
    <cellStyle name="40% - Accent6 19 4 4" xfId="18174"/>
    <cellStyle name="40% - Accent6 19 5" xfId="18175"/>
    <cellStyle name="40% - Accent6 19 5 2" xfId="18176"/>
    <cellStyle name="40% - Accent6 19 6" xfId="18177"/>
    <cellStyle name="40% - Accent6 19 7" xfId="18178"/>
    <cellStyle name="40% - Accent6 19 8" xfId="18179"/>
    <cellStyle name="40% - Accent6 2" xfId="18180"/>
    <cellStyle name="40% - Accent6 2 10" xfId="18181"/>
    <cellStyle name="40% - Accent6 2 10 2" xfId="18182"/>
    <cellStyle name="40% - Accent6 2 10 2 2" xfId="18183"/>
    <cellStyle name="40% - Accent6 2 11" xfId="18184"/>
    <cellStyle name="40% - Accent6 2 12" xfId="18185"/>
    <cellStyle name="40% - Accent6 2 13" xfId="18186"/>
    <cellStyle name="40% - Accent6 2 14" xfId="18187"/>
    <cellStyle name="40% - Accent6 2 14 2" xfId="18188"/>
    <cellStyle name="40% - Accent6 2 14 2 2" xfId="18189"/>
    <cellStyle name="40% - Accent6 2 14 2 2 2" xfId="18190"/>
    <cellStyle name="40% - Accent6 2 14 2 2 3" xfId="18191"/>
    <cellStyle name="40% - Accent6 2 14 2 3" xfId="18192"/>
    <cellStyle name="40% - Accent6 2 14 2 3 2" xfId="18193"/>
    <cellStyle name="40% - Accent6 2 14 2 4" xfId="18194"/>
    <cellStyle name="40% - Accent6 2 14 2 5" xfId="18195"/>
    <cellStyle name="40% - Accent6 2 14 3" xfId="18196"/>
    <cellStyle name="40% - Accent6 2 14 3 2" xfId="18197"/>
    <cellStyle name="40% - Accent6 2 14 3 2 2" xfId="18198"/>
    <cellStyle name="40% - Accent6 2 14 3 3" xfId="18199"/>
    <cellStyle name="40% - Accent6 2 14 3 4" xfId="18200"/>
    <cellStyle name="40% - Accent6 2 14 4" xfId="18201"/>
    <cellStyle name="40% - Accent6 2 14 4 2" xfId="18202"/>
    <cellStyle name="40% - Accent6 2 14 4 2 2" xfId="18203"/>
    <cellStyle name="40% - Accent6 2 14 4 3" xfId="18204"/>
    <cellStyle name="40% - Accent6 2 14 4 4" xfId="18205"/>
    <cellStyle name="40% - Accent6 2 14 5" xfId="18206"/>
    <cellStyle name="40% - Accent6 2 14 5 2" xfId="18207"/>
    <cellStyle name="40% - Accent6 2 14 6" xfId="18208"/>
    <cellStyle name="40% - Accent6 2 14 7" xfId="18209"/>
    <cellStyle name="40% - Accent6 2 14 8" xfId="18210"/>
    <cellStyle name="40% - Accent6 2 15" xfId="18211"/>
    <cellStyle name="40% - Accent6 2 15 2" xfId="18212"/>
    <cellStyle name="40% - Accent6 2 15 2 2" xfId="18213"/>
    <cellStyle name="40% - Accent6 2 15 2 2 2" xfId="18214"/>
    <cellStyle name="40% - Accent6 2 15 2 2 3" xfId="18215"/>
    <cellStyle name="40% - Accent6 2 15 2 3" xfId="18216"/>
    <cellStyle name="40% - Accent6 2 15 2 3 2" xfId="18217"/>
    <cellStyle name="40% - Accent6 2 15 2 4" xfId="18218"/>
    <cellStyle name="40% - Accent6 2 15 2 5" xfId="18219"/>
    <cellStyle name="40% - Accent6 2 15 3" xfId="18220"/>
    <cellStyle name="40% - Accent6 2 15 3 2" xfId="18221"/>
    <cellStyle name="40% - Accent6 2 15 3 2 2" xfId="18222"/>
    <cellStyle name="40% - Accent6 2 15 3 3" xfId="18223"/>
    <cellStyle name="40% - Accent6 2 15 3 4" xfId="18224"/>
    <cellStyle name="40% - Accent6 2 15 4" xfId="18225"/>
    <cellStyle name="40% - Accent6 2 15 4 2" xfId="18226"/>
    <cellStyle name="40% - Accent6 2 15 4 2 2" xfId="18227"/>
    <cellStyle name="40% - Accent6 2 15 4 3" xfId="18228"/>
    <cellStyle name="40% - Accent6 2 15 4 4" xfId="18229"/>
    <cellStyle name="40% - Accent6 2 15 5" xfId="18230"/>
    <cellStyle name="40% - Accent6 2 15 5 2" xfId="18231"/>
    <cellStyle name="40% - Accent6 2 15 6" xfId="18232"/>
    <cellStyle name="40% - Accent6 2 15 7" xfId="18233"/>
    <cellStyle name="40% - Accent6 2 15 8" xfId="18234"/>
    <cellStyle name="40% - Accent6 2 16" xfId="18235"/>
    <cellStyle name="40% - Accent6 2 16 2" xfId="18236"/>
    <cellStyle name="40% - Accent6 2 16 2 2" xfId="18237"/>
    <cellStyle name="40% - Accent6 2 16 2 2 2" xfId="18238"/>
    <cellStyle name="40% - Accent6 2 16 2 2 3" xfId="18239"/>
    <cellStyle name="40% - Accent6 2 16 2 3" xfId="18240"/>
    <cellStyle name="40% - Accent6 2 16 2 3 2" xfId="18241"/>
    <cellStyle name="40% - Accent6 2 16 2 4" xfId="18242"/>
    <cellStyle name="40% - Accent6 2 16 2 5" xfId="18243"/>
    <cellStyle name="40% - Accent6 2 16 3" xfId="18244"/>
    <cellStyle name="40% - Accent6 2 16 3 2" xfId="18245"/>
    <cellStyle name="40% - Accent6 2 16 3 2 2" xfId="18246"/>
    <cellStyle name="40% - Accent6 2 16 3 3" xfId="18247"/>
    <cellStyle name="40% - Accent6 2 16 3 4" xfId="18248"/>
    <cellStyle name="40% - Accent6 2 16 4" xfId="18249"/>
    <cellStyle name="40% - Accent6 2 16 4 2" xfId="18250"/>
    <cellStyle name="40% - Accent6 2 16 4 2 2" xfId="18251"/>
    <cellStyle name="40% - Accent6 2 16 4 3" xfId="18252"/>
    <cellStyle name="40% - Accent6 2 16 4 4" xfId="18253"/>
    <cellStyle name="40% - Accent6 2 16 5" xfId="18254"/>
    <cellStyle name="40% - Accent6 2 16 5 2" xfId="18255"/>
    <cellStyle name="40% - Accent6 2 16 6" xfId="18256"/>
    <cellStyle name="40% - Accent6 2 16 7" xfId="18257"/>
    <cellStyle name="40% - Accent6 2 16 8" xfId="18258"/>
    <cellStyle name="40% - Accent6 2 17" xfId="18259"/>
    <cellStyle name="40% - Accent6 2 17 2" xfId="18260"/>
    <cellStyle name="40% - Accent6 2 17 2 2" xfId="18261"/>
    <cellStyle name="40% - Accent6 2 17 2 3" xfId="18262"/>
    <cellStyle name="40% - Accent6 2 17 3" xfId="18263"/>
    <cellStyle name="40% - Accent6 2 17 3 2" xfId="18264"/>
    <cellStyle name="40% - Accent6 2 17 4" xfId="18265"/>
    <cellStyle name="40% - Accent6 2 17 5" xfId="18266"/>
    <cellStyle name="40% - Accent6 2 18" xfId="18267"/>
    <cellStyle name="40% - Accent6 2 18 2" xfId="18268"/>
    <cellStyle name="40% - Accent6 2 18 2 2" xfId="18269"/>
    <cellStyle name="40% - Accent6 2 18 2 3" xfId="18270"/>
    <cellStyle name="40% - Accent6 2 18 3" xfId="18271"/>
    <cellStyle name="40% - Accent6 2 18 3 2" xfId="18272"/>
    <cellStyle name="40% - Accent6 2 18 4" xfId="18273"/>
    <cellStyle name="40% - Accent6 2 18 5" xfId="18274"/>
    <cellStyle name="40% - Accent6 2 19" xfId="18275"/>
    <cellStyle name="40% - Accent6 2 19 2" xfId="18276"/>
    <cellStyle name="40% - Accent6 2 19 2 2" xfId="18277"/>
    <cellStyle name="40% - Accent6 2 19 3" xfId="18278"/>
    <cellStyle name="40% - Accent6 2 19 4" xfId="18279"/>
    <cellStyle name="40% - Accent6 2 2" xfId="18280"/>
    <cellStyle name="40% - Accent6 2 2 10" xfId="18281"/>
    <cellStyle name="40% - Accent6 2 2 11" xfId="18282"/>
    <cellStyle name="40% - Accent6 2 2 12" xfId="18283"/>
    <cellStyle name="40% - Accent6 2 2 12 2" xfId="18284"/>
    <cellStyle name="40% - Accent6 2 2 12 2 2" xfId="18285"/>
    <cellStyle name="40% - Accent6 2 2 12 2 2 2" xfId="18286"/>
    <cellStyle name="40% - Accent6 2 2 12 2 2 3" xfId="18287"/>
    <cellStyle name="40% - Accent6 2 2 12 2 3" xfId="18288"/>
    <cellStyle name="40% - Accent6 2 2 12 2 3 2" xfId="18289"/>
    <cellStyle name="40% - Accent6 2 2 12 2 4" xfId="18290"/>
    <cellStyle name="40% - Accent6 2 2 12 2 5" xfId="18291"/>
    <cellStyle name="40% - Accent6 2 2 12 3" xfId="18292"/>
    <cellStyle name="40% - Accent6 2 2 12 3 2" xfId="18293"/>
    <cellStyle name="40% - Accent6 2 2 12 3 2 2" xfId="18294"/>
    <cellStyle name="40% - Accent6 2 2 12 3 3" xfId="18295"/>
    <cellStyle name="40% - Accent6 2 2 12 3 4" xfId="18296"/>
    <cellStyle name="40% - Accent6 2 2 12 4" xfId="18297"/>
    <cellStyle name="40% - Accent6 2 2 12 4 2" xfId="18298"/>
    <cellStyle name="40% - Accent6 2 2 12 4 2 2" xfId="18299"/>
    <cellStyle name="40% - Accent6 2 2 12 4 3" xfId="18300"/>
    <cellStyle name="40% - Accent6 2 2 12 4 4" xfId="18301"/>
    <cellStyle name="40% - Accent6 2 2 12 5" xfId="18302"/>
    <cellStyle name="40% - Accent6 2 2 12 5 2" xfId="18303"/>
    <cellStyle name="40% - Accent6 2 2 12 6" xfId="18304"/>
    <cellStyle name="40% - Accent6 2 2 12 7" xfId="18305"/>
    <cellStyle name="40% - Accent6 2 2 12 8" xfId="18306"/>
    <cellStyle name="40% - Accent6 2 2 13" xfId="18307"/>
    <cellStyle name="40% - Accent6 2 2 13 2" xfId="18308"/>
    <cellStyle name="40% - Accent6 2 2 13 2 2" xfId="18309"/>
    <cellStyle name="40% - Accent6 2 2 13 2 2 2" xfId="18310"/>
    <cellStyle name="40% - Accent6 2 2 13 2 2 3" xfId="18311"/>
    <cellStyle name="40% - Accent6 2 2 13 2 3" xfId="18312"/>
    <cellStyle name="40% - Accent6 2 2 13 2 3 2" xfId="18313"/>
    <cellStyle name="40% - Accent6 2 2 13 2 4" xfId="18314"/>
    <cellStyle name="40% - Accent6 2 2 13 2 5" xfId="18315"/>
    <cellStyle name="40% - Accent6 2 2 13 3" xfId="18316"/>
    <cellStyle name="40% - Accent6 2 2 13 3 2" xfId="18317"/>
    <cellStyle name="40% - Accent6 2 2 13 3 2 2" xfId="18318"/>
    <cellStyle name="40% - Accent6 2 2 13 3 3" xfId="18319"/>
    <cellStyle name="40% - Accent6 2 2 13 3 4" xfId="18320"/>
    <cellStyle name="40% - Accent6 2 2 13 4" xfId="18321"/>
    <cellStyle name="40% - Accent6 2 2 13 4 2" xfId="18322"/>
    <cellStyle name="40% - Accent6 2 2 13 4 2 2" xfId="18323"/>
    <cellStyle name="40% - Accent6 2 2 13 4 3" xfId="18324"/>
    <cellStyle name="40% - Accent6 2 2 13 4 4" xfId="18325"/>
    <cellStyle name="40% - Accent6 2 2 13 5" xfId="18326"/>
    <cellStyle name="40% - Accent6 2 2 13 5 2" xfId="18327"/>
    <cellStyle name="40% - Accent6 2 2 13 6" xfId="18328"/>
    <cellStyle name="40% - Accent6 2 2 13 7" xfId="18329"/>
    <cellStyle name="40% - Accent6 2 2 13 8" xfId="18330"/>
    <cellStyle name="40% - Accent6 2 2 14" xfId="18331"/>
    <cellStyle name="40% - Accent6 2 2 14 2" xfId="18332"/>
    <cellStyle name="40% - Accent6 2 2 14 2 2" xfId="18333"/>
    <cellStyle name="40% - Accent6 2 2 14 2 2 2" xfId="18334"/>
    <cellStyle name="40% - Accent6 2 2 14 2 2 3" xfId="18335"/>
    <cellStyle name="40% - Accent6 2 2 14 2 3" xfId="18336"/>
    <cellStyle name="40% - Accent6 2 2 14 2 3 2" xfId="18337"/>
    <cellStyle name="40% - Accent6 2 2 14 2 4" xfId="18338"/>
    <cellStyle name="40% - Accent6 2 2 14 2 5" xfId="18339"/>
    <cellStyle name="40% - Accent6 2 2 14 3" xfId="18340"/>
    <cellStyle name="40% - Accent6 2 2 14 3 2" xfId="18341"/>
    <cellStyle name="40% - Accent6 2 2 14 3 2 2" xfId="18342"/>
    <cellStyle name="40% - Accent6 2 2 14 3 3" xfId="18343"/>
    <cellStyle name="40% - Accent6 2 2 14 3 4" xfId="18344"/>
    <cellStyle name="40% - Accent6 2 2 14 4" xfId="18345"/>
    <cellStyle name="40% - Accent6 2 2 14 4 2" xfId="18346"/>
    <cellStyle name="40% - Accent6 2 2 14 4 2 2" xfId="18347"/>
    <cellStyle name="40% - Accent6 2 2 14 4 3" xfId="18348"/>
    <cellStyle name="40% - Accent6 2 2 14 4 4" xfId="18349"/>
    <cellStyle name="40% - Accent6 2 2 14 5" xfId="18350"/>
    <cellStyle name="40% - Accent6 2 2 14 5 2" xfId="18351"/>
    <cellStyle name="40% - Accent6 2 2 14 6" xfId="18352"/>
    <cellStyle name="40% - Accent6 2 2 14 7" xfId="18353"/>
    <cellStyle name="40% - Accent6 2 2 14 8" xfId="18354"/>
    <cellStyle name="40% - Accent6 2 2 2" xfId="18355"/>
    <cellStyle name="40% - Accent6 2 2 2 10" xfId="18356"/>
    <cellStyle name="40% - Accent6 2 2 2 11" xfId="18357"/>
    <cellStyle name="40% - Accent6 2 2 2 2" xfId="18358"/>
    <cellStyle name="40% - Accent6 2 2 2 3" xfId="18359"/>
    <cellStyle name="40% - Accent6 2 2 2 4" xfId="18360"/>
    <cellStyle name="40% - Accent6 2 2 2 5" xfId="18361"/>
    <cellStyle name="40% - Accent6 2 2 2 6" xfId="18362"/>
    <cellStyle name="40% - Accent6 2 2 2 7" xfId="18363"/>
    <cellStyle name="40% - Accent6 2 2 2 8" xfId="18364"/>
    <cellStyle name="40% - Accent6 2 2 2 9" xfId="18365"/>
    <cellStyle name="40% - Accent6 2 2 3" xfId="18366"/>
    <cellStyle name="40% - Accent6 2 2 4" xfId="18367"/>
    <cellStyle name="40% - Accent6 2 2 5" xfId="18368"/>
    <cellStyle name="40% - Accent6 2 2 6" xfId="18369"/>
    <cellStyle name="40% - Accent6 2 2 7" xfId="18370"/>
    <cellStyle name="40% - Accent6 2 2 8" xfId="18371"/>
    <cellStyle name="40% - Accent6 2 2 9" xfId="18372"/>
    <cellStyle name="40% - Accent6 2 2_Income Statement Query October" xfId="18373"/>
    <cellStyle name="40% - Accent6 2 20" xfId="18374"/>
    <cellStyle name="40% - Accent6 2 20 2" xfId="18375"/>
    <cellStyle name="40% - Accent6 2 20 2 2" xfId="18376"/>
    <cellStyle name="40% - Accent6 2 20 3" xfId="18377"/>
    <cellStyle name="40% - Accent6 2 20 4" xfId="18378"/>
    <cellStyle name="40% - Accent6 2 21" xfId="18379"/>
    <cellStyle name="40% - Accent6 2 21 2" xfId="18380"/>
    <cellStyle name="40% - Accent6 2 22" xfId="18381"/>
    <cellStyle name="40% - Accent6 2 23" xfId="18382"/>
    <cellStyle name="40% - Accent6 2 24" xfId="18383"/>
    <cellStyle name="40% - Accent6 2 25" xfId="18384"/>
    <cellStyle name="40% - Accent6 2 26" xfId="18385"/>
    <cellStyle name="40% - Accent6 2 27" xfId="18386"/>
    <cellStyle name="40% - Accent6 2 28" xfId="18387"/>
    <cellStyle name="40% - Accent6 2 29" xfId="18388"/>
    <cellStyle name="40% - Accent6 2 3" xfId="18389"/>
    <cellStyle name="40% - Accent6 2 3 2" xfId="18390"/>
    <cellStyle name="40% - Accent6 2 3 2 2" xfId="18391"/>
    <cellStyle name="40% - Accent6 2 3 2 2 2" xfId="18392"/>
    <cellStyle name="40% - Accent6 2 3 2 3" xfId="18393"/>
    <cellStyle name="40% - Accent6 2 3 3" xfId="18394"/>
    <cellStyle name="40% - Accent6 2 3 3 2" xfId="18395"/>
    <cellStyle name="40% - Accent6 2 3 4" xfId="18396"/>
    <cellStyle name="40% - Accent6 2 3 4 2" xfId="18397"/>
    <cellStyle name="40% - Accent6 2 3 5" xfId="18398"/>
    <cellStyle name="40% - Accent6 2 3 5 2" xfId="18399"/>
    <cellStyle name="40% - Accent6 2 3 6" xfId="18400"/>
    <cellStyle name="40% - Accent6 2 3 6 2" xfId="18401"/>
    <cellStyle name="40% - Accent6 2 3 7" xfId="18402"/>
    <cellStyle name="40% - Accent6 2 3 7 2" xfId="18403"/>
    <cellStyle name="40% - Accent6 2 3 8" xfId="18404"/>
    <cellStyle name="40% - Accent6 2 3 8 2" xfId="18405"/>
    <cellStyle name="40% - Accent6 2 3 9" xfId="18406"/>
    <cellStyle name="40% - Accent6 2 3 9 2" xfId="18407"/>
    <cellStyle name="40% - Accent6 2 3_Dakota Panel" xfId="18408"/>
    <cellStyle name="40% - Accent6 2 30" xfId="18409"/>
    <cellStyle name="40% - Accent6 2 31" xfId="18410"/>
    <cellStyle name="40% - Accent6 2 32" xfId="18411"/>
    <cellStyle name="40% - Accent6 2 33" xfId="18412"/>
    <cellStyle name="40% - Accent6 2 34" xfId="18413"/>
    <cellStyle name="40% - Accent6 2 35" xfId="18414"/>
    <cellStyle name="40% - Accent6 2 36" xfId="18415"/>
    <cellStyle name="40% - Accent6 2 37" xfId="18416"/>
    <cellStyle name="40% - Accent6 2 38" xfId="18417"/>
    <cellStyle name="40% - Accent6 2 39" xfId="18418"/>
    <cellStyle name="40% - Accent6 2 4" xfId="18419"/>
    <cellStyle name="40% - Accent6 2 4 2" xfId="18420"/>
    <cellStyle name="40% - Accent6 2 4 2 2" xfId="18421"/>
    <cellStyle name="40% - Accent6 2 4 3" xfId="18422"/>
    <cellStyle name="40% - Accent6 2 4 4" xfId="18423"/>
    <cellStyle name="40% - Accent6 2 4 4 2" xfId="18424"/>
    <cellStyle name="40% - Accent6 2 40" xfId="18425"/>
    <cellStyle name="40% - Accent6 2 41" xfId="18426"/>
    <cellStyle name="40% - Accent6 2 42" xfId="18427"/>
    <cellStyle name="40% - Accent6 2 5" xfId="18428"/>
    <cellStyle name="40% - Accent6 2 5 2" xfId="18429"/>
    <cellStyle name="40% - Accent6 2 5 3" xfId="18430"/>
    <cellStyle name="40% - Accent6 2 5 4" xfId="18431"/>
    <cellStyle name="40% - Accent6 2 5 4 2" xfId="18432"/>
    <cellStyle name="40% - Accent6 2 6" xfId="18433"/>
    <cellStyle name="40% - Accent6 2 6 2" xfId="18434"/>
    <cellStyle name="40% - Accent6 2 6 3" xfId="18435"/>
    <cellStyle name="40% - Accent6 2 6 4" xfId="18436"/>
    <cellStyle name="40% - Accent6 2 6 4 2" xfId="18437"/>
    <cellStyle name="40% - Accent6 2 7" xfId="18438"/>
    <cellStyle name="40% - Accent6 2 7 2" xfId="18439"/>
    <cellStyle name="40% - Accent6 2 7 2 2" xfId="18440"/>
    <cellStyle name="40% - Accent6 2 7 2 3" xfId="18441"/>
    <cellStyle name="40% - Accent6 2 7 3" xfId="18442"/>
    <cellStyle name="40% - Accent6 2 7 4" xfId="18443"/>
    <cellStyle name="40% - Accent6 2 7 5" xfId="18444"/>
    <cellStyle name="40% - Accent6 2 7 5 2" xfId="18445"/>
    <cellStyle name="40% - Accent6 2 8" xfId="18446"/>
    <cellStyle name="40% - Accent6 2 8 2" xfId="18447"/>
    <cellStyle name="40% - Accent6 2 8 3" xfId="18448"/>
    <cellStyle name="40% - Accent6 2 8 4" xfId="18449"/>
    <cellStyle name="40% - Accent6 2 8 4 2" xfId="18450"/>
    <cellStyle name="40% - Accent6 2 9" xfId="18451"/>
    <cellStyle name="40% - Accent6 2 9 2" xfId="18452"/>
    <cellStyle name="40% - Accent6 2 9 3" xfId="18453"/>
    <cellStyle name="40% - Accent6 2 9 4" xfId="18454"/>
    <cellStyle name="40% - Accent6 2 9 4 2" xfId="18455"/>
    <cellStyle name="40% - Accent6 2_1-10 BHU IS" xfId="18456"/>
    <cellStyle name="40% - Accent6 20" xfId="18457"/>
    <cellStyle name="40% - Accent6 20 2" xfId="18458"/>
    <cellStyle name="40% - Accent6 20 2 2" xfId="18459"/>
    <cellStyle name="40% - Accent6 20 2 3" xfId="18460"/>
    <cellStyle name="40% - Accent6 20 3" xfId="18461"/>
    <cellStyle name="40% - Accent6 20 3 2" xfId="18462"/>
    <cellStyle name="40% - Accent6 20 4" xfId="18463"/>
    <cellStyle name="40% - Accent6 20 5" xfId="18464"/>
    <cellStyle name="40% - Accent6 21" xfId="18465"/>
    <cellStyle name="40% - Accent6 21 2" xfId="18466"/>
    <cellStyle name="40% - Accent6 21 2 2" xfId="18467"/>
    <cellStyle name="40% - Accent6 21 3" xfId="18468"/>
    <cellStyle name="40% - Accent6 21 4" xfId="18469"/>
    <cellStyle name="40% - Accent6 22" xfId="18470"/>
    <cellStyle name="40% - Accent6 22 2" xfId="18471"/>
    <cellStyle name="40% - Accent6 22 2 2" xfId="18472"/>
    <cellStyle name="40% - Accent6 22 3" xfId="18473"/>
    <cellStyle name="40% - Accent6 22 4" xfId="18474"/>
    <cellStyle name="40% - Accent6 23" xfId="18475"/>
    <cellStyle name="40% - Accent6 23 2" xfId="18476"/>
    <cellStyle name="40% - Accent6 24" xfId="18477"/>
    <cellStyle name="40% - Accent6 25" xfId="18478"/>
    <cellStyle name="40% - Accent6 26" xfId="18479"/>
    <cellStyle name="40% - Accent6 3" xfId="18480"/>
    <cellStyle name="40% - Accent6 3 10" xfId="18481"/>
    <cellStyle name="40% - Accent6 3 10 2" xfId="18482"/>
    <cellStyle name="40% - Accent6 3 10 2 2" xfId="18483"/>
    <cellStyle name="40% - Accent6 3 10 2 2 2" xfId="18484"/>
    <cellStyle name="40% - Accent6 3 10 2 2 3" xfId="18485"/>
    <cellStyle name="40% - Accent6 3 10 2 3" xfId="18486"/>
    <cellStyle name="40% - Accent6 3 10 2 3 2" xfId="18487"/>
    <cellStyle name="40% - Accent6 3 10 2 4" xfId="18488"/>
    <cellStyle name="40% - Accent6 3 10 2 5" xfId="18489"/>
    <cellStyle name="40% - Accent6 3 10 3" xfId="18490"/>
    <cellStyle name="40% - Accent6 3 10 3 2" xfId="18491"/>
    <cellStyle name="40% - Accent6 3 10 3 2 2" xfId="18492"/>
    <cellStyle name="40% - Accent6 3 10 3 3" xfId="18493"/>
    <cellStyle name="40% - Accent6 3 10 3 4" xfId="18494"/>
    <cellStyle name="40% - Accent6 3 10 4" xfId="18495"/>
    <cellStyle name="40% - Accent6 3 10 4 2" xfId="18496"/>
    <cellStyle name="40% - Accent6 3 10 4 2 2" xfId="18497"/>
    <cellStyle name="40% - Accent6 3 10 4 3" xfId="18498"/>
    <cellStyle name="40% - Accent6 3 10 4 4" xfId="18499"/>
    <cellStyle name="40% - Accent6 3 10 5" xfId="18500"/>
    <cellStyle name="40% - Accent6 3 10 5 2" xfId="18501"/>
    <cellStyle name="40% - Accent6 3 10 6" xfId="18502"/>
    <cellStyle name="40% - Accent6 3 10 7" xfId="18503"/>
    <cellStyle name="40% - Accent6 3 10 8" xfId="18504"/>
    <cellStyle name="40% - Accent6 3 11" xfId="18505"/>
    <cellStyle name="40% - Accent6 3 11 2" xfId="18506"/>
    <cellStyle name="40% - Accent6 3 11 2 2" xfId="18507"/>
    <cellStyle name="40% - Accent6 3 11 2 2 2" xfId="18508"/>
    <cellStyle name="40% - Accent6 3 11 2 2 3" xfId="18509"/>
    <cellStyle name="40% - Accent6 3 11 2 3" xfId="18510"/>
    <cellStyle name="40% - Accent6 3 11 2 3 2" xfId="18511"/>
    <cellStyle name="40% - Accent6 3 11 2 4" xfId="18512"/>
    <cellStyle name="40% - Accent6 3 11 2 5" xfId="18513"/>
    <cellStyle name="40% - Accent6 3 11 3" xfId="18514"/>
    <cellStyle name="40% - Accent6 3 11 3 2" xfId="18515"/>
    <cellStyle name="40% - Accent6 3 11 3 2 2" xfId="18516"/>
    <cellStyle name="40% - Accent6 3 11 3 3" xfId="18517"/>
    <cellStyle name="40% - Accent6 3 11 3 4" xfId="18518"/>
    <cellStyle name="40% - Accent6 3 11 4" xfId="18519"/>
    <cellStyle name="40% - Accent6 3 11 4 2" xfId="18520"/>
    <cellStyle name="40% - Accent6 3 11 4 2 2" xfId="18521"/>
    <cellStyle name="40% - Accent6 3 11 4 3" xfId="18522"/>
    <cellStyle name="40% - Accent6 3 11 4 4" xfId="18523"/>
    <cellStyle name="40% - Accent6 3 11 5" xfId="18524"/>
    <cellStyle name="40% - Accent6 3 11 5 2" xfId="18525"/>
    <cellStyle name="40% - Accent6 3 11 6" xfId="18526"/>
    <cellStyle name="40% - Accent6 3 11 7" xfId="18527"/>
    <cellStyle name="40% - Accent6 3 11 8" xfId="18528"/>
    <cellStyle name="40% - Accent6 3 12" xfId="18529"/>
    <cellStyle name="40% - Accent6 3 2" xfId="18530"/>
    <cellStyle name="40% - Accent6 3 2 2" xfId="18531"/>
    <cellStyle name="40% - Accent6 3 2 2 2" xfId="18532"/>
    <cellStyle name="40% - Accent6 3 2 2 3" xfId="18533"/>
    <cellStyle name="40% - Accent6 3 2 2 4" xfId="18534"/>
    <cellStyle name="40% - Accent6 3 2 3" xfId="18535"/>
    <cellStyle name="40% - Accent6 3 2 3 2" xfId="18536"/>
    <cellStyle name="40% - Accent6 3 2 4" xfId="18537"/>
    <cellStyle name="40% - Accent6 3 2 5" xfId="18538"/>
    <cellStyle name="40% - Accent6 3 2 6" xfId="18539"/>
    <cellStyle name="40% - Accent6 3 2_Income Statement Query October" xfId="18540"/>
    <cellStyle name="40% - Accent6 3 3" xfId="18541"/>
    <cellStyle name="40% - Accent6 3 3 2" xfId="18542"/>
    <cellStyle name="40% - Accent6 3 3 3" xfId="18543"/>
    <cellStyle name="40% - Accent6 3 3 4" xfId="18544"/>
    <cellStyle name="40% - Accent6 3 4" xfId="18545"/>
    <cellStyle name="40% - Accent6 3 4 2" xfId="18546"/>
    <cellStyle name="40% - Accent6 3 5" xfId="18547"/>
    <cellStyle name="40% - Accent6 3 5 2" xfId="18548"/>
    <cellStyle name="40% - Accent6 3 5 2 2" xfId="18549"/>
    <cellStyle name="40% - Accent6 3 5 2 2 2" xfId="18550"/>
    <cellStyle name="40% - Accent6 3 5 2 2 3" xfId="18551"/>
    <cellStyle name="40% - Accent6 3 5 2 3" xfId="18552"/>
    <cellStyle name="40% - Accent6 3 5 2 3 2" xfId="18553"/>
    <cellStyle name="40% - Accent6 3 5 2 4" xfId="18554"/>
    <cellStyle name="40% - Accent6 3 5 2 5" xfId="18555"/>
    <cellStyle name="40% - Accent6 3 5 3" xfId="18556"/>
    <cellStyle name="40% - Accent6 3 5 3 2" xfId="18557"/>
    <cellStyle name="40% - Accent6 3 5 3 2 2" xfId="18558"/>
    <cellStyle name="40% - Accent6 3 5 3 3" xfId="18559"/>
    <cellStyle name="40% - Accent6 3 5 3 4" xfId="18560"/>
    <cellStyle name="40% - Accent6 3 5 4" xfId="18561"/>
    <cellStyle name="40% - Accent6 3 5 4 2" xfId="18562"/>
    <cellStyle name="40% - Accent6 3 5 4 2 2" xfId="18563"/>
    <cellStyle name="40% - Accent6 3 5 4 3" xfId="18564"/>
    <cellStyle name="40% - Accent6 3 5 4 4" xfId="18565"/>
    <cellStyle name="40% - Accent6 3 5 5" xfId="18566"/>
    <cellStyle name="40% - Accent6 3 5 5 2" xfId="18567"/>
    <cellStyle name="40% - Accent6 3 5 6" xfId="18568"/>
    <cellStyle name="40% - Accent6 3 5 7" xfId="18569"/>
    <cellStyle name="40% - Accent6 3 5 8" xfId="18570"/>
    <cellStyle name="40% - Accent6 3 6" xfId="18571"/>
    <cellStyle name="40% - Accent6 3 6 2" xfId="18572"/>
    <cellStyle name="40% - Accent6 3 6 2 2" xfId="18573"/>
    <cellStyle name="40% - Accent6 3 6 2 2 2" xfId="18574"/>
    <cellStyle name="40% - Accent6 3 6 2 2 3" xfId="18575"/>
    <cellStyle name="40% - Accent6 3 6 2 3" xfId="18576"/>
    <cellStyle name="40% - Accent6 3 6 2 3 2" xfId="18577"/>
    <cellStyle name="40% - Accent6 3 6 2 4" xfId="18578"/>
    <cellStyle name="40% - Accent6 3 6 2 5" xfId="18579"/>
    <cellStyle name="40% - Accent6 3 6 3" xfId="18580"/>
    <cellStyle name="40% - Accent6 3 6 3 2" xfId="18581"/>
    <cellStyle name="40% - Accent6 3 6 3 2 2" xfId="18582"/>
    <cellStyle name="40% - Accent6 3 6 3 3" xfId="18583"/>
    <cellStyle name="40% - Accent6 3 6 3 4" xfId="18584"/>
    <cellStyle name="40% - Accent6 3 6 4" xfId="18585"/>
    <cellStyle name="40% - Accent6 3 6 4 2" xfId="18586"/>
    <cellStyle name="40% - Accent6 3 6 4 2 2" xfId="18587"/>
    <cellStyle name="40% - Accent6 3 6 4 3" xfId="18588"/>
    <cellStyle name="40% - Accent6 3 6 4 4" xfId="18589"/>
    <cellStyle name="40% - Accent6 3 6 5" xfId="18590"/>
    <cellStyle name="40% - Accent6 3 6 5 2" xfId="18591"/>
    <cellStyle name="40% - Accent6 3 6 6" xfId="18592"/>
    <cellStyle name="40% - Accent6 3 6 7" xfId="18593"/>
    <cellStyle name="40% - Accent6 3 6 8" xfId="18594"/>
    <cellStyle name="40% - Accent6 3 7" xfId="18595"/>
    <cellStyle name="40% - Accent6 3 7 2" xfId="18596"/>
    <cellStyle name="40% - Accent6 3 7 2 2" xfId="18597"/>
    <cellStyle name="40% - Accent6 3 7 2 2 2" xfId="18598"/>
    <cellStyle name="40% - Accent6 3 7 2 2 3" xfId="18599"/>
    <cellStyle name="40% - Accent6 3 7 2 3" xfId="18600"/>
    <cellStyle name="40% - Accent6 3 7 2 3 2" xfId="18601"/>
    <cellStyle name="40% - Accent6 3 7 2 4" xfId="18602"/>
    <cellStyle name="40% - Accent6 3 7 2 5" xfId="18603"/>
    <cellStyle name="40% - Accent6 3 7 3" xfId="18604"/>
    <cellStyle name="40% - Accent6 3 7 3 2" xfId="18605"/>
    <cellStyle name="40% - Accent6 3 7 3 2 2" xfId="18606"/>
    <cellStyle name="40% - Accent6 3 7 3 3" xfId="18607"/>
    <cellStyle name="40% - Accent6 3 7 3 4" xfId="18608"/>
    <cellStyle name="40% - Accent6 3 7 4" xfId="18609"/>
    <cellStyle name="40% - Accent6 3 7 4 2" xfId="18610"/>
    <cellStyle name="40% - Accent6 3 7 4 2 2" xfId="18611"/>
    <cellStyle name="40% - Accent6 3 7 4 3" xfId="18612"/>
    <cellStyle name="40% - Accent6 3 7 4 4" xfId="18613"/>
    <cellStyle name="40% - Accent6 3 7 5" xfId="18614"/>
    <cellStyle name="40% - Accent6 3 7 5 2" xfId="18615"/>
    <cellStyle name="40% - Accent6 3 7 6" xfId="18616"/>
    <cellStyle name="40% - Accent6 3 7 7" xfId="18617"/>
    <cellStyle name="40% - Accent6 3 7 8" xfId="18618"/>
    <cellStyle name="40% - Accent6 3 8" xfId="18619"/>
    <cellStyle name="40% - Accent6 3 8 2" xfId="18620"/>
    <cellStyle name="40% - Accent6 3 8 2 2" xfId="18621"/>
    <cellStyle name="40% - Accent6 3 8 2 2 2" xfId="18622"/>
    <cellStyle name="40% - Accent6 3 8 2 2 3" xfId="18623"/>
    <cellStyle name="40% - Accent6 3 8 2 3" xfId="18624"/>
    <cellStyle name="40% - Accent6 3 8 2 3 2" xfId="18625"/>
    <cellStyle name="40% - Accent6 3 8 2 4" xfId="18626"/>
    <cellStyle name="40% - Accent6 3 8 2 5" xfId="18627"/>
    <cellStyle name="40% - Accent6 3 8 3" xfId="18628"/>
    <cellStyle name="40% - Accent6 3 8 3 2" xfId="18629"/>
    <cellStyle name="40% - Accent6 3 8 3 2 2" xfId="18630"/>
    <cellStyle name="40% - Accent6 3 8 3 3" xfId="18631"/>
    <cellStyle name="40% - Accent6 3 8 3 4" xfId="18632"/>
    <cellStyle name="40% - Accent6 3 8 4" xfId="18633"/>
    <cellStyle name="40% - Accent6 3 8 4 2" xfId="18634"/>
    <cellStyle name="40% - Accent6 3 8 4 2 2" xfId="18635"/>
    <cellStyle name="40% - Accent6 3 8 4 3" xfId="18636"/>
    <cellStyle name="40% - Accent6 3 8 4 4" xfId="18637"/>
    <cellStyle name="40% - Accent6 3 8 5" xfId="18638"/>
    <cellStyle name="40% - Accent6 3 8 5 2" xfId="18639"/>
    <cellStyle name="40% - Accent6 3 8 6" xfId="18640"/>
    <cellStyle name="40% - Accent6 3 8 7" xfId="18641"/>
    <cellStyle name="40% - Accent6 3 8 8" xfId="18642"/>
    <cellStyle name="40% - Accent6 3 9" xfId="18643"/>
    <cellStyle name="40% - Accent6 3 9 2" xfId="18644"/>
    <cellStyle name="40% - Accent6 3 9 2 2" xfId="18645"/>
    <cellStyle name="40% - Accent6 3 9 2 2 2" xfId="18646"/>
    <cellStyle name="40% - Accent6 3 9 2 2 3" xfId="18647"/>
    <cellStyle name="40% - Accent6 3 9 2 3" xfId="18648"/>
    <cellStyle name="40% - Accent6 3 9 2 3 2" xfId="18649"/>
    <cellStyle name="40% - Accent6 3 9 2 4" xfId="18650"/>
    <cellStyle name="40% - Accent6 3 9 2 5" xfId="18651"/>
    <cellStyle name="40% - Accent6 3 9 3" xfId="18652"/>
    <cellStyle name="40% - Accent6 3 9 3 2" xfId="18653"/>
    <cellStyle name="40% - Accent6 3 9 3 2 2" xfId="18654"/>
    <cellStyle name="40% - Accent6 3 9 3 3" xfId="18655"/>
    <cellStyle name="40% - Accent6 3 9 3 4" xfId="18656"/>
    <cellStyle name="40% - Accent6 3 9 4" xfId="18657"/>
    <cellStyle name="40% - Accent6 3 9 4 2" xfId="18658"/>
    <cellStyle name="40% - Accent6 3 9 4 2 2" xfId="18659"/>
    <cellStyle name="40% - Accent6 3 9 4 3" xfId="18660"/>
    <cellStyle name="40% - Accent6 3 9 4 4" xfId="18661"/>
    <cellStyle name="40% - Accent6 3 9 5" xfId="18662"/>
    <cellStyle name="40% - Accent6 3 9 5 2" xfId="18663"/>
    <cellStyle name="40% - Accent6 3 9 6" xfId="18664"/>
    <cellStyle name="40% - Accent6 3 9 7" xfId="18665"/>
    <cellStyle name="40% - Accent6 3 9 8" xfId="18666"/>
    <cellStyle name="40% - Accent6 3_Income Statement Query October" xfId="18667"/>
    <cellStyle name="40% - Accent6 4" xfId="18668"/>
    <cellStyle name="40% - Accent6 4 2" xfId="18669"/>
    <cellStyle name="40% - Accent6 4 2 2" xfId="18670"/>
    <cellStyle name="40% - Accent6 4 2 2 2" xfId="18671"/>
    <cellStyle name="40% - Accent6 4 2 2 3" xfId="18672"/>
    <cellStyle name="40% - Accent6 4 2 3" xfId="18673"/>
    <cellStyle name="40% - Accent6 4 2 4" xfId="18674"/>
    <cellStyle name="40% - Accent6 4 2_Income Statement Query October" xfId="18675"/>
    <cellStyle name="40% - Accent6 4 3" xfId="18676"/>
    <cellStyle name="40% - Accent6 4 4" xfId="18677"/>
    <cellStyle name="40% - Accent6 4_Income Statement Query October" xfId="18678"/>
    <cellStyle name="40% - Accent6 5" xfId="18679"/>
    <cellStyle name="40% - Accent6 5 2" xfId="18680"/>
    <cellStyle name="40% - Accent6 5 2 2" xfId="18681"/>
    <cellStyle name="40% - Accent6 5 2 2 2" xfId="18682"/>
    <cellStyle name="40% - Accent6 5 2 2 3" xfId="18683"/>
    <cellStyle name="40% - Accent6 5 2 3" xfId="18684"/>
    <cellStyle name="40% - Accent6 5 2 4" xfId="18685"/>
    <cellStyle name="40% - Accent6 5 2_Income Statement Query October" xfId="18686"/>
    <cellStyle name="40% - Accent6 5 3" xfId="18687"/>
    <cellStyle name="40% - Accent6 5 4" xfId="18688"/>
    <cellStyle name="40% - Accent6 5_Income Statement Query October" xfId="18689"/>
    <cellStyle name="40% - Accent6 6" xfId="18690"/>
    <cellStyle name="40% - Accent6 6 2" xfId="18691"/>
    <cellStyle name="40% - Accent6 6 2 2" xfId="18692"/>
    <cellStyle name="40% - Accent6 6 2 3" xfId="18693"/>
    <cellStyle name="40% - Accent6 6 3" xfId="18694"/>
    <cellStyle name="40% - Accent6 6 4" xfId="18695"/>
    <cellStyle name="40% - Accent6 7" xfId="18696"/>
    <cellStyle name="40% - Accent6 7 2" xfId="18697"/>
    <cellStyle name="40% - Accent6 7 2 2" xfId="18698"/>
    <cellStyle name="40% - Accent6 7 2 3" xfId="18699"/>
    <cellStyle name="40% - Accent6 7 3" xfId="18700"/>
    <cellStyle name="40% - Accent6 7 4" xfId="18701"/>
    <cellStyle name="40% - Accent6 8" xfId="18702"/>
    <cellStyle name="40% - Accent6 8 2" xfId="18703"/>
    <cellStyle name="40% - Accent6 8 2 2" xfId="18704"/>
    <cellStyle name="40% - Accent6 8 2 3" xfId="18705"/>
    <cellStyle name="40% - Accent6 8 3" xfId="18706"/>
    <cellStyle name="40% - Accent6 8 4" xfId="18707"/>
    <cellStyle name="40% - Accent6 9" xfId="18708"/>
    <cellStyle name="40% - Accent6 9 2" xfId="18709"/>
    <cellStyle name="40% - Accent6 9 2 2" xfId="18710"/>
    <cellStyle name="40% - Accent6 9 2 3" xfId="18711"/>
    <cellStyle name="40% - Accent6 9 3" xfId="18712"/>
    <cellStyle name="40% - Accent6 9 4" xfId="18713"/>
    <cellStyle name="4-Dark Blue-Formula Oth Wks" xfId="18714"/>
    <cellStyle name="4-Dark Blue-Formula Oth Wks 2" xfId="18715"/>
    <cellStyle name="4-Dark Blue-Formula Oth Wks 3" xfId="18716"/>
    <cellStyle name="60% - Accent1 10" xfId="18717"/>
    <cellStyle name="60% - Accent1 10 2" xfId="18718"/>
    <cellStyle name="60% - Accent1 10 2 2" xfId="18719"/>
    <cellStyle name="60% - Accent1 10 2 3" xfId="18720"/>
    <cellStyle name="60% - Accent1 10 3" xfId="18721"/>
    <cellStyle name="60% - Accent1 10 4" xfId="18722"/>
    <cellStyle name="60% - Accent1 11" xfId="18723"/>
    <cellStyle name="60% - Accent1 11 2" xfId="18724"/>
    <cellStyle name="60% - Accent1 11 2 2" xfId="18725"/>
    <cellStyle name="60% - Accent1 11 2 3" xfId="18726"/>
    <cellStyle name="60% - Accent1 11 3" xfId="18727"/>
    <cellStyle name="60% - Accent1 11 4" xfId="18728"/>
    <cellStyle name="60% - Accent1 12" xfId="18729"/>
    <cellStyle name="60% - Accent1 12 2" xfId="18730"/>
    <cellStyle name="60% - Accent1 12 3" xfId="18731"/>
    <cellStyle name="60% - Accent1 13" xfId="18732"/>
    <cellStyle name="60% - Accent1 13 2" xfId="18733"/>
    <cellStyle name="60% - Accent1 13 3" xfId="18734"/>
    <cellStyle name="60% - Accent1 14" xfId="18735"/>
    <cellStyle name="60% - Accent1 14 2" xfId="18736"/>
    <cellStyle name="60% - Accent1 14 3" xfId="18737"/>
    <cellStyle name="60% - Accent1 15" xfId="18738"/>
    <cellStyle name="60% - Accent1 15 2" xfId="18739"/>
    <cellStyle name="60% - Accent1 15 2 2" xfId="18740"/>
    <cellStyle name="60% - Accent1 15 2 3" xfId="18741"/>
    <cellStyle name="60% - Accent1 15 3" xfId="18742"/>
    <cellStyle name="60% - Accent1 15 4" xfId="18743"/>
    <cellStyle name="60% - Accent1 16" xfId="18744"/>
    <cellStyle name="60% - Accent1 16 2" xfId="18745"/>
    <cellStyle name="60% - Accent1 16 3" xfId="18746"/>
    <cellStyle name="60% - Accent1 17" xfId="18747"/>
    <cellStyle name="60% - Accent1 18" xfId="18748"/>
    <cellStyle name="60% - Accent1 2" xfId="18749"/>
    <cellStyle name="60% - Accent1 2 10" xfId="18750"/>
    <cellStyle name="60% - Accent1 2 10 2" xfId="18751"/>
    <cellStyle name="60% - Accent1 2 10 3" xfId="18752"/>
    <cellStyle name="60% - Accent1 2 11" xfId="18753"/>
    <cellStyle name="60% - Accent1 2 11 2" xfId="18754"/>
    <cellStyle name="60% - Accent1 2 11 3" xfId="18755"/>
    <cellStyle name="60% - Accent1 2 12" xfId="18756"/>
    <cellStyle name="60% - Accent1 2 12 2" xfId="18757"/>
    <cellStyle name="60% - Accent1 2 12 3" xfId="18758"/>
    <cellStyle name="60% - Accent1 2 13" xfId="18759"/>
    <cellStyle name="60% - Accent1 2 13 2" xfId="18760"/>
    <cellStyle name="60% - Accent1 2 14" xfId="18761"/>
    <cellStyle name="60% - Accent1 2 15" xfId="18762"/>
    <cellStyle name="60% - Accent1 2 16" xfId="18763"/>
    <cellStyle name="60% - Accent1 2 2" xfId="18764"/>
    <cellStyle name="60% - Accent1 2 2 10" xfId="18765"/>
    <cellStyle name="60% - Accent1 2 2 10 2" xfId="18766"/>
    <cellStyle name="60% - Accent1 2 2 10 3" xfId="18767"/>
    <cellStyle name="60% - Accent1 2 2 11" xfId="18768"/>
    <cellStyle name="60% - Accent1 2 2 12" xfId="18769"/>
    <cellStyle name="60% - Accent1 2 2 2" xfId="18770"/>
    <cellStyle name="60% - Accent1 2 2 2 10" xfId="18771"/>
    <cellStyle name="60% - Accent1 2 2 2 10 2" xfId="18772"/>
    <cellStyle name="60% - Accent1 2 2 2 10 3" xfId="18773"/>
    <cellStyle name="60% - Accent1 2 2 2 11" xfId="18774"/>
    <cellStyle name="60% - Accent1 2 2 2 12" xfId="18775"/>
    <cellStyle name="60% - Accent1 2 2 2 13" xfId="18776"/>
    <cellStyle name="60% - Accent1 2 2 2 2" xfId="18777"/>
    <cellStyle name="60% - Accent1 2 2 2 2 2" xfId="18778"/>
    <cellStyle name="60% - Accent1 2 2 2 2 3" xfId="18779"/>
    <cellStyle name="60% - Accent1 2 2 2 3" xfId="18780"/>
    <cellStyle name="60% - Accent1 2 2 2 3 2" xfId="18781"/>
    <cellStyle name="60% - Accent1 2 2 2 3 3" xfId="18782"/>
    <cellStyle name="60% - Accent1 2 2 2 4" xfId="18783"/>
    <cellStyle name="60% - Accent1 2 2 2 4 2" xfId="18784"/>
    <cellStyle name="60% - Accent1 2 2 2 4 3" xfId="18785"/>
    <cellStyle name="60% - Accent1 2 2 2 5" xfId="18786"/>
    <cellStyle name="60% - Accent1 2 2 2 5 2" xfId="18787"/>
    <cellStyle name="60% - Accent1 2 2 2 5 3" xfId="18788"/>
    <cellStyle name="60% - Accent1 2 2 2 6" xfId="18789"/>
    <cellStyle name="60% - Accent1 2 2 2 6 2" xfId="18790"/>
    <cellStyle name="60% - Accent1 2 2 2 6 3" xfId="18791"/>
    <cellStyle name="60% - Accent1 2 2 2 7" xfId="18792"/>
    <cellStyle name="60% - Accent1 2 2 2 7 2" xfId="18793"/>
    <cellStyle name="60% - Accent1 2 2 2 7 3" xfId="18794"/>
    <cellStyle name="60% - Accent1 2 2 2 8" xfId="18795"/>
    <cellStyle name="60% - Accent1 2 2 2 8 2" xfId="18796"/>
    <cellStyle name="60% - Accent1 2 2 2 8 3" xfId="18797"/>
    <cellStyle name="60% - Accent1 2 2 2 9" xfId="18798"/>
    <cellStyle name="60% - Accent1 2 2 2 9 2" xfId="18799"/>
    <cellStyle name="60% - Accent1 2 2 2 9 3" xfId="18800"/>
    <cellStyle name="60% - Accent1 2 2 3" xfId="18801"/>
    <cellStyle name="60% - Accent1 2 2 3 2" xfId="18802"/>
    <cellStyle name="60% - Accent1 2 2 3 3" xfId="18803"/>
    <cellStyle name="60% - Accent1 2 2 4" xfId="18804"/>
    <cellStyle name="60% - Accent1 2 2 4 2" xfId="18805"/>
    <cellStyle name="60% - Accent1 2 2 4 3" xfId="18806"/>
    <cellStyle name="60% - Accent1 2 2 5" xfId="18807"/>
    <cellStyle name="60% - Accent1 2 2 5 2" xfId="18808"/>
    <cellStyle name="60% - Accent1 2 2 5 3" xfId="18809"/>
    <cellStyle name="60% - Accent1 2 2 6" xfId="18810"/>
    <cellStyle name="60% - Accent1 2 2 6 2" xfId="18811"/>
    <cellStyle name="60% - Accent1 2 2 6 3" xfId="18812"/>
    <cellStyle name="60% - Accent1 2 2 7" xfId="18813"/>
    <cellStyle name="60% - Accent1 2 2 7 2" xfId="18814"/>
    <cellStyle name="60% - Accent1 2 2 7 3" xfId="18815"/>
    <cellStyle name="60% - Accent1 2 2 8" xfId="18816"/>
    <cellStyle name="60% - Accent1 2 2 8 2" xfId="18817"/>
    <cellStyle name="60% - Accent1 2 2 8 3" xfId="18818"/>
    <cellStyle name="60% - Accent1 2 2 9" xfId="18819"/>
    <cellStyle name="60% - Accent1 2 2 9 2" xfId="18820"/>
    <cellStyle name="60% - Accent1 2 2 9 3" xfId="18821"/>
    <cellStyle name="60% - Accent1 2 3" xfId="18822"/>
    <cellStyle name="60% - Accent1 2 3 2" xfId="18823"/>
    <cellStyle name="60% - Accent1 2 3 3" xfId="18824"/>
    <cellStyle name="60% - Accent1 2 3 4" xfId="18825"/>
    <cellStyle name="60% - Accent1 2 4" xfId="18826"/>
    <cellStyle name="60% - Accent1 2 4 2" xfId="18827"/>
    <cellStyle name="60% - Accent1 2 4 3" xfId="18828"/>
    <cellStyle name="60% - Accent1 2 5" xfId="18829"/>
    <cellStyle name="60% - Accent1 2 5 2" xfId="18830"/>
    <cellStyle name="60% - Accent1 2 5 3" xfId="18831"/>
    <cellStyle name="60% - Accent1 2 6" xfId="18832"/>
    <cellStyle name="60% - Accent1 2 6 2" xfId="18833"/>
    <cellStyle name="60% - Accent1 2 6 3" xfId="18834"/>
    <cellStyle name="60% - Accent1 2 7" xfId="18835"/>
    <cellStyle name="60% - Accent1 2 7 2" xfId="18836"/>
    <cellStyle name="60% - Accent1 2 7 2 2" xfId="18837"/>
    <cellStyle name="60% - Accent1 2 7 2 3" xfId="18838"/>
    <cellStyle name="60% - Accent1 2 7 3" xfId="18839"/>
    <cellStyle name="60% - Accent1 2 7 4" xfId="18840"/>
    <cellStyle name="60% - Accent1 2 8" xfId="18841"/>
    <cellStyle name="60% - Accent1 2 8 2" xfId="18842"/>
    <cellStyle name="60% - Accent1 2 8 3" xfId="18843"/>
    <cellStyle name="60% - Accent1 2 9" xfId="18844"/>
    <cellStyle name="60% - Accent1 2 9 2" xfId="18845"/>
    <cellStyle name="60% - Accent1 2 9 3" xfId="18846"/>
    <cellStyle name="60% - Accent1 2_1-10 BHU IS" xfId="18847"/>
    <cellStyle name="60% - Accent1 3" xfId="18848"/>
    <cellStyle name="60% - Accent1 3 2" xfId="18849"/>
    <cellStyle name="60% - Accent1 3 2 2" xfId="18850"/>
    <cellStyle name="60% - Accent1 3 2 2 2" xfId="18851"/>
    <cellStyle name="60% - Accent1 3 2 2 3" xfId="18852"/>
    <cellStyle name="60% - Accent1 3 2 3" xfId="18853"/>
    <cellStyle name="60% - Accent1 3 2 4" xfId="18854"/>
    <cellStyle name="60% - Accent1 3 2 5" xfId="18855"/>
    <cellStyle name="60% - Accent1 3 3" xfId="18856"/>
    <cellStyle name="60% - Accent1 3 3 2" xfId="18857"/>
    <cellStyle name="60% - Accent1 3 4" xfId="18858"/>
    <cellStyle name="60% - Accent1 4" xfId="18859"/>
    <cellStyle name="60% - Accent1 4 2" xfId="18860"/>
    <cellStyle name="60% - Accent1 4 2 2" xfId="18861"/>
    <cellStyle name="60% - Accent1 4 2 3" xfId="18862"/>
    <cellStyle name="60% - Accent1 4 3" xfId="18863"/>
    <cellStyle name="60% - Accent1 4 4" xfId="18864"/>
    <cellStyle name="60% - Accent1 5" xfId="18865"/>
    <cellStyle name="60% - Accent1 5 2" xfId="18866"/>
    <cellStyle name="60% - Accent1 5 2 2" xfId="18867"/>
    <cellStyle name="60% - Accent1 5 2 3" xfId="18868"/>
    <cellStyle name="60% - Accent1 5 3" xfId="18869"/>
    <cellStyle name="60% - Accent1 5 4" xfId="18870"/>
    <cellStyle name="60% - Accent1 6" xfId="18871"/>
    <cellStyle name="60% - Accent1 6 2" xfId="18872"/>
    <cellStyle name="60% - Accent1 6 2 2" xfId="18873"/>
    <cellStyle name="60% - Accent1 6 2 3" xfId="18874"/>
    <cellStyle name="60% - Accent1 6 3" xfId="18875"/>
    <cellStyle name="60% - Accent1 6 4" xfId="18876"/>
    <cellStyle name="60% - Accent1 7" xfId="18877"/>
    <cellStyle name="60% - Accent1 7 2" xfId="18878"/>
    <cellStyle name="60% - Accent1 7 2 2" xfId="18879"/>
    <cellStyle name="60% - Accent1 7 2 3" xfId="18880"/>
    <cellStyle name="60% - Accent1 7 3" xfId="18881"/>
    <cellStyle name="60% - Accent1 7 4" xfId="18882"/>
    <cellStyle name="60% - Accent1 8" xfId="18883"/>
    <cellStyle name="60% - Accent1 8 2" xfId="18884"/>
    <cellStyle name="60% - Accent1 8 2 2" xfId="18885"/>
    <cellStyle name="60% - Accent1 8 2 3" xfId="18886"/>
    <cellStyle name="60% - Accent1 8 3" xfId="18887"/>
    <cellStyle name="60% - Accent1 8 4" xfId="18888"/>
    <cellStyle name="60% - Accent1 9" xfId="18889"/>
    <cellStyle name="60% - Accent1 9 2" xfId="18890"/>
    <cellStyle name="60% - Accent1 9 2 2" xfId="18891"/>
    <cellStyle name="60% - Accent1 9 2 3" xfId="18892"/>
    <cellStyle name="60% - Accent1 9 3" xfId="18893"/>
    <cellStyle name="60% - Accent1 9 4" xfId="18894"/>
    <cellStyle name="60% - Accent2 10" xfId="18895"/>
    <cellStyle name="60% - Accent2 10 2" xfId="18896"/>
    <cellStyle name="60% - Accent2 10 2 2" xfId="18897"/>
    <cellStyle name="60% - Accent2 10 2 3" xfId="18898"/>
    <cellStyle name="60% - Accent2 10 3" xfId="18899"/>
    <cellStyle name="60% - Accent2 10 4" xfId="18900"/>
    <cellStyle name="60% - Accent2 11" xfId="18901"/>
    <cellStyle name="60% - Accent2 11 2" xfId="18902"/>
    <cellStyle name="60% - Accent2 11 2 2" xfId="18903"/>
    <cellStyle name="60% - Accent2 11 2 3" xfId="18904"/>
    <cellStyle name="60% - Accent2 11 3" xfId="18905"/>
    <cellStyle name="60% - Accent2 11 4" xfId="18906"/>
    <cellStyle name="60% - Accent2 12" xfId="18907"/>
    <cellStyle name="60% - Accent2 12 2" xfId="18908"/>
    <cellStyle name="60% - Accent2 12 3" xfId="18909"/>
    <cellStyle name="60% - Accent2 13" xfId="18910"/>
    <cellStyle name="60% - Accent2 13 2" xfId="18911"/>
    <cellStyle name="60% - Accent2 13 3" xfId="18912"/>
    <cellStyle name="60% - Accent2 14" xfId="18913"/>
    <cellStyle name="60% - Accent2 14 2" xfId="18914"/>
    <cellStyle name="60% - Accent2 14 3" xfId="18915"/>
    <cellStyle name="60% - Accent2 15" xfId="18916"/>
    <cellStyle name="60% - Accent2 15 2" xfId="18917"/>
    <cellStyle name="60% - Accent2 15 2 2" xfId="18918"/>
    <cellStyle name="60% - Accent2 15 2 3" xfId="18919"/>
    <cellStyle name="60% - Accent2 15 3" xfId="18920"/>
    <cellStyle name="60% - Accent2 15 4" xfId="18921"/>
    <cellStyle name="60% - Accent2 16" xfId="18922"/>
    <cellStyle name="60% - Accent2 16 2" xfId="18923"/>
    <cellStyle name="60% - Accent2 16 3" xfId="18924"/>
    <cellStyle name="60% - Accent2 17" xfId="18925"/>
    <cellStyle name="60% - Accent2 18" xfId="18926"/>
    <cellStyle name="60% - Accent2 2" xfId="18927"/>
    <cellStyle name="60% - Accent2 2 10" xfId="18928"/>
    <cellStyle name="60% - Accent2 2 10 2" xfId="18929"/>
    <cellStyle name="60% - Accent2 2 10 3" xfId="18930"/>
    <cellStyle name="60% - Accent2 2 11" xfId="18931"/>
    <cellStyle name="60% - Accent2 2 11 2" xfId="18932"/>
    <cellStyle name="60% - Accent2 2 11 3" xfId="18933"/>
    <cellStyle name="60% - Accent2 2 12" xfId="18934"/>
    <cellStyle name="60% - Accent2 2 12 2" xfId="18935"/>
    <cellStyle name="60% - Accent2 2 12 3" xfId="18936"/>
    <cellStyle name="60% - Accent2 2 13" xfId="18937"/>
    <cellStyle name="60% - Accent2 2 13 2" xfId="18938"/>
    <cellStyle name="60% - Accent2 2 14" xfId="18939"/>
    <cellStyle name="60% - Accent2 2 15" xfId="18940"/>
    <cellStyle name="60% - Accent2 2 16" xfId="18941"/>
    <cellStyle name="60% - Accent2 2 2" xfId="18942"/>
    <cellStyle name="60% - Accent2 2 2 10" xfId="18943"/>
    <cellStyle name="60% - Accent2 2 2 10 2" xfId="18944"/>
    <cellStyle name="60% - Accent2 2 2 10 3" xfId="18945"/>
    <cellStyle name="60% - Accent2 2 2 11" xfId="18946"/>
    <cellStyle name="60% - Accent2 2 2 12" xfId="18947"/>
    <cellStyle name="60% - Accent2 2 2 2" xfId="18948"/>
    <cellStyle name="60% - Accent2 2 2 2 10" xfId="18949"/>
    <cellStyle name="60% - Accent2 2 2 2 10 2" xfId="18950"/>
    <cellStyle name="60% - Accent2 2 2 2 10 3" xfId="18951"/>
    <cellStyle name="60% - Accent2 2 2 2 11" xfId="18952"/>
    <cellStyle name="60% - Accent2 2 2 2 12" xfId="18953"/>
    <cellStyle name="60% - Accent2 2 2 2 13" xfId="18954"/>
    <cellStyle name="60% - Accent2 2 2 2 2" xfId="18955"/>
    <cellStyle name="60% - Accent2 2 2 2 2 2" xfId="18956"/>
    <cellStyle name="60% - Accent2 2 2 2 2 3" xfId="18957"/>
    <cellStyle name="60% - Accent2 2 2 2 3" xfId="18958"/>
    <cellStyle name="60% - Accent2 2 2 2 3 2" xfId="18959"/>
    <cellStyle name="60% - Accent2 2 2 2 3 3" xfId="18960"/>
    <cellStyle name="60% - Accent2 2 2 2 4" xfId="18961"/>
    <cellStyle name="60% - Accent2 2 2 2 4 2" xfId="18962"/>
    <cellStyle name="60% - Accent2 2 2 2 4 3" xfId="18963"/>
    <cellStyle name="60% - Accent2 2 2 2 5" xfId="18964"/>
    <cellStyle name="60% - Accent2 2 2 2 5 2" xfId="18965"/>
    <cellStyle name="60% - Accent2 2 2 2 5 3" xfId="18966"/>
    <cellStyle name="60% - Accent2 2 2 2 6" xfId="18967"/>
    <cellStyle name="60% - Accent2 2 2 2 6 2" xfId="18968"/>
    <cellStyle name="60% - Accent2 2 2 2 6 3" xfId="18969"/>
    <cellStyle name="60% - Accent2 2 2 2 7" xfId="18970"/>
    <cellStyle name="60% - Accent2 2 2 2 7 2" xfId="18971"/>
    <cellStyle name="60% - Accent2 2 2 2 7 3" xfId="18972"/>
    <cellStyle name="60% - Accent2 2 2 2 8" xfId="18973"/>
    <cellStyle name="60% - Accent2 2 2 2 8 2" xfId="18974"/>
    <cellStyle name="60% - Accent2 2 2 2 8 3" xfId="18975"/>
    <cellStyle name="60% - Accent2 2 2 2 9" xfId="18976"/>
    <cellStyle name="60% - Accent2 2 2 2 9 2" xfId="18977"/>
    <cellStyle name="60% - Accent2 2 2 2 9 3" xfId="18978"/>
    <cellStyle name="60% - Accent2 2 2 3" xfId="18979"/>
    <cellStyle name="60% - Accent2 2 2 3 2" xfId="18980"/>
    <cellStyle name="60% - Accent2 2 2 3 3" xfId="18981"/>
    <cellStyle name="60% - Accent2 2 2 4" xfId="18982"/>
    <cellStyle name="60% - Accent2 2 2 4 2" xfId="18983"/>
    <cellStyle name="60% - Accent2 2 2 4 3" xfId="18984"/>
    <cellStyle name="60% - Accent2 2 2 5" xfId="18985"/>
    <cellStyle name="60% - Accent2 2 2 5 2" xfId="18986"/>
    <cellStyle name="60% - Accent2 2 2 5 3" xfId="18987"/>
    <cellStyle name="60% - Accent2 2 2 6" xfId="18988"/>
    <cellStyle name="60% - Accent2 2 2 6 2" xfId="18989"/>
    <cellStyle name="60% - Accent2 2 2 6 3" xfId="18990"/>
    <cellStyle name="60% - Accent2 2 2 7" xfId="18991"/>
    <cellStyle name="60% - Accent2 2 2 7 2" xfId="18992"/>
    <cellStyle name="60% - Accent2 2 2 7 3" xfId="18993"/>
    <cellStyle name="60% - Accent2 2 2 8" xfId="18994"/>
    <cellStyle name="60% - Accent2 2 2 8 2" xfId="18995"/>
    <cellStyle name="60% - Accent2 2 2 8 3" xfId="18996"/>
    <cellStyle name="60% - Accent2 2 2 9" xfId="18997"/>
    <cellStyle name="60% - Accent2 2 2 9 2" xfId="18998"/>
    <cellStyle name="60% - Accent2 2 2 9 3" xfId="18999"/>
    <cellStyle name="60% - Accent2 2 3" xfId="19000"/>
    <cellStyle name="60% - Accent2 2 3 2" xfId="19001"/>
    <cellStyle name="60% - Accent2 2 3 3" xfId="19002"/>
    <cellStyle name="60% - Accent2 2 3 4" xfId="19003"/>
    <cellStyle name="60% - Accent2 2 4" xfId="19004"/>
    <cellStyle name="60% - Accent2 2 4 2" xfId="19005"/>
    <cellStyle name="60% - Accent2 2 4 3" xfId="19006"/>
    <cellStyle name="60% - Accent2 2 5" xfId="19007"/>
    <cellStyle name="60% - Accent2 2 5 2" xfId="19008"/>
    <cellStyle name="60% - Accent2 2 5 3" xfId="19009"/>
    <cellStyle name="60% - Accent2 2 6" xfId="19010"/>
    <cellStyle name="60% - Accent2 2 6 2" xfId="19011"/>
    <cellStyle name="60% - Accent2 2 6 3" xfId="19012"/>
    <cellStyle name="60% - Accent2 2 7" xfId="19013"/>
    <cellStyle name="60% - Accent2 2 7 2" xfId="19014"/>
    <cellStyle name="60% - Accent2 2 7 2 2" xfId="19015"/>
    <cellStyle name="60% - Accent2 2 7 2 3" xfId="19016"/>
    <cellStyle name="60% - Accent2 2 7 3" xfId="19017"/>
    <cellStyle name="60% - Accent2 2 7 4" xfId="19018"/>
    <cellStyle name="60% - Accent2 2 8" xfId="19019"/>
    <cellStyle name="60% - Accent2 2 8 2" xfId="19020"/>
    <cellStyle name="60% - Accent2 2 8 3" xfId="19021"/>
    <cellStyle name="60% - Accent2 2 9" xfId="19022"/>
    <cellStyle name="60% - Accent2 2 9 2" xfId="19023"/>
    <cellStyle name="60% - Accent2 2 9 3" xfId="19024"/>
    <cellStyle name="60% - Accent2 2_1-10 BHU IS" xfId="19025"/>
    <cellStyle name="60% - Accent2 3" xfId="19026"/>
    <cellStyle name="60% - Accent2 3 2" xfId="19027"/>
    <cellStyle name="60% - Accent2 3 2 2" xfId="19028"/>
    <cellStyle name="60% - Accent2 3 2 2 2" xfId="19029"/>
    <cellStyle name="60% - Accent2 3 2 2 3" xfId="19030"/>
    <cellStyle name="60% - Accent2 3 2 3" xfId="19031"/>
    <cellStyle name="60% - Accent2 3 2 4" xfId="19032"/>
    <cellStyle name="60% - Accent2 3 2 5" xfId="19033"/>
    <cellStyle name="60% - Accent2 3 3" xfId="19034"/>
    <cellStyle name="60% - Accent2 3 3 2" xfId="19035"/>
    <cellStyle name="60% - Accent2 3 4" xfId="19036"/>
    <cellStyle name="60% - Accent2 4" xfId="19037"/>
    <cellStyle name="60% - Accent2 4 2" xfId="19038"/>
    <cellStyle name="60% - Accent2 4 2 2" xfId="19039"/>
    <cellStyle name="60% - Accent2 4 2 3" xfId="19040"/>
    <cellStyle name="60% - Accent2 4 3" xfId="19041"/>
    <cellStyle name="60% - Accent2 4 4" xfId="19042"/>
    <cellStyle name="60% - Accent2 5" xfId="19043"/>
    <cellStyle name="60% - Accent2 5 2" xfId="19044"/>
    <cellStyle name="60% - Accent2 5 2 2" xfId="19045"/>
    <cellStyle name="60% - Accent2 5 2 3" xfId="19046"/>
    <cellStyle name="60% - Accent2 5 3" xfId="19047"/>
    <cellStyle name="60% - Accent2 5 4" xfId="19048"/>
    <cellStyle name="60% - Accent2 6" xfId="19049"/>
    <cellStyle name="60% - Accent2 6 2" xfId="19050"/>
    <cellStyle name="60% - Accent2 6 2 2" xfId="19051"/>
    <cellStyle name="60% - Accent2 6 2 3" xfId="19052"/>
    <cellStyle name="60% - Accent2 6 3" xfId="19053"/>
    <cellStyle name="60% - Accent2 6 4" xfId="19054"/>
    <cellStyle name="60% - Accent2 7" xfId="19055"/>
    <cellStyle name="60% - Accent2 7 2" xfId="19056"/>
    <cellStyle name="60% - Accent2 7 2 2" xfId="19057"/>
    <cellStyle name="60% - Accent2 7 2 3" xfId="19058"/>
    <cellStyle name="60% - Accent2 7 3" xfId="19059"/>
    <cellStyle name="60% - Accent2 7 4" xfId="19060"/>
    <cellStyle name="60% - Accent2 8" xfId="19061"/>
    <cellStyle name="60% - Accent2 8 2" xfId="19062"/>
    <cellStyle name="60% - Accent2 8 2 2" xfId="19063"/>
    <cellStyle name="60% - Accent2 8 2 3" xfId="19064"/>
    <cellStyle name="60% - Accent2 8 3" xfId="19065"/>
    <cellStyle name="60% - Accent2 8 4" xfId="19066"/>
    <cellStyle name="60% - Accent2 9" xfId="19067"/>
    <cellStyle name="60% - Accent2 9 2" xfId="19068"/>
    <cellStyle name="60% - Accent2 9 2 2" xfId="19069"/>
    <cellStyle name="60% - Accent2 9 2 3" xfId="19070"/>
    <cellStyle name="60% - Accent2 9 3" xfId="19071"/>
    <cellStyle name="60% - Accent2 9 4" xfId="19072"/>
    <cellStyle name="60% - Accent3 10" xfId="19073"/>
    <cellStyle name="60% - Accent3 10 2" xfId="19074"/>
    <cellStyle name="60% - Accent3 10 2 2" xfId="19075"/>
    <cellStyle name="60% - Accent3 10 2 3" xfId="19076"/>
    <cellStyle name="60% - Accent3 10 3" xfId="19077"/>
    <cellStyle name="60% - Accent3 10 4" xfId="19078"/>
    <cellStyle name="60% - Accent3 11" xfId="19079"/>
    <cellStyle name="60% - Accent3 11 2" xfId="19080"/>
    <cellStyle name="60% - Accent3 11 2 2" xfId="19081"/>
    <cellStyle name="60% - Accent3 11 2 3" xfId="19082"/>
    <cellStyle name="60% - Accent3 11 3" xfId="19083"/>
    <cellStyle name="60% - Accent3 11 4" xfId="19084"/>
    <cellStyle name="60% - Accent3 12" xfId="19085"/>
    <cellStyle name="60% - Accent3 12 2" xfId="19086"/>
    <cellStyle name="60% - Accent3 12 3" xfId="19087"/>
    <cellStyle name="60% - Accent3 13" xfId="19088"/>
    <cellStyle name="60% - Accent3 13 2" xfId="19089"/>
    <cellStyle name="60% - Accent3 13 3" xfId="19090"/>
    <cellStyle name="60% - Accent3 14" xfId="19091"/>
    <cellStyle name="60% - Accent3 14 2" xfId="19092"/>
    <cellStyle name="60% - Accent3 14 3" xfId="19093"/>
    <cellStyle name="60% - Accent3 15" xfId="19094"/>
    <cellStyle name="60% - Accent3 15 2" xfId="19095"/>
    <cellStyle name="60% - Accent3 15 2 2" xfId="19096"/>
    <cellStyle name="60% - Accent3 15 2 3" xfId="19097"/>
    <cellStyle name="60% - Accent3 15 3" xfId="19098"/>
    <cellStyle name="60% - Accent3 15 4" xfId="19099"/>
    <cellStyle name="60% - Accent3 16" xfId="19100"/>
    <cellStyle name="60% - Accent3 16 2" xfId="19101"/>
    <cellStyle name="60% - Accent3 16 3" xfId="19102"/>
    <cellStyle name="60% - Accent3 17" xfId="19103"/>
    <cellStyle name="60% - Accent3 18" xfId="19104"/>
    <cellStyle name="60% - Accent3 2" xfId="19105"/>
    <cellStyle name="60% - Accent3 2 10" xfId="19106"/>
    <cellStyle name="60% - Accent3 2 10 2" xfId="19107"/>
    <cellStyle name="60% - Accent3 2 10 3" xfId="19108"/>
    <cellStyle name="60% - Accent3 2 11" xfId="19109"/>
    <cellStyle name="60% - Accent3 2 11 2" xfId="19110"/>
    <cellStyle name="60% - Accent3 2 11 3" xfId="19111"/>
    <cellStyle name="60% - Accent3 2 12" xfId="19112"/>
    <cellStyle name="60% - Accent3 2 12 2" xfId="19113"/>
    <cellStyle name="60% - Accent3 2 12 3" xfId="19114"/>
    <cellStyle name="60% - Accent3 2 13" xfId="19115"/>
    <cellStyle name="60% - Accent3 2 13 2" xfId="19116"/>
    <cellStyle name="60% - Accent3 2 14" xfId="19117"/>
    <cellStyle name="60% - Accent3 2 15" xfId="19118"/>
    <cellStyle name="60% - Accent3 2 16" xfId="19119"/>
    <cellStyle name="60% - Accent3 2 2" xfId="19120"/>
    <cellStyle name="60% - Accent3 2 2 10" xfId="19121"/>
    <cellStyle name="60% - Accent3 2 2 10 2" xfId="19122"/>
    <cellStyle name="60% - Accent3 2 2 10 3" xfId="19123"/>
    <cellStyle name="60% - Accent3 2 2 11" xfId="19124"/>
    <cellStyle name="60% - Accent3 2 2 12" xfId="19125"/>
    <cellStyle name="60% - Accent3 2 2 2" xfId="19126"/>
    <cellStyle name="60% - Accent3 2 2 2 10" xfId="19127"/>
    <cellStyle name="60% - Accent3 2 2 2 10 2" xfId="19128"/>
    <cellStyle name="60% - Accent3 2 2 2 10 3" xfId="19129"/>
    <cellStyle name="60% - Accent3 2 2 2 11" xfId="19130"/>
    <cellStyle name="60% - Accent3 2 2 2 12" xfId="19131"/>
    <cellStyle name="60% - Accent3 2 2 2 13" xfId="19132"/>
    <cellStyle name="60% - Accent3 2 2 2 2" xfId="19133"/>
    <cellStyle name="60% - Accent3 2 2 2 2 2" xfId="19134"/>
    <cellStyle name="60% - Accent3 2 2 2 2 3" xfId="19135"/>
    <cellStyle name="60% - Accent3 2 2 2 3" xfId="19136"/>
    <cellStyle name="60% - Accent3 2 2 2 3 2" xfId="19137"/>
    <cellStyle name="60% - Accent3 2 2 2 3 3" xfId="19138"/>
    <cellStyle name="60% - Accent3 2 2 2 4" xfId="19139"/>
    <cellStyle name="60% - Accent3 2 2 2 4 2" xfId="19140"/>
    <cellStyle name="60% - Accent3 2 2 2 4 3" xfId="19141"/>
    <cellStyle name="60% - Accent3 2 2 2 5" xfId="19142"/>
    <cellStyle name="60% - Accent3 2 2 2 5 2" xfId="19143"/>
    <cellStyle name="60% - Accent3 2 2 2 5 3" xfId="19144"/>
    <cellStyle name="60% - Accent3 2 2 2 6" xfId="19145"/>
    <cellStyle name="60% - Accent3 2 2 2 6 2" xfId="19146"/>
    <cellStyle name="60% - Accent3 2 2 2 6 3" xfId="19147"/>
    <cellStyle name="60% - Accent3 2 2 2 7" xfId="19148"/>
    <cellStyle name="60% - Accent3 2 2 2 7 2" xfId="19149"/>
    <cellStyle name="60% - Accent3 2 2 2 7 3" xfId="19150"/>
    <cellStyle name="60% - Accent3 2 2 2 8" xfId="19151"/>
    <cellStyle name="60% - Accent3 2 2 2 8 2" xfId="19152"/>
    <cellStyle name="60% - Accent3 2 2 2 8 3" xfId="19153"/>
    <cellStyle name="60% - Accent3 2 2 2 9" xfId="19154"/>
    <cellStyle name="60% - Accent3 2 2 2 9 2" xfId="19155"/>
    <cellStyle name="60% - Accent3 2 2 2 9 3" xfId="19156"/>
    <cellStyle name="60% - Accent3 2 2 3" xfId="19157"/>
    <cellStyle name="60% - Accent3 2 2 3 2" xfId="19158"/>
    <cellStyle name="60% - Accent3 2 2 3 3" xfId="19159"/>
    <cellStyle name="60% - Accent3 2 2 4" xfId="19160"/>
    <cellStyle name="60% - Accent3 2 2 4 2" xfId="19161"/>
    <cellStyle name="60% - Accent3 2 2 4 3" xfId="19162"/>
    <cellStyle name="60% - Accent3 2 2 5" xfId="19163"/>
    <cellStyle name="60% - Accent3 2 2 5 2" xfId="19164"/>
    <cellStyle name="60% - Accent3 2 2 5 3" xfId="19165"/>
    <cellStyle name="60% - Accent3 2 2 6" xfId="19166"/>
    <cellStyle name="60% - Accent3 2 2 6 2" xfId="19167"/>
    <cellStyle name="60% - Accent3 2 2 6 3" xfId="19168"/>
    <cellStyle name="60% - Accent3 2 2 7" xfId="19169"/>
    <cellStyle name="60% - Accent3 2 2 7 2" xfId="19170"/>
    <cellStyle name="60% - Accent3 2 2 7 3" xfId="19171"/>
    <cellStyle name="60% - Accent3 2 2 8" xfId="19172"/>
    <cellStyle name="60% - Accent3 2 2 8 2" xfId="19173"/>
    <cellStyle name="60% - Accent3 2 2 8 3" xfId="19174"/>
    <cellStyle name="60% - Accent3 2 2 9" xfId="19175"/>
    <cellStyle name="60% - Accent3 2 2 9 2" xfId="19176"/>
    <cellStyle name="60% - Accent3 2 2 9 3" xfId="19177"/>
    <cellStyle name="60% - Accent3 2 3" xfId="19178"/>
    <cellStyle name="60% - Accent3 2 3 2" xfId="19179"/>
    <cellStyle name="60% - Accent3 2 3 3" xfId="19180"/>
    <cellStyle name="60% - Accent3 2 3 4" xfId="19181"/>
    <cellStyle name="60% - Accent3 2 4" xfId="19182"/>
    <cellStyle name="60% - Accent3 2 4 2" xfId="19183"/>
    <cellStyle name="60% - Accent3 2 4 3" xfId="19184"/>
    <cellStyle name="60% - Accent3 2 5" xfId="19185"/>
    <cellStyle name="60% - Accent3 2 5 2" xfId="19186"/>
    <cellStyle name="60% - Accent3 2 5 3" xfId="19187"/>
    <cellStyle name="60% - Accent3 2 6" xfId="19188"/>
    <cellStyle name="60% - Accent3 2 6 2" xfId="19189"/>
    <cellStyle name="60% - Accent3 2 6 3" xfId="19190"/>
    <cellStyle name="60% - Accent3 2 7" xfId="19191"/>
    <cellStyle name="60% - Accent3 2 7 2" xfId="19192"/>
    <cellStyle name="60% - Accent3 2 7 2 2" xfId="19193"/>
    <cellStyle name="60% - Accent3 2 7 2 3" xfId="19194"/>
    <cellStyle name="60% - Accent3 2 7 3" xfId="19195"/>
    <cellStyle name="60% - Accent3 2 7 4" xfId="19196"/>
    <cellStyle name="60% - Accent3 2 8" xfId="19197"/>
    <cellStyle name="60% - Accent3 2 8 2" xfId="19198"/>
    <cellStyle name="60% - Accent3 2 8 3" xfId="19199"/>
    <cellStyle name="60% - Accent3 2 9" xfId="19200"/>
    <cellStyle name="60% - Accent3 2 9 2" xfId="19201"/>
    <cellStyle name="60% - Accent3 2 9 3" xfId="19202"/>
    <cellStyle name="60% - Accent3 2_1-10 BHU IS" xfId="19203"/>
    <cellStyle name="60% - Accent3 3" xfId="19204"/>
    <cellStyle name="60% - Accent3 3 2" xfId="19205"/>
    <cellStyle name="60% - Accent3 3 2 2" xfId="19206"/>
    <cellStyle name="60% - Accent3 3 2 2 2" xfId="19207"/>
    <cellStyle name="60% - Accent3 3 2 2 3" xfId="19208"/>
    <cellStyle name="60% - Accent3 3 2 3" xfId="19209"/>
    <cellStyle name="60% - Accent3 3 2 4" xfId="19210"/>
    <cellStyle name="60% - Accent3 3 2 5" xfId="19211"/>
    <cellStyle name="60% - Accent3 3 3" xfId="19212"/>
    <cellStyle name="60% - Accent3 3 3 2" xfId="19213"/>
    <cellStyle name="60% - Accent3 3 4" xfId="19214"/>
    <cellStyle name="60% - Accent3 4" xfId="19215"/>
    <cellStyle name="60% - Accent3 4 2" xfId="19216"/>
    <cellStyle name="60% - Accent3 4 2 2" xfId="19217"/>
    <cellStyle name="60% - Accent3 4 2 3" xfId="19218"/>
    <cellStyle name="60% - Accent3 4 3" xfId="19219"/>
    <cellStyle name="60% - Accent3 4 4" xfId="19220"/>
    <cellStyle name="60% - Accent3 5" xfId="19221"/>
    <cellStyle name="60% - Accent3 5 2" xfId="19222"/>
    <cellStyle name="60% - Accent3 5 2 2" xfId="19223"/>
    <cellStyle name="60% - Accent3 5 2 3" xfId="19224"/>
    <cellStyle name="60% - Accent3 5 3" xfId="19225"/>
    <cellStyle name="60% - Accent3 5 4" xfId="19226"/>
    <cellStyle name="60% - Accent3 6" xfId="19227"/>
    <cellStyle name="60% - Accent3 6 2" xfId="19228"/>
    <cellStyle name="60% - Accent3 6 2 2" xfId="19229"/>
    <cellStyle name="60% - Accent3 6 2 3" xfId="19230"/>
    <cellStyle name="60% - Accent3 6 3" xfId="19231"/>
    <cellStyle name="60% - Accent3 6 4" xfId="19232"/>
    <cellStyle name="60% - Accent3 7" xfId="19233"/>
    <cellStyle name="60% - Accent3 7 2" xfId="19234"/>
    <cellStyle name="60% - Accent3 7 2 2" xfId="19235"/>
    <cellStyle name="60% - Accent3 7 2 3" xfId="19236"/>
    <cellStyle name="60% - Accent3 7 3" xfId="19237"/>
    <cellStyle name="60% - Accent3 7 4" xfId="19238"/>
    <cellStyle name="60% - Accent3 8" xfId="19239"/>
    <cellStyle name="60% - Accent3 8 2" xfId="19240"/>
    <cellStyle name="60% - Accent3 8 2 2" xfId="19241"/>
    <cellStyle name="60% - Accent3 8 2 3" xfId="19242"/>
    <cellStyle name="60% - Accent3 8 3" xfId="19243"/>
    <cellStyle name="60% - Accent3 8 4" xfId="19244"/>
    <cellStyle name="60% - Accent3 9" xfId="19245"/>
    <cellStyle name="60% - Accent3 9 2" xfId="19246"/>
    <cellStyle name="60% - Accent3 9 2 2" xfId="19247"/>
    <cellStyle name="60% - Accent3 9 2 3" xfId="19248"/>
    <cellStyle name="60% - Accent3 9 3" xfId="19249"/>
    <cellStyle name="60% - Accent3 9 4" xfId="19250"/>
    <cellStyle name="60% - Accent4 10" xfId="19251"/>
    <cellStyle name="60% - Accent4 10 2" xfId="19252"/>
    <cellStyle name="60% - Accent4 10 2 2" xfId="19253"/>
    <cellStyle name="60% - Accent4 10 2 3" xfId="19254"/>
    <cellStyle name="60% - Accent4 10 3" xfId="19255"/>
    <cellStyle name="60% - Accent4 10 4" xfId="19256"/>
    <cellStyle name="60% - Accent4 11" xfId="19257"/>
    <cellStyle name="60% - Accent4 11 2" xfId="19258"/>
    <cellStyle name="60% - Accent4 11 2 2" xfId="19259"/>
    <cellStyle name="60% - Accent4 11 2 3" xfId="19260"/>
    <cellStyle name="60% - Accent4 11 3" xfId="19261"/>
    <cellStyle name="60% - Accent4 11 4" xfId="19262"/>
    <cellStyle name="60% - Accent4 12" xfId="19263"/>
    <cellStyle name="60% - Accent4 12 2" xfId="19264"/>
    <cellStyle name="60% - Accent4 12 3" xfId="19265"/>
    <cellStyle name="60% - Accent4 13" xfId="19266"/>
    <cellStyle name="60% - Accent4 13 2" xfId="19267"/>
    <cellStyle name="60% - Accent4 13 3" xfId="19268"/>
    <cellStyle name="60% - Accent4 14" xfId="19269"/>
    <cellStyle name="60% - Accent4 14 2" xfId="19270"/>
    <cellStyle name="60% - Accent4 14 3" xfId="19271"/>
    <cellStyle name="60% - Accent4 15" xfId="19272"/>
    <cellStyle name="60% - Accent4 15 2" xfId="19273"/>
    <cellStyle name="60% - Accent4 15 2 2" xfId="19274"/>
    <cellStyle name="60% - Accent4 15 2 3" xfId="19275"/>
    <cellStyle name="60% - Accent4 15 3" xfId="19276"/>
    <cellStyle name="60% - Accent4 15 4" xfId="19277"/>
    <cellStyle name="60% - Accent4 16" xfId="19278"/>
    <cellStyle name="60% - Accent4 16 2" xfId="19279"/>
    <cellStyle name="60% - Accent4 16 3" xfId="19280"/>
    <cellStyle name="60% - Accent4 17" xfId="19281"/>
    <cellStyle name="60% - Accent4 18" xfId="19282"/>
    <cellStyle name="60% - Accent4 2" xfId="19283"/>
    <cellStyle name="60% - Accent4 2 10" xfId="19284"/>
    <cellStyle name="60% - Accent4 2 10 2" xfId="19285"/>
    <cellStyle name="60% - Accent4 2 10 3" xfId="19286"/>
    <cellStyle name="60% - Accent4 2 11" xfId="19287"/>
    <cellStyle name="60% - Accent4 2 11 2" xfId="19288"/>
    <cellStyle name="60% - Accent4 2 11 3" xfId="19289"/>
    <cellStyle name="60% - Accent4 2 12" xfId="19290"/>
    <cellStyle name="60% - Accent4 2 12 2" xfId="19291"/>
    <cellStyle name="60% - Accent4 2 12 3" xfId="19292"/>
    <cellStyle name="60% - Accent4 2 13" xfId="19293"/>
    <cellStyle name="60% - Accent4 2 13 2" xfId="19294"/>
    <cellStyle name="60% - Accent4 2 14" xfId="19295"/>
    <cellStyle name="60% - Accent4 2 15" xfId="19296"/>
    <cellStyle name="60% - Accent4 2 16" xfId="19297"/>
    <cellStyle name="60% - Accent4 2 2" xfId="19298"/>
    <cellStyle name="60% - Accent4 2 2 10" xfId="19299"/>
    <cellStyle name="60% - Accent4 2 2 10 2" xfId="19300"/>
    <cellStyle name="60% - Accent4 2 2 10 3" xfId="19301"/>
    <cellStyle name="60% - Accent4 2 2 11" xfId="19302"/>
    <cellStyle name="60% - Accent4 2 2 12" xfId="19303"/>
    <cellStyle name="60% - Accent4 2 2 2" xfId="19304"/>
    <cellStyle name="60% - Accent4 2 2 2 10" xfId="19305"/>
    <cellStyle name="60% - Accent4 2 2 2 10 2" xfId="19306"/>
    <cellStyle name="60% - Accent4 2 2 2 10 3" xfId="19307"/>
    <cellStyle name="60% - Accent4 2 2 2 11" xfId="19308"/>
    <cellStyle name="60% - Accent4 2 2 2 12" xfId="19309"/>
    <cellStyle name="60% - Accent4 2 2 2 13" xfId="19310"/>
    <cellStyle name="60% - Accent4 2 2 2 2" xfId="19311"/>
    <cellStyle name="60% - Accent4 2 2 2 2 2" xfId="19312"/>
    <cellStyle name="60% - Accent4 2 2 2 2 3" xfId="19313"/>
    <cellStyle name="60% - Accent4 2 2 2 3" xfId="19314"/>
    <cellStyle name="60% - Accent4 2 2 2 3 2" xfId="19315"/>
    <cellStyle name="60% - Accent4 2 2 2 3 3" xfId="19316"/>
    <cellStyle name="60% - Accent4 2 2 2 4" xfId="19317"/>
    <cellStyle name="60% - Accent4 2 2 2 4 2" xfId="19318"/>
    <cellStyle name="60% - Accent4 2 2 2 4 3" xfId="19319"/>
    <cellStyle name="60% - Accent4 2 2 2 5" xfId="19320"/>
    <cellStyle name="60% - Accent4 2 2 2 5 2" xfId="19321"/>
    <cellStyle name="60% - Accent4 2 2 2 5 3" xfId="19322"/>
    <cellStyle name="60% - Accent4 2 2 2 6" xfId="19323"/>
    <cellStyle name="60% - Accent4 2 2 2 6 2" xfId="19324"/>
    <cellStyle name="60% - Accent4 2 2 2 6 3" xfId="19325"/>
    <cellStyle name="60% - Accent4 2 2 2 7" xfId="19326"/>
    <cellStyle name="60% - Accent4 2 2 2 7 2" xfId="19327"/>
    <cellStyle name="60% - Accent4 2 2 2 7 3" xfId="19328"/>
    <cellStyle name="60% - Accent4 2 2 2 8" xfId="19329"/>
    <cellStyle name="60% - Accent4 2 2 2 8 2" xfId="19330"/>
    <cellStyle name="60% - Accent4 2 2 2 8 3" xfId="19331"/>
    <cellStyle name="60% - Accent4 2 2 2 9" xfId="19332"/>
    <cellStyle name="60% - Accent4 2 2 2 9 2" xfId="19333"/>
    <cellStyle name="60% - Accent4 2 2 2 9 3" xfId="19334"/>
    <cellStyle name="60% - Accent4 2 2 3" xfId="19335"/>
    <cellStyle name="60% - Accent4 2 2 3 2" xfId="19336"/>
    <cellStyle name="60% - Accent4 2 2 3 3" xfId="19337"/>
    <cellStyle name="60% - Accent4 2 2 4" xfId="19338"/>
    <cellStyle name="60% - Accent4 2 2 4 2" xfId="19339"/>
    <cellStyle name="60% - Accent4 2 2 4 3" xfId="19340"/>
    <cellStyle name="60% - Accent4 2 2 5" xfId="19341"/>
    <cellStyle name="60% - Accent4 2 2 5 2" xfId="19342"/>
    <cellStyle name="60% - Accent4 2 2 5 3" xfId="19343"/>
    <cellStyle name="60% - Accent4 2 2 6" xfId="19344"/>
    <cellStyle name="60% - Accent4 2 2 6 2" xfId="19345"/>
    <cellStyle name="60% - Accent4 2 2 6 3" xfId="19346"/>
    <cellStyle name="60% - Accent4 2 2 7" xfId="19347"/>
    <cellStyle name="60% - Accent4 2 2 7 2" xfId="19348"/>
    <cellStyle name="60% - Accent4 2 2 7 3" xfId="19349"/>
    <cellStyle name="60% - Accent4 2 2 8" xfId="19350"/>
    <cellStyle name="60% - Accent4 2 2 8 2" xfId="19351"/>
    <cellStyle name="60% - Accent4 2 2 8 3" xfId="19352"/>
    <cellStyle name="60% - Accent4 2 2 9" xfId="19353"/>
    <cellStyle name="60% - Accent4 2 2 9 2" xfId="19354"/>
    <cellStyle name="60% - Accent4 2 2 9 3" xfId="19355"/>
    <cellStyle name="60% - Accent4 2 3" xfId="19356"/>
    <cellStyle name="60% - Accent4 2 3 2" xfId="19357"/>
    <cellStyle name="60% - Accent4 2 3 3" xfId="19358"/>
    <cellStyle name="60% - Accent4 2 3 4" xfId="19359"/>
    <cellStyle name="60% - Accent4 2 4" xfId="19360"/>
    <cellStyle name="60% - Accent4 2 4 2" xfId="19361"/>
    <cellStyle name="60% - Accent4 2 4 3" xfId="19362"/>
    <cellStyle name="60% - Accent4 2 5" xfId="19363"/>
    <cellStyle name="60% - Accent4 2 5 2" xfId="19364"/>
    <cellStyle name="60% - Accent4 2 5 3" xfId="19365"/>
    <cellStyle name="60% - Accent4 2 6" xfId="19366"/>
    <cellStyle name="60% - Accent4 2 6 2" xfId="19367"/>
    <cellStyle name="60% - Accent4 2 6 3" xfId="19368"/>
    <cellStyle name="60% - Accent4 2 7" xfId="19369"/>
    <cellStyle name="60% - Accent4 2 7 2" xfId="19370"/>
    <cellStyle name="60% - Accent4 2 7 2 2" xfId="19371"/>
    <cellStyle name="60% - Accent4 2 7 2 3" xfId="19372"/>
    <cellStyle name="60% - Accent4 2 7 3" xfId="19373"/>
    <cellStyle name="60% - Accent4 2 7 4" xfId="19374"/>
    <cellStyle name="60% - Accent4 2 8" xfId="19375"/>
    <cellStyle name="60% - Accent4 2 8 2" xfId="19376"/>
    <cellStyle name="60% - Accent4 2 8 3" xfId="19377"/>
    <cellStyle name="60% - Accent4 2 9" xfId="19378"/>
    <cellStyle name="60% - Accent4 2 9 2" xfId="19379"/>
    <cellStyle name="60% - Accent4 2 9 3" xfId="19380"/>
    <cellStyle name="60% - Accent4 2_1-10 BHU IS" xfId="19381"/>
    <cellStyle name="60% - Accent4 3" xfId="19382"/>
    <cellStyle name="60% - Accent4 3 2" xfId="19383"/>
    <cellStyle name="60% - Accent4 3 2 2" xfId="19384"/>
    <cellStyle name="60% - Accent4 3 2 2 2" xfId="19385"/>
    <cellStyle name="60% - Accent4 3 2 2 3" xfId="19386"/>
    <cellStyle name="60% - Accent4 3 2 3" xfId="19387"/>
    <cellStyle name="60% - Accent4 3 2 4" xfId="19388"/>
    <cellStyle name="60% - Accent4 3 2 5" xfId="19389"/>
    <cellStyle name="60% - Accent4 3 3" xfId="19390"/>
    <cellStyle name="60% - Accent4 3 3 2" xfId="19391"/>
    <cellStyle name="60% - Accent4 3 4" xfId="19392"/>
    <cellStyle name="60% - Accent4 4" xfId="19393"/>
    <cellStyle name="60% - Accent4 4 2" xfId="19394"/>
    <cellStyle name="60% - Accent4 4 2 2" xfId="19395"/>
    <cellStyle name="60% - Accent4 4 2 3" xfId="19396"/>
    <cellStyle name="60% - Accent4 4 3" xfId="19397"/>
    <cellStyle name="60% - Accent4 4 4" xfId="19398"/>
    <cellStyle name="60% - Accent4 5" xfId="19399"/>
    <cellStyle name="60% - Accent4 5 2" xfId="19400"/>
    <cellStyle name="60% - Accent4 5 2 2" xfId="19401"/>
    <cellStyle name="60% - Accent4 5 2 3" xfId="19402"/>
    <cellStyle name="60% - Accent4 5 3" xfId="19403"/>
    <cellStyle name="60% - Accent4 5 4" xfId="19404"/>
    <cellStyle name="60% - Accent4 6" xfId="19405"/>
    <cellStyle name="60% - Accent4 6 2" xfId="19406"/>
    <cellStyle name="60% - Accent4 6 2 2" xfId="19407"/>
    <cellStyle name="60% - Accent4 6 2 3" xfId="19408"/>
    <cellStyle name="60% - Accent4 6 3" xfId="19409"/>
    <cellStyle name="60% - Accent4 6 4" xfId="19410"/>
    <cellStyle name="60% - Accent4 7" xfId="19411"/>
    <cellStyle name="60% - Accent4 7 2" xfId="19412"/>
    <cellStyle name="60% - Accent4 7 2 2" xfId="19413"/>
    <cellStyle name="60% - Accent4 7 2 3" xfId="19414"/>
    <cellStyle name="60% - Accent4 7 3" xfId="19415"/>
    <cellStyle name="60% - Accent4 7 4" xfId="19416"/>
    <cellStyle name="60% - Accent4 8" xfId="19417"/>
    <cellStyle name="60% - Accent4 8 2" xfId="19418"/>
    <cellStyle name="60% - Accent4 8 2 2" xfId="19419"/>
    <cellStyle name="60% - Accent4 8 2 3" xfId="19420"/>
    <cellStyle name="60% - Accent4 8 3" xfId="19421"/>
    <cellStyle name="60% - Accent4 8 4" xfId="19422"/>
    <cellStyle name="60% - Accent4 9" xfId="19423"/>
    <cellStyle name="60% - Accent4 9 2" xfId="19424"/>
    <cellStyle name="60% - Accent4 9 2 2" xfId="19425"/>
    <cellStyle name="60% - Accent4 9 2 3" xfId="19426"/>
    <cellStyle name="60% - Accent4 9 3" xfId="19427"/>
    <cellStyle name="60% - Accent4 9 4" xfId="19428"/>
    <cellStyle name="60% - Accent5 10" xfId="19429"/>
    <cellStyle name="60% - Accent5 10 2" xfId="19430"/>
    <cellStyle name="60% - Accent5 10 2 2" xfId="19431"/>
    <cellStyle name="60% - Accent5 10 2 3" xfId="19432"/>
    <cellStyle name="60% - Accent5 10 3" xfId="19433"/>
    <cellStyle name="60% - Accent5 10 4" xfId="19434"/>
    <cellStyle name="60% - Accent5 11" xfId="19435"/>
    <cellStyle name="60% - Accent5 11 2" xfId="19436"/>
    <cellStyle name="60% - Accent5 11 2 2" xfId="19437"/>
    <cellStyle name="60% - Accent5 11 2 3" xfId="19438"/>
    <cellStyle name="60% - Accent5 11 3" xfId="19439"/>
    <cellStyle name="60% - Accent5 11 4" xfId="19440"/>
    <cellStyle name="60% - Accent5 12" xfId="19441"/>
    <cellStyle name="60% - Accent5 12 2" xfId="19442"/>
    <cellStyle name="60% - Accent5 12 3" xfId="19443"/>
    <cellStyle name="60% - Accent5 13" xfId="19444"/>
    <cellStyle name="60% - Accent5 13 2" xfId="19445"/>
    <cellStyle name="60% - Accent5 13 3" xfId="19446"/>
    <cellStyle name="60% - Accent5 14" xfId="19447"/>
    <cellStyle name="60% - Accent5 14 2" xfId="19448"/>
    <cellStyle name="60% - Accent5 14 3" xfId="19449"/>
    <cellStyle name="60% - Accent5 15" xfId="19450"/>
    <cellStyle name="60% - Accent5 15 2" xfId="19451"/>
    <cellStyle name="60% - Accent5 15 2 2" xfId="19452"/>
    <cellStyle name="60% - Accent5 15 2 3" xfId="19453"/>
    <cellStyle name="60% - Accent5 15 3" xfId="19454"/>
    <cellStyle name="60% - Accent5 15 4" xfId="19455"/>
    <cellStyle name="60% - Accent5 16" xfId="19456"/>
    <cellStyle name="60% - Accent5 16 2" xfId="19457"/>
    <cellStyle name="60% - Accent5 16 3" xfId="19458"/>
    <cellStyle name="60% - Accent5 17" xfId="19459"/>
    <cellStyle name="60% - Accent5 18" xfId="19460"/>
    <cellStyle name="60% - Accent5 2" xfId="19461"/>
    <cellStyle name="60% - Accent5 2 10" xfId="19462"/>
    <cellStyle name="60% - Accent5 2 10 2" xfId="19463"/>
    <cellStyle name="60% - Accent5 2 10 3" xfId="19464"/>
    <cellStyle name="60% - Accent5 2 11" xfId="19465"/>
    <cellStyle name="60% - Accent5 2 11 2" xfId="19466"/>
    <cellStyle name="60% - Accent5 2 11 3" xfId="19467"/>
    <cellStyle name="60% - Accent5 2 12" xfId="19468"/>
    <cellStyle name="60% - Accent5 2 12 2" xfId="19469"/>
    <cellStyle name="60% - Accent5 2 12 3" xfId="19470"/>
    <cellStyle name="60% - Accent5 2 13" xfId="19471"/>
    <cellStyle name="60% - Accent5 2 13 2" xfId="19472"/>
    <cellStyle name="60% - Accent5 2 14" xfId="19473"/>
    <cellStyle name="60% - Accent5 2 15" xfId="19474"/>
    <cellStyle name="60% - Accent5 2 16" xfId="19475"/>
    <cellStyle name="60% - Accent5 2 2" xfId="19476"/>
    <cellStyle name="60% - Accent5 2 2 10" xfId="19477"/>
    <cellStyle name="60% - Accent5 2 2 10 2" xfId="19478"/>
    <cellStyle name="60% - Accent5 2 2 10 3" xfId="19479"/>
    <cellStyle name="60% - Accent5 2 2 11" xfId="19480"/>
    <cellStyle name="60% - Accent5 2 2 12" xfId="19481"/>
    <cellStyle name="60% - Accent5 2 2 2" xfId="19482"/>
    <cellStyle name="60% - Accent5 2 2 2 10" xfId="19483"/>
    <cellStyle name="60% - Accent5 2 2 2 10 2" xfId="19484"/>
    <cellStyle name="60% - Accent5 2 2 2 10 3" xfId="19485"/>
    <cellStyle name="60% - Accent5 2 2 2 11" xfId="19486"/>
    <cellStyle name="60% - Accent5 2 2 2 12" xfId="19487"/>
    <cellStyle name="60% - Accent5 2 2 2 13" xfId="19488"/>
    <cellStyle name="60% - Accent5 2 2 2 2" xfId="19489"/>
    <cellStyle name="60% - Accent5 2 2 2 2 2" xfId="19490"/>
    <cellStyle name="60% - Accent5 2 2 2 2 3" xfId="19491"/>
    <cellStyle name="60% - Accent5 2 2 2 3" xfId="19492"/>
    <cellStyle name="60% - Accent5 2 2 2 3 2" xfId="19493"/>
    <cellStyle name="60% - Accent5 2 2 2 3 3" xfId="19494"/>
    <cellStyle name="60% - Accent5 2 2 2 4" xfId="19495"/>
    <cellStyle name="60% - Accent5 2 2 2 4 2" xfId="19496"/>
    <cellStyle name="60% - Accent5 2 2 2 4 3" xfId="19497"/>
    <cellStyle name="60% - Accent5 2 2 2 5" xfId="19498"/>
    <cellStyle name="60% - Accent5 2 2 2 5 2" xfId="19499"/>
    <cellStyle name="60% - Accent5 2 2 2 5 3" xfId="19500"/>
    <cellStyle name="60% - Accent5 2 2 2 6" xfId="19501"/>
    <cellStyle name="60% - Accent5 2 2 2 6 2" xfId="19502"/>
    <cellStyle name="60% - Accent5 2 2 2 6 3" xfId="19503"/>
    <cellStyle name="60% - Accent5 2 2 2 7" xfId="19504"/>
    <cellStyle name="60% - Accent5 2 2 2 7 2" xfId="19505"/>
    <cellStyle name="60% - Accent5 2 2 2 7 3" xfId="19506"/>
    <cellStyle name="60% - Accent5 2 2 2 8" xfId="19507"/>
    <cellStyle name="60% - Accent5 2 2 2 8 2" xfId="19508"/>
    <cellStyle name="60% - Accent5 2 2 2 8 3" xfId="19509"/>
    <cellStyle name="60% - Accent5 2 2 2 9" xfId="19510"/>
    <cellStyle name="60% - Accent5 2 2 2 9 2" xfId="19511"/>
    <cellStyle name="60% - Accent5 2 2 2 9 3" xfId="19512"/>
    <cellStyle name="60% - Accent5 2 2 3" xfId="19513"/>
    <cellStyle name="60% - Accent5 2 2 3 2" xfId="19514"/>
    <cellStyle name="60% - Accent5 2 2 3 3" xfId="19515"/>
    <cellStyle name="60% - Accent5 2 2 4" xfId="19516"/>
    <cellStyle name="60% - Accent5 2 2 4 2" xfId="19517"/>
    <cellStyle name="60% - Accent5 2 2 4 3" xfId="19518"/>
    <cellStyle name="60% - Accent5 2 2 5" xfId="19519"/>
    <cellStyle name="60% - Accent5 2 2 5 2" xfId="19520"/>
    <cellStyle name="60% - Accent5 2 2 5 3" xfId="19521"/>
    <cellStyle name="60% - Accent5 2 2 6" xfId="19522"/>
    <cellStyle name="60% - Accent5 2 2 6 2" xfId="19523"/>
    <cellStyle name="60% - Accent5 2 2 6 3" xfId="19524"/>
    <cellStyle name="60% - Accent5 2 2 7" xfId="19525"/>
    <cellStyle name="60% - Accent5 2 2 7 2" xfId="19526"/>
    <cellStyle name="60% - Accent5 2 2 7 3" xfId="19527"/>
    <cellStyle name="60% - Accent5 2 2 8" xfId="19528"/>
    <cellStyle name="60% - Accent5 2 2 8 2" xfId="19529"/>
    <cellStyle name="60% - Accent5 2 2 8 3" xfId="19530"/>
    <cellStyle name="60% - Accent5 2 2 9" xfId="19531"/>
    <cellStyle name="60% - Accent5 2 2 9 2" xfId="19532"/>
    <cellStyle name="60% - Accent5 2 2 9 3" xfId="19533"/>
    <cellStyle name="60% - Accent5 2 3" xfId="19534"/>
    <cellStyle name="60% - Accent5 2 3 2" xfId="19535"/>
    <cellStyle name="60% - Accent5 2 3 3" xfId="19536"/>
    <cellStyle name="60% - Accent5 2 3 4" xfId="19537"/>
    <cellStyle name="60% - Accent5 2 4" xfId="19538"/>
    <cellStyle name="60% - Accent5 2 4 2" xfId="19539"/>
    <cellStyle name="60% - Accent5 2 4 3" xfId="19540"/>
    <cellStyle name="60% - Accent5 2 5" xfId="19541"/>
    <cellStyle name="60% - Accent5 2 5 2" xfId="19542"/>
    <cellStyle name="60% - Accent5 2 5 3" xfId="19543"/>
    <cellStyle name="60% - Accent5 2 6" xfId="19544"/>
    <cellStyle name="60% - Accent5 2 6 2" xfId="19545"/>
    <cellStyle name="60% - Accent5 2 6 3" xfId="19546"/>
    <cellStyle name="60% - Accent5 2 7" xfId="19547"/>
    <cellStyle name="60% - Accent5 2 7 2" xfId="19548"/>
    <cellStyle name="60% - Accent5 2 7 2 2" xfId="19549"/>
    <cellStyle name="60% - Accent5 2 7 2 3" xfId="19550"/>
    <cellStyle name="60% - Accent5 2 7 3" xfId="19551"/>
    <cellStyle name="60% - Accent5 2 7 4" xfId="19552"/>
    <cellStyle name="60% - Accent5 2 8" xfId="19553"/>
    <cellStyle name="60% - Accent5 2 8 2" xfId="19554"/>
    <cellStyle name="60% - Accent5 2 8 3" xfId="19555"/>
    <cellStyle name="60% - Accent5 2 9" xfId="19556"/>
    <cellStyle name="60% - Accent5 2 9 2" xfId="19557"/>
    <cellStyle name="60% - Accent5 2 9 3" xfId="19558"/>
    <cellStyle name="60% - Accent5 2_1-10 BHU IS" xfId="19559"/>
    <cellStyle name="60% - Accent5 3" xfId="19560"/>
    <cellStyle name="60% - Accent5 3 2" xfId="19561"/>
    <cellStyle name="60% - Accent5 3 2 2" xfId="19562"/>
    <cellStyle name="60% - Accent5 3 2 2 2" xfId="19563"/>
    <cellStyle name="60% - Accent5 3 2 2 3" xfId="19564"/>
    <cellStyle name="60% - Accent5 3 2 3" xfId="19565"/>
    <cellStyle name="60% - Accent5 3 2 4" xfId="19566"/>
    <cellStyle name="60% - Accent5 3 2 5" xfId="19567"/>
    <cellStyle name="60% - Accent5 3 3" xfId="19568"/>
    <cellStyle name="60% - Accent5 3 3 2" xfId="19569"/>
    <cellStyle name="60% - Accent5 3 4" xfId="19570"/>
    <cellStyle name="60% - Accent5 4" xfId="19571"/>
    <cellStyle name="60% - Accent5 4 2" xfId="19572"/>
    <cellStyle name="60% - Accent5 4 2 2" xfId="19573"/>
    <cellStyle name="60% - Accent5 4 2 3" xfId="19574"/>
    <cellStyle name="60% - Accent5 4 3" xfId="19575"/>
    <cellStyle name="60% - Accent5 4 4" xfId="19576"/>
    <cellStyle name="60% - Accent5 5" xfId="19577"/>
    <cellStyle name="60% - Accent5 5 2" xfId="19578"/>
    <cellStyle name="60% - Accent5 5 2 2" xfId="19579"/>
    <cellStyle name="60% - Accent5 5 2 3" xfId="19580"/>
    <cellStyle name="60% - Accent5 5 3" xfId="19581"/>
    <cellStyle name="60% - Accent5 5 4" xfId="19582"/>
    <cellStyle name="60% - Accent5 6" xfId="19583"/>
    <cellStyle name="60% - Accent5 6 2" xfId="19584"/>
    <cellStyle name="60% - Accent5 6 2 2" xfId="19585"/>
    <cellStyle name="60% - Accent5 6 2 3" xfId="19586"/>
    <cellStyle name="60% - Accent5 6 3" xfId="19587"/>
    <cellStyle name="60% - Accent5 6 4" xfId="19588"/>
    <cellStyle name="60% - Accent5 7" xfId="19589"/>
    <cellStyle name="60% - Accent5 7 2" xfId="19590"/>
    <cellStyle name="60% - Accent5 7 2 2" xfId="19591"/>
    <cellStyle name="60% - Accent5 7 2 3" xfId="19592"/>
    <cellStyle name="60% - Accent5 7 3" xfId="19593"/>
    <cellStyle name="60% - Accent5 7 4" xfId="19594"/>
    <cellStyle name="60% - Accent5 8" xfId="19595"/>
    <cellStyle name="60% - Accent5 8 2" xfId="19596"/>
    <cellStyle name="60% - Accent5 8 2 2" xfId="19597"/>
    <cellStyle name="60% - Accent5 8 2 3" xfId="19598"/>
    <cellStyle name="60% - Accent5 8 3" xfId="19599"/>
    <cellStyle name="60% - Accent5 8 4" xfId="19600"/>
    <cellStyle name="60% - Accent5 9" xfId="19601"/>
    <cellStyle name="60% - Accent5 9 2" xfId="19602"/>
    <cellStyle name="60% - Accent5 9 2 2" xfId="19603"/>
    <cellStyle name="60% - Accent5 9 2 3" xfId="19604"/>
    <cellStyle name="60% - Accent5 9 3" xfId="19605"/>
    <cellStyle name="60% - Accent5 9 4" xfId="19606"/>
    <cellStyle name="60% - Accent6 10" xfId="19607"/>
    <cellStyle name="60% - Accent6 10 2" xfId="19608"/>
    <cellStyle name="60% - Accent6 10 2 2" xfId="19609"/>
    <cellStyle name="60% - Accent6 10 2 3" xfId="19610"/>
    <cellStyle name="60% - Accent6 10 3" xfId="19611"/>
    <cellStyle name="60% - Accent6 10 4" xfId="19612"/>
    <cellStyle name="60% - Accent6 11" xfId="19613"/>
    <cellStyle name="60% - Accent6 11 2" xfId="19614"/>
    <cellStyle name="60% - Accent6 11 2 2" xfId="19615"/>
    <cellStyle name="60% - Accent6 11 2 3" xfId="19616"/>
    <cellStyle name="60% - Accent6 11 3" xfId="19617"/>
    <cellStyle name="60% - Accent6 11 4" xfId="19618"/>
    <cellStyle name="60% - Accent6 12" xfId="19619"/>
    <cellStyle name="60% - Accent6 12 2" xfId="19620"/>
    <cellStyle name="60% - Accent6 12 3" xfId="19621"/>
    <cellStyle name="60% - Accent6 13" xfId="19622"/>
    <cellStyle name="60% - Accent6 13 2" xfId="19623"/>
    <cellStyle name="60% - Accent6 13 3" xfId="19624"/>
    <cellStyle name="60% - Accent6 14" xfId="19625"/>
    <cellStyle name="60% - Accent6 14 2" xfId="19626"/>
    <cellStyle name="60% - Accent6 14 3" xfId="19627"/>
    <cellStyle name="60% - Accent6 15" xfId="19628"/>
    <cellStyle name="60% - Accent6 15 2" xfId="19629"/>
    <cellStyle name="60% - Accent6 15 2 2" xfId="19630"/>
    <cellStyle name="60% - Accent6 15 2 3" xfId="19631"/>
    <cellStyle name="60% - Accent6 15 3" xfId="19632"/>
    <cellStyle name="60% - Accent6 15 4" xfId="19633"/>
    <cellStyle name="60% - Accent6 16" xfId="19634"/>
    <cellStyle name="60% - Accent6 16 2" xfId="19635"/>
    <cellStyle name="60% - Accent6 16 3" xfId="19636"/>
    <cellStyle name="60% - Accent6 17" xfId="19637"/>
    <cellStyle name="60% - Accent6 18" xfId="19638"/>
    <cellStyle name="60% - Accent6 2" xfId="19639"/>
    <cellStyle name="60% - Accent6 2 10" xfId="19640"/>
    <cellStyle name="60% - Accent6 2 10 2" xfId="19641"/>
    <cellStyle name="60% - Accent6 2 10 3" xfId="19642"/>
    <cellStyle name="60% - Accent6 2 11" xfId="19643"/>
    <cellStyle name="60% - Accent6 2 11 2" xfId="19644"/>
    <cellStyle name="60% - Accent6 2 11 3" xfId="19645"/>
    <cellStyle name="60% - Accent6 2 12" xfId="19646"/>
    <cellStyle name="60% - Accent6 2 12 2" xfId="19647"/>
    <cellStyle name="60% - Accent6 2 12 3" xfId="19648"/>
    <cellStyle name="60% - Accent6 2 13" xfId="19649"/>
    <cellStyle name="60% - Accent6 2 13 2" xfId="19650"/>
    <cellStyle name="60% - Accent6 2 14" xfId="19651"/>
    <cellStyle name="60% - Accent6 2 15" xfId="19652"/>
    <cellStyle name="60% - Accent6 2 16" xfId="19653"/>
    <cellStyle name="60% - Accent6 2 2" xfId="19654"/>
    <cellStyle name="60% - Accent6 2 2 10" xfId="19655"/>
    <cellStyle name="60% - Accent6 2 2 10 2" xfId="19656"/>
    <cellStyle name="60% - Accent6 2 2 10 3" xfId="19657"/>
    <cellStyle name="60% - Accent6 2 2 11" xfId="19658"/>
    <cellStyle name="60% - Accent6 2 2 12" xfId="19659"/>
    <cellStyle name="60% - Accent6 2 2 2" xfId="19660"/>
    <cellStyle name="60% - Accent6 2 2 2 10" xfId="19661"/>
    <cellStyle name="60% - Accent6 2 2 2 10 2" xfId="19662"/>
    <cellStyle name="60% - Accent6 2 2 2 10 3" xfId="19663"/>
    <cellStyle name="60% - Accent6 2 2 2 11" xfId="19664"/>
    <cellStyle name="60% - Accent6 2 2 2 12" xfId="19665"/>
    <cellStyle name="60% - Accent6 2 2 2 13" xfId="19666"/>
    <cellStyle name="60% - Accent6 2 2 2 2" xfId="19667"/>
    <cellStyle name="60% - Accent6 2 2 2 2 2" xfId="19668"/>
    <cellStyle name="60% - Accent6 2 2 2 2 3" xfId="19669"/>
    <cellStyle name="60% - Accent6 2 2 2 3" xfId="19670"/>
    <cellStyle name="60% - Accent6 2 2 2 3 2" xfId="19671"/>
    <cellStyle name="60% - Accent6 2 2 2 3 3" xfId="19672"/>
    <cellStyle name="60% - Accent6 2 2 2 4" xfId="19673"/>
    <cellStyle name="60% - Accent6 2 2 2 4 2" xfId="19674"/>
    <cellStyle name="60% - Accent6 2 2 2 4 3" xfId="19675"/>
    <cellStyle name="60% - Accent6 2 2 2 5" xfId="19676"/>
    <cellStyle name="60% - Accent6 2 2 2 5 2" xfId="19677"/>
    <cellStyle name="60% - Accent6 2 2 2 5 3" xfId="19678"/>
    <cellStyle name="60% - Accent6 2 2 2 6" xfId="19679"/>
    <cellStyle name="60% - Accent6 2 2 2 6 2" xfId="19680"/>
    <cellStyle name="60% - Accent6 2 2 2 6 3" xfId="19681"/>
    <cellStyle name="60% - Accent6 2 2 2 7" xfId="19682"/>
    <cellStyle name="60% - Accent6 2 2 2 7 2" xfId="19683"/>
    <cellStyle name="60% - Accent6 2 2 2 7 3" xfId="19684"/>
    <cellStyle name="60% - Accent6 2 2 2 8" xfId="19685"/>
    <cellStyle name="60% - Accent6 2 2 2 8 2" xfId="19686"/>
    <cellStyle name="60% - Accent6 2 2 2 8 3" xfId="19687"/>
    <cellStyle name="60% - Accent6 2 2 2 9" xfId="19688"/>
    <cellStyle name="60% - Accent6 2 2 2 9 2" xfId="19689"/>
    <cellStyle name="60% - Accent6 2 2 2 9 3" xfId="19690"/>
    <cellStyle name="60% - Accent6 2 2 3" xfId="19691"/>
    <cellStyle name="60% - Accent6 2 2 3 2" xfId="19692"/>
    <cellStyle name="60% - Accent6 2 2 3 3" xfId="19693"/>
    <cellStyle name="60% - Accent6 2 2 4" xfId="19694"/>
    <cellStyle name="60% - Accent6 2 2 4 2" xfId="19695"/>
    <cellStyle name="60% - Accent6 2 2 4 3" xfId="19696"/>
    <cellStyle name="60% - Accent6 2 2 5" xfId="19697"/>
    <cellStyle name="60% - Accent6 2 2 5 2" xfId="19698"/>
    <cellStyle name="60% - Accent6 2 2 5 3" xfId="19699"/>
    <cellStyle name="60% - Accent6 2 2 6" xfId="19700"/>
    <cellStyle name="60% - Accent6 2 2 6 2" xfId="19701"/>
    <cellStyle name="60% - Accent6 2 2 6 3" xfId="19702"/>
    <cellStyle name="60% - Accent6 2 2 7" xfId="19703"/>
    <cellStyle name="60% - Accent6 2 2 7 2" xfId="19704"/>
    <cellStyle name="60% - Accent6 2 2 7 3" xfId="19705"/>
    <cellStyle name="60% - Accent6 2 2 8" xfId="19706"/>
    <cellStyle name="60% - Accent6 2 2 8 2" xfId="19707"/>
    <cellStyle name="60% - Accent6 2 2 8 3" xfId="19708"/>
    <cellStyle name="60% - Accent6 2 2 9" xfId="19709"/>
    <cellStyle name="60% - Accent6 2 2 9 2" xfId="19710"/>
    <cellStyle name="60% - Accent6 2 2 9 3" xfId="19711"/>
    <cellStyle name="60% - Accent6 2 3" xfId="19712"/>
    <cellStyle name="60% - Accent6 2 3 2" xfId="19713"/>
    <cellStyle name="60% - Accent6 2 3 3" xfId="19714"/>
    <cellStyle name="60% - Accent6 2 3 4" xfId="19715"/>
    <cellStyle name="60% - Accent6 2 4" xfId="19716"/>
    <cellStyle name="60% - Accent6 2 4 2" xfId="19717"/>
    <cellStyle name="60% - Accent6 2 4 3" xfId="19718"/>
    <cellStyle name="60% - Accent6 2 5" xfId="19719"/>
    <cellStyle name="60% - Accent6 2 5 2" xfId="19720"/>
    <cellStyle name="60% - Accent6 2 5 3" xfId="19721"/>
    <cellStyle name="60% - Accent6 2 6" xfId="19722"/>
    <cellStyle name="60% - Accent6 2 6 2" xfId="19723"/>
    <cellStyle name="60% - Accent6 2 6 3" xfId="19724"/>
    <cellStyle name="60% - Accent6 2 7" xfId="19725"/>
    <cellStyle name="60% - Accent6 2 7 2" xfId="19726"/>
    <cellStyle name="60% - Accent6 2 7 2 2" xfId="19727"/>
    <cellStyle name="60% - Accent6 2 7 2 3" xfId="19728"/>
    <cellStyle name="60% - Accent6 2 7 3" xfId="19729"/>
    <cellStyle name="60% - Accent6 2 7 4" xfId="19730"/>
    <cellStyle name="60% - Accent6 2 8" xfId="19731"/>
    <cellStyle name="60% - Accent6 2 8 2" xfId="19732"/>
    <cellStyle name="60% - Accent6 2 8 3" xfId="19733"/>
    <cellStyle name="60% - Accent6 2 9" xfId="19734"/>
    <cellStyle name="60% - Accent6 2 9 2" xfId="19735"/>
    <cellStyle name="60% - Accent6 2 9 3" xfId="19736"/>
    <cellStyle name="60% - Accent6 2_1-10 BHU IS" xfId="19737"/>
    <cellStyle name="60% - Accent6 3" xfId="19738"/>
    <cellStyle name="60% - Accent6 3 2" xfId="19739"/>
    <cellStyle name="60% - Accent6 3 2 2" xfId="19740"/>
    <cellStyle name="60% - Accent6 3 2 2 2" xfId="19741"/>
    <cellStyle name="60% - Accent6 3 2 2 3" xfId="19742"/>
    <cellStyle name="60% - Accent6 3 2 3" xfId="19743"/>
    <cellStyle name="60% - Accent6 3 2 4" xfId="19744"/>
    <cellStyle name="60% - Accent6 3 2 5" xfId="19745"/>
    <cellStyle name="60% - Accent6 3 3" xfId="19746"/>
    <cellStyle name="60% - Accent6 3 3 2" xfId="19747"/>
    <cellStyle name="60% - Accent6 3 4" xfId="19748"/>
    <cellStyle name="60% - Accent6 4" xfId="19749"/>
    <cellStyle name="60% - Accent6 4 2" xfId="19750"/>
    <cellStyle name="60% - Accent6 4 2 2" xfId="19751"/>
    <cellStyle name="60% - Accent6 4 2 3" xfId="19752"/>
    <cellStyle name="60% - Accent6 4 3" xfId="19753"/>
    <cellStyle name="60% - Accent6 4 4" xfId="19754"/>
    <cellStyle name="60% - Accent6 5" xfId="19755"/>
    <cellStyle name="60% - Accent6 5 2" xfId="19756"/>
    <cellStyle name="60% - Accent6 5 2 2" xfId="19757"/>
    <cellStyle name="60% - Accent6 5 2 3" xfId="19758"/>
    <cellStyle name="60% - Accent6 5 3" xfId="19759"/>
    <cellStyle name="60% - Accent6 5 4" xfId="19760"/>
    <cellStyle name="60% - Accent6 6" xfId="19761"/>
    <cellStyle name="60% - Accent6 6 2" xfId="19762"/>
    <cellStyle name="60% - Accent6 6 2 2" xfId="19763"/>
    <cellStyle name="60% - Accent6 6 2 3" xfId="19764"/>
    <cellStyle name="60% - Accent6 6 3" xfId="19765"/>
    <cellStyle name="60% - Accent6 6 4" xfId="19766"/>
    <cellStyle name="60% - Accent6 7" xfId="19767"/>
    <cellStyle name="60% - Accent6 7 2" xfId="19768"/>
    <cellStyle name="60% - Accent6 7 2 2" xfId="19769"/>
    <cellStyle name="60% - Accent6 7 2 3" xfId="19770"/>
    <cellStyle name="60% - Accent6 7 3" xfId="19771"/>
    <cellStyle name="60% - Accent6 7 4" xfId="19772"/>
    <cellStyle name="60% - Accent6 8" xfId="19773"/>
    <cellStyle name="60% - Accent6 8 2" xfId="19774"/>
    <cellStyle name="60% - Accent6 8 2 2" xfId="19775"/>
    <cellStyle name="60% - Accent6 8 2 3" xfId="19776"/>
    <cellStyle name="60% - Accent6 8 3" xfId="19777"/>
    <cellStyle name="60% - Accent6 8 4" xfId="19778"/>
    <cellStyle name="60% - Accent6 9" xfId="19779"/>
    <cellStyle name="60% - Accent6 9 2" xfId="19780"/>
    <cellStyle name="60% - Accent6 9 2 2" xfId="19781"/>
    <cellStyle name="60% - Accent6 9 2 3" xfId="19782"/>
    <cellStyle name="60% - Accent6 9 3" xfId="19783"/>
    <cellStyle name="60% - Accent6 9 4" xfId="19784"/>
    <cellStyle name="Accent1" xfId="3" builtinId="29"/>
    <cellStyle name="Accent1 10" xfId="19785"/>
    <cellStyle name="Accent1 10 2" xfId="19786"/>
    <cellStyle name="Accent1 10 2 2" xfId="19787"/>
    <cellStyle name="Accent1 10 2 3" xfId="19788"/>
    <cellStyle name="Accent1 10 3" xfId="19789"/>
    <cellStyle name="Accent1 10 4" xfId="19790"/>
    <cellStyle name="Accent1 11" xfId="19791"/>
    <cellStyle name="Accent1 11 2" xfId="19792"/>
    <cellStyle name="Accent1 11 2 2" xfId="19793"/>
    <cellStyle name="Accent1 11 2 3" xfId="19794"/>
    <cellStyle name="Accent1 11 3" xfId="19795"/>
    <cellStyle name="Accent1 11 4" xfId="19796"/>
    <cellStyle name="Accent1 12" xfId="19797"/>
    <cellStyle name="Accent1 12 2" xfId="19798"/>
    <cellStyle name="Accent1 12 3" xfId="19799"/>
    <cellStyle name="Accent1 13" xfId="19800"/>
    <cellStyle name="Accent1 13 2" xfId="19801"/>
    <cellStyle name="Accent1 13 3" xfId="19802"/>
    <cellStyle name="Accent1 14" xfId="19803"/>
    <cellStyle name="Accent1 14 2" xfId="19804"/>
    <cellStyle name="Accent1 14 3" xfId="19805"/>
    <cellStyle name="Accent1 15" xfId="19806"/>
    <cellStyle name="Accent1 15 2" xfId="19807"/>
    <cellStyle name="Accent1 15 2 2" xfId="19808"/>
    <cellStyle name="Accent1 15 2 3" xfId="19809"/>
    <cellStyle name="Accent1 15 3" xfId="19810"/>
    <cellStyle name="Accent1 15 4" xfId="19811"/>
    <cellStyle name="Accent1 16" xfId="19812"/>
    <cellStyle name="Accent1 16 2" xfId="19813"/>
    <cellStyle name="Accent1 16 3" xfId="19814"/>
    <cellStyle name="Accent1 17" xfId="19815"/>
    <cellStyle name="Accent1 18" xfId="19816"/>
    <cellStyle name="Accent1 2" xfId="19817"/>
    <cellStyle name="Accent1 2 10" xfId="19818"/>
    <cellStyle name="Accent1 2 10 2" xfId="19819"/>
    <cellStyle name="Accent1 2 10 3" xfId="19820"/>
    <cellStyle name="Accent1 2 11" xfId="19821"/>
    <cellStyle name="Accent1 2 11 2" xfId="19822"/>
    <cellStyle name="Accent1 2 11 3" xfId="19823"/>
    <cellStyle name="Accent1 2 12" xfId="19824"/>
    <cellStyle name="Accent1 2 12 2" xfId="19825"/>
    <cellStyle name="Accent1 2 12 3" xfId="19826"/>
    <cellStyle name="Accent1 2 13" xfId="19827"/>
    <cellStyle name="Accent1 2 13 2" xfId="19828"/>
    <cellStyle name="Accent1 2 14" xfId="19829"/>
    <cellStyle name="Accent1 2 15" xfId="19830"/>
    <cellStyle name="Accent1 2 16" xfId="19831"/>
    <cellStyle name="Accent1 2 2" xfId="19832"/>
    <cellStyle name="Accent1 2 2 10" xfId="19833"/>
    <cellStyle name="Accent1 2 2 10 2" xfId="19834"/>
    <cellStyle name="Accent1 2 2 10 3" xfId="19835"/>
    <cellStyle name="Accent1 2 2 11" xfId="19836"/>
    <cellStyle name="Accent1 2 2 12" xfId="19837"/>
    <cellStyle name="Accent1 2 2 2" xfId="19838"/>
    <cellStyle name="Accent1 2 2 2 10" xfId="19839"/>
    <cellStyle name="Accent1 2 2 2 10 2" xfId="19840"/>
    <cellStyle name="Accent1 2 2 2 10 3" xfId="19841"/>
    <cellStyle name="Accent1 2 2 2 11" xfId="19842"/>
    <cellStyle name="Accent1 2 2 2 12" xfId="19843"/>
    <cellStyle name="Accent1 2 2 2 13" xfId="19844"/>
    <cellStyle name="Accent1 2 2 2 2" xfId="19845"/>
    <cellStyle name="Accent1 2 2 2 2 2" xfId="19846"/>
    <cellStyle name="Accent1 2 2 2 2 3" xfId="19847"/>
    <cellStyle name="Accent1 2 2 2 3" xfId="19848"/>
    <cellStyle name="Accent1 2 2 2 3 2" xfId="19849"/>
    <cellStyle name="Accent1 2 2 2 3 3" xfId="19850"/>
    <cellStyle name="Accent1 2 2 2 4" xfId="19851"/>
    <cellStyle name="Accent1 2 2 2 4 2" xfId="19852"/>
    <cellStyle name="Accent1 2 2 2 4 3" xfId="19853"/>
    <cellStyle name="Accent1 2 2 2 5" xfId="19854"/>
    <cellStyle name="Accent1 2 2 2 5 2" xfId="19855"/>
    <cellStyle name="Accent1 2 2 2 5 3" xfId="19856"/>
    <cellStyle name="Accent1 2 2 2 6" xfId="19857"/>
    <cellStyle name="Accent1 2 2 2 6 2" xfId="19858"/>
    <cellStyle name="Accent1 2 2 2 6 3" xfId="19859"/>
    <cellStyle name="Accent1 2 2 2 7" xfId="19860"/>
    <cellStyle name="Accent1 2 2 2 7 2" xfId="19861"/>
    <cellStyle name="Accent1 2 2 2 7 3" xfId="19862"/>
    <cellStyle name="Accent1 2 2 2 8" xfId="19863"/>
    <cellStyle name="Accent1 2 2 2 8 2" xfId="19864"/>
    <cellStyle name="Accent1 2 2 2 8 3" xfId="19865"/>
    <cellStyle name="Accent1 2 2 2 9" xfId="19866"/>
    <cellStyle name="Accent1 2 2 2 9 2" xfId="19867"/>
    <cellStyle name="Accent1 2 2 2 9 3" xfId="19868"/>
    <cellStyle name="Accent1 2 2 3" xfId="19869"/>
    <cellStyle name="Accent1 2 2 3 2" xfId="19870"/>
    <cellStyle name="Accent1 2 2 3 3" xfId="19871"/>
    <cellStyle name="Accent1 2 2 4" xfId="19872"/>
    <cellStyle name="Accent1 2 2 4 2" xfId="19873"/>
    <cellStyle name="Accent1 2 2 4 3" xfId="19874"/>
    <cellStyle name="Accent1 2 2 5" xfId="19875"/>
    <cellStyle name="Accent1 2 2 5 2" xfId="19876"/>
    <cellStyle name="Accent1 2 2 5 3" xfId="19877"/>
    <cellStyle name="Accent1 2 2 6" xfId="19878"/>
    <cellStyle name="Accent1 2 2 6 2" xfId="19879"/>
    <cellStyle name="Accent1 2 2 6 3" xfId="19880"/>
    <cellStyle name="Accent1 2 2 7" xfId="19881"/>
    <cellStyle name="Accent1 2 2 7 2" xfId="19882"/>
    <cellStyle name="Accent1 2 2 7 3" xfId="19883"/>
    <cellStyle name="Accent1 2 2 8" xfId="19884"/>
    <cellStyle name="Accent1 2 2 8 2" xfId="19885"/>
    <cellStyle name="Accent1 2 2 8 3" xfId="19886"/>
    <cellStyle name="Accent1 2 2 9" xfId="19887"/>
    <cellStyle name="Accent1 2 2 9 2" xfId="19888"/>
    <cellStyle name="Accent1 2 2 9 3" xfId="19889"/>
    <cellStyle name="Accent1 2 3" xfId="19890"/>
    <cellStyle name="Accent1 2 3 2" xfId="19891"/>
    <cellStyle name="Accent1 2 3 3" xfId="19892"/>
    <cellStyle name="Accent1 2 3 4" xfId="19893"/>
    <cellStyle name="Accent1 2 4" xfId="19894"/>
    <cellStyle name="Accent1 2 4 2" xfId="19895"/>
    <cellStyle name="Accent1 2 4 3" xfId="19896"/>
    <cellStyle name="Accent1 2 5" xfId="19897"/>
    <cellStyle name="Accent1 2 5 2" xfId="19898"/>
    <cellStyle name="Accent1 2 5 3" xfId="19899"/>
    <cellStyle name="Accent1 2 6" xfId="19900"/>
    <cellStyle name="Accent1 2 6 2" xfId="19901"/>
    <cellStyle name="Accent1 2 6 3" xfId="19902"/>
    <cellStyle name="Accent1 2 7" xfId="19903"/>
    <cellStyle name="Accent1 2 7 2" xfId="19904"/>
    <cellStyle name="Accent1 2 7 2 2" xfId="19905"/>
    <cellStyle name="Accent1 2 7 2 3" xfId="19906"/>
    <cellStyle name="Accent1 2 7 3" xfId="19907"/>
    <cellStyle name="Accent1 2 7 4" xfId="19908"/>
    <cellStyle name="Accent1 2 8" xfId="19909"/>
    <cellStyle name="Accent1 2 8 2" xfId="19910"/>
    <cellStyle name="Accent1 2 8 3" xfId="19911"/>
    <cellStyle name="Accent1 2 9" xfId="19912"/>
    <cellStyle name="Accent1 2 9 2" xfId="19913"/>
    <cellStyle name="Accent1 2 9 3" xfId="19914"/>
    <cellStyle name="Accent1 2_1-10 BHU IS" xfId="19915"/>
    <cellStyle name="Accent1 3" xfId="19916"/>
    <cellStyle name="Accent1 3 2" xfId="19917"/>
    <cellStyle name="Accent1 3 2 2" xfId="19918"/>
    <cellStyle name="Accent1 3 2 2 2" xfId="19919"/>
    <cellStyle name="Accent1 3 2 2 3" xfId="19920"/>
    <cellStyle name="Accent1 3 2 3" xfId="19921"/>
    <cellStyle name="Accent1 3 2 4" xfId="19922"/>
    <cellStyle name="Accent1 3 2 5" xfId="19923"/>
    <cellStyle name="Accent1 3 3" xfId="19924"/>
    <cellStyle name="Accent1 3 3 2" xfId="19925"/>
    <cellStyle name="Accent1 3 4" xfId="19926"/>
    <cellStyle name="Accent1 4" xfId="19927"/>
    <cellStyle name="Accent1 4 2" xfId="19928"/>
    <cellStyle name="Accent1 4 2 2" xfId="19929"/>
    <cellStyle name="Accent1 4 2 3" xfId="19930"/>
    <cellStyle name="Accent1 4 3" xfId="19931"/>
    <cellStyle name="Accent1 4 4" xfId="19932"/>
    <cellStyle name="Accent1 5" xfId="19933"/>
    <cellStyle name="Accent1 5 2" xfId="19934"/>
    <cellStyle name="Accent1 5 2 2" xfId="19935"/>
    <cellStyle name="Accent1 5 2 3" xfId="19936"/>
    <cellStyle name="Accent1 5 3" xfId="19937"/>
    <cellStyle name="Accent1 5 4" xfId="19938"/>
    <cellStyle name="Accent1 6" xfId="19939"/>
    <cellStyle name="Accent1 6 2" xfId="19940"/>
    <cellStyle name="Accent1 6 2 2" xfId="19941"/>
    <cellStyle name="Accent1 6 2 3" xfId="19942"/>
    <cellStyle name="Accent1 6 3" xfId="19943"/>
    <cellStyle name="Accent1 6 4" xfId="19944"/>
    <cellStyle name="Accent1 7" xfId="19945"/>
    <cellStyle name="Accent1 7 2" xfId="19946"/>
    <cellStyle name="Accent1 7 2 2" xfId="19947"/>
    <cellStyle name="Accent1 7 2 3" xfId="19948"/>
    <cellStyle name="Accent1 7 3" xfId="19949"/>
    <cellStyle name="Accent1 7 4" xfId="19950"/>
    <cellStyle name="Accent1 8" xfId="19951"/>
    <cellStyle name="Accent1 8 2" xfId="19952"/>
    <cellStyle name="Accent1 8 2 2" xfId="19953"/>
    <cellStyle name="Accent1 8 2 3" xfId="19954"/>
    <cellStyle name="Accent1 8 3" xfId="19955"/>
    <cellStyle name="Accent1 8 4" xfId="19956"/>
    <cellStyle name="Accent1 9" xfId="19957"/>
    <cellStyle name="Accent1 9 2" xfId="19958"/>
    <cellStyle name="Accent1 9 2 2" xfId="19959"/>
    <cellStyle name="Accent1 9 2 3" xfId="19960"/>
    <cellStyle name="Accent1 9 3" xfId="19961"/>
    <cellStyle name="Accent1 9 4" xfId="19962"/>
    <cellStyle name="Accent2 10" xfId="19963"/>
    <cellStyle name="Accent2 10 2" xfId="19964"/>
    <cellStyle name="Accent2 10 2 2" xfId="19965"/>
    <cellStyle name="Accent2 10 2 3" xfId="19966"/>
    <cellStyle name="Accent2 10 3" xfId="19967"/>
    <cellStyle name="Accent2 10 4" xfId="19968"/>
    <cellStyle name="Accent2 11" xfId="19969"/>
    <cellStyle name="Accent2 11 2" xfId="19970"/>
    <cellStyle name="Accent2 11 2 2" xfId="19971"/>
    <cellStyle name="Accent2 11 2 3" xfId="19972"/>
    <cellStyle name="Accent2 11 3" xfId="19973"/>
    <cellStyle name="Accent2 11 4" xfId="19974"/>
    <cellStyle name="Accent2 12" xfId="19975"/>
    <cellStyle name="Accent2 12 2" xfId="19976"/>
    <cellStyle name="Accent2 12 3" xfId="19977"/>
    <cellStyle name="Accent2 13" xfId="19978"/>
    <cellStyle name="Accent2 13 2" xfId="19979"/>
    <cellStyle name="Accent2 13 3" xfId="19980"/>
    <cellStyle name="Accent2 14" xfId="19981"/>
    <cellStyle name="Accent2 14 2" xfId="19982"/>
    <cellStyle name="Accent2 14 3" xfId="19983"/>
    <cellStyle name="Accent2 15" xfId="19984"/>
    <cellStyle name="Accent2 15 2" xfId="19985"/>
    <cellStyle name="Accent2 15 2 2" xfId="19986"/>
    <cellStyle name="Accent2 15 2 3" xfId="19987"/>
    <cellStyle name="Accent2 15 3" xfId="19988"/>
    <cellStyle name="Accent2 15 4" xfId="19989"/>
    <cellStyle name="Accent2 16" xfId="19990"/>
    <cellStyle name="Accent2 16 2" xfId="19991"/>
    <cellStyle name="Accent2 16 3" xfId="19992"/>
    <cellStyle name="Accent2 17" xfId="19993"/>
    <cellStyle name="Accent2 18" xfId="19994"/>
    <cellStyle name="Accent2 2" xfId="19995"/>
    <cellStyle name="Accent2 2 10" xfId="19996"/>
    <cellStyle name="Accent2 2 10 2" xfId="19997"/>
    <cellStyle name="Accent2 2 10 3" xfId="19998"/>
    <cellStyle name="Accent2 2 11" xfId="19999"/>
    <cellStyle name="Accent2 2 11 2" xfId="20000"/>
    <cellStyle name="Accent2 2 11 3" xfId="20001"/>
    <cellStyle name="Accent2 2 12" xfId="20002"/>
    <cellStyle name="Accent2 2 12 2" xfId="20003"/>
    <cellStyle name="Accent2 2 12 3" xfId="20004"/>
    <cellStyle name="Accent2 2 13" xfId="20005"/>
    <cellStyle name="Accent2 2 13 2" xfId="20006"/>
    <cellStyle name="Accent2 2 14" xfId="20007"/>
    <cellStyle name="Accent2 2 15" xfId="20008"/>
    <cellStyle name="Accent2 2 16" xfId="20009"/>
    <cellStyle name="Accent2 2 2" xfId="20010"/>
    <cellStyle name="Accent2 2 2 10" xfId="20011"/>
    <cellStyle name="Accent2 2 2 10 2" xfId="20012"/>
    <cellStyle name="Accent2 2 2 10 3" xfId="20013"/>
    <cellStyle name="Accent2 2 2 11" xfId="20014"/>
    <cellStyle name="Accent2 2 2 12" xfId="20015"/>
    <cellStyle name="Accent2 2 2 2" xfId="20016"/>
    <cellStyle name="Accent2 2 2 2 10" xfId="20017"/>
    <cellStyle name="Accent2 2 2 2 10 2" xfId="20018"/>
    <cellStyle name="Accent2 2 2 2 10 3" xfId="20019"/>
    <cellStyle name="Accent2 2 2 2 11" xfId="20020"/>
    <cellStyle name="Accent2 2 2 2 12" xfId="20021"/>
    <cellStyle name="Accent2 2 2 2 13" xfId="20022"/>
    <cellStyle name="Accent2 2 2 2 2" xfId="20023"/>
    <cellStyle name="Accent2 2 2 2 2 2" xfId="20024"/>
    <cellStyle name="Accent2 2 2 2 2 3" xfId="20025"/>
    <cellStyle name="Accent2 2 2 2 3" xfId="20026"/>
    <cellStyle name="Accent2 2 2 2 3 2" xfId="20027"/>
    <cellStyle name="Accent2 2 2 2 3 3" xfId="20028"/>
    <cellStyle name="Accent2 2 2 2 4" xfId="20029"/>
    <cellStyle name="Accent2 2 2 2 4 2" xfId="20030"/>
    <cellStyle name="Accent2 2 2 2 4 3" xfId="20031"/>
    <cellStyle name="Accent2 2 2 2 5" xfId="20032"/>
    <cellStyle name="Accent2 2 2 2 5 2" xfId="20033"/>
    <cellStyle name="Accent2 2 2 2 5 3" xfId="20034"/>
    <cellStyle name="Accent2 2 2 2 6" xfId="20035"/>
    <cellStyle name="Accent2 2 2 2 6 2" xfId="20036"/>
    <cellStyle name="Accent2 2 2 2 6 3" xfId="20037"/>
    <cellStyle name="Accent2 2 2 2 7" xfId="20038"/>
    <cellStyle name="Accent2 2 2 2 7 2" xfId="20039"/>
    <cellStyle name="Accent2 2 2 2 7 3" xfId="20040"/>
    <cellStyle name="Accent2 2 2 2 8" xfId="20041"/>
    <cellStyle name="Accent2 2 2 2 8 2" xfId="20042"/>
    <cellStyle name="Accent2 2 2 2 8 3" xfId="20043"/>
    <cellStyle name="Accent2 2 2 2 9" xfId="20044"/>
    <cellStyle name="Accent2 2 2 2 9 2" xfId="20045"/>
    <cellStyle name="Accent2 2 2 2 9 3" xfId="20046"/>
    <cellStyle name="Accent2 2 2 3" xfId="20047"/>
    <cellStyle name="Accent2 2 2 3 2" xfId="20048"/>
    <cellStyle name="Accent2 2 2 3 3" xfId="20049"/>
    <cellStyle name="Accent2 2 2 4" xfId="20050"/>
    <cellStyle name="Accent2 2 2 4 2" xfId="20051"/>
    <cellStyle name="Accent2 2 2 4 3" xfId="20052"/>
    <cellStyle name="Accent2 2 2 5" xfId="20053"/>
    <cellStyle name="Accent2 2 2 5 2" xfId="20054"/>
    <cellStyle name="Accent2 2 2 5 3" xfId="20055"/>
    <cellStyle name="Accent2 2 2 6" xfId="20056"/>
    <cellStyle name="Accent2 2 2 6 2" xfId="20057"/>
    <cellStyle name="Accent2 2 2 6 3" xfId="20058"/>
    <cellStyle name="Accent2 2 2 7" xfId="20059"/>
    <cellStyle name="Accent2 2 2 7 2" xfId="20060"/>
    <cellStyle name="Accent2 2 2 7 3" xfId="20061"/>
    <cellStyle name="Accent2 2 2 8" xfId="20062"/>
    <cellStyle name="Accent2 2 2 8 2" xfId="20063"/>
    <cellStyle name="Accent2 2 2 8 3" xfId="20064"/>
    <cellStyle name="Accent2 2 2 9" xfId="20065"/>
    <cellStyle name="Accent2 2 2 9 2" xfId="20066"/>
    <cellStyle name="Accent2 2 2 9 3" xfId="20067"/>
    <cellStyle name="Accent2 2 3" xfId="20068"/>
    <cellStyle name="Accent2 2 3 2" xfId="20069"/>
    <cellStyle name="Accent2 2 3 3" xfId="20070"/>
    <cellStyle name="Accent2 2 3 4" xfId="20071"/>
    <cellStyle name="Accent2 2 4" xfId="20072"/>
    <cellStyle name="Accent2 2 4 2" xfId="20073"/>
    <cellStyle name="Accent2 2 4 3" xfId="20074"/>
    <cellStyle name="Accent2 2 5" xfId="20075"/>
    <cellStyle name="Accent2 2 5 2" xfId="20076"/>
    <cellStyle name="Accent2 2 5 3" xfId="20077"/>
    <cellStyle name="Accent2 2 6" xfId="20078"/>
    <cellStyle name="Accent2 2 6 2" xfId="20079"/>
    <cellStyle name="Accent2 2 6 3" xfId="20080"/>
    <cellStyle name="Accent2 2 7" xfId="20081"/>
    <cellStyle name="Accent2 2 7 2" xfId="20082"/>
    <cellStyle name="Accent2 2 7 2 2" xfId="20083"/>
    <cellStyle name="Accent2 2 7 2 3" xfId="20084"/>
    <cellStyle name="Accent2 2 7 3" xfId="20085"/>
    <cellStyle name="Accent2 2 7 4" xfId="20086"/>
    <cellStyle name="Accent2 2 8" xfId="20087"/>
    <cellStyle name="Accent2 2 8 2" xfId="20088"/>
    <cellStyle name="Accent2 2 8 3" xfId="20089"/>
    <cellStyle name="Accent2 2 9" xfId="20090"/>
    <cellStyle name="Accent2 2 9 2" xfId="20091"/>
    <cellStyle name="Accent2 2 9 3" xfId="20092"/>
    <cellStyle name="Accent2 2_1-10 BHU IS" xfId="20093"/>
    <cellStyle name="Accent2 3" xfId="20094"/>
    <cellStyle name="Accent2 3 2" xfId="20095"/>
    <cellStyle name="Accent2 3 2 2" xfId="20096"/>
    <cellStyle name="Accent2 3 2 2 2" xfId="20097"/>
    <cellStyle name="Accent2 3 2 2 3" xfId="20098"/>
    <cellStyle name="Accent2 3 2 3" xfId="20099"/>
    <cellStyle name="Accent2 3 2 4" xfId="20100"/>
    <cellStyle name="Accent2 3 2 5" xfId="20101"/>
    <cellStyle name="Accent2 3 3" xfId="20102"/>
    <cellStyle name="Accent2 3 3 2" xfId="20103"/>
    <cellStyle name="Accent2 3 4" xfId="20104"/>
    <cellStyle name="Accent2 4" xfId="20105"/>
    <cellStyle name="Accent2 4 2" xfId="20106"/>
    <cellStyle name="Accent2 4 2 2" xfId="20107"/>
    <cellStyle name="Accent2 4 2 3" xfId="20108"/>
    <cellStyle name="Accent2 4 3" xfId="20109"/>
    <cellStyle name="Accent2 4 4" xfId="20110"/>
    <cellStyle name="Accent2 5" xfId="20111"/>
    <cellStyle name="Accent2 5 2" xfId="20112"/>
    <cellStyle name="Accent2 5 2 2" xfId="20113"/>
    <cellStyle name="Accent2 5 2 3" xfId="20114"/>
    <cellStyle name="Accent2 5 3" xfId="20115"/>
    <cellStyle name="Accent2 5 4" xfId="20116"/>
    <cellStyle name="Accent2 6" xfId="20117"/>
    <cellStyle name="Accent2 6 2" xfId="20118"/>
    <cellStyle name="Accent2 6 2 2" xfId="20119"/>
    <cellStyle name="Accent2 6 2 3" xfId="20120"/>
    <cellStyle name="Accent2 6 3" xfId="20121"/>
    <cellStyle name="Accent2 6 4" xfId="20122"/>
    <cellStyle name="Accent2 7" xfId="20123"/>
    <cellStyle name="Accent2 7 2" xfId="20124"/>
    <cellStyle name="Accent2 7 2 2" xfId="20125"/>
    <cellStyle name="Accent2 7 2 3" xfId="20126"/>
    <cellStyle name="Accent2 7 3" xfId="20127"/>
    <cellStyle name="Accent2 7 4" xfId="20128"/>
    <cellStyle name="Accent2 8" xfId="20129"/>
    <cellStyle name="Accent2 8 2" xfId="20130"/>
    <cellStyle name="Accent2 8 2 2" xfId="20131"/>
    <cellStyle name="Accent2 8 2 3" xfId="20132"/>
    <cellStyle name="Accent2 8 3" xfId="20133"/>
    <cellStyle name="Accent2 8 4" xfId="20134"/>
    <cellStyle name="Accent2 9" xfId="20135"/>
    <cellStyle name="Accent2 9 2" xfId="20136"/>
    <cellStyle name="Accent2 9 2 2" xfId="20137"/>
    <cellStyle name="Accent2 9 2 3" xfId="20138"/>
    <cellStyle name="Accent2 9 3" xfId="20139"/>
    <cellStyle name="Accent2 9 4" xfId="20140"/>
    <cellStyle name="Accent3 10" xfId="20141"/>
    <cellStyle name="Accent3 10 2" xfId="20142"/>
    <cellStyle name="Accent3 10 2 2" xfId="20143"/>
    <cellStyle name="Accent3 10 2 3" xfId="20144"/>
    <cellStyle name="Accent3 10 3" xfId="20145"/>
    <cellStyle name="Accent3 10 4" xfId="20146"/>
    <cellStyle name="Accent3 11" xfId="20147"/>
    <cellStyle name="Accent3 11 2" xfId="20148"/>
    <cellStyle name="Accent3 11 2 2" xfId="20149"/>
    <cellStyle name="Accent3 11 2 3" xfId="20150"/>
    <cellStyle name="Accent3 11 3" xfId="20151"/>
    <cellStyle name="Accent3 11 4" xfId="20152"/>
    <cellStyle name="Accent3 12" xfId="20153"/>
    <cellStyle name="Accent3 12 2" xfId="20154"/>
    <cellStyle name="Accent3 12 3" xfId="20155"/>
    <cellStyle name="Accent3 13" xfId="20156"/>
    <cellStyle name="Accent3 13 2" xfId="20157"/>
    <cellStyle name="Accent3 13 3" xfId="20158"/>
    <cellStyle name="Accent3 14" xfId="20159"/>
    <cellStyle name="Accent3 14 2" xfId="20160"/>
    <cellStyle name="Accent3 14 3" xfId="20161"/>
    <cellStyle name="Accent3 15" xfId="20162"/>
    <cellStyle name="Accent3 15 2" xfId="20163"/>
    <cellStyle name="Accent3 15 2 2" xfId="20164"/>
    <cellStyle name="Accent3 15 2 3" xfId="20165"/>
    <cellStyle name="Accent3 15 3" xfId="20166"/>
    <cellStyle name="Accent3 15 4" xfId="20167"/>
    <cellStyle name="Accent3 16" xfId="20168"/>
    <cellStyle name="Accent3 16 2" xfId="20169"/>
    <cellStyle name="Accent3 16 3" xfId="20170"/>
    <cellStyle name="Accent3 17" xfId="20171"/>
    <cellStyle name="Accent3 18" xfId="20172"/>
    <cellStyle name="Accent3 2" xfId="20173"/>
    <cellStyle name="Accent3 2 10" xfId="20174"/>
    <cellStyle name="Accent3 2 10 2" xfId="20175"/>
    <cellStyle name="Accent3 2 10 3" xfId="20176"/>
    <cellStyle name="Accent3 2 11" xfId="20177"/>
    <cellStyle name="Accent3 2 11 2" xfId="20178"/>
    <cellStyle name="Accent3 2 11 3" xfId="20179"/>
    <cellStyle name="Accent3 2 12" xfId="20180"/>
    <cellStyle name="Accent3 2 12 2" xfId="20181"/>
    <cellStyle name="Accent3 2 12 3" xfId="20182"/>
    <cellStyle name="Accent3 2 13" xfId="20183"/>
    <cellStyle name="Accent3 2 13 2" xfId="20184"/>
    <cellStyle name="Accent3 2 14" xfId="20185"/>
    <cellStyle name="Accent3 2 15" xfId="20186"/>
    <cellStyle name="Accent3 2 16" xfId="20187"/>
    <cellStyle name="Accent3 2 2" xfId="20188"/>
    <cellStyle name="Accent3 2 2 10" xfId="20189"/>
    <cellStyle name="Accent3 2 2 10 2" xfId="20190"/>
    <cellStyle name="Accent3 2 2 10 3" xfId="20191"/>
    <cellStyle name="Accent3 2 2 11" xfId="20192"/>
    <cellStyle name="Accent3 2 2 12" xfId="20193"/>
    <cellStyle name="Accent3 2 2 2" xfId="20194"/>
    <cellStyle name="Accent3 2 2 2 10" xfId="20195"/>
    <cellStyle name="Accent3 2 2 2 10 2" xfId="20196"/>
    <cellStyle name="Accent3 2 2 2 10 3" xfId="20197"/>
    <cellStyle name="Accent3 2 2 2 11" xfId="20198"/>
    <cellStyle name="Accent3 2 2 2 12" xfId="20199"/>
    <cellStyle name="Accent3 2 2 2 13" xfId="20200"/>
    <cellStyle name="Accent3 2 2 2 2" xfId="20201"/>
    <cellStyle name="Accent3 2 2 2 2 2" xfId="20202"/>
    <cellStyle name="Accent3 2 2 2 2 3" xfId="20203"/>
    <cellStyle name="Accent3 2 2 2 3" xfId="20204"/>
    <cellStyle name="Accent3 2 2 2 3 2" xfId="20205"/>
    <cellStyle name="Accent3 2 2 2 3 3" xfId="20206"/>
    <cellStyle name="Accent3 2 2 2 4" xfId="20207"/>
    <cellStyle name="Accent3 2 2 2 4 2" xfId="20208"/>
    <cellStyle name="Accent3 2 2 2 4 3" xfId="20209"/>
    <cellStyle name="Accent3 2 2 2 5" xfId="20210"/>
    <cellStyle name="Accent3 2 2 2 5 2" xfId="20211"/>
    <cellStyle name="Accent3 2 2 2 5 3" xfId="20212"/>
    <cellStyle name="Accent3 2 2 2 6" xfId="20213"/>
    <cellStyle name="Accent3 2 2 2 6 2" xfId="20214"/>
    <cellStyle name="Accent3 2 2 2 6 3" xfId="20215"/>
    <cellStyle name="Accent3 2 2 2 7" xfId="20216"/>
    <cellStyle name="Accent3 2 2 2 7 2" xfId="20217"/>
    <cellStyle name="Accent3 2 2 2 7 3" xfId="20218"/>
    <cellStyle name="Accent3 2 2 2 8" xfId="20219"/>
    <cellStyle name="Accent3 2 2 2 8 2" xfId="20220"/>
    <cellStyle name="Accent3 2 2 2 8 3" xfId="20221"/>
    <cellStyle name="Accent3 2 2 2 9" xfId="20222"/>
    <cellStyle name="Accent3 2 2 2 9 2" xfId="20223"/>
    <cellStyle name="Accent3 2 2 2 9 3" xfId="20224"/>
    <cellStyle name="Accent3 2 2 3" xfId="20225"/>
    <cellStyle name="Accent3 2 2 3 2" xfId="20226"/>
    <cellStyle name="Accent3 2 2 3 3" xfId="20227"/>
    <cellStyle name="Accent3 2 2 4" xfId="20228"/>
    <cellStyle name="Accent3 2 2 4 2" xfId="20229"/>
    <cellStyle name="Accent3 2 2 4 3" xfId="20230"/>
    <cellStyle name="Accent3 2 2 5" xfId="20231"/>
    <cellStyle name="Accent3 2 2 5 2" xfId="20232"/>
    <cellStyle name="Accent3 2 2 5 3" xfId="20233"/>
    <cellStyle name="Accent3 2 2 6" xfId="20234"/>
    <cellStyle name="Accent3 2 2 6 2" xfId="20235"/>
    <cellStyle name="Accent3 2 2 6 3" xfId="20236"/>
    <cellStyle name="Accent3 2 2 7" xfId="20237"/>
    <cellStyle name="Accent3 2 2 7 2" xfId="20238"/>
    <cellStyle name="Accent3 2 2 7 3" xfId="20239"/>
    <cellStyle name="Accent3 2 2 8" xfId="20240"/>
    <cellStyle name="Accent3 2 2 8 2" xfId="20241"/>
    <cellStyle name="Accent3 2 2 8 3" xfId="20242"/>
    <cellStyle name="Accent3 2 2 9" xfId="20243"/>
    <cellStyle name="Accent3 2 2 9 2" xfId="20244"/>
    <cellStyle name="Accent3 2 2 9 3" xfId="20245"/>
    <cellStyle name="Accent3 2 3" xfId="20246"/>
    <cellStyle name="Accent3 2 3 2" xfId="20247"/>
    <cellStyle name="Accent3 2 3 3" xfId="20248"/>
    <cellStyle name="Accent3 2 3 4" xfId="20249"/>
    <cellStyle name="Accent3 2 4" xfId="20250"/>
    <cellStyle name="Accent3 2 4 2" xfId="20251"/>
    <cellStyle name="Accent3 2 4 3" xfId="20252"/>
    <cellStyle name="Accent3 2 5" xfId="20253"/>
    <cellStyle name="Accent3 2 5 2" xfId="20254"/>
    <cellStyle name="Accent3 2 5 3" xfId="20255"/>
    <cellStyle name="Accent3 2 6" xfId="20256"/>
    <cellStyle name="Accent3 2 6 2" xfId="20257"/>
    <cellStyle name="Accent3 2 6 3" xfId="20258"/>
    <cellStyle name="Accent3 2 7" xfId="20259"/>
    <cellStyle name="Accent3 2 7 2" xfId="20260"/>
    <cellStyle name="Accent3 2 7 2 2" xfId="20261"/>
    <cellStyle name="Accent3 2 7 2 3" xfId="20262"/>
    <cellStyle name="Accent3 2 7 3" xfId="20263"/>
    <cellStyle name="Accent3 2 7 4" xfId="20264"/>
    <cellStyle name="Accent3 2 8" xfId="20265"/>
    <cellStyle name="Accent3 2 8 2" xfId="20266"/>
    <cellStyle name="Accent3 2 8 3" xfId="20267"/>
    <cellStyle name="Accent3 2 9" xfId="20268"/>
    <cellStyle name="Accent3 2 9 2" xfId="20269"/>
    <cellStyle name="Accent3 2 9 3" xfId="20270"/>
    <cellStyle name="Accent3 2_1-10 BHU IS" xfId="20271"/>
    <cellStyle name="Accent3 3" xfId="20272"/>
    <cellStyle name="Accent3 3 2" xfId="20273"/>
    <cellStyle name="Accent3 3 2 2" xfId="20274"/>
    <cellStyle name="Accent3 3 2 2 2" xfId="20275"/>
    <cellStyle name="Accent3 3 2 2 3" xfId="20276"/>
    <cellStyle name="Accent3 3 2 3" xfId="20277"/>
    <cellStyle name="Accent3 3 2 4" xfId="20278"/>
    <cellStyle name="Accent3 3 2 5" xfId="20279"/>
    <cellStyle name="Accent3 3 3" xfId="20280"/>
    <cellStyle name="Accent3 3 3 2" xfId="20281"/>
    <cellStyle name="Accent3 3 4" xfId="20282"/>
    <cellStyle name="Accent3 4" xfId="20283"/>
    <cellStyle name="Accent3 4 2" xfId="20284"/>
    <cellStyle name="Accent3 4 2 2" xfId="20285"/>
    <cellStyle name="Accent3 4 2 3" xfId="20286"/>
    <cellStyle name="Accent3 4 3" xfId="20287"/>
    <cellStyle name="Accent3 4 4" xfId="20288"/>
    <cellStyle name="Accent3 5" xfId="20289"/>
    <cellStyle name="Accent3 5 2" xfId="20290"/>
    <cellStyle name="Accent3 5 2 2" xfId="20291"/>
    <cellStyle name="Accent3 5 2 3" xfId="20292"/>
    <cellStyle name="Accent3 5 3" xfId="20293"/>
    <cellStyle name="Accent3 5 4" xfId="20294"/>
    <cellStyle name="Accent3 6" xfId="20295"/>
    <cellStyle name="Accent3 6 2" xfId="20296"/>
    <cellStyle name="Accent3 6 2 2" xfId="20297"/>
    <cellStyle name="Accent3 6 2 3" xfId="20298"/>
    <cellStyle name="Accent3 6 3" xfId="20299"/>
    <cellStyle name="Accent3 6 4" xfId="20300"/>
    <cellStyle name="Accent3 7" xfId="20301"/>
    <cellStyle name="Accent3 7 2" xfId="20302"/>
    <cellStyle name="Accent3 7 2 2" xfId="20303"/>
    <cellStyle name="Accent3 7 2 3" xfId="20304"/>
    <cellStyle name="Accent3 7 3" xfId="20305"/>
    <cellStyle name="Accent3 7 4" xfId="20306"/>
    <cellStyle name="Accent3 8" xfId="20307"/>
    <cellStyle name="Accent3 8 2" xfId="20308"/>
    <cellStyle name="Accent3 8 2 2" xfId="20309"/>
    <cellStyle name="Accent3 8 2 3" xfId="20310"/>
    <cellStyle name="Accent3 8 3" xfId="20311"/>
    <cellStyle name="Accent3 8 4" xfId="20312"/>
    <cellStyle name="Accent3 9" xfId="20313"/>
    <cellStyle name="Accent3 9 2" xfId="20314"/>
    <cellStyle name="Accent3 9 2 2" xfId="20315"/>
    <cellStyle name="Accent3 9 2 3" xfId="20316"/>
    <cellStyle name="Accent3 9 3" xfId="20317"/>
    <cellStyle name="Accent3 9 4" xfId="20318"/>
    <cellStyle name="Accent4 10" xfId="20319"/>
    <cellStyle name="Accent4 10 2" xfId="20320"/>
    <cellStyle name="Accent4 10 2 2" xfId="20321"/>
    <cellStyle name="Accent4 10 2 3" xfId="20322"/>
    <cellStyle name="Accent4 10 3" xfId="20323"/>
    <cellStyle name="Accent4 10 4" xfId="20324"/>
    <cellStyle name="Accent4 11" xfId="20325"/>
    <cellStyle name="Accent4 11 2" xfId="20326"/>
    <cellStyle name="Accent4 11 2 2" xfId="20327"/>
    <cellStyle name="Accent4 11 2 3" xfId="20328"/>
    <cellStyle name="Accent4 11 3" xfId="20329"/>
    <cellStyle name="Accent4 11 4" xfId="20330"/>
    <cellStyle name="Accent4 12" xfId="20331"/>
    <cellStyle name="Accent4 12 2" xfId="20332"/>
    <cellStyle name="Accent4 12 3" xfId="20333"/>
    <cellStyle name="Accent4 13" xfId="20334"/>
    <cellStyle name="Accent4 13 2" xfId="20335"/>
    <cellStyle name="Accent4 13 3" xfId="20336"/>
    <cellStyle name="Accent4 14" xfId="20337"/>
    <cellStyle name="Accent4 14 2" xfId="20338"/>
    <cellStyle name="Accent4 14 3" xfId="20339"/>
    <cellStyle name="Accent4 15" xfId="20340"/>
    <cellStyle name="Accent4 15 2" xfId="20341"/>
    <cellStyle name="Accent4 15 2 2" xfId="20342"/>
    <cellStyle name="Accent4 15 2 3" xfId="20343"/>
    <cellStyle name="Accent4 15 3" xfId="20344"/>
    <cellStyle name="Accent4 15 4" xfId="20345"/>
    <cellStyle name="Accent4 16" xfId="20346"/>
    <cellStyle name="Accent4 16 2" xfId="20347"/>
    <cellStyle name="Accent4 16 3" xfId="20348"/>
    <cellStyle name="Accent4 17" xfId="20349"/>
    <cellStyle name="Accent4 18" xfId="20350"/>
    <cellStyle name="Accent4 2" xfId="20351"/>
    <cellStyle name="Accent4 2 10" xfId="20352"/>
    <cellStyle name="Accent4 2 10 2" xfId="20353"/>
    <cellStyle name="Accent4 2 10 3" xfId="20354"/>
    <cellStyle name="Accent4 2 11" xfId="20355"/>
    <cellStyle name="Accent4 2 11 2" xfId="20356"/>
    <cellStyle name="Accent4 2 11 3" xfId="20357"/>
    <cellStyle name="Accent4 2 12" xfId="20358"/>
    <cellStyle name="Accent4 2 12 2" xfId="20359"/>
    <cellStyle name="Accent4 2 12 3" xfId="20360"/>
    <cellStyle name="Accent4 2 13" xfId="20361"/>
    <cellStyle name="Accent4 2 13 2" xfId="20362"/>
    <cellStyle name="Accent4 2 14" xfId="20363"/>
    <cellStyle name="Accent4 2 15" xfId="20364"/>
    <cellStyle name="Accent4 2 16" xfId="20365"/>
    <cellStyle name="Accent4 2 2" xfId="20366"/>
    <cellStyle name="Accent4 2 2 10" xfId="20367"/>
    <cellStyle name="Accent4 2 2 10 2" xfId="20368"/>
    <cellStyle name="Accent4 2 2 10 3" xfId="20369"/>
    <cellStyle name="Accent4 2 2 11" xfId="20370"/>
    <cellStyle name="Accent4 2 2 12" xfId="20371"/>
    <cellStyle name="Accent4 2 2 2" xfId="20372"/>
    <cellStyle name="Accent4 2 2 2 10" xfId="20373"/>
    <cellStyle name="Accent4 2 2 2 10 2" xfId="20374"/>
    <cellStyle name="Accent4 2 2 2 10 3" xfId="20375"/>
    <cellStyle name="Accent4 2 2 2 11" xfId="20376"/>
    <cellStyle name="Accent4 2 2 2 12" xfId="20377"/>
    <cellStyle name="Accent4 2 2 2 13" xfId="20378"/>
    <cellStyle name="Accent4 2 2 2 2" xfId="20379"/>
    <cellStyle name="Accent4 2 2 2 2 2" xfId="20380"/>
    <cellStyle name="Accent4 2 2 2 2 3" xfId="20381"/>
    <cellStyle name="Accent4 2 2 2 3" xfId="20382"/>
    <cellStyle name="Accent4 2 2 2 3 2" xfId="20383"/>
    <cellStyle name="Accent4 2 2 2 3 3" xfId="20384"/>
    <cellStyle name="Accent4 2 2 2 4" xfId="20385"/>
    <cellStyle name="Accent4 2 2 2 4 2" xfId="20386"/>
    <cellStyle name="Accent4 2 2 2 4 3" xfId="20387"/>
    <cellStyle name="Accent4 2 2 2 5" xfId="20388"/>
    <cellStyle name="Accent4 2 2 2 5 2" xfId="20389"/>
    <cellStyle name="Accent4 2 2 2 5 3" xfId="20390"/>
    <cellStyle name="Accent4 2 2 2 6" xfId="20391"/>
    <cellStyle name="Accent4 2 2 2 6 2" xfId="20392"/>
    <cellStyle name="Accent4 2 2 2 6 3" xfId="20393"/>
    <cellStyle name="Accent4 2 2 2 7" xfId="20394"/>
    <cellStyle name="Accent4 2 2 2 7 2" xfId="20395"/>
    <cellStyle name="Accent4 2 2 2 7 3" xfId="20396"/>
    <cellStyle name="Accent4 2 2 2 8" xfId="20397"/>
    <cellStyle name="Accent4 2 2 2 8 2" xfId="20398"/>
    <cellStyle name="Accent4 2 2 2 8 3" xfId="20399"/>
    <cellStyle name="Accent4 2 2 2 9" xfId="20400"/>
    <cellStyle name="Accent4 2 2 2 9 2" xfId="20401"/>
    <cellStyle name="Accent4 2 2 2 9 3" xfId="20402"/>
    <cellStyle name="Accent4 2 2 3" xfId="20403"/>
    <cellStyle name="Accent4 2 2 3 2" xfId="20404"/>
    <cellStyle name="Accent4 2 2 3 3" xfId="20405"/>
    <cellStyle name="Accent4 2 2 4" xfId="20406"/>
    <cellStyle name="Accent4 2 2 4 2" xfId="20407"/>
    <cellStyle name="Accent4 2 2 4 3" xfId="20408"/>
    <cellStyle name="Accent4 2 2 5" xfId="20409"/>
    <cellStyle name="Accent4 2 2 5 2" xfId="20410"/>
    <cellStyle name="Accent4 2 2 5 3" xfId="20411"/>
    <cellStyle name="Accent4 2 2 6" xfId="20412"/>
    <cellStyle name="Accent4 2 2 6 2" xfId="20413"/>
    <cellStyle name="Accent4 2 2 6 3" xfId="20414"/>
    <cellStyle name="Accent4 2 2 7" xfId="20415"/>
    <cellStyle name="Accent4 2 2 7 2" xfId="20416"/>
    <cellStyle name="Accent4 2 2 7 3" xfId="20417"/>
    <cellStyle name="Accent4 2 2 8" xfId="20418"/>
    <cellStyle name="Accent4 2 2 8 2" xfId="20419"/>
    <cellStyle name="Accent4 2 2 8 3" xfId="20420"/>
    <cellStyle name="Accent4 2 2 9" xfId="20421"/>
    <cellStyle name="Accent4 2 2 9 2" xfId="20422"/>
    <cellStyle name="Accent4 2 2 9 3" xfId="20423"/>
    <cellStyle name="Accent4 2 3" xfId="20424"/>
    <cellStyle name="Accent4 2 3 2" xfId="20425"/>
    <cellStyle name="Accent4 2 3 3" xfId="20426"/>
    <cellStyle name="Accent4 2 3 4" xfId="20427"/>
    <cellStyle name="Accent4 2 4" xfId="20428"/>
    <cellStyle name="Accent4 2 4 2" xfId="20429"/>
    <cellStyle name="Accent4 2 4 3" xfId="20430"/>
    <cellStyle name="Accent4 2 5" xfId="20431"/>
    <cellStyle name="Accent4 2 5 2" xfId="20432"/>
    <cellStyle name="Accent4 2 5 3" xfId="20433"/>
    <cellStyle name="Accent4 2 6" xfId="20434"/>
    <cellStyle name="Accent4 2 6 2" xfId="20435"/>
    <cellStyle name="Accent4 2 6 3" xfId="20436"/>
    <cellStyle name="Accent4 2 7" xfId="20437"/>
    <cellStyle name="Accent4 2 7 2" xfId="20438"/>
    <cellStyle name="Accent4 2 7 2 2" xfId="20439"/>
    <cellStyle name="Accent4 2 7 2 3" xfId="20440"/>
    <cellStyle name="Accent4 2 7 3" xfId="20441"/>
    <cellStyle name="Accent4 2 7 4" xfId="20442"/>
    <cellStyle name="Accent4 2 8" xfId="20443"/>
    <cellStyle name="Accent4 2 8 2" xfId="20444"/>
    <cellStyle name="Accent4 2 8 3" xfId="20445"/>
    <cellStyle name="Accent4 2 9" xfId="20446"/>
    <cellStyle name="Accent4 2 9 2" xfId="20447"/>
    <cellStyle name="Accent4 2 9 3" xfId="20448"/>
    <cellStyle name="Accent4 2_1-10 BHU IS" xfId="20449"/>
    <cellStyle name="Accent4 3" xfId="20450"/>
    <cellStyle name="Accent4 3 2" xfId="20451"/>
    <cellStyle name="Accent4 3 2 2" xfId="20452"/>
    <cellStyle name="Accent4 3 2 2 2" xfId="20453"/>
    <cellStyle name="Accent4 3 2 2 3" xfId="20454"/>
    <cellStyle name="Accent4 3 2 3" xfId="20455"/>
    <cellStyle name="Accent4 3 2 4" xfId="20456"/>
    <cellStyle name="Accent4 3 2 5" xfId="20457"/>
    <cellStyle name="Accent4 3 3" xfId="20458"/>
    <cellStyle name="Accent4 3 3 2" xfId="20459"/>
    <cellStyle name="Accent4 3 4" xfId="20460"/>
    <cellStyle name="Accent4 4" xfId="20461"/>
    <cellStyle name="Accent4 4 2" xfId="20462"/>
    <cellStyle name="Accent4 4 2 2" xfId="20463"/>
    <cellStyle name="Accent4 4 2 3" xfId="20464"/>
    <cellStyle name="Accent4 4 3" xfId="20465"/>
    <cellStyle name="Accent4 4 4" xfId="20466"/>
    <cellStyle name="Accent4 5" xfId="20467"/>
    <cellStyle name="Accent4 5 2" xfId="20468"/>
    <cellStyle name="Accent4 5 2 2" xfId="20469"/>
    <cellStyle name="Accent4 5 2 3" xfId="20470"/>
    <cellStyle name="Accent4 5 3" xfId="20471"/>
    <cellStyle name="Accent4 5 4" xfId="20472"/>
    <cellStyle name="Accent4 6" xfId="20473"/>
    <cellStyle name="Accent4 6 2" xfId="20474"/>
    <cellStyle name="Accent4 6 2 2" xfId="20475"/>
    <cellStyle name="Accent4 6 2 3" xfId="20476"/>
    <cellStyle name="Accent4 6 3" xfId="20477"/>
    <cellStyle name="Accent4 6 4" xfId="20478"/>
    <cellStyle name="Accent4 7" xfId="20479"/>
    <cellStyle name="Accent4 7 2" xfId="20480"/>
    <cellStyle name="Accent4 7 2 2" xfId="20481"/>
    <cellStyle name="Accent4 7 2 3" xfId="20482"/>
    <cellStyle name="Accent4 7 3" xfId="20483"/>
    <cellStyle name="Accent4 7 4" xfId="20484"/>
    <cellStyle name="Accent4 8" xfId="20485"/>
    <cellStyle name="Accent4 8 2" xfId="20486"/>
    <cellStyle name="Accent4 8 2 2" xfId="20487"/>
    <cellStyle name="Accent4 8 2 3" xfId="20488"/>
    <cellStyle name="Accent4 8 3" xfId="20489"/>
    <cellStyle name="Accent4 8 4" xfId="20490"/>
    <cellStyle name="Accent4 9" xfId="20491"/>
    <cellStyle name="Accent4 9 2" xfId="20492"/>
    <cellStyle name="Accent4 9 2 2" xfId="20493"/>
    <cellStyle name="Accent4 9 2 3" xfId="20494"/>
    <cellStyle name="Accent4 9 3" xfId="20495"/>
    <cellStyle name="Accent4 9 4" xfId="20496"/>
    <cellStyle name="Accent5 10" xfId="20497"/>
    <cellStyle name="Accent5 10 2" xfId="20498"/>
    <cellStyle name="Accent5 10 3" xfId="20499"/>
    <cellStyle name="Accent5 11" xfId="20500"/>
    <cellStyle name="Accent5 11 2" xfId="20501"/>
    <cellStyle name="Accent5 11 3" xfId="20502"/>
    <cellStyle name="Accent5 12" xfId="20503"/>
    <cellStyle name="Accent5 12 2" xfId="20504"/>
    <cellStyle name="Accent5 12 3" xfId="20505"/>
    <cellStyle name="Accent5 13" xfId="20506"/>
    <cellStyle name="Accent5 13 2" xfId="20507"/>
    <cellStyle name="Accent5 13 3" xfId="20508"/>
    <cellStyle name="Accent5 14" xfId="20509"/>
    <cellStyle name="Accent5 14 2" xfId="20510"/>
    <cellStyle name="Accent5 14 3" xfId="20511"/>
    <cellStyle name="Accent5 15" xfId="20512"/>
    <cellStyle name="Accent5 15 2" xfId="20513"/>
    <cellStyle name="Accent5 15 3" xfId="20514"/>
    <cellStyle name="Accent5 16" xfId="20515"/>
    <cellStyle name="Accent5 16 2" xfId="20516"/>
    <cellStyle name="Accent5 16 3" xfId="20517"/>
    <cellStyle name="Accent5 17" xfId="20518"/>
    <cellStyle name="Accent5 18" xfId="20519"/>
    <cellStyle name="Accent5 2" xfId="20520"/>
    <cellStyle name="Accent5 2 10" xfId="20521"/>
    <cellStyle name="Accent5 2 10 2" xfId="20522"/>
    <cellStyle name="Accent5 2 10 3" xfId="20523"/>
    <cellStyle name="Accent5 2 11" xfId="20524"/>
    <cellStyle name="Accent5 2 11 2" xfId="20525"/>
    <cellStyle name="Accent5 2 11 3" xfId="20526"/>
    <cellStyle name="Accent5 2 12" xfId="20527"/>
    <cellStyle name="Accent5 2 12 2" xfId="20528"/>
    <cellStyle name="Accent5 2 12 3" xfId="20529"/>
    <cellStyle name="Accent5 2 13" xfId="20530"/>
    <cellStyle name="Accent5 2 14" xfId="20531"/>
    <cellStyle name="Accent5 2 2" xfId="20532"/>
    <cellStyle name="Accent5 2 2 10" xfId="20533"/>
    <cellStyle name="Accent5 2 2 10 2" xfId="20534"/>
    <cellStyle name="Accent5 2 2 10 3" xfId="20535"/>
    <cellStyle name="Accent5 2 2 11" xfId="20536"/>
    <cellStyle name="Accent5 2 2 12" xfId="20537"/>
    <cellStyle name="Accent5 2 2 13" xfId="20538"/>
    <cellStyle name="Accent5 2 2 2" xfId="20539"/>
    <cellStyle name="Accent5 2 2 2 10" xfId="20540"/>
    <cellStyle name="Accent5 2 2 2 10 2" xfId="20541"/>
    <cellStyle name="Accent5 2 2 2 10 3" xfId="20542"/>
    <cellStyle name="Accent5 2 2 2 11" xfId="20543"/>
    <cellStyle name="Accent5 2 2 2 12" xfId="20544"/>
    <cellStyle name="Accent5 2 2 2 2" xfId="20545"/>
    <cellStyle name="Accent5 2 2 2 2 2" xfId="20546"/>
    <cellStyle name="Accent5 2 2 2 2 3" xfId="20547"/>
    <cellStyle name="Accent5 2 2 2 3" xfId="20548"/>
    <cellStyle name="Accent5 2 2 2 3 2" xfId="20549"/>
    <cellStyle name="Accent5 2 2 2 3 3" xfId="20550"/>
    <cellStyle name="Accent5 2 2 2 4" xfId="20551"/>
    <cellStyle name="Accent5 2 2 2 4 2" xfId="20552"/>
    <cellStyle name="Accent5 2 2 2 4 3" xfId="20553"/>
    <cellStyle name="Accent5 2 2 2 5" xfId="20554"/>
    <cellStyle name="Accent5 2 2 2 5 2" xfId="20555"/>
    <cellStyle name="Accent5 2 2 2 5 3" xfId="20556"/>
    <cellStyle name="Accent5 2 2 2 6" xfId="20557"/>
    <cellStyle name="Accent5 2 2 2 6 2" xfId="20558"/>
    <cellStyle name="Accent5 2 2 2 6 3" xfId="20559"/>
    <cellStyle name="Accent5 2 2 2 7" xfId="20560"/>
    <cellStyle name="Accent5 2 2 2 7 2" xfId="20561"/>
    <cellStyle name="Accent5 2 2 2 7 3" xfId="20562"/>
    <cellStyle name="Accent5 2 2 2 8" xfId="20563"/>
    <cellStyle name="Accent5 2 2 2 8 2" xfId="20564"/>
    <cellStyle name="Accent5 2 2 2 8 3" xfId="20565"/>
    <cellStyle name="Accent5 2 2 2 9" xfId="20566"/>
    <cellStyle name="Accent5 2 2 2 9 2" xfId="20567"/>
    <cellStyle name="Accent5 2 2 2 9 3" xfId="20568"/>
    <cellStyle name="Accent5 2 2 3" xfId="20569"/>
    <cellStyle name="Accent5 2 2 3 2" xfId="20570"/>
    <cellStyle name="Accent5 2 2 3 3" xfId="20571"/>
    <cellStyle name="Accent5 2 2 4" xfId="20572"/>
    <cellStyle name="Accent5 2 2 4 2" xfId="20573"/>
    <cellStyle name="Accent5 2 2 4 3" xfId="20574"/>
    <cellStyle name="Accent5 2 2 5" xfId="20575"/>
    <cellStyle name="Accent5 2 2 5 2" xfId="20576"/>
    <cellStyle name="Accent5 2 2 5 3" xfId="20577"/>
    <cellStyle name="Accent5 2 2 6" xfId="20578"/>
    <cellStyle name="Accent5 2 2 6 2" xfId="20579"/>
    <cellStyle name="Accent5 2 2 6 3" xfId="20580"/>
    <cellStyle name="Accent5 2 2 7" xfId="20581"/>
    <cellStyle name="Accent5 2 2 7 2" xfId="20582"/>
    <cellStyle name="Accent5 2 2 7 3" xfId="20583"/>
    <cellStyle name="Accent5 2 2 8" xfId="20584"/>
    <cellStyle name="Accent5 2 2 8 2" xfId="20585"/>
    <cellStyle name="Accent5 2 2 8 3" xfId="20586"/>
    <cellStyle name="Accent5 2 2 9" xfId="20587"/>
    <cellStyle name="Accent5 2 2 9 2" xfId="20588"/>
    <cellStyle name="Accent5 2 2 9 3" xfId="20589"/>
    <cellStyle name="Accent5 2 3" xfId="20590"/>
    <cellStyle name="Accent5 2 3 2" xfId="20591"/>
    <cellStyle name="Accent5 2 3 3" xfId="20592"/>
    <cellStyle name="Accent5 2 4" xfId="20593"/>
    <cellStyle name="Accent5 2 4 2" xfId="20594"/>
    <cellStyle name="Accent5 2 4 3" xfId="20595"/>
    <cellStyle name="Accent5 2 5" xfId="20596"/>
    <cellStyle name="Accent5 2 5 2" xfId="20597"/>
    <cellStyle name="Accent5 2 5 3" xfId="20598"/>
    <cellStyle name="Accent5 2 6" xfId="20599"/>
    <cellStyle name="Accent5 2 6 2" xfId="20600"/>
    <cellStyle name="Accent5 2 6 3" xfId="20601"/>
    <cellStyle name="Accent5 2 7" xfId="20602"/>
    <cellStyle name="Accent5 2 7 2" xfId="20603"/>
    <cellStyle name="Accent5 2 7 3" xfId="20604"/>
    <cellStyle name="Accent5 2 8" xfId="20605"/>
    <cellStyle name="Accent5 2 8 2" xfId="20606"/>
    <cellStyle name="Accent5 2 8 3" xfId="20607"/>
    <cellStyle name="Accent5 2 9" xfId="20608"/>
    <cellStyle name="Accent5 2 9 2" xfId="20609"/>
    <cellStyle name="Accent5 2 9 3" xfId="20610"/>
    <cellStyle name="Accent5 3" xfId="20611"/>
    <cellStyle name="Accent5 3 2" xfId="20612"/>
    <cellStyle name="Accent5 3 2 2" xfId="20613"/>
    <cellStyle name="Accent5 3 2 3" xfId="20614"/>
    <cellStyle name="Accent5 3 3" xfId="20615"/>
    <cellStyle name="Accent5 3 4" xfId="20616"/>
    <cellStyle name="Accent5 3 5" xfId="20617"/>
    <cellStyle name="Accent5 4" xfId="20618"/>
    <cellStyle name="Accent5 4 2" xfId="20619"/>
    <cellStyle name="Accent5 4 2 2" xfId="20620"/>
    <cellStyle name="Accent5 4 2 3" xfId="20621"/>
    <cellStyle name="Accent5 4 3" xfId="20622"/>
    <cellStyle name="Accent5 4 4" xfId="20623"/>
    <cellStyle name="Accent5 5" xfId="20624"/>
    <cellStyle name="Accent5 5 2" xfId="20625"/>
    <cellStyle name="Accent5 5 2 2" xfId="20626"/>
    <cellStyle name="Accent5 5 2 3" xfId="20627"/>
    <cellStyle name="Accent5 5 3" xfId="20628"/>
    <cellStyle name="Accent5 5 4" xfId="20629"/>
    <cellStyle name="Accent5 6" xfId="20630"/>
    <cellStyle name="Accent5 6 2" xfId="20631"/>
    <cellStyle name="Accent5 6 3" xfId="20632"/>
    <cellStyle name="Accent5 7" xfId="20633"/>
    <cellStyle name="Accent5 7 2" xfId="20634"/>
    <cellStyle name="Accent5 7 3" xfId="20635"/>
    <cellStyle name="Accent5 8" xfId="20636"/>
    <cellStyle name="Accent5 8 2" xfId="20637"/>
    <cellStyle name="Accent5 8 3" xfId="20638"/>
    <cellStyle name="Accent5 9" xfId="20639"/>
    <cellStyle name="Accent5 9 2" xfId="20640"/>
    <cellStyle name="Accent5 9 3" xfId="20641"/>
    <cellStyle name="Accent6 10" xfId="20642"/>
    <cellStyle name="Accent6 10 2" xfId="20643"/>
    <cellStyle name="Accent6 10 2 2" xfId="20644"/>
    <cellStyle name="Accent6 10 2 3" xfId="20645"/>
    <cellStyle name="Accent6 10 3" xfId="20646"/>
    <cellStyle name="Accent6 10 4" xfId="20647"/>
    <cellStyle name="Accent6 11" xfId="20648"/>
    <cellStyle name="Accent6 11 2" xfId="20649"/>
    <cellStyle name="Accent6 11 2 2" xfId="20650"/>
    <cellStyle name="Accent6 11 2 3" xfId="20651"/>
    <cellStyle name="Accent6 11 3" xfId="20652"/>
    <cellStyle name="Accent6 11 4" xfId="20653"/>
    <cellStyle name="Accent6 12" xfId="20654"/>
    <cellStyle name="Accent6 12 2" xfId="20655"/>
    <cellStyle name="Accent6 12 3" xfId="20656"/>
    <cellStyle name="Accent6 13" xfId="20657"/>
    <cellStyle name="Accent6 13 2" xfId="20658"/>
    <cellStyle name="Accent6 13 3" xfId="20659"/>
    <cellStyle name="Accent6 14" xfId="20660"/>
    <cellStyle name="Accent6 14 2" xfId="20661"/>
    <cellStyle name="Accent6 14 3" xfId="20662"/>
    <cellStyle name="Accent6 15" xfId="20663"/>
    <cellStyle name="Accent6 15 2" xfId="20664"/>
    <cellStyle name="Accent6 15 2 2" xfId="20665"/>
    <cellStyle name="Accent6 15 2 3" xfId="20666"/>
    <cellStyle name="Accent6 15 3" xfId="20667"/>
    <cellStyle name="Accent6 15 4" xfId="20668"/>
    <cellStyle name="Accent6 16" xfId="20669"/>
    <cellStyle name="Accent6 16 2" xfId="20670"/>
    <cellStyle name="Accent6 16 3" xfId="20671"/>
    <cellStyle name="Accent6 17" xfId="20672"/>
    <cellStyle name="Accent6 18" xfId="20673"/>
    <cellStyle name="Accent6 2" xfId="20674"/>
    <cellStyle name="Accent6 2 10" xfId="20675"/>
    <cellStyle name="Accent6 2 10 2" xfId="20676"/>
    <cellStyle name="Accent6 2 10 3" xfId="20677"/>
    <cellStyle name="Accent6 2 11" xfId="20678"/>
    <cellStyle name="Accent6 2 11 2" xfId="20679"/>
    <cellStyle name="Accent6 2 11 3" xfId="20680"/>
    <cellStyle name="Accent6 2 12" xfId="20681"/>
    <cellStyle name="Accent6 2 12 2" xfId="20682"/>
    <cellStyle name="Accent6 2 12 3" xfId="20683"/>
    <cellStyle name="Accent6 2 13" xfId="20684"/>
    <cellStyle name="Accent6 2 13 2" xfId="20685"/>
    <cellStyle name="Accent6 2 14" xfId="20686"/>
    <cellStyle name="Accent6 2 15" xfId="20687"/>
    <cellStyle name="Accent6 2 16" xfId="20688"/>
    <cellStyle name="Accent6 2 2" xfId="20689"/>
    <cellStyle name="Accent6 2 2 10" xfId="20690"/>
    <cellStyle name="Accent6 2 2 10 2" xfId="20691"/>
    <cellStyle name="Accent6 2 2 10 3" xfId="20692"/>
    <cellStyle name="Accent6 2 2 11" xfId="20693"/>
    <cellStyle name="Accent6 2 2 12" xfId="20694"/>
    <cellStyle name="Accent6 2 2 2" xfId="20695"/>
    <cellStyle name="Accent6 2 2 2 10" xfId="20696"/>
    <cellStyle name="Accent6 2 2 2 10 2" xfId="20697"/>
    <cellStyle name="Accent6 2 2 2 10 3" xfId="20698"/>
    <cellStyle name="Accent6 2 2 2 11" xfId="20699"/>
    <cellStyle name="Accent6 2 2 2 12" xfId="20700"/>
    <cellStyle name="Accent6 2 2 2 13" xfId="20701"/>
    <cellStyle name="Accent6 2 2 2 2" xfId="20702"/>
    <cellStyle name="Accent6 2 2 2 2 2" xfId="20703"/>
    <cellStyle name="Accent6 2 2 2 2 3" xfId="20704"/>
    <cellStyle name="Accent6 2 2 2 3" xfId="20705"/>
    <cellStyle name="Accent6 2 2 2 3 2" xfId="20706"/>
    <cellStyle name="Accent6 2 2 2 3 3" xfId="20707"/>
    <cellStyle name="Accent6 2 2 2 4" xfId="20708"/>
    <cellStyle name="Accent6 2 2 2 4 2" xfId="20709"/>
    <cellStyle name="Accent6 2 2 2 4 3" xfId="20710"/>
    <cellStyle name="Accent6 2 2 2 5" xfId="20711"/>
    <cellStyle name="Accent6 2 2 2 5 2" xfId="20712"/>
    <cellStyle name="Accent6 2 2 2 5 3" xfId="20713"/>
    <cellStyle name="Accent6 2 2 2 6" xfId="20714"/>
    <cellStyle name="Accent6 2 2 2 6 2" xfId="20715"/>
    <cellStyle name="Accent6 2 2 2 6 3" xfId="20716"/>
    <cellStyle name="Accent6 2 2 2 7" xfId="20717"/>
    <cellStyle name="Accent6 2 2 2 7 2" xfId="20718"/>
    <cellStyle name="Accent6 2 2 2 7 3" xfId="20719"/>
    <cellStyle name="Accent6 2 2 2 8" xfId="20720"/>
    <cellStyle name="Accent6 2 2 2 8 2" xfId="20721"/>
    <cellStyle name="Accent6 2 2 2 8 3" xfId="20722"/>
    <cellStyle name="Accent6 2 2 2 9" xfId="20723"/>
    <cellStyle name="Accent6 2 2 2 9 2" xfId="20724"/>
    <cellStyle name="Accent6 2 2 2 9 3" xfId="20725"/>
    <cellStyle name="Accent6 2 2 3" xfId="20726"/>
    <cellStyle name="Accent6 2 2 3 2" xfId="20727"/>
    <cellStyle name="Accent6 2 2 3 3" xfId="20728"/>
    <cellStyle name="Accent6 2 2 4" xfId="20729"/>
    <cellStyle name="Accent6 2 2 4 2" xfId="20730"/>
    <cellStyle name="Accent6 2 2 4 3" xfId="20731"/>
    <cellStyle name="Accent6 2 2 5" xfId="20732"/>
    <cellStyle name="Accent6 2 2 5 2" xfId="20733"/>
    <cellStyle name="Accent6 2 2 5 3" xfId="20734"/>
    <cellStyle name="Accent6 2 2 6" xfId="20735"/>
    <cellStyle name="Accent6 2 2 6 2" xfId="20736"/>
    <cellStyle name="Accent6 2 2 6 3" xfId="20737"/>
    <cellStyle name="Accent6 2 2 7" xfId="20738"/>
    <cellStyle name="Accent6 2 2 7 2" xfId="20739"/>
    <cellStyle name="Accent6 2 2 7 3" xfId="20740"/>
    <cellStyle name="Accent6 2 2 8" xfId="20741"/>
    <cellStyle name="Accent6 2 2 8 2" xfId="20742"/>
    <cellStyle name="Accent6 2 2 8 3" xfId="20743"/>
    <cellStyle name="Accent6 2 2 9" xfId="20744"/>
    <cellStyle name="Accent6 2 2 9 2" xfId="20745"/>
    <cellStyle name="Accent6 2 2 9 3" xfId="20746"/>
    <cellStyle name="Accent6 2 3" xfId="20747"/>
    <cellStyle name="Accent6 2 3 2" xfId="20748"/>
    <cellStyle name="Accent6 2 3 3" xfId="20749"/>
    <cellStyle name="Accent6 2 3 4" xfId="20750"/>
    <cellStyle name="Accent6 2 4" xfId="20751"/>
    <cellStyle name="Accent6 2 4 2" xfId="20752"/>
    <cellStyle name="Accent6 2 4 3" xfId="20753"/>
    <cellStyle name="Accent6 2 5" xfId="20754"/>
    <cellStyle name="Accent6 2 5 2" xfId="20755"/>
    <cellStyle name="Accent6 2 5 3" xfId="20756"/>
    <cellStyle name="Accent6 2 6" xfId="20757"/>
    <cellStyle name="Accent6 2 6 2" xfId="20758"/>
    <cellStyle name="Accent6 2 6 3" xfId="20759"/>
    <cellStyle name="Accent6 2 7" xfId="20760"/>
    <cellStyle name="Accent6 2 7 2" xfId="20761"/>
    <cellStyle name="Accent6 2 7 2 2" xfId="20762"/>
    <cellStyle name="Accent6 2 7 2 3" xfId="20763"/>
    <cellStyle name="Accent6 2 7 3" xfId="20764"/>
    <cellStyle name="Accent6 2 7 4" xfId="20765"/>
    <cellStyle name="Accent6 2 8" xfId="20766"/>
    <cellStyle name="Accent6 2 8 2" xfId="20767"/>
    <cellStyle name="Accent6 2 8 3" xfId="20768"/>
    <cellStyle name="Accent6 2 9" xfId="20769"/>
    <cellStyle name="Accent6 2 9 2" xfId="20770"/>
    <cellStyle name="Accent6 2 9 3" xfId="20771"/>
    <cellStyle name="Accent6 2_1-10 BHU IS" xfId="20772"/>
    <cellStyle name="Accent6 3" xfId="20773"/>
    <cellStyle name="Accent6 3 2" xfId="20774"/>
    <cellStyle name="Accent6 3 2 2" xfId="20775"/>
    <cellStyle name="Accent6 3 2 2 2" xfId="20776"/>
    <cellStyle name="Accent6 3 2 2 3" xfId="20777"/>
    <cellStyle name="Accent6 3 2 3" xfId="20778"/>
    <cellStyle name="Accent6 3 2 4" xfId="20779"/>
    <cellStyle name="Accent6 3 2 5" xfId="20780"/>
    <cellStyle name="Accent6 3 3" xfId="20781"/>
    <cellStyle name="Accent6 3 3 2" xfId="20782"/>
    <cellStyle name="Accent6 3 4" xfId="20783"/>
    <cellStyle name="Accent6 4" xfId="20784"/>
    <cellStyle name="Accent6 4 2" xfId="20785"/>
    <cellStyle name="Accent6 4 2 2" xfId="20786"/>
    <cellStyle name="Accent6 4 2 3" xfId="20787"/>
    <cellStyle name="Accent6 4 3" xfId="20788"/>
    <cellStyle name="Accent6 4 4" xfId="20789"/>
    <cellStyle name="Accent6 5" xfId="20790"/>
    <cellStyle name="Accent6 5 2" xfId="20791"/>
    <cellStyle name="Accent6 5 2 2" xfId="20792"/>
    <cellStyle name="Accent6 5 2 3" xfId="20793"/>
    <cellStyle name="Accent6 5 3" xfId="20794"/>
    <cellStyle name="Accent6 5 4" xfId="20795"/>
    <cellStyle name="Accent6 6" xfId="20796"/>
    <cellStyle name="Accent6 6 2" xfId="20797"/>
    <cellStyle name="Accent6 6 2 2" xfId="20798"/>
    <cellStyle name="Accent6 6 2 3" xfId="20799"/>
    <cellStyle name="Accent6 6 3" xfId="20800"/>
    <cellStyle name="Accent6 6 4" xfId="20801"/>
    <cellStyle name="Accent6 7" xfId="20802"/>
    <cellStyle name="Accent6 7 2" xfId="20803"/>
    <cellStyle name="Accent6 7 2 2" xfId="20804"/>
    <cellStyle name="Accent6 7 2 3" xfId="20805"/>
    <cellStyle name="Accent6 7 3" xfId="20806"/>
    <cellStyle name="Accent6 7 4" xfId="20807"/>
    <cellStyle name="Accent6 8" xfId="20808"/>
    <cellStyle name="Accent6 8 2" xfId="20809"/>
    <cellStyle name="Accent6 8 2 2" xfId="20810"/>
    <cellStyle name="Accent6 8 2 3" xfId="20811"/>
    <cellStyle name="Accent6 8 3" xfId="20812"/>
    <cellStyle name="Accent6 8 4" xfId="20813"/>
    <cellStyle name="Accent6 9" xfId="20814"/>
    <cellStyle name="Accent6 9 2" xfId="20815"/>
    <cellStyle name="Accent6 9 2 2" xfId="20816"/>
    <cellStyle name="Accent6 9 2 3" xfId="20817"/>
    <cellStyle name="Accent6 9 3" xfId="20818"/>
    <cellStyle name="Accent6 9 4" xfId="20819"/>
    <cellStyle name="Accounting" xfId="20820"/>
    <cellStyle name="Accounting 2" xfId="20821"/>
    <cellStyle name="Accounting 3" xfId="20822"/>
    <cellStyle name="Add" xfId="20823"/>
    <cellStyle name="args.style" xfId="20824"/>
    <cellStyle name="Ariel 7 pt. plain" xfId="20825"/>
    <cellStyle name="AS1" xfId="20826"/>
    <cellStyle name="AS2" xfId="20827"/>
    <cellStyle name="AS3" xfId="20828"/>
    <cellStyle name="AS4" xfId="20829"/>
    <cellStyle name="AS5" xfId="20830"/>
    <cellStyle name="B&amp;P" xfId="20831"/>
    <cellStyle name="B&amp;P 2" xfId="20832"/>
    <cellStyle name="Background" xfId="20833"/>
    <cellStyle name="Background 10" xfId="20834"/>
    <cellStyle name="Background 2" xfId="20835"/>
    <cellStyle name="Background 2 2" xfId="20836"/>
    <cellStyle name="Background 2 2 2" xfId="20837"/>
    <cellStyle name="Background 2 2 2 2" xfId="20838"/>
    <cellStyle name="Background 2 2 2 2 2" xfId="20839"/>
    <cellStyle name="Background 2 2 2 2 2 2" xfId="20840"/>
    <cellStyle name="Background 2 2 2 2 2 2 2" xfId="20841"/>
    <cellStyle name="Background 2 2 2 2 2 2 3" xfId="20842"/>
    <cellStyle name="Background 2 2 2 2 2 3" xfId="20843"/>
    <cellStyle name="Background 2 2 2 2 2 3 2" xfId="20844"/>
    <cellStyle name="Background 2 2 2 2 2 3 3" xfId="20845"/>
    <cellStyle name="Background 2 2 2 2 2 4" xfId="20846"/>
    <cellStyle name="Background 2 2 2 2 2 4 2" xfId="20847"/>
    <cellStyle name="Background 2 2 2 2 2 4 3" xfId="20848"/>
    <cellStyle name="Background 2 2 2 2 2 5" xfId="20849"/>
    <cellStyle name="Background 2 2 2 2 2 5 2" xfId="20850"/>
    <cellStyle name="Background 2 2 2 2 2 5 3" xfId="20851"/>
    <cellStyle name="Background 2 2 2 2 2 6" xfId="20852"/>
    <cellStyle name="Background 2 2 2 2 2 6 2" xfId="20853"/>
    <cellStyle name="Background 2 2 2 2 2 6 3" xfId="20854"/>
    <cellStyle name="Background 2 2 2 2 2 7" xfId="20855"/>
    <cellStyle name="Background 2 2 2 2 2 8" xfId="20856"/>
    <cellStyle name="Background 2 2 2 2 3" xfId="20857"/>
    <cellStyle name="Background 2 2 2 2 3 2" xfId="20858"/>
    <cellStyle name="Background 2 2 2 2 3 3" xfId="20859"/>
    <cellStyle name="Background 2 2 2 2 4" xfId="20860"/>
    <cellStyle name="Background 2 2 2 2 4 2" xfId="20861"/>
    <cellStyle name="Background 2 2 2 2 4 3" xfId="20862"/>
    <cellStyle name="Background 2 2 2 2 5" xfId="20863"/>
    <cellStyle name="Background 2 2 2 2 5 2" xfId="20864"/>
    <cellStyle name="Background 2 2 2 2 5 3" xfId="20865"/>
    <cellStyle name="Background 2 2 2 2 6" xfId="20866"/>
    <cellStyle name="Background 2 2 2 2 6 2" xfId="20867"/>
    <cellStyle name="Background 2 2 2 2 6 3" xfId="20868"/>
    <cellStyle name="Background 2 2 2 2 7" xfId="20869"/>
    <cellStyle name="Background 2 2 2 2 7 2" xfId="20870"/>
    <cellStyle name="Background 2 2 2 2 7 3" xfId="20871"/>
    <cellStyle name="Background 2 2 2 2 8" xfId="20872"/>
    <cellStyle name="Background 2 2 2 2 9" xfId="20873"/>
    <cellStyle name="Background 2 2 2 3" xfId="20874"/>
    <cellStyle name="Background 2 2 2 3 2" xfId="20875"/>
    <cellStyle name="Background 2 2 2 3 2 2" xfId="20876"/>
    <cellStyle name="Background 2 2 2 3 2 3" xfId="20877"/>
    <cellStyle name="Background 2 2 2 3 3" xfId="20878"/>
    <cellStyle name="Background 2 2 2 3 3 2" xfId="20879"/>
    <cellStyle name="Background 2 2 2 3 3 3" xfId="20880"/>
    <cellStyle name="Background 2 2 2 3 4" xfId="20881"/>
    <cellStyle name="Background 2 2 2 3 4 2" xfId="20882"/>
    <cellStyle name="Background 2 2 2 3 4 3" xfId="20883"/>
    <cellStyle name="Background 2 2 2 3 5" xfId="20884"/>
    <cellStyle name="Background 2 2 2 3 5 2" xfId="20885"/>
    <cellStyle name="Background 2 2 2 3 5 3" xfId="20886"/>
    <cellStyle name="Background 2 2 2 3 6" xfId="20887"/>
    <cellStyle name="Background 2 2 2 3 6 2" xfId="20888"/>
    <cellStyle name="Background 2 2 2 3 6 3" xfId="20889"/>
    <cellStyle name="Background 2 2 2 3 7" xfId="20890"/>
    <cellStyle name="Background 2 2 2 3 8" xfId="20891"/>
    <cellStyle name="Background 2 2 2 4" xfId="20892"/>
    <cellStyle name="Background 2 2 2 4 2" xfId="20893"/>
    <cellStyle name="Background 2 2 2 4 3" xfId="20894"/>
    <cellStyle name="Background 2 2 2 5" xfId="20895"/>
    <cellStyle name="Background 2 2 2 5 2" xfId="20896"/>
    <cellStyle name="Background 2 2 2 5 3" xfId="20897"/>
    <cellStyle name="Background 2 2 2 6" xfId="20898"/>
    <cellStyle name="Background 2 2 2 6 2" xfId="20899"/>
    <cellStyle name="Background 2 2 2 6 3" xfId="20900"/>
    <cellStyle name="Background 2 2 2 7" xfId="20901"/>
    <cellStyle name="Background 2 2 2 8" xfId="20902"/>
    <cellStyle name="Background 2 2 3" xfId="20903"/>
    <cellStyle name="Background 2 2 3 2" xfId="20904"/>
    <cellStyle name="Background 2 2 3 2 2" xfId="20905"/>
    <cellStyle name="Background 2 2 3 2 2 2" xfId="20906"/>
    <cellStyle name="Background 2 2 3 2 2 3" xfId="20907"/>
    <cellStyle name="Background 2 2 3 2 3" xfId="20908"/>
    <cellStyle name="Background 2 2 3 2 3 2" xfId="20909"/>
    <cellStyle name="Background 2 2 3 2 3 3" xfId="20910"/>
    <cellStyle name="Background 2 2 3 2 4" xfId="20911"/>
    <cellStyle name="Background 2 2 3 2 4 2" xfId="20912"/>
    <cellStyle name="Background 2 2 3 2 4 3" xfId="20913"/>
    <cellStyle name="Background 2 2 3 2 5" xfId="20914"/>
    <cellStyle name="Background 2 2 3 2 5 2" xfId="20915"/>
    <cellStyle name="Background 2 2 3 2 5 3" xfId="20916"/>
    <cellStyle name="Background 2 2 3 2 6" xfId="20917"/>
    <cellStyle name="Background 2 2 3 2 6 2" xfId="20918"/>
    <cellStyle name="Background 2 2 3 2 6 3" xfId="20919"/>
    <cellStyle name="Background 2 2 3 2 7" xfId="20920"/>
    <cellStyle name="Background 2 2 3 2 8" xfId="20921"/>
    <cellStyle name="Background 2 2 3 3" xfId="20922"/>
    <cellStyle name="Background 2 2 3 3 2" xfId="20923"/>
    <cellStyle name="Background 2 2 3 3 3" xfId="20924"/>
    <cellStyle name="Background 2 2 3 4" xfId="20925"/>
    <cellStyle name="Background 2 2 3 4 2" xfId="20926"/>
    <cellStyle name="Background 2 2 3 4 3" xfId="20927"/>
    <cellStyle name="Background 2 2 3 5" xfId="20928"/>
    <cellStyle name="Background 2 2 3 5 2" xfId="20929"/>
    <cellStyle name="Background 2 2 3 5 3" xfId="20930"/>
    <cellStyle name="Background 2 2 3 6" xfId="20931"/>
    <cellStyle name="Background 2 2 3 6 2" xfId="20932"/>
    <cellStyle name="Background 2 2 3 6 3" xfId="20933"/>
    <cellStyle name="Background 2 2 3 7" xfId="20934"/>
    <cellStyle name="Background 2 2 3 7 2" xfId="20935"/>
    <cellStyle name="Background 2 2 3 7 3" xfId="20936"/>
    <cellStyle name="Background 2 2 3 8" xfId="20937"/>
    <cellStyle name="Background 2 2 3 9" xfId="20938"/>
    <cellStyle name="Background 2 2 4" xfId="20939"/>
    <cellStyle name="Background 2 2 4 2" xfId="20940"/>
    <cellStyle name="Background 2 2 4 2 2" xfId="20941"/>
    <cellStyle name="Background 2 2 4 2 3" xfId="20942"/>
    <cellStyle name="Background 2 2 4 3" xfId="20943"/>
    <cellStyle name="Background 2 2 4 3 2" xfId="20944"/>
    <cellStyle name="Background 2 2 4 3 3" xfId="20945"/>
    <cellStyle name="Background 2 2 4 4" xfId="20946"/>
    <cellStyle name="Background 2 2 4 4 2" xfId="20947"/>
    <cellStyle name="Background 2 2 4 4 3" xfId="20948"/>
    <cellStyle name="Background 2 2 4 5" xfId="20949"/>
    <cellStyle name="Background 2 2 4 5 2" xfId="20950"/>
    <cellStyle name="Background 2 2 4 5 3" xfId="20951"/>
    <cellStyle name="Background 2 2 4 6" xfId="20952"/>
    <cellStyle name="Background 2 2 4 6 2" xfId="20953"/>
    <cellStyle name="Background 2 2 4 6 3" xfId="20954"/>
    <cellStyle name="Background 2 2 4 7" xfId="20955"/>
    <cellStyle name="Background 2 2 4 8" xfId="20956"/>
    <cellStyle name="Background 2 2 5" xfId="20957"/>
    <cellStyle name="Background 2 2 5 2" xfId="20958"/>
    <cellStyle name="Background 2 2 5 3" xfId="20959"/>
    <cellStyle name="Background 2 2 6" xfId="20960"/>
    <cellStyle name="Background 2 2 6 2" xfId="20961"/>
    <cellStyle name="Background 2 2 6 3" xfId="20962"/>
    <cellStyle name="Background 2 2 7" xfId="20963"/>
    <cellStyle name="Background 2 2 7 2" xfId="20964"/>
    <cellStyle name="Background 2 2 7 3" xfId="20965"/>
    <cellStyle name="Background 2 2 8" xfId="20966"/>
    <cellStyle name="Background 2 2 9" xfId="20967"/>
    <cellStyle name="Background 2 3" xfId="20968"/>
    <cellStyle name="Background 2 3 2" xfId="20969"/>
    <cellStyle name="Background 2 3 2 2" xfId="20970"/>
    <cellStyle name="Background 2 3 2 2 2" xfId="20971"/>
    <cellStyle name="Background 2 3 2 2 3" xfId="20972"/>
    <cellStyle name="Background 2 3 2 3" xfId="20973"/>
    <cellStyle name="Background 2 3 2 3 2" xfId="20974"/>
    <cellStyle name="Background 2 3 2 3 3" xfId="20975"/>
    <cellStyle name="Background 2 3 2 4" xfId="20976"/>
    <cellStyle name="Background 2 3 2 4 2" xfId="20977"/>
    <cellStyle name="Background 2 3 2 4 3" xfId="20978"/>
    <cellStyle name="Background 2 3 2 5" xfId="20979"/>
    <cellStyle name="Background 2 3 2 5 2" xfId="20980"/>
    <cellStyle name="Background 2 3 2 5 3" xfId="20981"/>
    <cellStyle name="Background 2 3 2 6" xfId="20982"/>
    <cellStyle name="Background 2 3 2 6 2" xfId="20983"/>
    <cellStyle name="Background 2 3 2 6 3" xfId="20984"/>
    <cellStyle name="Background 2 3 2 7" xfId="20985"/>
    <cellStyle name="Background 2 3 2 8" xfId="20986"/>
    <cellStyle name="Background 2 3 3" xfId="20987"/>
    <cellStyle name="Background 2 3 3 2" xfId="20988"/>
    <cellStyle name="Background 2 3 3 3" xfId="20989"/>
    <cellStyle name="Background 2 3 4" xfId="20990"/>
    <cellStyle name="Background 2 3 4 2" xfId="20991"/>
    <cellStyle name="Background 2 3 4 3" xfId="20992"/>
    <cellStyle name="Background 2 3 5" xfId="20993"/>
    <cellStyle name="Background 2 3 5 2" xfId="20994"/>
    <cellStyle name="Background 2 3 5 3" xfId="20995"/>
    <cellStyle name="Background 2 3 6" xfId="20996"/>
    <cellStyle name="Background 2 3 6 2" xfId="20997"/>
    <cellStyle name="Background 2 3 6 3" xfId="20998"/>
    <cellStyle name="Background 2 3 7" xfId="20999"/>
    <cellStyle name="Background 2 3 7 2" xfId="21000"/>
    <cellStyle name="Background 2 3 7 3" xfId="21001"/>
    <cellStyle name="Background 2 3 8" xfId="21002"/>
    <cellStyle name="Background 2 3 9" xfId="21003"/>
    <cellStyle name="Background 2 4" xfId="21004"/>
    <cellStyle name="Background 2 4 2" xfId="21005"/>
    <cellStyle name="Background 2 4 2 2" xfId="21006"/>
    <cellStyle name="Background 2 4 2 3" xfId="21007"/>
    <cellStyle name="Background 2 4 3" xfId="21008"/>
    <cellStyle name="Background 2 4 3 2" xfId="21009"/>
    <cellStyle name="Background 2 4 3 3" xfId="21010"/>
    <cellStyle name="Background 2 4 4" xfId="21011"/>
    <cellStyle name="Background 2 4 4 2" xfId="21012"/>
    <cellStyle name="Background 2 4 4 3" xfId="21013"/>
    <cellStyle name="Background 2 4 5" xfId="21014"/>
    <cellStyle name="Background 2 4 5 2" xfId="21015"/>
    <cellStyle name="Background 2 4 5 3" xfId="21016"/>
    <cellStyle name="Background 2 4 6" xfId="21017"/>
    <cellStyle name="Background 2 4 6 2" xfId="21018"/>
    <cellStyle name="Background 2 4 6 3" xfId="21019"/>
    <cellStyle name="Background 2 4 7" xfId="21020"/>
    <cellStyle name="Background 2 4 8" xfId="21021"/>
    <cellStyle name="Background 2 5" xfId="21022"/>
    <cellStyle name="Background 2 5 2" xfId="21023"/>
    <cellStyle name="Background 2 5 3" xfId="21024"/>
    <cellStyle name="Background 2 6" xfId="21025"/>
    <cellStyle name="Background 2 6 2" xfId="21026"/>
    <cellStyle name="Background 2 6 3" xfId="21027"/>
    <cellStyle name="Background 2 7" xfId="21028"/>
    <cellStyle name="Background 2 7 2" xfId="21029"/>
    <cellStyle name="Background 2 7 3" xfId="21030"/>
    <cellStyle name="Background 2 8" xfId="21031"/>
    <cellStyle name="Background 2 9" xfId="21032"/>
    <cellStyle name="Background 3" xfId="21033"/>
    <cellStyle name="Background 3 2" xfId="21034"/>
    <cellStyle name="Background 3 2 2" xfId="21035"/>
    <cellStyle name="Background 3 2 2 2" xfId="21036"/>
    <cellStyle name="Background 3 2 2 2 2" xfId="21037"/>
    <cellStyle name="Background 3 2 2 2 2 2" xfId="21038"/>
    <cellStyle name="Background 3 2 2 2 2 3" xfId="21039"/>
    <cellStyle name="Background 3 2 2 2 3" xfId="21040"/>
    <cellStyle name="Background 3 2 2 2 3 2" xfId="21041"/>
    <cellStyle name="Background 3 2 2 2 3 3" xfId="21042"/>
    <cellStyle name="Background 3 2 2 2 4" xfId="21043"/>
    <cellStyle name="Background 3 2 2 2 4 2" xfId="21044"/>
    <cellStyle name="Background 3 2 2 2 4 3" xfId="21045"/>
    <cellStyle name="Background 3 2 2 2 5" xfId="21046"/>
    <cellStyle name="Background 3 2 2 2 5 2" xfId="21047"/>
    <cellStyle name="Background 3 2 2 2 5 3" xfId="21048"/>
    <cellStyle name="Background 3 2 2 2 6" xfId="21049"/>
    <cellStyle name="Background 3 2 2 2 6 2" xfId="21050"/>
    <cellStyle name="Background 3 2 2 2 6 3" xfId="21051"/>
    <cellStyle name="Background 3 2 2 2 7" xfId="21052"/>
    <cellStyle name="Background 3 2 2 2 8" xfId="21053"/>
    <cellStyle name="Background 3 2 2 3" xfId="21054"/>
    <cellStyle name="Background 3 2 2 3 2" xfId="21055"/>
    <cellStyle name="Background 3 2 2 3 3" xfId="21056"/>
    <cellStyle name="Background 3 2 2 4" xfId="21057"/>
    <cellStyle name="Background 3 2 2 4 2" xfId="21058"/>
    <cellStyle name="Background 3 2 2 4 3" xfId="21059"/>
    <cellStyle name="Background 3 2 2 5" xfId="21060"/>
    <cellStyle name="Background 3 2 2 5 2" xfId="21061"/>
    <cellStyle name="Background 3 2 2 5 3" xfId="21062"/>
    <cellStyle name="Background 3 2 2 6" xfId="21063"/>
    <cellStyle name="Background 3 2 2 6 2" xfId="21064"/>
    <cellStyle name="Background 3 2 2 6 3" xfId="21065"/>
    <cellStyle name="Background 3 2 2 7" xfId="21066"/>
    <cellStyle name="Background 3 2 2 7 2" xfId="21067"/>
    <cellStyle name="Background 3 2 2 7 3" xfId="21068"/>
    <cellStyle name="Background 3 2 2 8" xfId="21069"/>
    <cellStyle name="Background 3 2 2 9" xfId="21070"/>
    <cellStyle name="Background 3 2 3" xfId="21071"/>
    <cellStyle name="Background 3 2 3 2" xfId="21072"/>
    <cellStyle name="Background 3 2 3 2 2" xfId="21073"/>
    <cellStyle name="Background 3 2 3 2 3" xfId="21074"/>
    <cellStyle name="Background 3 2 3 3" xfId="21075"/>
    <cellStyle name="Background 3 2 3 3 2" xfId="21076"/>
    <cellStyle name="Background 3 2 3 3 3" xfId="21077"/>
    <cellStyle name="Background 3 2 3 4" xfId="21078"/>
    <cellStyle name="Background 3 2 3 4 2" xfId="21079"/>
    <cellStyle name="Background 3 2 3 4 3" xfId="21080"/>
    <cellStyle name="Background 3 2 3 5" xfId="21081"/>
    <cellStyle name="Background 3 2 3 5 2" xfId="21082"/>
    <cellStyle name="Background 3 2 3 5 3" xfId="21083"/>
    <cellStyle name="Background 3 2 3 6" xfId="21084"/>
    <cellStyle name="Background 3 2 3 6 2" xfId="21085"/>
    <cellStyle name="Background 3 2 3 6 3" xfId="21086"/>
    <cellStyle name="Background 3 2 3 7" xfId="21087"/>
    <cellStyle name="Background 3 2 3 8" xfId="21088"/>
    <cellStyle name="Background 3 2 4" xfId="21089"/>
    <cellStyle name="Background 3 2 4 2" xfId="21090"/>
    <cellStyle name="Background 3 2 4 3" xfId="21091"/>
    <cellStyle name="Background 3 2 5" xfId="21092"/>
    <cellStyle name="Background 3 2 5 2" xfId="21093"/>
    <cellStyle name="Background 3 2 5 3" xfId="21094"/>
    <cellStyle name="Background 3 2 6" xfId="21095"/>
    <cellStyle name="Background 3 2 6 2" xfId="21096"/>
    <cellStyle name="Background 3 2 6 3" xfId="21097"/>
    <cellStyle name="Background 3 2 7" xfId="21098"/>
    <cellStyle name="Background 3 2 8" xfId="21099"/>
    <cellStyle name="Background 3 3" xfId="21100"/>
    <cellStyle name="Background 3 3 2" xfId="21101"/>
    <cellStyle name="Background 3 3 2 2" xfId="21102"/>
    <cellStyle name="Background 3 3 2 2 2" xfId="21103"/>
    <cellStyle name="Background 3 3 2 2 3" xfId="21104"/>
    <cellStyle name="Background 3 3 2 3" xfId="21105"/>
    <cellStyle name="Background 3 3 2 3 2" xfId="21106"/>
    <cellStyle name="Background 3 3 2 3 3" xfId="21107"/>
    <cellStyle name="Background 3 3 2 4" xfId="21108"/>
    <cellStyle name="Background 3 3 2 4 2" xfId="21109"/>
    <cellStyle name="Background 3 3 2 4 3" xfId="21110"/>
    <cellStyle name="Background 3 3 2 5" xfId="21111"/>
    <cellStyle name="Background 3 3 2 5 2" xfId="21112"/>
    <cellStyle name="Background 3 3 2 5 3" xfId="21113"/>
    <cellStyle name="Background 3 3 2 6" xfId="21114"/>
    <cellStyle name="Background 3 3 2 6 2" xfId="21115"/>
    <cellStyle name="Background 3 3 2 6 3" xfId="21116"/>
    <cellStyle name="Background 3 3 2 7" xfId="21117"/>
    <cellStyle name="Background 3 3 2 8" xfId="21118"/>
    <cellStyle name="Background 3 3 3" xfId="21119"/>
    <cellStyle name="Background 3 3 3 2" xfId="21120"/>
    <cellStyle name="Background 3 3 3 3" xfId="21121"/>
    <cellStyle name="Background 3 3 4" xfId="21122"/>
    <cellStyle name="Background 3 3 4 2" xfId="21123"/>
    <cellStyle name="Background 3 3 4 3" xfId="21124"/>
    <cellStyle name="Background 3 3 5" xfId="21125"/>
    <cellStyle name="Background 3 3 5 2" xfId="21126"/>
    <cellStyle name="Background 3 3 5 3" xfId="21127"/>
    <cellStyle name="Background 3 3 6" xfId="21128"/>
    <cellStyle name="Background 3 3 6 2" xfId="21129"/>
    <cellStyle name="Background 3 3 6 3" xfId="21130"/>
    <cellStyle name="Background 3 3 7" xfId="21131"/>
    <cellStyle name="Background 3 3 7 2" xfId="21132"/>
    <cellStyle name="Background 3 3 7 3" xfId="21133"/>
    <cellStyle name="Background 3 3 8" xfId="21134"/>
    <cellStyle name="Background 3 3 9" xfId="21135"/>
    <cellStyle name="Background 3 4" xfId="21136"/>
    <cellStyle name="Background 3 4 2" xfId="21137"/>
    <cellStyle name="Background 3 4 2 2" xfId="21138"/>
    <cellStyle name="Background 3 4 2 3" xfId="21139"/>
    <cellStyle name="Background 3 4 3" xfId="21140"/>
    <cellStyle name="Background 3 4 3 2" xfId="21141"/>
    <cellStyle name="Background 3 4 3 3" xfId="21142"/>
    <cellStyle name="Background 3 4 4" xfId="21143"/>
    <cellStyle name="Background 3 4 4 2" xfId="21144"/>
    <cellStyle name="Background 3 4 4 3" xfId="21145"/>
    <cellStyle name="Background 3 4 5" xfId="21146"/>
    <cellStyle name="Background 3 4 5 2" xfId="21147"/>
    <cellStyle name="Background 3 4 5 3" xfId="21148"/>
    <cellStyle name="Background 3 4 6" xfId="21149"/>
    <cellStyle name="Background 3 4 6 2" xfId="21150"/>
    <cellStyle name="Background 3 4 6 3" xfId="21151"/>
    <cellStyle name="Background 3 4 7" xfId="21152"/>
    <cellStyle name="Background 3 4 8" xfId="21153"/>
    <cellStyle name="Background 3 5" xfId="21154"/>
    <cellStyle name="Background 3 5 2" xfId="21155"/>
    <cellStyle name="Background 3 5 3" xfId="21156"/>
    <cellStyle name="Background 3 6" xfId="21157"/>
    <cellStyle name="Background 3 6 2" xfId="21158"/>
    <cellStyle name="Background 3 6 3" xfId="21159"/>
    <cellStyle name="Background 3 7" xfId="21160"/>
    <cellStyle name="Background 3 7 2" xfId="21161"/>
    <cellStyle name="Background 3 7 3" xfId="21162"/>
    <cellStyle name="Background 3 8" xfId="21163"/>
    <cellStyle name="Background 3 9" xfId="21164"/>
    <cellStyle name="Background 4" xfId="21165"/>
    <cellStyle name="Background 4 2" xfId="21166"/>
    <cellStyle name="Background 4 2 2" xfId="21167"/>
    <cellStyle name="Background 4 2 2 2" xfId="21168"/>
    <cellStyle name="Background 4 2 2 3" xfId="21169"/>
    <cellStyle name="Background 4 2 3" xfId="21170"/>
    <cellStyle name="Background 4 2 3 2" xfId="21171"/>
    <cellStyle name="Background 4 2 3 3" xfId="21172"/>
    <cellStyle name="Background 4 2 4" xfId="21173"/>
    <cellStyle name="Background 4 2 4 2" xfId="21174"/>
    <cellStyle name="Background 4 2 4 3" xfId="21175"/>
    <cellStyle name="Background 4 2 5" xfId="21176"/>
    <cellStyle name="Background 4 2 5 2" xfId="21177"/>
    <cellStyle name="Background 4 2 5 3" xfId="21178"/>
    <cellStyle name="Background 4 2 6" xfId="21179"/>
    <cellStyle name="Background 4 2 6 2" xfId="21180"/>
    <cellStyle name="Background 4 2 6 3" xfId="21181"/>
    <cellStyle name="Background 4 2 7" xfId="21182"/>
    <cellStyle name="Background 4 2 8" xfId="21183"/>
    <cellStyle name="Background 4 3" xfId="21184"/>
    <cellStyle name="Background 4 3 2" xfId="21185"/>
    <cellStyle name="Background 4 3 3" xfId="21186"/>
    <cellStyle name="Background 4 4" xfId="21187"/>
    <cellStyle name="Background 4 4 2" xfId="21188"/>
    <cellStyle name="Background 4 4 3" xfId="21189"/>
    <cellStyle name="Background 4 5" xfId="21190"/>
    <cellStyle name="Background 4 5 2" xfId="21191"/>
    <cellStyle name="Background 4 5 3" xfId="21192"/>
    <cellStyle name="Background 4 6" xfId="21193"/>
    <cellStyle name="Background 4 6 2" xfId="21194"/>
    <cellStyle name="Background 4 6 3" xfId="21195"/>
    <cellStyle name="Background 4 7" xfId="21196"/>
    <cellStyle name="Background 4 7 2" xfId="21197"/>
    <cellStyle name="Background 4 7 3" xfId="21198"/>
    <cellStyle name="Background 4 8" xfId="21199"/>
    <cellStyle name="Background 4 9" xfId="21200"/>
    <cellStyle name="Background 5" xfId="21201"/>
    <cellStyle name="Background 5 2" xfId="21202"/>
    <cellStyle name="Background 5 2 2" xfId="21203"/>
    <cellStyle name="Background 5 2 3" xfId="21204"/>
    <cellStyle name="Background 5 3" xfId="21205"/>
    <cellStyle name="Background 5 3 2" xfId="21206"/>
    <cellStyle name="Background 5 3 3" xfId="21207"/>
    <cellStyle name="Background 5 4" xfId="21208"/>
    <cellStyle name="Background 5 4 2" xfId="21209"/>
    <cellStyle name="Background 5 4 3" xfId="21210"/>
    <cellStyle name="Background 5 5" xfId="21211"/>
    <cellStyle name="Background 5 5 2" xfId="21212"/>
    <cellStyle name="Background 5 5 3" xfId="21213"/>
    <cellStyle name="Background 5 6" xfId="21214"/>
    <cellStyle name="Background 5 6 2" xfId="21215"/>
    <cellStyle name="Background 5 6 3" xfId="21216"/>
    <cellStyle name="Background 5 7" xfId="21217"/>
    <cellStyle name="Background 5 8" xfId="21218"/>
    <cellStyle name="Background 6" xfId="21219"/>
    <cellStyle name="Background 6 2" xfId="21220"/>
    <cellStyle name="Background 6 3" xfId="21221"/>
    <cellStyle name="Background 7" xfId="21222"/>
    <cellStyle name="Background 7 2" xfId="21223"/>
    <cellStyle name="Background 7 3" xfId="21224"/>
    <cellStyle name="Background 8" xfId="21225"/>
    <cellStyle name="Background 8 2" xfId="21226"/>
    <cellStyle name="Background 8 3" xfId="21227"/>
    <cellStyle name="Background 9" xfId="21228"/>
    <cellStyle name="Bad 10" xfId="21229"/>
    <cellStyle name="Bad 10 2" xfId="21230"/>
    <cellStyle name="Bad 10 2 2" xfId="21231"/>
    <cellStyle name="Bad 10 2 3" xfId="21232"/>
    <cellStyle name="Bad 10 3" xfId="21233"/>
    <cellStyle name="Bad 10 4" xfId="21234"/>
    <cellStyle name="Bad 11" xfId="21235"/>
    <cellStyle name="Bad 11 2" xfId="21236"/>
    <cellStyle name="Bad 11 2 2" xfId="21237"/>
    <cellStyle name="Bad 11 2 3" xfId="21238"/>
    <cellStyle name="Bad 11 3" xfId="21239"/>
    <cellStyle name="Bad 11 4" xfId="21240"/>
    <cellStyle name="Bad 12" xfId="21241"/>
    <cellStyle name="Bad 12 2" xfId="21242"/>
    <cellStyle name="Bad 12 3" xfId="21243"/>
    <cellStyle name="Bad 13" xfId="21244"/>
    <cellStyle name="Bad 13 2" xfId="21245"/>
    <cellStyle name="Bad 13 3" xfId="21246"/>
    <cellStyle name="Bad 14" xfId="21247"/>
    <cellStyle name="Bad 14 2" xfId="21248"/>
    <cellStyle name="Bad 14 3" xfId="21249"/>
    <cellStyle name="Bad 15" xfId="21250"/>
    <cellStyle name="Bad 15 2" xfId="21251"/>
    <cellStyle name="Bad 15 2 2" xfId="21252"/>
    <cellStyle name="Bad 15 2 3" xfId="21253"/>
    <cellStyle name="Bad 15 3" xfId="21254"/>
    <cellStyle name="Bad 15 4" xfId="21255"/>
    <cellStyle name="Bad 16" xfId="21256"/>
    <cellStyle name="Bad 16 2" xfId="21257"/>
    <cellStyle name="Bad 16 3" xfId="21258"/>
    <cellStyle name="Bad 17" xfId="21259"/>
    <cellStyle name="Bad 18" xfId="21260"/>
    <cellStyle name="Bad 2" xfId="21261"/>
    <cellStyle name="Bad 2 10" xfId="21262"/>
    <cellStyle name="Bad 2 10 2" xfId="21263"/>
    <cellStyle name="Bad 2 10 3" xfId="21264"/>
    <cellStyle name="Bad 2 11" xfId="21265"/>
    <cellStyle name="Bad 2 11 2" xfId="21266"/>
    <cellStyle name="Bad 2 11 3" xfId="21267"/>
    <cellStyle name="Bad 2 12" xfId="21268"/>
    <cellStyle name="Bad 2 12 2" xfId="21269"/>
    <cellStyle name="Bad 2 12 3" xfId="21270"/>
    <cellStyle name="Bad 2 13" xfId="21271"/>
    <cellStyle name="Bad 2 13 2" xfId="21272"/>
    <cellStyle name="Bad 2 14" xfId="21273"/>
    <cellStyle name="Bad 2 15" xfId="21274"/>
    <cellStyle name="Bad 2 16" xfId="21275"/>
    <cellStyle name="Bad 2 2" xfId="21276"/>
    <cellStyle name="Bad 2 2 10" xfId="21277"/>
    <cellStyle name="Bad 2 2 10 2" xfId="21278"/>
    <cellStyle name="Bad 2 2 10 3" xfId="21279"/>
    <cellStyle name="Bad 2 2 11" xfId="21280"/>
    <cellStyle name="Bad 2 2 12" xfId="21281"/>
    <cellStyle name="Bad 2 2 2" xfId="21282"/>
    <cellStyle name="Bad 2 2 2 10" xfId="21283"/>
    <cellStyle name="Bad 2 2 2 10 2" xfId="21284"/>
    <cellStyle name="Bad 2 2 2 10 3" xfId="21285"/>
    <cellStyle name="Bad 2 2 2 11" xfId="21286"/>
    <cellStyle name="Bad 2 2 2 12" xfId="21287"/>
    <cellStyle name="Bad 2 2 2 13" xfId="21288"/>
    <cellStyle name="Bad 2 2 2 2" xfId="21289"/>
    <cellStyle name="Bad 2 2 2 2 2" xfId="21290"/>
    <cellStyle name="Bad 2 2 2 2 3" xfId="21291"/>
    <cellStyle name="Bad 2 2 2 3" xfId="21292"/>
    <cellStyle name="Bad 2 2 2 3 2" xfId="21293"/>
    <cellStyle name="Bad 2 2 2 3 3" xfId="21294"/>
    <cellStyle name="Bad 2 2 2 4" xfId="21295"/>
    <cellStyle name="Bad 2 2 2 4 2" xfId="21296"/>
    <cellStyle name="Bad 2 2 2 4 3" xfId="21297"/>
    <cellStyle name="Bad 2 2 2 5" xfId="21298"/>
    <cellStyle name="Bad 2 2 2 5 2" xfId="21299"/>
    <cellStyle name="Bad 2 2 2 5 3" xfId="21300"/>
    <cellStyle name="Bad 2 2 2 6" xfId="21301"/>
    <cellStyle name="Bad 2 2 2 6 2" xfId="21302"/>
    <cellStyle name="Bad 2 2 2 6 3" xfId="21303"/>
    <cellStyle name="Bad 2 2 2 7" xfId="21304"/>
    <cellStyle name="Bad 2 2 2 7 2" xfId="21305"/>
    <cellStyle name="Bad 2 2 2 7 3" xfId="21306"/>
    <cellStyle name="Bad 2 2 2 8" xfId="21307"/>
    <cellStyle name="Bad 2 2 2 8 2" xfId="21308"/>
    <cellStyle name="Bad 2 2 2 8 3" xfId="21309"/>
    <cellStyle name="Bad 2 2 2 9" xfId="21310"/>
    <cellStyle name="Bad 2 2 2 9 2" xfId="21311"/>
    <cellStyle name="Bad 2 2 2 9 3" xfId="21312"/>
    <cellStyle name="Bad 2 2 3" xfId="21313"/>
    <cellStyle name="Bad 2 2 3 2" xfId="21314"/>
    <cellStyle name="Bad 2 2 3 3" xfId="21315"/>
    <cellStyle name="Bad 2 2 4" xfId="21316"/>
    <cellStyle name="Bad 2 2 4 2" xfId="21317"/>
    <cellStyle name="Bad 2 2 4 3" xfId="21318"/>
    <cellStyle name="Bad 2 2 5" xfId="21319"/>
    <cellStyle name="Bad 2 2 5 2" xfId="21320"/>
    <cellStyle name="Bad 2 2 5 3" xfId="21321"/>
    <cellStyle name="Bad 2 2 6" xfId="21322"/>
    <cellStyle name="Bad 2 2 6 2" xfId="21323"/>
    <cellStyle name="Bad 2 2 6 3" xfId="21324"/>
    <cellStyle name="Bad 2 2 7" xfId="21325"/>
    <cellStyle name="Bad 2 2 7 2" xfId="21326"/>
    <cellStyle name="Bad 2 2 7 3" xfId="21327"/>
    <cellStyle name="Bad 2 2 8" xfId="21328"/>
    <cellStyle name="Bad 2 2 8 2" xfId="21329"/>
    <cellStyle name="Bad 2 2 8 3" xfId="21330"/>
    <cellStyle name="Bad 2 2 9" xfId="21331"/>
    <cellStyle name="Bad 2 2 9 2" xfId="21332"/>
    <cellStyle name="Bad 2 2 9 3" xfId="21333"/>
    <cellStyle name="Bad 2 3" xfId="21334"/>
    <cellStyle name="Bad 2 3 2" xfId="21335"/>
    <cellStyle name="Bad 2 3 3" xfId="21336"/>
    <cellStyle name="Bad 2 3 4" xfId="21337"/>
    <cellStyle name="Bad 2 4" xfId="21338"/>
    <cellStyle name="Bad 2 4 2" xfId="21339"/>
    <cellStyle name="Bad 2 4 3" xfId="21340"/>
    <cellStyle name="Bad 2 5" xfId="21341"/>
    <cellStyle name="Bad 2 5 2" xfId="21342"/>
    <cellStyle name="Bad 2 5 3" xfId="21343"/>
    <cellStyle name="Bad 2 6" xfId="21344"/>
    <cellStyle name="Bad 2 6 2" xfId="21345"/>
    <cellStyle name="Bad 2 6 3" xfId="21346"/>
    <cellStyle name="Bad 2 7" xfId="21347"/>
    <cellStyle name="Bad 2 7 2" xfId="21348"/>
    <cellStyle name="Bad 2 7 2 2" xfId="21349"/>
    <cellStyle name="Bad 2 7 2 3" xfId="21350"/>
    <cellStyle name="Bad 2 7 3" xfId="21351"/>
    <cellStyle name="Bad 2 7 4" xfId="21352"/>
    <cellStyle name="Bad 2 8" xfId="21353"/>
    <cellStyle name="Bad 2 8 2" xfId="21354"/>
    <cellStyle name="Bad 2 8 3" xfId="21355"/>
    <cellStyle name="Bad 2 9" xfId="21356"/>
    <cellStyle name="Bad 2 9 2" xfId="21357"/>
    <cellStyle name="Bad 2 9 3" xfId="21358"/>
    <cellStyle name="Bad 2_1-10 BHU IS" xfId="21359"/>
    <cellStyle name="Bad 3" xfId="21360"/>
    <cellStyle name="Bad 3 2" xfId="21361"/>
    <cellStyle name="Bad 3 2 2" xfId="21362"/>
    <cellStyle name="Bad 3 2 2 2" xfId="21363"/>
    <cellStyle name="Bad 3 2 2 3" xfId="21364"/>
    <cellStyle name="Bad 3 2 3" xfId="21365"/>
    <cellStyle name="Bad 3 2 4" xfId="21366"/>
    <cellStyle name="Bad 3 2 5" xfId="21367"/>
    <cellStyle name="Bad 3 3" xfId="21368"/>
    <cellStyle name="Bad 3 3 2" xfId="21369"/>
    <cellStyle name="Bad 3 4" xfId="21370"/>
    <cellStyle name="Bad 4" xfId="21371"/>
    <cellStyle name="Bad 4 2" xfId="21372"/>
    <cellStyle name="Bad 4 2 2" xfId="21373"/>
    <cellStyle name="Bad 4 2 3" xfId="21374"/>
    <cellStyle name="Bad 4 3" xfId="21375"/>
    <cellStyle name="Bad 4 4" xfId="21376"/>
    <cellStyle name="Bad 5" xfId="21377"/>
    <cellStyle name="Bad 5 2" xfId="21378"/>
    <cellStyle name="Bad 5 2 2" xfId="21379"/>
    <cellStyle name="Bad 5 2 3" xfId="21380"/>
    <cellStyle name="Bad 5 3" xfId="21381"/>
    <cellStyle name="Bad 5 4" xfId="21382"/>
    <cellStyle name="Bad 6" xfId="21383"/>
    <cellStyle name="Bad 6 2" xfId="21384"/>
    <cellStyle name="Bad 6 2 2" xfId="21385"/>
    <cellStyle name="Bad 6 2 3" xfId="21386"/>
    <cellStyle name="Bad 6 3" xfId="21387"/>
    <cellStyle name="Bad 6 4" xfId="21388"/>
    <cellStyle name="Bad 7" xfId="21389"/>
    <cellStyle name="Bad 7 2" xfId="21390"/>
    <cellStyle name="Bad 7 2 2" xfId="21391"/>
    <cellStyle name="Bad 7 2 3" xfId="21392"/>
    <cellStyle name="Bad 7 3" xfId="21393"/>
    <cellStyle name="Bad 7 4" xfId="21394"/>
    <cellStyle name="Bad 8" xfId="21395"/>
    <cellStyle name="Bad 8 2" xfId="21396"/>
    <cellStyle name="Bad 8 2 2" xfId="21397"/>
    <cellStyle name="Bad 8 2 3" xfId="21398"/>
    <cellStyle name="Bad 8 3" xfId="21399"/>
    <cellStyle name="Bad 8 4" xfId="21400"/>
    <cellStyle name="Bad 9" xfId="21401"/>
    <cellStyle name="Bad 9 2" xfId="21402"/>
    <cellStyle name="Bad 9 2 2" xfId="21403"/>
    <cellStyle name="Bad 9 2 3" xfId="21404"/>
    <cellStyle name="Bad 9 3" xfId="21405"/>
    <cellStyle name="Bad 9 4" xfId="21406"/>
    <cellStyle name="bigred" xfId="21407"/>
    <cellStyle name="Body" xfId="21408"/>
    <cellStyle name="Body 2" xfId="21409"/>
    <cellStyle name="Body 3" xfId="21410"/>
    <cellStyle name="Body: normal cell" xfId="37"/>
    <cellStyle name="BorderAreas" xfId="21411"/>
    <cellStyle name="Business Unit" xfId="21412"/>
    <cellStyle name="Business Unit 2" xfId="21413"/>
    <cellStyle name="Business Unit 2 2" xfId="21414"/>
    <cellStyle name="Business Unit 2 3" xfId="21415"/>
    <cellStyle name="Business Unit 3" xfId="21416"/>
    <cellStyle name="Business Unit 3 2" xfId="21417"/>
    <cellStyle name="Business Unit 3 3" xfId="21418"/>
    <cellStyle name="Business Unit 4" xfId="21419"/>
    <cellStyle name="Business Unit 5" xfId="21420"/>
    <cellStyle name="Calc Currency (0)" xfId="21421"/>
    <cellStyle name="Calc Currency (2)" xfId="21422"/>
    <cellStyle name="Calc Percent (0)" xfId="21423"/>
    <cellStyle name="Calc Percent (1)" xfId="21424"/>
    <cellStyle name="Calc Percent (2)" xfId="21425"/>
    <cellStyle name="Calc Units (0)" xfId="21426"/>
    <cellStyle name="Calc Units (1)" xfId="21427"/>
    <cellStyle name="Calc Units (2)" xfId="21428"/>
    <cellStyle name="calculate" xfId="21429"/>
    <cellStyle name="calculate 2" xfId="21430"/>
    <cellStyle name="Calculation 10" xfId="21431"/>
    <cellStyle name="Calculation 10 2" xfId="21432"/>
    <cellStyle name="Calculation 10 2 2" xfId="21433"/>
    <cellStyle name="Calculation 10 2 3" xfId="21434"/>
    <cellStyle name="Calculation 10 3" xfId="21435"/>
    <cellStyle name="Calculation 10 4" xfId="21436"/>
    <cellStyle name="Calculation 11" xfId="21437"/>
    <cellStyle name="Calculation 11 2" xfId="21438"/>
    <cellStyle name="Calculation 11 2 2" xfId="21439"/>
    <cellStyle name="Calculation 11 2 3" xfId="21440"/>
    <cellStyle name="Calculation 11 3" xfId="21441"/>
    <cellStyle name="Calculation 11 4" xfId="21442"/>
    <cellStyle name="Calculation 12" xfId="21443"/>
    <cellStyle name="Calculation 12 2" xfId="21444"/>
    <cellStyle name="Calculation 12 3" xfId="21445"/>
    <cellStyle name="Calculation 13" xfId="21446"/>
    <cellStyle name="Calculation 13 2" xfId="21447"/>
    <cellStyle name="Calculation 13 3" xfId="21448"/>
    <cellStyle name="Calculation 14" xfId="21449"/>
    <cellStyle name="Calculation 14 2" xfId="21450"/>
    <cellStyle name="Calculation 14 3" xfId="21451"/>
    <cellStyle name="Calculation 15" xfId="21452"/>
    <cellStyle name="Calculation 15 2" xfId="21453"/>
    <cellStyle name="Calculation 15 2 2" xfId="21454"/>
    <cellStyle name="Calculation 15 2 3" xfId="21455"/>
    <cellStyle name="Calculation 15 3" xfId="21456"/>
    <cellStyle name="Calculation 15 4" xfId="21457"/>
    <cellStyle name="Calculation 16" xfId="21458"/>
    <cellStyle name="Calculation 16 2" xfId="21459"/>
    <cellStyle name="Calculation 16 3" xfId="21460"/>
    <cellStyle name="Calculation 17" xfId="21461"/>
    <cellStyle name="Calculation 18" xfId="21462"/>
    <cellStyle name="Calculation 2" xfId="21463"/>
    <cellStyle name="Calculation 2 10" xfId="21464"/>
    <cellStyle name="Calculation 2 10 2" xfId="21465"/>
    <cellStyle name="Calculation 2 10 3" xfId="21466"/>
    <cellStyle name="Calculation 2 11" xfId="21467"/>
    <cellStyle name="Calculation 2 11 2" xfId="21468"/>
    <cellStyle name="Calculation 2 11 3" xfId="21469"/>
    <cellStyle name="Calculation 2 12" xfId="21470"/>
    <cellStyle name="Calculation 2 12 2" xfId="21471"/>
    <cellStyle name="Calculation 2 12 3" xfId="21472"/>
    <cellStyle name="Calculation 2 13" xfId="21473"/>
    <cellStyle name="Calculation 2 13 2" xfId="21474"/>
    <cellStyle name="Calculation 2 14" xfId="21475"/>
    <cellStyle name="Calculation 2 15" xfId="21476"/>
    <cellStyle name="Calculation 2 16" xfId="21477"/>
    <cellStyle name="Calculation 2 2" xfId="21478"/>
    <cellStyle name="Calculation 2 2 10" xfId="21479"/>
    <cellStyle name="Calculation 2 2 10 2" xfId="21480"/>
    <cellStyle name="Calculation 2 2 10 3" xfId="21481"/>
    <cellStyle name="Calculation 2 2 11" xfId="21482"/>
    <cellStyle name="Calculation 2 2 12" xfId="21483"/>
    <cellStyle name="Calculation 2 2 2" xfId="21484"/>
    <cellStyle name="Calculation 2 2 2 10" xfId="21485"/>
    <cellStyle name="Calculation 2 2 2 10 2" xfId="21486"/>
    <cellStyle name="Calculation 2 2 2 10 3" xfId="21487"/>
    <cellStyle name="Calculation 2 2 2 11" xfId="21488"/>
    <cellStyle name="Calculation 2 2 2 12" xfId="21489"/>
    <cellStyle name="Calculation 2 2 2 13" xfId="21490"/>
    <cellStyle name="Calculation 2 2 2 2" xfId="21491"/>
    <cellStyle name="Calculation 2 2 2 2 2" xfId="21492"/>
    <cellStyle name="Calculation 2 2 2 2 2 2" xfId="21493"/>
    <cellStyle name="Calculation 2 2 2 2 2 2 2" xfId="21494"/>
    <cellStyle name="Calculation 2 2 2 2 2 2 3" xfId="21495"/>
    <cellStyle name="Calculation 2 2 2 2 2 3" xfId="21496"/>
    <cellStyle name="Calculation 2 2 2 2 2 3 2" xfId="21497"/>
    <cellStyle name="Calculation 2 2 2 2 2 3 3" xfId="21498"/>
    <cellStyle name="Calculation 2 2 2 2 2 4" xfId="21499"/>
    <cellStyle name="Calculation 2 2 2 2 2 4 2" xfId="21500"/>
    <cellStyle name="Calculation 2 2 2 2 2 4 3" xfId="21501"/>
    <cellStyle name="Calculation 2 2 2 2 2 5" xfId="21502"/>
    <cellStyle name="Calculation 2 2 2 2 2 5 2" xfId="21503"/>
    <cellStyle name="Calculation 2 2 2 2 2 5 3" xfId="21504"/>
    <cellStyle name="Calculation 2 2 2 2 2 6" xfId="21505"/>
    <cellStyle name="Calculation 2 2 2 2 2 6 2" xfId="21506"/>
    <cellStyle name="Calculation 2 2 2 2 2 6 3" xfId="21507"/>
    <cellStyle name="Calculation 2 2 2 2 2 7" xfId="21508"/>
    <cellStyle name="Calculation 2 2 2 2 2 8" xfId="21509"/>
    <cellStyle name="Calculation 2 2 2 2 3" xfId="21510"/>
    <cellStyle name="Calculation 2 2 2 2 3 2" xfId="21511"/>
    <cellStyle name="Calculation 2 2 2 2 3 3" xfId="21512"/>
    <cellStyle name="Calculation 2 2 2 2 4" xfId="21513"/>
    <cellStyle name="Calculation 2 2 2 2 4 2" xfId="21514"/>
    <cellStyle name="Calculation 2 2 2 2 4 3" xfId="21515"/>
    <cellStyle name="Calculation 2 2 2 2 5" xfId="21516"/>
    <cellStyle name="Calculation 2 2 2 2 5 2" xfId="21517"/>
    <cellStyle name="Calculation 2 2 2 2 5 3" xfId="21518"/>
    <cellStyle name="Calculation 2 2 2 2 6" xfId="21519"/>
    <cellStyle name="Calculation 2 2 2 2 6 2" xfId="21520"/>
    <cellStyle name="Calculation 2 2 2 2 6 3" xfId="21521"/>
    <cellStyle name="Calculation 2 2 2 2 7" xfId="21522"/>
    <cellStyle name="Calculation 2 2 2 2 7 2" xfId="21523"/>
    <cellStyle name="Calculation 2 2 2 2 7 3" xfId="21524"/>
    <cellStyle name="Calculation 2 2 2 2 8" xfId="21525"/>
    <cellStyle name="Calculation 2 2 2 2 9" xfId="21526"/>
    <cellStyle name="Calculation 2 2 2 3" xfId="21527"/>
    <cellStyle name="Calculation 2 2 2 3 2" xfId="21528"/>
    <cellStyle name="Calculation 2 2 2 3 2 2" xfId="21529"/>
    <cellStyle name="Calculation 2 2 2 3 2 3" xfId="21530"/>
    <cellStyle name="Calculation 2 2 2 3 3" xfId="21531"/>
    <cellStyle name="Calculation 2 2 2 3 3 2" xfId="21532"/>
    <cellStyle name="Calculation 2 2 2 3 3 3" xfId="21533"/>
    <cellStyle name="Calculation 2 2 2 3 4" xfId="21534"/>
    <cellStyle name="Calculation 2 2 2 3 4 2" xfId="21535"/>
    <cellStyle name="Calculation 2 2 2 3 4 3" xfId="21536"/>
    <cellStyle name="Calculation 2 2 2 3 5" xfId="21537"/>
    <cellStyle name="Calculation 2 2 2 3 5 2" xfId="21538"/>
    <cellStyle name="Calculation 2 2 2 3 5 3" xfId="21539"/>
    <cellStyle name="Calculation 2 2 2 3 6" xfId="21540"/>
    <cellStyle name="Calculation 2 2 2 3 6 2" xfId="21541"/>
    <cellStyle name="Calculation 2 2 2 3 6 3" xfId="21542"/>
    <cellStyle name="Calculation 2 2 2 3 7" xfId="21543"/>
    <cellStyle name="Calculation 2 2 2 3 8" xfId="21544"/>
    <cellStyle name="Calculation 2 2 2 4" xfId="21545"/>
    <cellStyle name="Calculation 2 2 2 4 2" xfId="21546"/>
    <cellStyle name="Calculation 2 2 2 4 3" xfId="21547"/>
    <cellStyle name="Calculation 2 2 2 5" xfId="21548"/>
    <cellStyle name="Calculation 2 2 2 5 2" xfId="21549"/>
    <cellStyle name="Calculation 2 2 2 5 3" xfId="21550"/>
    <cellStyle name="Calculation 2 2 2 6" xfId="21551"/>
    <cellStyle name="Calculation 2 2 2 6 2" xfId="21552"/>
    <cellStyle name="Calculation 2 2 2 6 3" xfId="21553"/>
    <cellStyle name="Calculation 2 2 2 7" xfId="21554"/>
    <cellStyle name="Calculation 2 2 2 7 2" xfId="21555"/>
    <cellStyle name="Calculation 2 2 2 7 3" xfId="21556"/>
    <cellStyle name="Calculation 2 2 2 8" xfId="21557"/>
    <cellStyle name="Calculation 2 2 2 8 2" xfId="21558"/>
    <cellStyle name="Calculation 2 2 2 8 3" xfId="21559"/>
    <cellStyle name="Calculation 2 2 2 9" xfId="21560"/>
    <cellStyle name="Calculation 2 2 2 9 2" xfId="21561"/>
    <cellStyle name="Calculation 2 2 2 9 3" xfId="21562"/>
    <cellStyle name="Calculation 2 2 2_BHP 4Q 2010 Ops Review Senior Managment " xfId="7"/>
    <cellStyle name="Calculation 2 2 3" xfId="21563"/>
    <cellStyle name="Calculation 2 2 3 2" xfId="21564"/>
    <cellStyle name="Calculation 2 2 3 2 2" xfId="21565"/>
    <cellStyle name="Calculation 2 2 3 2 2 2" xfId="21566"/>
    <cellStyle name="Calculation 2 2 3 2 2 3" xfId="21567"/>
    <cellStyle name="Calculation 2 2 3 2 3" xfId="21568"/>
    <cellStyle name="Calculation 2 2 3 2 3 2" xfId="21569"/>
    <cellStyle name="Calculation 2 2 3 2 3 3" xfId="21570"/>
    <cellStyle name="Calculation 2 2 3 2 4" xfId="21571"/>
    <cellStyle name="Calculation 2 2 3 2 4 2" xfId="21572"/>
    <cellStyle name="Calculation 2 2 3 2 4 3" xfId="21573"/>
    <cellStyle name="Calculation 2 2 3 2 5" xfId="21574"/>
    <cellStyle name="Calculation 2 2 3 2 5 2" xfId="21575"/>
    <cellStyle name="Calculation 2 2 3 2 5 3" xfId="21576"/>
    <cellStyle name="Calculation 2 2 3 2 6" xfId="21577"/>
    <cellStyle name="Calculation 2 2 3 2 6 2" xfId="21578"/>
    <cellStyle name="Calculation 2 2 3 2 6 3" xfId="21579"/>
    <cellStyle name="Calculation 2 2 3 2 7" xfId="21580"/>
    <cellStyle name="Calculation 2 2 3 2 8" xfId="21581"/>
    <cellStyle name="Calculation 2 2 3 3" xfId="21582"/>
    <cellStyle name="Calculation 2 2 3 3 2" xfId="21583"/>
    <cellStyle name="Calculation 2 2 3 3 3" xfId="21584"/>
    <cellStyle name="Calculation 2 2 3 4" xfId="21585"/>
    <cellStyle name="Calculation 2 2 3 4 2" xfId="21586"/>
    <cellStyle name="Calculation 2 2 3 4 3" xfId="21587"/>
    <cellStyle name="Calculation 2 2 3 5" xfId="21588"/>
    <cellStyle name="Calculation 2 2 3 5 2" xfId="21589"/>
    <cellStyle name="Calculation 2 2 3 5 3" xfId="21590"/>
    <cellStyle name="Calculation 2 2 3 6" xfId="21591"/>
    <cellStyle name="Calculation 2 2 3 6 2" xfId="21592"/>
    <cellStyle name="Calculation 2 2 3 6 3" xfId="21593"/>
    <cellStyle name="Calculation 2 2 3 7" xfId="21594"/>
    <cellStyle name="Calculation 2 2 3 7 2" xfId="21595"/>
    <cellStyle name="Calculation 2 2 3 7 3" xfId="21596"/>
    <cellStyle name="Calculation 2 2 3 8" xfId="21597"/>
    <cellStyle name="Calculation 2 2 3 9" xfId="21598"/>
    <cellStyle name="Calculation 2 2 4" xfId="21599"/>
    <cellStyle name="Calculation 2 2 4 2" xfId="21600"/>
    <cellStyle name="Calculation 2 2 4 2 2" xfId="21601"/>
    <cellStyle name="Calculation 2 2 4 2 3" xfId="21602"/>
    <cellStyle name="Calculation 2 2 4 3" xfId="21603"/>
    <cellStyle name="Calculation 2 2 4 3 2" xfId="21604"/>
    <cellStyle name="Calculation 2 2 4 3 3" xfId="21605"/>
    <cellStyle name="Calculation 2 2 4 4" xfId="21606"/>
    <cellStyle name="Calculation 2 2 4 4 2" xfId="21607"/>
    <cellStyle name="Calculation 2 2 4 4 3" xfId="21608"/>
    <cellStyle name="Calculation 2 2 4 5" xfId="21609"/>
    <cellStyle name="Calculation 2 2 4 5 2" xfId="21610"/>
    <cellStyle name="Calculation 2 2 4 5 3" xfId="21611"/>
    <cellStyle name="Calculation 2 2 4 6" xfId="21612"/>
    <cellStyle name="Calculation 2 2 4 6 2" xfId="21613"/>
    <cellStyle name="Calculation 2 2 4 6 3" xfId="21614"/>
    <cellStyle name="Calculation 2 2 4 7" xfId="21615"/>
    <cellStyle name="Calculation 2 2 4 8" xfId="21616"/>
    <cellStyle name="Calculation 2 2 5" xfId="21617"/>
    <cellStyle name="Calculation 2 2 5 2" xfId="21618"/>
    <cellStyle name="Calculation 2 2 5 3" xfId="21619"/>
    <cellStyle name="Calculation 2 2 6" xfId="21620"/>
    <cellStyle name="Calculation 2 2 6 2" xfId="21621"/>
    <cellStyle name="Calculation 2 2 6 3" xfId="21622"/>
    <cellStyle name="Calculation 2 2 7" xfId="21623"/>
    <cellStyle name="Calculation 2 2 7 2" xfId="21624"/>
    <cellStyle name="Calculation 2 2 7 3" xfId="21625"/>
    <cellStyle name="Calculation 2 2 8" xfId="21626"/>
    <cellStyle name="Calculation 2 2 8 2" xfId="21627"/>
    <cellStyle name="Calculation 2 2 8 3" xfId="21628"/>
    <cellStyle name="Calculation 2 2 9" xfId="21629"/>
    <cellStyle name="Calculation 2 2 9 2" xfId="21630"/>
    <cellStyle name="Calculation 2 2 9 3" xfId="21631"/>
    <cellStyle name="Calculation 2 2_BHP 4Q 2010 Ops Review Senior Managment " xfId="8"/>
    <cellStyle name="Calculation 2 3" xfId="21632"/>
    <cellStyle name="Calculation 2 3 2" xfId="21633"/>
    <cellStyle name="Calculation 2 3 2 2" xfId="21634"/>
    <cellStyle name="Calculation 2 3 2 2 2" xfId="21635"/>
    <cellStyle name="Calculation 2 3 2 2 2 2" xfId="21636"/>
    <cellStyle name="Calculation 2 3 2 2 2 3" xfId="21637"/>
    <cellStyle name="Calculation 2 3 2 2 3" xfId="21638"/>
    <cellStyle name="Calculation 2 3 2 2 3 2" xfId="21639"/>
    <cellStyle name="Calculation 2 3 2 2 3 3" xfId="21640"/>
    <cellStyle name="Calculation 2 3 2 2 4" xfId="21641"/>
    <cellStyle name="Calculation 2 3 2 2 4 2" xfId="21642"/>
    <cellStyle name="Calculation 2 3 2 2 4 3" xfId="21643"/>
    <cellStyle name="Calculation 2 3 2 2 5" xfId="21644"/>
    <cellStyle name="Calculation 2 3 2 2 5 2" xfId="21645"/>
    <cellStyle name="Calculation 2 3 2 2 5 3" xfId="21646"/>
    <cellStyle name="Calculation 2 3 2 2 6" xfId="21647"/>
    <cellStyle name="Calculation 2 3 2 2 6 2" xfId="21648"/>
    <cellStyle name="Calculation 2 3 2 2 6 3" xfId="21649"/>
    <cellStyle name="Calculation 2 3 2 2 7" xfId="21650"/>
    <cellStyle name="Calculation 2 3 2 2 8" xfId="21651"/>
    <cellStyle name="Calculation 2 3 2 3" xfId="21652"/>
    <cellStyle name="Calculation 2 3 2 3 2" xfId="21653"/>
    <cellStyle name="Calculation 2 3 2 3 3" xfId="21654"/>
    <cellStyle name="Calculation 2 3 2 4" xfId="21655"/>
    <cellStyle name="Calculation 2 3 2 4 2" xfId="21656"/>
    <cellStyle name="Calculation 2 3 2 4 3" xfId="21657"/>
    <cellStyle name="Calculation 2 3 2 5" xfId="21658"/>
    <cellStyle name="Calculation 2 3 2 5 2" xfId="21659"/>
    <cellStyle name="Calculation 2 3 2 5 3" xfId="21660"/>
    <cellStyle name="Calculation 2 3 2 6" xfId="21661"/>
    <cellStyle name="Calculation 2 3 2 6 2" xfId="21662"/>
    <cellStyle name="Calculation 2 3 2 6 3" xfId="21663"/>
    <cellStyle name="Calculation 2 3 2 7" xfId="21664"/>
    <cellStyle name="Calculation 2 3 2 7 2" xfId="21665"/>
    <cellStyle name="Calculation 2 3 2 7 3" xfId="21666"/>
    <cellStyle name="Calculation 2 3 2 8" xfId="21667"/>
    <cellStyle name="Calculation 2 3 2 9" xfId="21668"/>
    <cellStyle name="Calculation 2 3 3" xfId="21669"/>
    <cellStyle name="Calculation 2 3 3 2" xfId="21670"/>
    <cellStyle name="Calculation 2 3 3 2 2" xfId="21671"/>
    <cellStyle name="Calculation 2 3 3 2 3" xfId="21672"/>
    <cellStyle name="Calculation 2 3 3 3" xfId="21673"/>
    <cellStyle name="Calculation 2 3 3 3 2" xfId="21674"/>
    <cellStyle name="Calculation 2 3 3 3 3" xfId="21675"/>
    <cellStyle name="Calculation 2 3 3 4" xfId="21676"/>
    <cellStyle name="Calculation 2 3 3 4 2" xfId="21677"/>
    <cellStyle name="Calculation 2 3 3 4 3" xfId="21678"/>
    <cellStyle name="Calculation 2 3 3 5" xfId="21679"/>
    <cellStyle name="Calculation 2 3 3 5 2" xfId="21680"/>
    <cellStyle name="Calculation 2 3 3 5 3" xfId="21681"/>
    <cellStyle name="Calculation 2 3 3 6" xfId="21682"/>
    <cellStyle name="Calculation 2 3 3 6 2" xfId="21683"/>
    <cellStyle name="Calculation 2 3 3 6 3" xfId="21684"/>
    <cellStyle name="Calculation 2 3 3 7" xfId="21685"/>
    <cellStyle name="Calculation 2 3 3 8" xfId="21686"/>
    <cellStyle name="Calculation 2 3 4" xfId="21687"/>
    <cellStyle name="Calculation 2 3 4 2" xfId="21688"/>
    <cellStyle name="Calculation 2 3 4 3" xfId="21689"/>
    <cellStyle name="Calculation 2 3 5" xfId="21690"/>
    <cellStyle name="Calculation 2 3 5 2" xfId="21691"/>
    <cellStyle name="Calculation 2 3 5 3" xfId="21692"/>
    <cellStyle name="Calculation 2 3 6" xfId="21693"/>
    <cellStyle name="Calculation 2 3 6 2" xfId="21694"/>
    <cellStyle name="Calculation 2 3 6 3" xfId="21695"/>
    <cellStyle name="Calculation 2 3 7" xfId="21696"/>
    <cellStyle name="Calculation 2 3 8" xfId="21697"/>
    <cellStyle name="Calculation 2 4" xfId="21698"/>
    <cellStyle name="Calculation 2 4 2" xfId="21699"/>
    <cellStyle name="Calculation 2 4 2 2" xfId="21700"/>
    <cellStyle name="Calculation 2 4 2 2 2" xfId="21701"/>
    <cellStyle name="Calculation 2 4 2 2 3" xfId="21702"/>
    <cellStyle name="Calculation 2 4 2 3" xfId="21703"/>
    <cellStyle name="Calculation 2 4 2 3 2" xfId="21704"/>
    <cellStyle name="Calculation 2 4 2 3 3" xfId="21705"/>
    <cellStyle name="Calculation 2 4 2 4" xfId="21706"/>
    <cellStyle name="Calculation 2 4 2 4 2" xfId="21707"/>
    <cellStyle name="Calculation 2 4 2 4 3" xfId="21708"/>
    <cellStyle name="Calculation 2 4 2 5" xfId="21709"/>
    <cellStyle name="Calculation 2 4 2 5 2" xfId="21710"/>
    <cellStyle name="Calculation 2 4 2 5 3" xfId="21711"/>
    <cellStyle name="Calculation 2 4 2 6" xfId="21712"/>
    <cellStyle name="Calculation 2 4 2 6 2" xfId="21713"/>
    <cellStyle name="Calculation 2 4 2 6 3" xfId="21714"/>
    <cellStyle name="Calculation 2 4 2 7" xfId="21715"/>
    <cellStyle name="Calculation 2 4 2 8" xfId="21716"/>
    <cellStyle name="Calculation 2 4 3" xfId="21717"/>
    <cellStyle name="Calculation 2 4 3 2" xfId="21718"/>
    <cellStyle name="Calculation 2 4 3 3" xfId="21719"/>
    <cellStyle name="Calculation 2 4 4" xfId="21720"/>
    <cellStyle name="Calculation 2 4 4 2" xfId="21721"/>
    <cellStyle name="Calculation 2 4 4 3" xfId="21722"/>
    <cellStyle name="Calculation 2 4 5" xfId="21723"/>
    <cellStyle name="Calculation 2 4 5 2" xfId="21724"/>
    <cellStyle name="Calculation 2 4 5 3" xfId="21725"/>
    <cellStyle name="Calculation 2 4 6" xfId="21726"/>
    <cellStyle name="Calculation 2 4 6 2" xfId="21727"/>
    <cellStyle name="Calculation 2 4 6 3" xfId="21728"/>
    <cellStyle name="Calculation 2 4 7" xfId="21729"/>
    <cellStyle name="Calculation 2 4 7 2" xfId="21730"/>
    <cellStyle name="Calculation 2 4 7 3" xfId="21731"/>
    <cellStyle name="Calculation 2 4 8" xfId="21732"/>
    <cellStyle name="Calculation 2 4 9" xfId="21733"/>
    <cellStyle name="Calculation 2 5" xfId="21734"/>
    <cellStyle name="Calculation 2 5 2" xfId="21735"/>
    <cellStyle name="Calculation 2 5 2 2" xfId="21736"/>
    <cellStyle name="Calculation 2 5 2 3" xfId="21737"/>
    <cellStyle name="Calculation 2 5 3" xfId="21738"/>
    <cellStyle name="Calculation 2 5 3 2" xfId="21739"/>
    <cellStyle name="Calculation 2 5 3 3" xfId="21740"/>
    <cellStyle name="Calculation 2 5 4" xfId="21741"/>
    <cellStyle name="Calculation 2 5 4 2" xfId="21742"/>
    <cellStyle name="Calculation 2 5 4 3" xfId="21743"/>
    <cellStyle name="Calculation 2 5 5" xfId="21744"/>
    <cellStyle name="Calculation 2 5 5 2" xfId="21745"/>
    <cellStyle name="Calculation 2 5 5 3" xfId="21746"/>
    <cellStyle name="Calculation 2 5 6" xfId="21747"/>
    <cellStyle name="Calculation 2 5 6 2" xfId="21748"/>
    <cellStyle name="Calculation 2 5 6 3" xfId="21749"/>
    <cellStyle name="Calculation 2 5 7" xfId="21750"/>
    <cellStyle name="Calculation 2 5 8" xfId="21751"/>
    <cellStyle name="Calculation 2 6" xfId="21752"/>
    <cellStyle name="Calculation 2 6 2" xfId="21753"/>
    <cellStyle name="Calculation 2 6 3" xfId="21754"/>
    <cellStyle name="Calculation 2 7" xfId="21755"/>
    <cellStyle name="Calculation 2 7 2" xfId="21756"/>
    <cellStyle name="Calculation 2 7 2 2" xfId="21757"/>
    <cellStyle name="Calculation 2 7 2 3" xfId="21758"/>
    <cellStyle name="Calculation 2 7 3" xfId="21759"/>
    <cellStyle name="Calculation 2 7 4" xfId="21760"/>
    <cellStyle name="Calculation 2 8" xfId="21761"/>
    <cellStyle name="Calculation 2 8 2" xfId="21762"/>
    <cellStyle name="Calculation 2 8 3" xfId="21763"/>
    <cellStyle name="Calculation 2 9" xfId="21764"/>
    <cellStyle name="Calculation 2 9 2" xfId="21765"/>
    <cellStyle name="Calculation 2 9 3" xfId="21766"/>
    <cellStyle name="Calculation 2_1-10 BHU IS" xfId="21767"/>
    <cellStyle name="Calculation 3" xfId="21768"/>
    <cellStyle name="Calculation 3 2" xfId="21769"/>
    <cellStyle name="Calculation 3 2 2" xfId="21770"/>
    <cellStyle name="Calculation 3 2 2 2" xfId="21771"/>
    <cellStyle name="Calculation 3 2 2 2 2" xfId="21772"/>
    <cellStyle name="Calculation 3 2 2 2 2 2" xfId="21773"/>
    <cellStyle name="Calculation 3 2 2 2 2 3" xfId="21774"/>
    <cellStyle name="Calculation 3 2 2 2 3" xfId="21775"/>
    <cellStyle name="Calculation 3 2 2 2 3 2" xfId="21776"/>
    <cellStyle name="Calculation 3 2 2 2 3 3" xfId="21777"/>
    <cellStyle name="Calculation 3 2 2 2 4" xfId="21778"/>
    <cellStyle name="Calculation 3 2 2 2 4 2" xfId="21779"/>
    <cellStyle name="Calculation 3 2 2 2 4 3" xfId="21780"/>
    <cellStyle name="Calculation 3 2 2 2 5" xfId="21781"/>
    <cellStyle name="Calculation 3 2 2 2 5 2" xfId="21782"/>
    <cellStyle name="Calculation 3 2 2 2 5 3" xfId="21783"/>
    <cellStyle name="Calculation 3 2 2 2 6" xfId="21784"/>
    <cellStyle name="Calculation 3 2 2 2 6 2" xfId="21785"/>
    <cellStyle name="Calculation 3 2 2 2 6 3" xfId="21786"/>
    <cellStyle name="Calculation 3 2 2 2 7" xfId="21787"/>
    <cellStyle name="Calculation 3 2 2 2 8" xfId="21788"/>
    <cellStyle name="Calculation 3 2 2 3" xfId="21789"/>
    <cellStyle name="Calculation 3 2 2 3 2" xfId="21790"/>
    <cellStyle name="Calculation 3 2 2 3 3" xfId="21791"/>
    <cellStyle name="Calculation 3 2 2 4" xfId="21792"/>
    <cellStyle name="Calculation 3 2 2 4 2" xfId="21793"/>
    <cellStyle name="Calculation 3 2 2 4 3" xfId="21794"/>
    <cellStyle name="Calculation 3 2 2 5" xfId="21795"/>
    <cellStyle name="Calculation 3 2 2 5 2" xfId="21796"/>
    <cellStyle name="Calculation 3 2 2 5 3" xfId="21797"/>
    <cellStyle name="Calculation 3 2 2 6" xfId="21798"/>
    <cellStyle name="Calculation 3 2 2 6 2" xfId="21799"/>
    <cellStyle name="Calculation 3 2 2 6 3" xfId="21800"/>
    <cellStyle name="Calculation 3 2 2 7" xfId="21801"/>
    <cellStyle name="Calculation 3 2 2 7 2" xfId="21802"/>
    <cellStyle name="Calculation 3 2 2 7 3" xfId="21803"/>
    <cellStyle name="Calculation 3 2 2 8" xfId="21804"/>
    <cellStyle name="Calculation 3 2 2 9" xfId="21805"/>
    <cellStyle name="Calculation 3 2 3" xfId="21806"/>
    <cellStyle name="Calculation 3 2 3 2" xfId="21807"/>
    <cellStyle name="Calculation 3 2 3 2 2" xfId="21808"/>
    <cellStyle name="Calculation 3 2 3 2 3" xfId="21809"/>
    <cellStyle name="Calculation 3 2 3 3" xfId="21810"/>
    <cellStyle name="Calculation 3 2 3 3 2" xfId="21811"/>
    <cellStyle name="Calculation 3 2 3 3 3" xfId="21812"/>
    <cellStyle name="Calculation 3 2 3 4" xfId="21813"/>
    <cellStyle name="Calculation 3 2 3 4 2" xfId="21814"/>
    <cellStyle name="Calculation 3 2 3 4 3" xfId="21815"/>
    <cellStyle name="Calculation 3 2 3 5" xfId="21816"/>
    <cellStyle name="Calculation 3 2 3 5 2" xfId="21817"/>
    <cellStyle name="Calculation 3 2 3 5 3" xfId="21818"/>
    <cellStyle name="Calculation 3 2 3 6" xfId="21819"/>
    <cellStyle name="Calculation 3 2 3 6 2" xfId="21820"/>
    <cellStyle name="Calculation 3 2 3 6 3" xfId="21821"/>
    <cellStyle name="Calculation 3 2 3 7" xfId="21822"/>
    <cellStyle name="Calculation 3 2 3 8" xfId="21823"/>
    <cellStyle name="Calculation 3 2 4" xfId="21824"/>
    <cellStyle name="Calculation 3 2 4 2" xfId="21825"/>
    <cellStyle name="Calculation 3 2 4 3" xfId="21826"/>
    <cellStyle name="Calculation 3 2 5" xfId="21827"/>
    <cellStyle name="Calculation 3 2 5 2" xfId="21828"/>
    <cellStyle name="Calculation 3 2 5 3" xfId="21829"/>
    <cellStyle name="Calculation 3 2 6" xfId="21830"/>
    <cellStyle name="Calculation 3 2 6 2" xfId="21831"/>
    <cellStyle name="Calculation 3 2 6 3" xfId="21832"/>
    <cellStyle name="Calculation 3 2 7" xfId="21833"/>
    <cellStyle name="Calculation 3 2 8" xfId="21834"/>
    <cellStyle name="Calculation 3 3" xfId="21835"/>
    <cellStyle name="Calculation 3 3 2" xfId="21836"/>
    <cellStyle name="Calculation 3 3 2 2" xfId="21837"/>
    <cellStyle name="Calculation 3 3 2 2 2" xfId="21838"/>
    <cellStyle name="Calculation 3 3 2 2 3" xfId="21839"/>
    <cellStyle name="Calculation 3 3 2 3" xfId="21840"/>
    <cellStyle name="Calculation 3 3 2 3 2" xfId="21841"/>
    <cellStyle name="Calculation 3 3 2 3 3" xfId="21842"/>
    <cellStyle name="Calculation 3 3 2 4" xfId="21843"/>
    <cellStyle name="Calculation 3 3 2 4 2" xfId="21844"/>
    <cellStyle name="Calculation 3 3 2 4 3" xfId="21845"/>
    <cellStyle name="Calculation 3 3 2 5" xfId="21846"/>
    <cellStyle name="Calculation 3 3 2 5 2" xfId="21847"/>
    <cellStyle name="Calculation 3 3 2 5 3" xfId="21848"/>
    <cellStyle name="Calculation 3 3 2 6" xfId="21849"/>
    <cellStyle name="Calculation 3 3 2 6 2" xfId="21850"/>
    <cellStyle name="Calculation 3 3 2 6 3" xfId="21851"/>
    <cellStyle name="Calculation 3 3 2 7" xfId="21852"/>
    <cellStyle name="Calculation 3 3 2 8" xfId="21853"/>
    <cellStyle name="Calculation 3 3 3" xfId="21854"/>
    <cellStyle name="Calculation 3 3 3 2" xfId="21855"/>
    <cellStyle name="Calculation 3 3 3 3" xfId="21856"/>
    <cellStyle name="Calculation 3 3 4" xfId="21857"/>
    <cellStyle name="Calculation 3 3 4 2" xfId="21858"/>
    <cellStyle name="Calculation 3 3 4 3" xfId="21859"/>
    <cellStyle name="Calculation 3 3 5" xfId="21860"/>
    <cellStyle name="Calculation 3 3 5 2" xfId="21861"/>
    <cellStyle name="Calculation 3 3 5 3" xfId="21862"/>
    <cellStyle name="Calculation 3 3 6" xfId="21863"/>
    <cellStyle name="Calculation 3 3 6 2" xfId="21864"/>
    <cellStyle name="Calculation 3 3 6 3" xfId="21865"/>
    <cellStyle name="Calculation 3 3 7" xfId="21866"/>
    <cellStyle name="Calculation 3 3 7 2" xfId="21867"/>
    <cellStyle name="Calculation 3 3 7 3" xfId="21868"/>
    <cellStyle name="Calculation 3 3 8" xfId="21869"/>
    <cellStyle name="Calculation 3 3 9" xfId="21870"/>
    <cellStyle name="Calculation 3 4" xfId="21871"/>
    <cellStyle name="Calculation 3 4 2" xfId="21872"/>
    <cellStyle name="Calculation 3 4 2 2" xfId="21873"/>
    <cellStyle name="Calculation 3 4 2 3" xfId="21874"/>
    <cellStyle name="Calculation 3 4 3" xfId="21875"/>
    <cellStyle name="Calculation 3 4 3 2" xfId="21876"/>
    <cellStyle name="Calculation 3 4 3 3" xfId="21877"/>
    <cellStyle name="Calculation 3 4 4" xfId="21878"/>
    <cellStyle name="Calculation 3 4 4 2" xfId="21879"/>
    <cellStyle name="Calculation 3 4 4 3" xfId="21880"/>
    <cellStyle name="Calculation 3 4 5" xfId="21881"/>
    <cellStyle name="Calculation 3 4 5 2" xfId="21882"/>
    <cellStyle name="Calculation 3 4 5 3" xfId="21883"/>
    <cellStyle name="Calculation 3 4 6" xfId="21884"/>
    <cellStyle name="Calculation 3 4 6 2" xfId="21885"/>
    <cellStyle name="Calculation 3 4 6 3" xfId="21886"/>
    <cellStyle name="Calculation 3 4 7" xfId="21887"/>
    <cellStyle name="Calculation 3 4 8" xfId="21888"/>
    <cellStyle name="Calculation 3 5" xfId="21889"/>
    <cellStyle name="Calculation 3 5 2" xfId="21890"/>
    <cellStyle name="Calculation 3 5 3" xfId="21891"/>
    <cellStyle name="Calculation 3 6" xfId="21892"/>
    <cellStyle name="Calculation 3 6 2" xfId="21893"/>
    <cellStyle name="Calculation 3 6 3" xfId="21894"/>
    <cellStyle name="Calculation 3 7" xfId="21895"/>
    <cellStyle name="Calculation 3 7 2" xfId="21896"/>
    <cellStyle name="Calculation 3 7 3" xfId="21897"/>
    <cellStyle name="Calculation 3 8" xfId="21898"/>
    <cellStyle name="Calculation 3 9" xfId="21899"/>
    <cellStyle name="Calculation 3_1-10 BHU IS" xfId="21900"/>
    <cellStyle name="Calculation 4" xfId="21901"/>
    <cellStyle name="Calculation 4 2" xfId="21902"/>
    <cellStyle name="Calculation 4 2 2" xfId="21903"/>
    <cellStyle name="Calculation 4 2 2 2" xfId="21904"/>
    <cellStyle name="Calculation 4 2 2 2 2" xfId="21905"/>
    <cellStyle name="Calculation 4 2 2 2 2 2" xfId="21906"/>
    <cellStyle name="Calculation 4 2 2 2 2 3" xfId="21907"/>
    <cellStyle name="Calculation 4 2 2 2 3" xfId="21908"/>
    <cellStyle name="Calculation 4 2 2 2 3 2" xfId="21909"/>
    <cellStyle name="Calculation 4 2 2 2 3 3" xfId="21910"/>
    <cellStyle name="Calculation 4 2 2 2 4" xfId="21911"/>
    <cellStyle name="Calculation 4 2 2 2 4 2" xfId="21912"/>
    <cellStyle name="Calculation 4 2 2 2 4 3" xfId="21913"/>
    <cellStyle name="Calculation 4 2 2 2 5" xfId="21914"/>
    <cellStyle name="Calculation 4 2 2 2 5 2" xfId="21915"/>
    <cellStyle name="Calculation 4 2 2 2 5 3" xfId="21916"/>
    <cellStyle name="Calculation 4 2 2 2 6" xfId="21917"/>
    <cellStyle name="Calculation 4 2 2 2 6 2" xfId="21918"/>
    <cellStyle name="Calculation 4 2 2 2 6 3" xfId="21919"/>
    <cellStyle name="Calculation 4 2 2 2 7" xfId="21920"/>
    <cellStyle name="Calculation 4 2 2 2 8" xfId="21921"/>
    <cellStyle name="Calculation 4 2 2 3" xfId="21922"/>
    <cellStyle name="Calculation 4 2 2 3 2" xfId="21923"/>
    <cellStyle name="Calculation 4 2 2 3 3" xfId="21924"/>
    <cellStyle name="Calculation 4 2 2 4" xfId="21925"/>
    <cellStyle name="Calculation 4 2 2 4 2" xfId="21926"/>
    <cellStyle name="Calculation 4 2 2 4 3" xfId="21927"/>
    <cellStyle name="Calculation 4 2 2 5" xfId="21928"/>
    <cellStyle name="Calculation 4 2 2 5 2" xfId="21929"/>
    <cellStyle name="Calculation 4 2 2 5 3" xfId="21930"/>
    <cellStyle name="Calculation 4 2 2 6" xfId="21931"/>
    <cellStyle name="Calculation 4 2 2 6 2" xfId="21932"/>
    <cellStyle name="Calculation 4 2 2 6 3" xfId="21933"/>
    <cellStyle name="Calculation 4 2 2 7" xfId="21934"/>
    <cellStyle name="Calculation 4 2 2 7 2" xfId="21935"/>
    <cellStyle name="Calculation 4 2 2 7 3" xfId="21936"/>
    <cellStyle name="Calculation 4 2 2 8" xfId="21937"/>
    <cellStyle name="Calculation 4 2 2 9" xfId="21938"/>
    <cellStyle name="Calculation 4 2 3" xfId="21939"/>
    <cellStyle name="Calculation 4 2 3 2" xfId="21940"/>
    <cellStyle name="Calculation 4 2 3 2 2" xfId="21941"/>
    <cellStyle name="Calculation 4 2 3 2 3" xfId="21942"/>
    <cellStyle name="Calculation 4 2 3 3" xfId="21943"/>
    <cellStyle name="Calculation 4 2 3 3 2" xfId="21944"/>
    <cellStyle name="Calculation 4 2 3 3 3" xfId="21945"/>
    <cellStyle name="Calculation 4 2 3 4" xfId="21946"/>
    <cellStyle name="Calculation 4 2 3 4 2" xfId="21947"/>
    <cellStyle name="Calculation 4 2 3 4 3" xfId="21948"/>
    <cellStyle name="Calculation 4 2 3 5" xfId="21949"/>
    <cellStyle name="Calculation 4 2 3 5 2" xfId="21950"/>
    <cellStyle name="Calculation 4 2 3 5 3" xfId="21951"/>
    <cellStyle name="Calculation 4 2 3 6" xfId="21952"/>
    <cellStyle name="Calculation 4 2 3 6 2" xfId="21953"/>
    <cellStyle name="Calculation 4 2 3 6 3" xfId="21954"/>
    <cellStyle name="Calculation 4 2 3 7" xfId="21955"/>
    <cellStyle name="Calculation 4 2 3 8" xfId="21956"/>
    <cellStyle name="Calculation 4 2 4" xfId="21957"/>
    <cellStyle name="Calculation 4 2 4 2" xfId="21958"/>
    <cellStyle name="Calculation 4 2 4 3" xfId="21959"/>
    <cellStyle name="Calculation 4 2 5" xfId="21960"/>
    <cellStyle name="Calculation 4 2 5 2" xfId="21961"/>
    <cellStyle name="Calculation 4 2 5 3" xfId="21962"/>
    <cellStyle name="Calculation 4 2 6" xfId="21963"/>
    <cellStyle name="Calculation 4 2 6 2" xfId="21964"/>
    <cellStyle name="Calculation 4 2 6 3" xfId="21965"/>
    <cellStyle name="Calculation 4 2 7" xfId="21966"/>
    <cellStyle name="Calculation 4 2 8" xfId="21967"/>
    <cellStyle name="Calculation 4 3" xfId="21968"/>
    <cellStyle name="Calculation 4 3 2" xfId="21969"/>
    <cellStyle name="Calculation 4 3 2 2" xfId="21970"/>
    <cellStyle name="Calculation 4 3 2 2 2" xfId="21971"/>
    <cellStyle name="Calculation 4 3 2 2 3" xfId="21972"/>
    <cellStyle name="Calculation 4 3 2 3" xfId="21973"/>
    <cellStyle name="Calculation 4 3 2 3 2" xfId="21974"/>
    <cellStyle name="Calculation 4 3 2 3 3" xfId="21975"/>
    <cellStyle name="Calculation 4 3 2 4" xfId="21976"/>
    <cellStyle name="Calculation 4 3 2 4 2" xfId="21977"/>
    <cellStyle name="Calculation 4 3 2 4 3" xfId="21978"/>
    <cellStyle name="Calculation 4 3 2 5" xfId="21979"/>
    <cellStyle name="Calculation 4 3 2 5 2" xfId="21980"/>
    <cellStyle name="Calculation 4 3 2 5 3" xfId="21981"/>
    <cellStyle name="Calculation 4 3 2 6" xfId="21982"/>
    <cellStyle name="Calculation 4 3 2 6 2" xfId="21983"/>
    <cellStyle name="Calculation 4 3 2 6 3" xfId="21984"/>
    <cellStyle name="Calculation 4 3 2 7" xfId="21985"/>
    <cellStyle name="Calculation 4 3 2 8" xfId="21986"/>
    <cellStyle name="Calculation 4 3 3" xfId="21987"/>
    <cellStyle name="Calculation 4 3 3 2" xfId="21988"/>
    <cellStyle name="Calculation 4 3 3 3" xfId="21989"/>
    <cellStyle name="Calculation 4 3 4" xfId="21990"/>
    <cellStyle name="Calculation 4 3 4 2" xfId="21991"/>
    <cellStyle name="Calculation 4 3 4 3" xfId="21992"/>
    <cellStyle name="Calculation 4 3 5" xfId="21993"/>
    <cellStyle name="Calculation 4 3 5 2" xfId="21994"/>
    <cellStyle name="Calculation 4 3 5 3" xfId="21995"/>
    <cellStyle name="Calculation 4 3 6" xfId="21996"/>
    <cellStyle name="Calculation 4 3 6 2" xfId="21997"/>
    <cellStyle name="Calculation 4 3 6 3" xfId="21998"/>
    <cellStyle name="Calculation 4 3 7" xfId="21999"/>
    <cellStyle name="Calculation 4 3 7 2" xfId="22000"/>
    <cellStyle name="Calculation 4 3 7 3" xfId="22001"/>
    <cellStyle name="Calculation 4 3 8" xfId="22002"/>
    <cellStyle name="Calculation 4 3 9" xfId="22003"/>
    <cellStyle name="Calculation 4 4" xfId="22004"/>
    <cellStyle name="Calculation 4 4 2" xfId="22005"/>
    <cellStyle name="Calculation 4 4 2 2" xfId="22006"/>
    <cellStyle name="Calculation 4 4 2 3" xfId="22007"/>
    <cellStyle name="Calculation 4 4 3" xfId="22008"/>
    <cellStyle name="Calculation 4 4 3 2" xfId="22009"/>
    <cellStyle name="Calculation 4 4 3 3" xfId="22010"/>
    <cellStyle name="Calculation 4 4 4" xfId="22011"/>
    <cellStyle name="Calculation 4 4 4 2" xfId="22012"/>
    <cellStyle name="Calculation 4 4 4 3" xfId="22013"/>
    <cellStyle name="Calculation 4 4 5" xfId="22014"/>
    <cellStyle name="Calculation 4 4 5 2" xfId="22015"/>
    <cellStyle name="Calculation 4 4 5 3" xfId="22016"/>
    <cellStyle name="Calculation 4 4 6" xfId="22017"/>
    <cellStyle name="Calculation 4 4 6 2" xfId="22018"/>
    <cellStyle name="Calculation 4 4 6 3" xfId="22019"/>
    <cellStyle name="Calculation 4 4 7" xfId="22020"/>
    <cellStyle name="Calculation 4 4 8" xfId="22021"/>
    <cellStyle name="Calculation 4 5" xfId="22022"/>
    <cellStyle name="Calculation 4 5 2" xfId="22023"/>
    <cellStyle name="Calculation 4 5 3" xfId="22024"/>
    <cellStyle name="Calculation 4 6" xfId="22025"/>
    <cellStyle name="Calculation 4 6 2" xfId="22026"/>
    <cellStyle name="Calculation 4 6 3" xfId="22027"/>
    <cellStyle name="Calculation 4 7" xfId="22028"/>
    <cellStyle name="Calculation 4 7 2" xfId="22029"/>
    <cellStyle name="Calculation 4 7 3" xfId="22030"/>
    <cellStyle name="Calculation 4 8" xfId="22031"/>
    <cellStyle name="Calculation 4 9" xfId="22032"/>
    <cellStyle name="Calculation 4_1-10 BHU IS" xfId="22033"/>
    <cellStyle name="Calculation 5" xfId="22034"/>
    <cellStyle name="Calculation 5 2" xfId="22035"/>
    <cellStyle name="Calculation 5 2 2" xfId="22036"/>
    <cellStyle name="Calculation 5 2 3" xfId="22037"/>
    <cellStyle name="Calculation 5 3" xfId="22038"/>
    <cellStyle name="Calculation 5 4" xfId="22039"/>
    <cellStyle name="Calculation 5_1-10 BHU IS" xfId="22040"/>
    <cellStyle name="Calculation 6" xfId="22041"/>
    <cellStyle name="Calculation 6 2" xfId="22042"/>
    <cellStyle name="Calculation 6 2 2" xfId="22043"/>
    <cellStyle name="Calculation 6 2 3" xfId="22044"/>
    <cellStyle name="Calculation 6 3" xfId="22045"/>
    <cellStyle name="Calculation 6 4" xfId="22046"/>
    <cellStyle name="Calculation 7" xfId="22047"/>
    <cellStyle name="Calculation 7 2" xfId="22048"/>
    <cellStyle name="Calculation 7 2 2" xfId="22049"/>
    <cellStyle name="Calculation 7 2 3" xfId="22050"/>
    <cellStyle name="Calculation 7 3" xfId="22051"/>
    <cellStyle name="Calculation 7 4" xfId="22052"/>
    <cellStyle name="Calculation 8" xfId="22053"/>
    <cellStyle name="Calculation 8 2" xfId="22054"/>
    <cellStyle name="Calculation 8 2 2" xfId="22055"/>
    <cellStyle name="Calculation 8 2 3" xfId="22056"/>
    <cellStyle name="Calculation 8 3" xfId="22057"/>
    <cellStyle name="Calculation 8 4" xfId="22058"/>
    <cellStyle name="Calculation 9" xfId="22059"/>
    <cellStyle name="Calculation 9 2" xfId="22060"/>
    <cellStyle name="Calculation 9 2 2" xfId="22061"/>
    <cellStyle name="Calculation 9 2 3" xfId="22062"/>
    <cellStyle name="Calculation 9 3" xfId="22063"/>
    <cellStyle name="Calculation 9 4" xfId="22064"/>
    <cellStyle name="Cancel" xfId="22065"/>
    <cellStyle name="Cell" xfId="22066"/>
    <cellStyle name="Cents" xfId="22067"/>
    <cellStyle name="Cents (0.0)" xfId="22068"/>
    <cellStyle name="Cents (0.0) 2" xfId="22069"/>
    <cellStyle name="Cents 10" xfId="22070"/>
    <cellStyle name="Cents 11" xfId="22071"/>
    <cellStyle name="Cents 12" xfId="22072"/>
    <cellStyle name="Cents 13" xfId="22073"/>
    <cellStyle name="Cents 14" xfId="22074"/>
    <cellStyle name="Cents 15" xfId="22075"/>
    <cellStyle name="Cents 16" xfId="22076"/>
    <cellStyle name="Cents 17" xfId="22077"/>
    <cellStyle name="Cents 18" xfId="22078"/>
    <cellStyle name="Cents 2" xfId="22079"/>
    <cellStyle name="Cents 3" xfId="22080"/>
    <cellStyle name="Cents 4" xfId="22081"/>
    <cellStyle name="Cents 5" xfId="22082"/>
    <cellStyle name="Cents 6" xfId="22083"/>
    <cellStyle name="Cents 7" xfId="22084"/>
    <cellStyle name="Cents 8" xfId="22085"/>
    <cellStyle name="Cents 9" xfId="22086"/>
    <cellStyle name="Check" xfId="22087"/>
    <cellStyle name="Check 2" xfId="22088"/>
    <cellStyle name="Check 2 2" xfId="22089"/>
    <cellStyle name="Check 2 2 2" xfId="22090"/>
    <cellStyle name="Check 2 2 2 2" xfId="22091"/>
    <cellStyle name="Check 2 2 2 2 2" xfId="22092"/>
    <cellStyle name="Check 2 2 2 2 3" xfId="22093"/>
    <cellStyle name="Check 2 2 2 3" xfId="22094"/>
    <cellStyle name="Check 2 2 2 3 2" xfId="22095"/>
    <cellStyle name="Check 2 2 2 3 3" xfId="22096"/>
    <cellStyle name="Check 2 2 2 4" xfId="22097"/>
    <cellStyle name="Check 2 2 2 4 2" xfId="22098"/>
    <cellStyle name="Check 2 2 2 4 3" xfId="22099"/>
    <cellStyle name="Check 2 2 2 5" xfId="22100"/>
    <cellStyle name="Check 2 2 2 5 2" xfId="22101"/>
    <cellStyle name="Check 2 2 2 5 3" xfId="22102"/>
    <cellStyle name="Check 2 2 2 6" xfId="22103"/>
    <cellStyle name="Check 2 2 2 6 2" xfId="22104"/>
    <cellStyle name="Check 2 2 2 6 3" xfId="22105"/>
    <cellStyle name="Check 2 2 2 7" xfId="22106"/>
    <cellStyle name="Check 2 2 2 8" xfId="22107"/>
    <cellStyle name="Check 2 2 3" xfId="22108"/>
    <cellStyle name="Check 2 2 3 2" xfId="22109"/>
    <cellStyle name="Check 2 2 3 3" xfId="22110"/>
    <cellStyle name="Check 2 2 4" xfId="22111"/>
    <cellStyle name="Check 2 2 4 2" xfId="22112"/>
    <cellStyle name="Check 2 2 4 3" xfId="22113"/>
    <cellStyle name="Check 2 2 5" xfId="22114"/>
    <cellStyle name="Check 2 2 5 2" xfId="22115"/>
    <cellStyle name="Check 2 2 5 3" xfId="22116"/>
    <cellStyle name="Check 2 2 6" xfId="22117"/>
    <cellStyle name="Check 2 2 6 2" xfId="22118"/>
    <cellStyle name="Check 2 2 6 3" xfId="22119"/>
    <cellStyle name="Check 2 2 7" xfId="22120"/>
    <cellStyle name="Check 2 2 7 2" xfId="22121"/>
    <cellStyle name="Check 2 2 7 3" xfId="22122"/>
    <cellStyle name="Check 2 2 8" xfId="22123"/>
    <cellStyle name="Check 2 2 9" xfId="22124"/>
    <cellStyle name="Check 2 3" xfId="22125"/>
    <cellStyle name="Check 2 3 2" xfId="22126"/>
    <cellStyle name="Check 2 3 2 2" xfId="22127"/>
    <cellStyle name="Check 2 3 2 3" xfId="22128"/>
    <cellStyle name="Check 2 3 3" xfId="22129"/>
    <cellStyle name="Check 2 3 3 2" xfId="22130"/>
    <cellStyle name="Check 2 3 3 3" xfId="22131"/>
    <cellStyle name="Check 2 3 4" xfId="22132"/>
    <cellStyle name="Check 2 3 4 2" xfId="22133"/>
    <cellStyle name="Check 2 3 4 3" xfId="22134"/>
    <cellStyle name="Check 2 3 5" xfId="22135"/>
    <cellStyle name="Check 2 3 5 2" xfId="22136"/>
    <cellStyle name="Check 2 3 5 3" xfId="22137"/>
    <cellStyle name="Check 2 3 6" xfId="22138"/>
    <cellStyle name="Check 2 3 6 2" xfId="22139"/>
    <cellStyle name="Check 2 3 6 3" xfId="22140"/>
    <cellStyle name="Check 2 3 7" xfId="22141"/>
    <cellStyle name="Check 2 3 8" xfId="22142"/>
    <cellStyle name="Check 2 4" xfId="22143"/>
    <cellStyle name="Check 2 4 2" xfId="22144"/>
    <cellStyle name="Check 2 4 3" xfId="22145"/>
    <cellStyle name="Check 2 5" xfId="22146"/>
    <cellStyle name="Check 2 5 2" xfId="22147"/>
    <cellStyle name="Check 2 5 3" xfId="22148"/>
    <cellStyle name="Check 2 6" xfId="22149"/>
    <cellStyle name="Check 2 6 2" xfId="22150"/>
    <cellStyle name="Check 2 6 3" xfId="22151"/>
    <cellStyle name="Check 2 7" xfId="22152"/>
    <cellStyle name="Check 2 8" xfId="22153"/>
    <cellStyle name="Check 3" xfId="22154"/>
    <cellStyle name="Check 3 2" xfId="22155"/>
    <cellStyle name="Check 3 2 2" xfId="22156"/>
    <cellStyle name="Check 3 2 2 2" xfId="22157"/>
    <cellStyle name="Check 3 2 2 3" xfId="22158"/>
    <cellStyle name="Check 3 2 3" xfId="22159"/>
    <cellStyle name="Check 3 2 3 2" xfId="22160"/>
    <cellStyle name="Check 3 2 3 3" xfId="22161"/>
    <cellStyle name="Check 3 2 4" xfId="22162"/>
    <cellStyle name="Check 3 2 4 2" xfId="22163"/>
    <cellStyle name="Check 3 2 4 3" xfId="22164"/>
    <cellStyle name="Check 3 2 5" xfId="22165"/>
    <cellStyle name="Check 3 2 5 2" xfId="22166"/>
    <cellStyle name="Check 3 2 5 3" xfId="22167"/>
    <cellStyle name="Check 3 2 6" xfId="22168"/>
    <cellStyle name="Check 3 2 6 2" xfId="22169"/>
    <cellStyle name="Check 3 2 6 3" xfId="22170"/>
    <cellStyle name="Check 3 2 7" xfId="22171"/>
    <cellStyle name="Check 3 2 8" xfId="22172"/>
    <cellStyle name="Check 3 3" xfId="22173"/>
    <cellStyle name="Check 3 3 2" xfId="22174"/>
    <cellStyle name="Check 3 3 3" xfId="22175"/>
    <cellStyle name="Check 3 4" xfId="22176"/>
    <cellStyle name="Check 3 4 2" xfId="22177"/>
    <cellStyle name="Check 3 4 3" xfId="22178"/>
    <cellStyle name="Check 3 5" xfId="22179"/>
    <cellStyle name="Check 3 5 2" xfId="22180"/>
    <cellStyle name="Check 3 5 3" xfId="22181"/>
    <cellStyle name="Check 3 6" xfId="22182"/>
    <cellStyle name="Check 3 6 2" xfId="22183"/>
    <cellStyle name="Check 3 6 3" xfId="22184"/>
    <cellStyle name="Check 3 7" xfId="22185"/>
    <cellStyle name="Check 3 7 2" xfId="22186"/>
    <cellStyle name="Check 3 7 3" xfId="22187"/>
    <cellStyle name="Check 3 8" xfId="22188"/>
    <cellStyle name="Check 3 9" xfId="22189"/>
    <cellStyle name="Check 4" xfId="22190"/>
    <cellStyle name="Check 4 2" xfId="22191"/>
    <cellStyle name="Check 4 2 2" xfId="22192"/>
    <cellStyle name="Check 4 2 3" xfId="22193"/>
    <cellStyle name="Check 4 3" xfId="22194"/>
    <cellStyle name="Check 4 3 2" xfId="22195"/>
    <cellStyle name="Check 4 3 3" xfId="22196"/>
    <cellStyle name="Check 4 4" xfId="22197"/>
    <cellStyle name="Check 4 4 2" xfId="22198"/>
    <cellStyle name="Check 4 4 3" xfId="22199"/>
    <cellStyle name="Check 4 5" xfId="22200"/>
    <cellStyle name="Check 4 5 2" xfId="22201"/>
    <cellStyle name="Check 4 5 3" xfId="22202"/>
    <cellStyle name="Check 4 6" xfId="22203"/>
    <cellStyle name="Check 4 6 2" xfId="22204"/>
    <cellStyle name="Check 4 6 3" xfId="22205"/>
    <cellStyle name="Check 4 7" xfId="22206"/>
    <cellStyle name="Check 4 8" xfId="22207"/>
    <cellStyle name="Check 5" xfId="22208"/>
    <cellStyle name="Check 5 2" xfId="22209"/>
    <cellStyle name="Check 5 3" xfId="22210"/>
    <cellStyle name="Check 6" xfId="22211"/>
    <cellStyle name="Check 6 2" xfId="22212"/>
    <cellStyle name="Check 6 3" xfId="22213"/>
    <cellStyle name="Check 7" xfId="22214"/>
    <cellStyle name="Check 7 2" xfId="22215"/>
    <cellStyle name="Check 7 3" xfId="22216"/>
    <cellStyle name="Check 8" xfId="22217"/>
    <cellStyle name="Check 9" xfId="22218"/>
    <cellStyle name="Check Cell 10" xfId="22219"/>
    <cellStyle name="Check Cell 10 2" xfId="22220"/>
    <cellStyle name="Check Cell 10 3" xfId="22221"/>
    <cellStyle name="Check Cell 11" xfId="22222"/>
    <cellStyle name="Check Cell 11 2" xfId="22223"/>
    <cellStyle name="Check Cell 11 3" xfId="22224"/>
    <cellStyle name="Check Cell 12" xfId="22225"/>
    <cellStyle name="Check Cell 12 2" xfId="22226"/>
    <cellStyle name="Check Cell 12 3" xfId="22227"/>
    <cellStyle name="Check Cell 13" xfId="22228"/>
    <cellStyle name="Check Cell 13 2" xfId="22229"/>
    <cellStyle name="Check Cell 13 3" xfId="22230"/>
    <cellStyle name="Check Cell 14" xfId="22231"/>
    <cellStyle name="Check Cell 14 2" xfId="22232"/>
    <cellStyle name="Check Cell 14 3" xfId="22233"/>
    <cellStyle name="Check Cell 15" xfId="22234"/>
    <cellStyle name="Check Cell 15 2" xfId="22235"/>
    <cellStyle name="Check Cell 15 3" xfId="22236"/>
    <cellStyle name="Check Cell 16" xfId="22237"/>
    <cellStyle name="Check Cell 16 2" xfId="22238"/>
    <cellStyle name="Check Cell 16 3" xfId="22239"/>
    <cellStyle name="Check Cell 17" xfId="22240"/>
    <cellStyle name="Check Cell 18" xfId="22241"/>
    <cellStyle name="Check Cell 2" xfId="22242"/>
    <cellStyle name="Check Cell 2 10" xfId="22243"/>
    <cellStyle name="Check Cell 2 10 2" xfId="22244"/>
    <cellStyle name="Check Cell 2 10 3" xfId="22245"/>
    <cellStyle name="Check Cell 2 11" xfId="22246"/>
    <cellStyle name="Check Cell 2 11 2" xfId="22247"/>
    <cellStyle name="Check Cell 2 11 3" xfId="22248"/>
    <cellStyle name="Check Cell 2 12" xfId="22249"/>
    <cellStyle name="Check Cell 2 12 2" xfId="22250"/>
    <cellStyle name="Check Cell 2 12 3" xfId="22251"/>
    <cellStyle name="Check Cell 2 13" xfId="22252"/>
    <cellStyle name="Check Cell 2 14" xfId="22253"/>
    <cellStyle name="Check Cell 2 2" xfId="22254"/>
    <cellStyle name="Check Cell 2 2 10" xfId="22255"/>
    <cellStyle name="Check Cell 2 2 10 2" xfId="22256"/>
    <cellStyle name="Check Cell 2 2 10 3" xfId="22257"/>
    <cellStyle name="Check Cell 2 2 11" xfId="22258"/>
    <cellStyle name="Check Cell 2 2 12" xfId="22259"/>
    <cellStyle name="Check Cell 2 2 13" xfId="22260"/>
    <cellStyle name="Check Cell 2 2 2" xfId="22261"/>
    <cellStyle name="Check Cell 2 2 2 10" xfId="22262"/>
    <cellStyle name="Check Cell 2 2 2 10 2" xfId="22263"/>
    <cellStyle name="Check Cell 2 2 2 10 3" xfId="22264"/>
    <cellStyle name="Check Cell 2 2 2 11" xfId="22265"/>
    <cellStyle name="Check Cell 2 2 2 12" xfId="22266"/>
    <cellStyle name="Check Cell 2 2 2 2" xfId="22267"/>
    <cellStyle name="Check Cell 2 2 2 2 2" xfId="22268"/>
    <cellStyle name="Check Cell 2 2 2 2 3" xfId="22269"/>
    <cellStyle name="Check Cell 2 2 2 3" xfId="22270"/>
    <cellStyle name="Check Cell 2 2 2 3 2" xfId="22271"/>
    <cellStyle name="Check Cell 2 2 2 3 3" xfId="22272"/>
    <cellStyle name="Check Cell 2 2 2 4" xfId="22273"/>
    <cellStyle name="Check Cell 2 2 2 4 2" xfId="22274"/>
    <cellStyle name="Check Cell 2 2 2 4 3" xfId="22275"/>
    <cellStyle name="Check Cell 2 2 2 5" xfId="22276"/>
    <cellStyle name="Check Cell 2 2 2 5 2" xfId="22277"/>
    <cellStyle name="Check Cell 2 2 2 5 3" xfId="22278"/>
    <cellStyle name="Check Cell 2 2 2 6" xfId="22279"/>
    <cellStyle name="Check Cell 2 2 2 6 2" xfId="22280"/>
    <cellStyle name="Check Cell 2 2 2 6 3" xfId="22281"/>
    <cellStyle name="Check Cell 2 2 2 7" xfId="22282"/>
    <cellStyle name="Check Cell 2 2 2 7 2" xfId="22283"/>
    <cellStyle name="Check Cell 2 2 2 7 3" xfId="22284"/>
    <cellStyle name="Check Cell 2 2 2 8" xfId="22285"/>
    <cellStyle name="Check Cell 2 2 2 8 2" xfId="22286"/>
    <cellStyle name="Check Cell 2 2 2 8 3" xfId="22287"/>
    <cellStyle name="Check Cell 2 2 2 9" xfId="22288"/>
    <cellStyle name="Check Cell 2 2 2 9 2" xfId="22289"/>
    <cellStyle name="Check Cell 2 2 2 9 3" xfId="22290"/>
    <cellStyle name="Check Cell 2 2 2_BHP 4Q 2010 Ops Review Senior Managment " xfId="9"/>
    <cellStyle name="Check Cell 2 2 3" xfId="22291"/>
    <cellStyle name="Check Cell 2 2 3 2" xfId="22292"/>
    <cellStyle name="Check Cell 2 2 3 3" xfId="22293"/>
    <cellStyle name="Check Cell 2 2 4" xfId="22294"/>
    <cellStyle name="Check Cell 2 2 4 2" xfId="22295"/>
    <cellStyle name="Check Cell 2 2 4 3" xfId="22296"/>
    <cellStyle name="Check Cell 2 2 5" xfId="22297"/>
    <cellStyle name="Check Cell 2 2 5 2" xfId="22298"/>
    <cellStyle name="Check Cell 2 2 5 3" xfId="22299"/>
    <cellStyle name="Check Cell 2 2 6" xfId="22300"/>
    <cellStyle name="Check Cell 2 2 6 2" xfId="22301"/>
    <cellStyle name="Check Cell 2 2 6 3" xfId="22302"/>
    <cellStyle name="Check Cell 2 2 7" xfId="22303"/>
    <cellStyle name="Check Cell 2 2 7 2" xfId="22304"/>
    <cellStyle name="Check Cell 2 2 7 3" xfId="22305"/>
    <cellStyle name="Check Cell 2 2 8" xfId="22306"/>
    <cellStyle name="Check Cell 2 2 8 2" xfId="22307"/>
    <cellStyle name="Check Cell 2 2 8 3" xfId="22308"/>
    <cellStyle name="Check Cell 2 2 9" xfId="22309"/>
    <cellStyle name="Check Cell 2 2 9 2" xfId="22310"/>
    <cellStyle name="Check Cell 2 2 9 3" xfId="22311"/>
    <cellStyle name="Check Cell 2 2_BHP 4Q 2010 Ops Review Senior Managment " xfId="10"/>
    <cellStyle name="Check Cell 2 3" xfId="22312"/>
    <cellStyle name="Check Cell 2 3 2" xfId="22313"/>
    <cellStyle name="Check Cell 2 3 3" xfId="22314"/>
    <cellStyle name="Check Cell 2 4" xfId="22315"/>
    <cellStyle name="Check Cell 2 4 2" xfId="22316"/>
    <cellStyle name="Check Cell 2 4 3" xfId="22317"/>
    <cellStyle name="Check Cell 2 5" xfId="22318"/>
    <cellStyle name="Check Cell 2 5 2" xfId="22319"/>
    <cellStyle name="Check Cell 2 5 3" xfId="22320"/>
    <cellStyle name="Check Cell 2 6" xfId="22321"/>
    <cellStyle name="Check Cell 2 6 2" xfId="22322"/>
    <cellStyle name="Check Cell 2 6 3" xfId="22323"/>
    <cellStyle name="Check Cell 2 7" xfId="22324"/>
    <cellStyle name="Check Cell 2 7 2" xfId="22325"/>
    <cellStyle name="Check Cell 2 7 3" xfId="22326"/>
    <cellStyle name="Check Cell 2 8" xfId="22327"/>
    <cellStyle name="Check Cell 2 8 2" xfId="22328"/>
    <cellStyle name="Check Cell 2 8 3" xfId="22329"/>
    <cellStyle name="Check Cell 2 9" xfId="22330"/>
    <cellStyle name="Check Cell 2 9 2" xfId="22331"/>
    <cellStyle name="Check Cell 2 9 3" xfId="22332"/>
    <cellStyle name="Check Cell 2_1-10 BHU IS" xfId="22333"/>
    <cellStyle name="Check Cell 3" xfId="22334"/>
    <cellStyle name="Check Cell 3 2" xfId="22335"/>
    <cellStyle name="Check Cell 3 2 2" xfId="22336"/>
    <cellStyle name="Check Cell 3 2 3" xfId="22337"/>
    <cellStyle name="Check Cell 3 3" xfId="22338"/>
    <cellStyle name="Check Cell 3 4" xfId="22339"/>
    <cellStyle name="Check Cell 3 5" xfId="22340"/>
    <cellStyle name="Check Cell 3_1-10 BHU IS" xfId="22341"/>
    <cellStyle name="Check Cell 4" xfId="22342"/>
    <cellStyle name="Check Cell 4 2" xfId="22343"/>
    <cellStyle name="Check Cell 4 2 2" xfId="22344"/>
    <cellStyle name="Check Cell 4 2 3" xfId="22345"/>
    <cellStyle name="Check Cell 4 3" xfId="22346"/>
    <cellStyle name="Check Cell 4 4" xfId="22347"/>
    <cellStyle name="Check Cell 4_1-10 BHU IS" xfId="22348"/>
    <cellStyle name="Check Cell 5" xfId="22349"/>
    <cellStyle name="Check Cell 5 2" xfId="22350"/>
    <cellStyle name="Check Cell 5 2 2" xfId="22351"/>
    <cellStyle name="Check Cell 5 2 3" xfId="22352"/>
    <cellStyle name="Check Cell 5 3" xfId="22353"/>
    <cellStyle name="Check Cell 5 4" xfId="22354"/>
    <cellStyle name="Check Cell 5_1-10 BHU IS" xfId="22355"/>
    <cellStyle name="Check Cell 6" xfId="22356"/>
    <cellStyle name="Check Cell 6 2" xfId="22357"/>
    <cellStyle name="Check Cell 6 3" xfId="22358"/>
    <cellStyle name="Check Cell 7" xfId="22359"/>
    <cellStyle name="Check Cell 7 2" xfId="22360"/>
    <cellStyle name="Check Cell 7 3" xfId="22361"/>
    <cellStyle name="Check Cell 8" xfId="22362"/>
    <cellStyle name="Check Cell 8 2" xfId="22363"/>
    <cellStyle name="Check Cell 8 3" xfId="22364"/>
    <cellStyle name="Check Cell 9" xfId="22365"/>
    <cellStyle name="Check Cell 9 2" xfId="22366"/>
    <cellStyle name="Check Cell 9 3" xfId="22367"/>
    <cellStyle name="ColHead" xfId="22368"/>
    <cellStyle name="ColHead 2" xfId="22369"/>
    <cellStyle name="Column Headers" xfId="22370"/>
    <cellStyle name="Comma" xfId="1" builtinId="3"/>
    <cellStyle name="Comma [0 Decimal]" xfId="22371"/>
    <cellStyle name="Comma [0 Decimal] 2" xfId="22372"/>
    <cellStyle name="Comma [0 Decimal] 2 2" xfId="22373"/>
    <cellStyle name="Comma [0 Decimal] 2 2 2" xfId="22374"/>
    <cellStyle name="Comma [0 Decimal] 2 3" xfId="22375"/>
    <cellStyle name="Comma [0 Decimal] 3" xfId="22376"/>
    <cellStyle name="Comma [0 Decimal] 4" xfId="22377"/>
    <cellStyle name="Comma [0] 2" xfId="22378"/>
    <cellStyle name="Comma [0] 2 2" xfId="22379"/>
    <cellStyle name="Comma [0] 2 2 2" xfId="22380"/>
    <cellStyle name="Comma [0] 2 2 3" xfId="22381"/>
    <cellStyle name="Comma [0] 2 3" xfId="22382"/>
    <cellStyle name="Comma [0] 2 4" xfId="22383"/>
    <cellStyle name="Comma [0] 3" xfId="22384"/>
    <cellStyle name="Comma [0] 3 2" xfId="22385"/>
    <cellStyle name="Comma [0] 3 2 2" xfId="22386"/>
    <cellStyle name="Comma [0] 3 2 3" xfId="22387"/>
    <cellStyle name="Comma [0] 3 3" xfId="22388"/>
    <cellStyle name="Comma [0] 3 4" xfId="22389"/>
    <cellStyle name="Comma [0] 4" xfId="22390"/>
    <cellStyle name="Comma [0] 4 2" xfId="22391"/>
    <cellStyle name="Comma [0] 4 2 2" xfId="22392"/>
    <cellStyle name="Comma [0] 4 2 3" xfId="22393"/>
    <cellStyle name="Comma [0] 4 3" xfId="22394"/>
    <cellStyle name="Comma [0] 4 4" xfId="22395"/>
    <cellStyle name="Comma [0] 5" xfId="22396"/>
    <cellStyle name="Comma [0] 5 2" xfId="22397"/>
    <cellStyle name="Comma [0] 5 2 2" xfId="22398"/>
    <cellStyle name="Comma [0] 5 3" xfId="22399"/>
    <cellStyle name="Comma [00]" xfId="22400"/>
    <cellStyle name="Comma [2 Decimal]" xfId="22401"/>
    <cellStyle name="Comma [2 Decimal] 2" xfId="22402"/>
    <cellStyle name="Comma [2 Decimal] 2 2" xfId="22403"/>
    <cellStyle name="Comma [2 Decimal] 2 2 2" xfId="22404"/>
    <cellStyle name="Comma [2 Decimal] 2 3" xfId="22405"/>
    <cellStyle name="Comma [2 Decimal] 3" xfId="22406"/>
    <cellStyle name="Comma [2 Decimal] 4" xfId="22407"/>
    <cellStyle name="Comma [3 Decimal]" xfId="22408"/>
    <cellStyle name="Comma [3 Decimal] 2" xfId="22409"/>
    <cellStyle name="Comma [3 Decimal] 2 2" xfId="22410"/>
    <cellStyle name="Comma [3 Decimal] 2 2 2" xfId="22411"/>
    <cellStyle name="Comma [3 Decimal] 2 3" xfId="22412"/>
    <cellStyle name="Comma [3 Decimal] 3" xfId="22413"/>
    <cellStyle name="Comma [3 Decimal] 4" xfId="22414"/>
    <cellStyle name="Comma 10" xfId="22415"/>
    <cellStyle name="Comma 10 2" xfId="22416"/>
    <cellStyle name="Comma 10 2 2" xfId="22417"/>
    <cellStyle name="Comma 10 2 2 2" xfId="22418"/>
    <cellStyle name="Comma 10 2 3" xfId="22419"/>
    <cellStyle name="Comma 10 2 4" xfId="22420"/>
    <cellStyle name="Comma 10 2 5" xfId="22421"/>
    <cellStyle name="Comma 10 3" xfId="22422"/>
    <cellStyle name="Comma 10 3 2" xfId="22423"/>
    <cellStyle name="Comma 10 3 3" xfId="22424"/>
    <cellStyle name="Comma 10 4" xfId="22425"/>
    <cellStyle name="Comma 10 4 2" xfId="22426"/>
    <cellStyle name="Comma 10 5" xfId="22427"/>
    <cellStyle name="Comma 10 6" xfId="31"/>
    <cellStyle name="Comma 100" xfId="22428"/>
    <cellStyle name="Comma 100 2" xfId="22429"/>
    <cellStyle name="Comma 100 3" xfId="22430"/>
    <cellStyle name="Comma 101" xfId="22431"/>
    <cellStyle name="Comma 101 2" xfId="22432"/>
    <cellStyle name="Comma 101 3" xfId="22433"/>
    <cellStyle name="Comma 102" xfId="22434"/>
    <cellStyle name="Comma 102 2" xfId="22435"/>
    <cellStyle name="Comma 102 3" xfId="22436"/>
    <cellStyle name="Comma 103" xfId="22437"/>
    <cellStyle name="Comma 103 2" xfId="22438"/>
    <cellStyle name="Comma 103 3" xfId="22439"/>
    <cellStyle name="Comma 104" xfId="22440"/>
    <cellStyle name="Comma 104 2" xfId="22441"/>
    <cellStyle name="Comma 104 3" xfId="22442"/>
    <cellStyle name="Comma 105" xfId="22443"/>
    <cellStyle name="Comma 105 2" xfId="22444"/>
    <cellStyle name="Comma 105 3" xfId="22445"/>
    <cellStyle name="Comma 106" xfId="22446"/>
    <cellStyle name="Comma 106 2" xfId="22447"/>
    <cellStyle name="Comma 106 3" xfId="22448"/>
    <cellStyle name="Comma 107" xfId="22449"/>
    <cellStyle name="Comma 107 2" xfId="22450"/>
    <cellStyle name="Comma 107 3" xfId="22451"/>
    <cellStyle name="Comma 108" xfId="22452"/>
    <cellStyle name="Comma 108 2" xfId="22453"/>
    <cellStyle name="Comma 108 3" xfId="22454"/>
    <cellStyle name="Comma 109" xfId="22455"/>
    <cellStyle name="Comma 109 2" xfId="22456"/>
    <cellStyle name="Comma 109 3" xfId="22457"/>
    <cellStyle name="Comma 11" xfId="22458"/>
    <cellStyle name="Comma 11 2" xfId="22459"/>
    <cellStyle name="Comma 11 2 2" xfId="22460"/>
    <cellStyle name="Comma 11 2 2 2" xfId="22461"/>
    <cellStyle name="Comma 11 2 3" xfId="22462"/>
    <cellStyle name="Comma 11 2 4" xfId="22463"/>
    <cellStyle name="Comma 11 2 5" xfId="22464"/>
    <cellStyle name="Comma 11 3" xfId="22465"/>
    <cellStyle name="Comma 11 3 2" xfId="22466"/>
    <cellStyle name="Comma 11 3 3" xfId="22467"/>
    <cellStyle name="Comma 11 4" xfId="22468"/>
    <cellStyle name="Comma 11 4 2" xfId="22469"/>
    <cellStyle name="Comma 11 5" xfId="22470"/>
    <cellStyle name="Comma 11 6" xfId="22471"/>
    <cellStyle name="Comma 11 7" xfId="22472"/>
    <cellStyle name="Comma 110" xfId="22473"/>
    <cellStyle name="Comma 110 2" xfId="22474"/>
    <cellStyle name="Comma 110 3" xfId="22475"/>
    <cellStyle name="Comma 111" xfId="22476"/>
    <cellStyle name="Comma 111 2" xfId="22477"/>
    <cellStyle name="Comma 111 3" xfId="22478"/>
    <cellStyle name="Comma 112" xfId="22479"/>
    <cellStyle name="Comma 112 2" xfId="22480"/>
    <cellStyle name="Comma 112 3" xfId="22481"/>
    <cellStyle name="Comma 113" xfId="22482"/>
    <cellStyle name="Comma 113 2" xfId="22483"/>
    <cellStyle name="Comma 113 3" xfId="22484"/>
    <cellStyle name="Comma 114" xfId="22485"/>
    <cellStyle name="Comma 114 2" xfId="22486"/>
    <cellStyle name="Comma 114 3" xfId="22487"/>
    <cellStyle name="Comma 115" xfId="22488"/>
    <cellStyle name="Comma 115 2" xfId="22489"/>
    <cellStyle name="Comma 115 3" xfId="22490"/>
    <cellStyle name="Comma 116" xfId="22491"/>
    <cellStyle name="Comma 116 2" xfId="22492"/>
    <cellStyle name="Comma 116 3" xfId="22493"/>
    <cellStyle name="Comma 117" xfId="22494"/>
    <cellStyle name="Comma 117 2" xfId="22495"/>
    <cellStyle name="Comma 117 3" xfId="22496"/>
    <cellStyle name="Comma 118" xfId="22497"/>
    <cellStyle name="Comma 118 2" xfId="22498"/>
    <cellStyle name="Comma 118 3" xfId="22499"/>
    <cellStyle name="Comma 119" xfId="22500"/>
    <cellStyle name="Comma 119 2" xfId="22501"/>
    <cellStyle name="Comma 119 3" xfId="22502"/>
    <cellStyle name="Comma 12" xfId="22503"/>
    <cellStyle name="Comma 12 2" xfId="22504"/>
    <cellStyle name="Comma 12 2 2" xfId="22505"/>
    <cellStyle name="Comma 12 2 2 2" xfId="22506"/>
    <cellStyle name="Comma 12 2 2 2 2" xfId="22507"/>
    <cellStyle name="Comma 12 2 2 3" xfId="22508"/>
    <cellStyle name="Comma 12 2 3" xfId="22509"/>
    <cellStyle name="Comma 12 2 3 2" xfId="22510"/>
    <cellStyle name="Comma 12 2 4" xfId="22511"/>
    <cellStyle name="Comma 12 2 5" xfId="22512"/>
    <cellStyle name="Comma 12 3" xfId="22513"/>
    <cellStyle name="Comma 12 3 2" xfId="22514"/>
    <cellStyle name="Comma 12 3 2 2" xfId="22515"/>
    <cellStyle name="Comma 12 3 3" xfId="22516"/>
    <cellStyle name="Comma 12 4" xfId="22517"/>
    <cellStyle name="Comma 12 4 2" xfId="22518"/>
    <cellStyle name="Comma 12 5" xfId="22519"/>
    <cellStyle name="Comma 12 6" xfId="22520"/>
    <cellStyle name="Comma 12 6 2" xfId="22521"/>
    <cellStyle name="Comma 12 6 2 2" xfId="22522"/>
    <cellStyle name="Comma 12 6 2 2 2" xfId="22523"/>
    <cellStyle name="Comma 12 6 2 2 3" xfId="22524"/>
    <cellStyle name="Comma 12 6 2 3" xfId="22525"/>
    <cellStyle name="Comma 12 6 2 3 2" xfId="22526"/>
    <cellStyle name="Comma 12 6 2 4" xfId="22527"/>
    <cellStyle name="Comma 12 6 2 5" xfId="22528"/>
    <cellStyle name="Comma 12 6 3" xfId="22529"/>
    <cellStyle name="Comma 12 6 3 2" xfId="22530"/>
    <cellStyle name="Comma 12 6 3 2 2" xfId="22531"/>
    <cellStyle name="Comma 12 6 3 3" xfId="22532"/>
    <cellStyle name="Comma 12 6 3 4" xfId="22533"/>
    <cellStyle name="Comma 12 6 4" xfId="22534"/>
    <cellStyle name="Comma 12 6 4 2" xfId="22535"/>
    <cellStyle name="Comma 12 6 4 2 2" xfId="22536"/>
    <cellStyle name="Comma 12 6 4 3" xfId="22537"/>
    <cellStyle name="Comma 12 6 4 4" xfId="22538"/>
    <cellStyle name="Comma 12 6 5" xfId="22539"/>
    <cellStyle name="Comma 12 6 5 2" xfId="22540"/>
    <cellStyle name="Comma 12 6 6" xfId="22541"/>
    <cellStyle name="Comma 12 6 7" xfId="22542"/>
    <cellStyle name="Comma 12 6 8" xfId="22543"/>
    <cellStyle name="Comma 12 7" xfId="22544"/>
    <cellStyle name="Comma 12 8" xfId="22545"/>
    <cellStyle name="Comma 120" xfId="22546"/>
    <cellStyle name="Comma 120 2" xfId="22547"/>
    <cellStyle name="Comma 120 3" xfId="22548"/>
    <cellStyle name="Comma 121" xfId="22549"/>
    <cellStyle name="Comma 121 2" xfId="22550"/>
    <cellStyle name="Comma 121 3" xfId="22551"/>
    <cellStyle name="Comma 122" xfId="22552"/>
    <cellStyle name="Comma 122 2" xfId="22553"/>
    <cellStyle name="Comma 122 3" xfId="22554"/>
    <cellStyle name="Comma 123" xfId="22555"/>
    <cellStyle name="Comma 123 2" xfId="22556"/>
    <cellStyle name="Comma 123 3" xfId="22557"/>
    <cellStyle name="Comma 124" xfId="22558"/>
    <cellStyle name="Comma 124 2" xfId="22559"/>
    <cellStyle name="Comma 124 3" xfId="22560"/>
    <cellStyle name="Comma 125" xfId="22561"/>
    <cellStyle name="Comma 125 2" xfId="22562"/>
    <cellStyle name="Comma 125 3" xfId="22563"/>
    <cellStyle name="Comma 126" xfId="22564"/>
    <cellStyle name="Comma 126 2" xfId="22565"/>
    <cellStyle name="Comma 126 3" xfId="22566"/>
    <cellStyle name="Comma 127" xfId="22567"/>
    <cellStyle name="Comma 127 2" xfId="22568"/>
    <cellStyle name="Comma 127 3" xfId="22569"/>
    <cellStyle name="Comma 128" xfId="22570"/>
    <cellStyle name="Comma 128 2" xfId="22571"/>
    <cellStyle name="Comma 128 3" xfId="22572"/>
    <cellStyle name="Comma 129" xfId="22573"/>
    <cellStyle name="Comma 129 2" xfId="22574"/>
    <cellStyle name="Comma 129 3" xfId="22575"/>
    <cellStyle name="Comma 13" xfId="22576"/>
    <cellStyle name="Comma 13 2" xfId="22577"/>
    <cellStyle name="Comma 13 2 2" xfId="22578"/>
    <cellStyle name="Comma 13 2 2 2" xfId="22579"/>
    <cellStyle name="Comma 13 2 3" xfId="22580"/>
    <cellStyle name="Comma 13 2 4" xfId="22581"/>
    <cellStyle name="Comma 13 2 5" xfId="22582"/>
    <cellStyle name="Comma 13 3" xfId="22583"/>
    <cellStyle name="Comma 13 3 2" xfId="22584"/>
    <cellStyle name="Comma 13 4" xfId="22585"/>
    <cellStyle name="Comma 13 5" xfId="22586"/>
    <cellStyle name="Comma 130" xfId="22587"/>
    <cellStyle name="Comma 130 2" xfId="22588"/>
    <cellStyle name="Comma 130 3" xfId="22589"/>
    <cellStyle name="Comma 131" xfId="22590"/>
    <cellStyle name="Comma 131 2" xfId="22591"/>
    <cellStyle name="Comma 131 3" xfId="22592"/>
    <cellStyle name="Comma 132" xfId="22593"/>
    <cellStyle name="Comma 132 2" xfId="22594"/>
    <cellStyle name="Comma 132 3" xfId="22595"/>
    <cellStyle name="Comma 133" xfId="22596"/>
    <cellStyle name="Comma 133 2" xfId="22597"/>
    <cellStyle name="Comma 133 3" xfId="22598"/>
    <cellStyle name="Comma 134" xfId="22599"/>
    <cellStyle name="Comma 134 2" xfId="22600"/>
    <cellStyle name="Comma 134 3" xfId="22601"/>
    <cellStyle name="Comma 135" xfId="22602"/>
    <cellStyle name="Comma 135 2" xfId="22603"/>
    <cellStyle name="Comma 135 3" xfId="22604"/>
    <cellStyle name="Comma 136" xfId="22605"/>
    <cellStyle name="Comma 136 2" xfId="22606"/>
    <cellStyle name="Comma 136 3" xfId="22607"/>
    <cellStyle name="Comma 137" xfId="22608"/>
    <cellStyle name="Comma 137 2" xfId="22609"/>
    <cellStyle name="Comma 137 3" xfId="22610"/>
    <cellStyle name="Comma 138" xfId="22611"/>
    <cellStyle name="Comma 138 2" xfId="22612"/>
    <cellStyle name="Comma 138 3" xfId="22613"/>
    <cellStyle name="Comma 139" xfId="22614"/>
    <cellStyle name="Comma 139 2" xfId="22615"/>
    <cellStyle name="Comma 139 3" xfId="22616"/>
    <cellStyle name="Comma 14" xfId="22617"/>
    <cellStyle name="Comma 14 2" xfId="22618"/>
    <cellStyle name="Comma 14 2 2" xfId="22619"/>
    <cellStyle name="Comma 14 2 2 2" xfId="22620"/>
    <cellStyle name="Comma 14 2 3" xfId="22621"/>
    <cellStyle name="Comma 14 2 4" xfId="22622"/>
    <cellStyle name="Comma 14 2 5" xfId="22623"/>
    <cellStyle name="Comma 14 3" xfId="22624"/>
    <cellStyle name="Comma 14 3 2" xfId="22625"/>
    <cellStyle name="Comma 14 3 2 2" xfId="22626"/>
    <cellStyle name="Comma 14 3 3" xfId="22627"/>
    <cellStyle name="Comma 14 3 4" xfId="22628"/>
    <cellStyle name="Comma 14 3 5" xfId="22629"/>
    <cellStyle name="Comma 14 4" xfId="22630"/>
    <cellStyle name="Comma 14 4 2" xfId="22631"/>
    <cellStyle name="Comma 14 5" xfId="22632"/>
    <cellStyle name="Comma 14 6" xfId="22633"/>
    <cellStyle name="Comma 14 7" xfId="22634"/>
    <cellStyle name="Comma 140" xfId="22635"/>
    <cellStyle name="Comma 140 2" xfId="22636"/>
    <cellStyle name="Comma 140 3" xfId="22637"/>
    <cellStyle name="Comma 141" xfId="22638"/>
    <cellStyle name="Comma 141 2" xfId="22639"/>
    <cellStyle name="Comma 141 3" xfId="22640"/>
    <cellStyle name="Comma 142" xfId="22641"/>
    <cellStyle name="Comma 142 2" xfId="22642"/>
    <cellStyle name="Comma 142 3" xfId="22643"/>
    <cellStyle name="Comma 143" xfId="22644"/>
    <cellStyle name="Comma 143 2" xfId="22645"/>
    <cellStyle name="Comma 143 3" xfId="22646"/>
    <cellStyle name="Comma 144" xfId="22647"/>
    <cellStyle name="Comma 144 2" xfId="22648"/>
    <cellStyle name="Comma 144 3" xfId="22649"/>
    <cellStyle name="Comma 145" xfId="22650"/>
    <cellStyle name="Comma 145 2" xfId="22651"/>
    <cellStyle name="Comma 145 3" xfId="22652"/>
    <cellStyle name="Comma 146" xfId="22653"/>
    <cellStyle name="Comma 146 2" xfId="22654"/>
    <cellStyle name="Comma 146 3" xfId="22655"/>
    <cellStyle name="Comma 147" xfId="22656"/>
    <cellStyle name="Comma 147 2" xfId="22657"/>
    <cellStyle name="Comma 147 3" xfId="22658"/>
    <cellStyle name="Comma 148" xfId="22659"/>
    <cellStyle name="Comma 148 2" xfId="22660"/>
    <cellStyle name="Comma 148 3" xfId="22661"/>
    <cellStyle name="Comma 149" xfId="22662"/>
    <cellStyle name="Comma 149 2" xfId="22663"/>
    <cellStyle name="Comma 149 3" xfId="22664"/>
    <cellStyle name="Comma 15" xfId="22665"/>
    <cellStyle name="Comma 15 2" xfId="22666"/>
    <cellStyle name="Comma 15 2 2" xfId="22667"/>
    <cellStyle name="Comma 15 2 2 2" xfId="22668"/>
    <cellStyle name="Comma 15 2 3" xfId="22669"/>
    <cellStyle name="Comma 15 2 4" xfId="22670"/>
    <cellStyle name="Comma 15 2 5" xfId="22671"/>
    <cellStyle name="Comma 15 3" xfId="22672"/>
    <cellStyle name="Comma 15 3 2" xfId="22673"/>
    <cellStyle name="Comma 15 3 3" xfId="22674"/>
    <cellStyle name="Comma 15 4" xfId="22675"/>
    <cellStyle name="Comma 15 4 2" xfId="22676"/>
    <cellStyle name="Comma 15 5" xfId="22677"/>
    <cellStyle name="Comma 15 6" xfId="22678"/>
    <cellStyle name="Comma 15 7" xfId="22679"/>
    <cellStyle name="Comma 150" xfId="22680"/>
    <cellStyle name="Comma 150 2" xfId="22681"/>
    <cellStyle name="Comma 150 3" xfId="22682"/>
    <cellStyle name="Comma 151" xfId="22683"/>
    <cellStyle name="Comma 151 2" xfId="22684"/>
    <cellStyle name="Comma 151 3" xfId="22685"/>
    <cellStyle name="Comma 152" xfId="22686"/>
    <cellStyle name="Comma 152 2" xfId="22687"/>
    <cellStyle name="Comma 152 3" xfId="22688"/>
    <cellStyle name="Comma 153" xfId="22689"/>
    <cellStyle name="Comma 153 2" xfId="22690"/>
    <cellStyle name="Comma 153 3" xfId="22691"/>
    <cellStyle name="Comma 154" xfId="22692"/>
    <cellStyle name="Comma 154 2" xfId="22693"/>
    <cellStyle name="Comma 154 3" xfId="22694"/>
    <cellStyle name="Comma 155" xfId="22695"/>
    <cellStyle name="Comma 155 2" xfId="22696"/>
    <cellStyle name="Comma 155 3" xfId="22697"/>
    <cellStyle name="Comma 156" xfId="22698"/>
    <cellStyle name="Comma 156 2" xfId="22699"/>
    <cellStyle name="Comma 156 3" xfId="22700"/>
    <cellStyle name="Comma 157" xfId="22701"/>
    <cellStyle name="Comma 157 2" xfId="22702"/>
    <cellStyle name="Comma 157 3" xfId="22703"/>
    <cellStyle name="Comma 158" xfId="22704"/>
    <cellStyle name="Comma 158 2" xfId="22705"/>
    <cellStyle name="Comma 158 3" xfId="22706"/>
    <cellStyle name="Comma 159" xfId="22707"/>
    <cellStyle name="Comma 159 2" xfId="22708"/>
    <cellStyle name="Comma 159 3" xfId="22709"/>
    <cellStyle name="Comma 16" xfId="22710"/>
    <cellStyle name="Comma 16 2" xfId="22711"/>
    <cellStyle name="Comma 16 2 2" xfId="22712"/>
    <cellStyle name="Comma 16 2 3" xfId="22713"/>
    <cellStyle name="Comma 16 3" xfId="22714"/>
    <cellStyle name="Comma 16 3 2" xfId="22715"/>
    <cellStyle name="Comma 16 4" xfId="22716"/>
    <cellStyle name="Comma 16 5" xfId="22717"/>
    <cellStyle name="Comma 16 6" xfId="22718"/>
    <cellStyle name="Comma 160" xfId="22719"/>
    <cellStyle name="Comma 160 2" xfId="22720"/>
    <cellStyle name="Comma 160 3" xfId="22721"/>
    <cellStyle name="Comma 161" xfId="22722"/>
    <cellStyle name="Comma 161 2" xfId="22723"/>
    <cellStyle name="Comma 161 3" xfId="22724"/>
    <cellStyle name="Comma 162" xfId="22725"/>
    <cellStyle name="Comma 162 2" xfId="22726"/>
    <cellStyle name="Comma 162 3" xfId="22727"/>
    <cellStyle name="Comma 163" xfId="22728"/>
    <cellStyle name="Comma 163 2" xfId="22729"/>
    <cellStyle name="Comma 163 3" xfId="22730"/>
    <cellStyle name="Comma 164" xfId="22731"/>
    <cellStyle name="Comma 164 2" xfId="22732"/>
    <cellStyle name="Comma 164 3" xfId="22733"/>
    <cellStyle name="Comma 165" xfId="22734"/>
    <cellStyle name="Comma 165 2" xfId="22735"/>
    <cellStyle name="Comma 165 3" xfId="22736"/>
    <cellStyle name="Comma 166" xfId="22737"/>
    <cellStyle name="Comma 166 2" xfId="22738"/>
    <cellStyle name="Comma 166 3" xfId="22739"/>
    <cellStyle name="Comma 167" xfId="22740"/>
    <cellStyle name="Comma 167 2" xfId="22741"/>
    <cellStyle name="Comma 167 3" xfId="22742"/>
    <cellStyle name="Comma 168" xfId="22743"/>
    <cellStyle name="Comma 168 2" xfId="22744"/>
    <cellStyle name="Comma 168 3" xfId="22745"/>
    <cellStyle name="Comma 169" xfId="22746"/>
    <cellStyle name="Comma 169 2" xfId="22747"/>
    <cellStyle name="Comma 169 3" xfId="22748"/>
    <cellStyle name="Comma 17" xfId="22749"/>
    <cellStyle name="Comma 17 2" xfId="22750"/>
    <cellStyle name="Comma 17 2 2" xfId="22751"/>
    <cellStyle name="Comma 17 2 3" xfId="22752"/>
    <cellStyle name="Comma 17 3" xfId="22753"/>
    <cellStyle name="Comma 17 4" xfId="22754"/>
    <cellStyle name="Comma 170" xfId="22755"/>
    <cellStyle name="Comma 170 2" xfId="22756"/>
    <cellStyle name="Comma 170 3" xfId="22757"/>
    <cellStyle name="Comma 171" xfId="22758"/>
    <cellStyle name="Comma 171 2" xfId="22759"/>
    <cellStyle name="Comma 171 3" xfId="22760"/>
    <cellStyle name="Comma 172" xfId="22761"/>
    <cellStyle name="Comma 172 2" xfId="22762"/>
    <cellStyle name="Comma 172 3" xfId="22763"/>
    <cellStyle name="Comma 173" xfId="22764"/>
    <cellStyle name="Comma 173 2" xfId="22765"/>
    <cellStyle name="Comma 173 3" xfId="22766"/>
    <cellStyle name="Comma 174" xfId="22767"/>
    <cellStyle name="Comma 174 2" xfId="22768"/>
    <cellStyle name="Comma 174 3" xfId="22769"/>
    <cellStyle name="Comma 175" xfId="22770"/>
    <cellStyle name="Comma 175 2" xfId="22771"/>
    <cellStyle name="Comma 175 3" xfId="22772"/>
    <cellStyle name="Comma 176" xfId="22773"/>
    <cellStyle name="Comma 176 2" xfId="22774"/>
    <cellStyle name="Comma 176 3" xfId="22775"/>
    <cellStyle name="Comma 177" xfId="22776"/>
    <cellStyle name="Comma 177 2" xfId="22777"/>
    <cellStyle name="Comma 177 3" xfId="22778"/>
    <cellStyle name="Comma 178" xfId="22779"/>
    <cellStyle name="Comma 178 2" xfId="22780"/>
    <cellStyle name="Comma 178 3" xfId="22781"/>
    <cellStyle name="Comma 179" xfId="22782"/>
    <cellStyle name="Comma 179 2" xfId="22783"/>
    <cellStyle name="Comma 179 3" xfId="22784"/>
    <cellStyle name="Comma 18" xfId="22785"/>
    <cellStyle name="Comma 18 2" xfId="22786"/>
    <cellStyle name="Comma 18 2 2" xfId="22787"/>
    <cellStyle name="Comma 18 2 3" xfId="22788"/>
    <cellStyle name="Comma 18 3" xfId="22789"/>
    <cellStyle name="Comma 18 4" xfId="22790"/>
    <cellStyle name="Comma 180" xfId="22791"/>
    <cellStyle name="Comma 180 2" xfId="22792"/>
    <cellStyle name="Comma 180 3" xfId="22793"/>
    <cellStyle name="Comma 181" xfId="22794"/>
    <cellStyle name="Comma 181 2" xfId="22795"/>
    <cellStyle name="Comma 181 3" xfId="22796"/>
    <cellStyle name="Comma 182" xfId="22797"/>
    <cellStyle name="Comma 182 2" xfId="22798"/>
    <cellStyle name="Comma 183" xfId="22799"/>
    <cellStyle name="Comma 183 2" xfId="22800"/>
    <cellStyle name="Comma 184" xfId="22801"/>
    <cellStyle name="Comma 184 2" xfId="22802"/>
    <cellStyle name="Comma 185" xfId="22803"/>
    <cellStyle name="Comma 185 2" xfId="22804"/>
    <cellStyle name="Comma 186" xfId="22805"/>
    <cellStyle name="Comma 186 2" xfId="22806"/>
    <cellStyle name="Comma 186 2 2" xfId="22807"/>
    <cellStyle name="Comma 186 3" xfId="22808"/>
    <cellStyle name="Comma 186 4" xfId="22809"/>
    <cellStyle name="Comma 187" xfId="22810"/>
    <cellStyle name="Comma 187 2" xfId="22811"/>
    <cellStyle name="Comma 187 2 2" xfId="22812"/>
    <cellStyle name="Comma 188" xfId="22813"/>
    <cellStyle name="Comma 188 2" xfId="22814"/>
    <cellStyle name="Comma 188 2 2" xfId="22815"/>
    <cellStyle name="Comma 189" xfId="22816"/>
    <cellStyle name="Comma 19" xfId="22817"/>
    <cellStyle name="Comma 19 2" xfId="22818"/>
    <cellStyle name="Comma 19 2 2" xfId="22819"/>
    <cellStyle name="Comma 19 2 3" xfId="22820"/>
    <cellStyle name="Comma 19 3" xfId="22821"/>
    <cellStyle name="Comma 19 4" xfId="22822"/>
    <cellStyle name="Comma 190" xfId="22823"/>
    <cellStyle name="Comma 191" xfId="22824"/>
    <cellStyle name="Comma 192" xfId="22825"/>
    <cellStyle name="Comma 193" xfId="22826"/>
    <cellStyle name="Comma 194" xfId="22827"/>
    <cellStyle name="Comma 195" xfId="22828"/>
    <cellStyle name="Comma 196" xfId="22829"/>
    <cellStyle name="Comma 197" xfId="22830"/>
    <cellStyle name="Comma 198" xfId="22831"/>
    <cellStyle name="Comma 199" xfId="22832"/>
    <cellStyle name="Comma 2" xfId="22833"/>
    <cellStyle name="Comma 2 10" xfId="22834"/>
    <cellStyle name="Comma 2 10 2" xfId="22835"/>
    <cellStyle name="Comma 2 10 3" xfId="22836"/>
    <cellStyle name="Comma 2 11" xfId="22837"/>
    <cellStyle name="Comma 2 11 2" xfId="22838"/>
    <cellStyle name="Comma 2 11 3" xfId="22839"/>
    <cellStyle name="Comma 2 12" xfId="22840"/>
    <cellStyle name="Comma 2 12 2" xfId="22841"/>
    <cellStyle name="Comma 2 12 3" xfId="22842"/>
    <cellStyle name="Comma 2 13" xfId="22843"/>
    <cellStyle name="Comma 2 13 2" xfId="22844"/>
    <cellStyle name="Comma 2 13 3" xfId="22845"/>
    <cellStyle name="Comma 2 14" xfId="22846"/>
    <cellStyle name="Comma 2 15" xfId="22847"/>
    <cellStyle name="Comma 2 2" xfId="22848"/>
    <cellStyle name="Comma 2 2 10" xfId="22849"/>
    <cellStyle name="Comma 2 2 11" xfId="22850"/>
    <cellStyle name="Comma 2 2 2" xfId="22851"/>
    <cellStyle name="Comma 2 2 2 2" xfId="22852"/>
    <cellStyle name="Comma 2 2 2 2 2" xfId="22853"/>
    <cellStyle name="Comma 2 2 2 2 2 2" xfId="22854"/>
    <cellStyle name="Comma 2 2 2 2 2 3" xfId="22855"/>
    <cellStyle name="Comma 2 2 2 2 3" xfId="22856"/>
    <cellStyle name="Comma 2 2 2 2 3 2" xfId="22857"/>
    <cellStyle name="Comma 2 2 2 2 3 3" xfId="22858"/>
    <cellStyle name="Comma 2 2 2 2 4" xfId="22859"/>
    <cellStyle name="Comma 2 2 2 2 5" xfId="22860"/>
    <cellStyle name="Comma 2 2 2 3" xfId="22861"/>
    <cellStyle name="Comma 2 2 2 3 2" xfId="22862"/>
    <cellStyle name="Comma 2 2 2 3 3" xfId="22863"/>
    <cellStyle name="Comma 2 2 2 4" xfId="22864"/>
    <cellStyle name="Comma 2 2 2 4 2" xfId="22865"/>
    <cellStyle name="Comma 2 2 2 4 3" xfId="22866"/>
    <cellStyle name="Comma 2 2 2 5" xfId="22867"/>
    <cellStyle name="Comma 2 2 2 6" xfId="22868"/>
    <cellStyle name="Comma 2 2 3" xfId="22869"/>
    <cellStyle name="Comma 2 2 3 2" xfId="22870"/>
    <cellStyle name="Comma 2 2 3 3" xfId="22871"/>
    <cellStyle name="Comma 2 2 4" xfId="22872"/>
    <cellStyle name="Comma 2 2 4 2" xfId="22873"/>
    <cellStyle name="Comma 2 2 4 3" xfId="22874"/>
    <cellStyle name="Comma 2 2 5" xfId="22875"/>
    <cellStyle name="Comma 2 2 5 2" xfId="22876"/>
    <cellStyle name="Comma 2 2 5 3" xfId="22877"/>
    <cellStyle name="Comma 2 2 6" xfId="22878"/>
    <cellStyle name="Comma 2 2 6 2" xfId="22879"/>
    <cellStyle name="Comma 2 2 6 3" xfId="22880"/>
    <cellStyle name="Comma 2 2 7" xfId="22881"/>
    <cellStyle name="Comma 2 2 7 2" xfId="22882"/>
    <cellStyle name="Comma 2 2 7 3" xfId="22883"/>
    <cellStyle name="Comma 2 2 8" xfId="22884"/>
    <cellStyle name="Comma 2 2 8 2" xfId="22885"/>
    <cellStyle name="Comma 2 2 8 3" xfId="22886"/>
    <cellStyle name="Comma 2 2 9" xfId="22887"/>
    <cellStyle name="Comma 2 3" xfId="22888"/>
    <cellStyle name="Comma 2 3 10" xfId="22889"/>
    <cellStyle name="Comma 2 3 10 2" xfId="22890"/>
    <cellStyle name="Comma 2 3 10 2 2" xfId="22891"/>
    <cellStyle name="Comma 2 3 10 2 3" xfId="22892"/>
    <cellStyle name="Comma 2 3 10 3" xfId="22893"/>
    <cellStyle name="Comma 2 3 10 3 2" xfId="22894"/>
    <cellStyle name="Comma 2 3 10 3 3" xfId="22895"/>
    <cellStyle name="Comma 2 3 10 4" xfId="22896"/>
    <cellStyle name="Comma 2 3 10 5" xfId="22897"/>
    <cellStyle name="Comma 2 3 11" xfId="22898"/>
    <cellStyle name="Comma 2 3 11 2" xfId="22899"/>
    <cellStyle name="Comma 2 3 11 3" xfId="22900"/>
    <cellStyle name="Comma 2 3 12" xfId="22901"/>
    <cellStyle name="Comma 2 3 12 2" xfId="22902"/>
    <cellStyle name="Comma 2 3 12 3" xfId="22903"/>
    <cellStyle name="Comma 2 3 13" xfId="22904"/>
    <cellStyle name="Comma 2 3 14" xfId="22905"/>
    <cellStyle name="Comma 2 3 15" xfId="22906"/>
    <cellStyle name="Comma 2 3 2" xfId="22907"/>
    <cellStyle name="Comma 2 3 2 2" xfId="22908"/>
    <cellStyle name="Comma 2 3 2 2 2" xfId="22909"/>
    <cellStyle name="Comma 2 3 2 2 3" xfId="22910"/>
    <cellStyle name="Comma 2 3 2 3" xfId="22911"/>
    <cellStyle name="Comma 2 3 2 3 2" xfId="22912"/>
    <cellStyle name="Comma 2 3 2 3 3" xfId="22913"/>
    <cellStyle name="Comma 2 3 2 4" xfId="22914"/>
    <cellStyle name="Comma 2 3 2 5" xfId="22915"/>
    <cellStyle name="Comma 2 3 3" xfId="22916"/>
    <cellStyle name="Comma 2 3 3 2" xfId="22917"/>
    <cellStyle name="Comma 2 3 3 2 2" xfId="22918"/>
    <cellStyle name="Comma 2 3 3 2 3" xfId="22919"/>
    <cellStyle name="Comma 2 3 3 3" xfId="22920"/>
    <cellStyle name="Comma 2 3 3 3 2" xfId="22921"/>
    <cellStyle name="Comma 2 3 3 3 3" xfId="22922"/>
    <cellStyle name="Comma 2 3 3 4" xfId="22923"/>
    <cellStyle name="Comma 2 3 3 5" xfId="22924"/>
    <cellStyle name="Comma 2 3 4" xfId="22925"/>
    <cellStyle name="Comma 2 3 4 2" xfId="22926"/>
    <cellStyle name="Comma 2 3 4 2 2" xfId="22927"/>
    <cellStyle name="Comma 2 3 4 2 3" xfId="22928"/>
    <cellStyle name="Comma 2 3 4 3" xfId="22929"/>
    <cellStyle name="Comma 2 3 4 3 2" xfId="22930"/>
    <cellStyle name="Comma 2 3 4 3 3" xfId="22931"/>
    <cellStyle name="Comma 2 3 4 4" xfId="22932"/>
    <cellStyle name="Comma 2 3 4 5" xfId="22933"/>
    <cellStyle name="Comma 2 3 5" xfId="22934"/>
    <cellStyle name="Comma 2 3 5 2" xfId="22935"/>
    <cellStyle name="Comma 2 3 5 2 2" xfId="22936"/>
    <cellStyle name="Comma 2 3 5 2 3" xfId="22937"/>
    <cellStyle name="Comma 2 3 5 3" xfId="22938"/>
    <cellStyle name="Comma 2 3 5 3 2" xfId="22939"/>
    <cellStyle name="Comma 2 3 5 3 3" xfId="22940"/>
    <cellStyle name="Comma 2 3 5 4" xfId="22941"/>
    <cellStyle name="Comma 2 3 5 5" xfId="22942"/>
    <cellStyle name="Comma 2 3 6" xfId="22943"/>
    <cellStyle name="Comma 2 3 6 2" xfId="22944"/>
    <cellStyle name="Comma 2 3 6 2 2" xfId="22945"/>
    <cellStyle name="Comma 2 3 6 2 3" xfId="22946"/>
    <cellStyle name="Comma 2 3 6 3" xfId="22947"/>
    <cellStyle name="Comma 2 3 6 3 2" xfId="22948"/>
    <cellStyle name="Comma 2 3 6 3 3" xfId="22949"/>
    <cellStyle name="Comma 2 3 6 4" xfId="22950"/>
    <cellStyle name="Comma 2 3 6 5" xfId="22951"/>
    <cellStyle name="Comma 2 3 7" xfId="22952"/>
    <cellStyle name="Comma 2 3 7 2" xfId="22953"/>
    <cellStyle name="Comma 2 3 7 2 2" xfId="22954"/>
    <cellStyle name="Comma 2 3 7 2 3" xfId="22955"/>
    <cellStyle name="Comma 2 3 7 3" xfId="22956"/>
    <cellStyle name="Comma 2 3 7 3 2" xfId="22957"/>
    <cellStyle name="Comma 2 3 7 3 3" xfId="22958"/>
    <cellStyle name="Comma 2 3 7 4" xfId="22959"/>
    <cellStyle name="Comma 2 3 7 5" xfId="22960"/>
    <cellStyle name="Comma 2 3 8" xfId="22961"/>
    <cellStyle name="Comma 2 3 8 2" xfId="22962"/>
    <cellStyle name="Comma 2 3 8 2 2" xfId="22963"/>
    <cellStyle name="Comma 2 3 8 2 3" xfId="22964"/>
    <cellStyle name="Comma 2 3 8 3" xfId="22965"/>
    <cellStyle name="Comma 2 3 8 3 2" xfId="22966"/>
    <cellStyle name="Comma 2 3 8 3 3" xfId="22967"/>
    <cellStyle name="Comma 2 3 8 4" xfId="22968"/>
    <cellStyle name="Comma 2 3 8 5" xfId="22969"/>
    <cellStyle name="Comma 2 3 9" xfId="22970"/>
    <cellStyle name="Comma 2 3 9 2" xfId="22971"/>
    <cellStyle name="Comma 2 3 9 2 2" xfId="22972"/>
    <cellStyle name="Comma 2 3 9 2 3" xfId="22973"/>
    <cellStyle name="Comma 2 3 9 3" xfId="22974"/>
    <cellStyle name="Comma 2 3 9 3 2" xfId="22975"/>
    <cellStyle name="Comma 2 3 9 3 3" xfId="22976"/>
    <cellStyle name="Comma 2 3 9 4" xfId="22977"/>
    <cellStyle name="Comma 2 3 9 5" xfId="22978"/>
    <cellStyle name="Comma 2 4" xfId="22979"/>
    <cellStyle name="Comma 2 4 2" xfId="22980"/>
    <cellStyle name="Comma 2 4 2 2" xfId="22981"/>
    <cellStyle name="Comma 2 4 2 3" xfId="22982"/>
    <cellStyle name="Comma 2 4 3" xfId="22983"/>
    <cellStyle name="Comma 2 4 3 2" xfId="22984"/>
    <cellStyle name="Comma 2 4 3 3" xfId="22985"/>
    <cellStyle name="Comma 2 4 4" xfId="22986"/>
    <cellStyle name="Comma 2 4 5" xfId="22987"/>
    <cellStyle name="Comma 2 5" xfId="22988"/>
    <cellStyle name="Comma 2 5 2" xfId="22989"/>
    <cellStyle name="Comma 2 5 2 2" xfId="22990"/>
    <cellStyle name="Comma 2 5 2 3" xfId="22991"/>
    <cellStyle name="Comma 2 5 3" xfId="22992"/>
    <cellStyle name="Comma 2 5 4" xfId="22993"/>
    <cellStyle name="Comma 2 6" xfId="22994"/>
    <cellStyle name="Comma 2 6 2" xfId="22995"/>
    <cellStyle name="Comma 2 6 2 2" xfId="22996"/>
    <cellStyle name="Comma 2 6 2 3" xfId="22997"/>
    <cellStyle name="Comma 2 6 3" xfId="22998"/>
    <cellStyle name="Comma 2 6 4" xfId="22999"/>
    <cellStyle name="Comma 2 7" xfId="23000"/>
    <cellStyle name="Comma 2 7 2" xfId="23001"/>
    <cellStyle name="Comma 2 7 3" xfId="23002"/>
    <cellStyle name="Comma 2 8" xfId="23003"/>
    <cellStyle name="Comma 2 8 2" xfId="23004"/>
    <cellStyle name="Comma 2 8 3" xfId="23005"/>
    <cellStyle name="Comma 2 9" xfId="23006"/>
    <cellStyle name="Comma 2 9 2" xfId="23007"/>
    <cellStyle name="Comma 2 9 3" xfId="23008"/>
    <cellStyle name="Comma 20" xfId="23009"/>
    <cellStyle name="Comma 20 2" xfId="23010"/>
    <cellStyle name="Comma 20 2 2" xfId="23011"/>
    <cellStyle name="Comma 20 2 3" xfId="23012"/>
    <cellStyle name="Comma 20 3" xfId="23013"/>
    <cellStyle name="Comma 20 4" xfId="23014"/>
    <cellStyle name="Comma 200" xfId="23015"/>
    <cellStyle name="Comma 201" xfId="23016"/>
    <cellStyle name="Comma 202" xfId="23017"/>
    <cellStyle name="Comma 203" xfId="23018"/>
    <cellStyle name="Comma 204" xfId="23019"/>
    <cellStyle name="Comma 205" xfId="23020"/>
    <cellStyle name="Comma 206" xfId="23021"/>
    <cellStyle name="Comma 207" xfId="23022"/>
    <cellStyle name="Comma 208" xfId="23023"/>
    <cellStyle name="Comma 209" xfId="23024"/>
    <cellStyle name="Comma 21" xfId="23025"/>
    <cellStyle name="Comma 21 2" xfId="23026"/>
    <cellStyle name="Comma 21 2 2" xfId="23027"/>
    <cellStyle name="Comma 21 2 3" xfId="23028"/>
    <cellStyle name="Comma 21 3" xfId="23029"/>
    <cellStyle name="Comma 21 4" xfId="23030"/>
    <cellStyle name="Comma 210" xfId="23031"/>
    <cellStyle name="Comma 211" xfId="23032"/>
    <cellStyle name="Comma 212" xfId="23033"/>
    <cellStyle name="Comma 213" xfId="23034"/>
    <cellStyle name="Comma 214" xfId="23035"/>
    <cellStyle name="Comma 215" xfId="23036"/>
    <cellStyle name="Comma 216" xfId="23037"/>
    <cellStyle name="Comma 217" xfId="23038"/>
    <cellStyle name="Comma 218" xfId="23039"/>
    <cellStyle name="Comma 219" xfId="23040"/>
    <cellStyle name="Comma 22" xfId="23041"/>
    <cellStyle name="Comma 22 2" xfId="23042"/>
    <cellStyle name="Comma 22 2 2" xfId="23043"/>
    <cellStyle name="Comma 22 2 3" xfId="23044"/>
    <cellStyle name="Comma 22 3" xfId="23045"/>
    <cellStyle name="Comma 22 4" xfId="23046"/>
    <cellStyle name="Comma 220" xfId="23047"/>
    <cellStyle name="Comma 221" xfId="23048"/>
    <cellStyle name="Comma 222" xfId="23049"/>
    <cellStyle name="Comma 23" xfId="23050"/>
    <cellStyle name="Comma 23 2" xfId="23051"/>
    <cellStyle name="Comma 23 2 2" xfId="23052"/>
    <cellStyle name="Comma 23 2 3" xfId="23053"/>
    <cellStyle name="Comma 23 3" xfId="23054"/>
    <cellStyle name="Comma 23 4" xfId="23055"/>
    <cellStyle name="Comma 24" xfId="23056"/>
    <cellStyle name="Comma 24 2" xfId="23057"/>
    <cellStyle name="Comma 24 2 2" xfId="23058"/>
    <cellStyle name="Comma 24 2 3" xfId="23059"/>
    <cellStyle name="Comma 24 3" xfId="23060"/>
    <cellStyle name="Comma 24 4" xfId="23061"/>
    <cellStyle name="Comma 25" xfId="23062"/>
    <cellStyle name="Comma 25 2" xfId="23063"/>
    <cellStyle name="Comma 25 2 2" xfId="23064"/>
    <cellStyle name="Comma 25 2 3" xfId="23065"/>
    <cellStyle name="Comma 25 3" xfId="23066"/>
    <cellStyle name="Comma 25 3 2" xfId="23067"/>
    <cellStyle name="Comma 25 3 3" xfId="23068"/>
    <cellStyle name="Comma 25 4" xfId="23069"/>
    <cellStyle name="Comma 25 5" xfId="23070"/>
    <cellStyle name="Comma 26" xfId="23071"/>
    <cellStyle name="Comma 26 2" xfId="23072"/>
    <cellStyle name="Comma 26 2 2" xfId="23073"/>
    <cellStyle name="Comma 26 2 3" xfId="23074"/>
    <cellStyle name="Comma 26 3" xfId="23075"/>
    <cellStyle name="Comma 26 4" xfId="23076"/>
    <cellStyle name="Comma 27" xfId="23077"/>
    <cellStyle name="Comma 27 2" xfId="23078"/>
    <cellStyle name="Comma 27 2 2" xfId="23079"/>
    <cellStyle name="Comma 27 2 3" xfId="23080"/>
    <cellStyle name="Comma 27 3" xfId="23081"/>
    <cellStyle name="Comma 27 4" xfId="23082"/>
    <cellStyle name="Comma 28" xfId="23083"/>
    <cellStyle name="Comma 28 2" xfId="23084"/>
    <cellStyle name="Comma 28 2 2" xfId="23085"/>
    <cellStyle name="Comma 28 2 3" xfId="23086"/>
    <cellStyle name="Comma 28 3" xfId="23087"/>
    <cellStyle name="Comma 28 4" xfId="23088"/>
    <cellStyle name="Comma 29" xfId="23089"/>
    <cellStyle name="Comma 29 2" xfId="23090"/>
    <cellStyle name="Comma 29 2 2" xfId="23091"/>
    <cellStyle name="Comma 29 2 3" xfId="23092"/>
    <cellStyle name="Comma 29 3" xfId="23093"/>
    <cellStyle name="Comma 29 3 2" xfId="23094"/>
    <cellStyle name="Comma 29 3 3" xfId="23095"/>
    <cellStyle name="Comma 29 4" xfId="23096"/>
    <cellStyle name="Comma 29 5" xfId="23097"/>
    <cellStyle name="Comma 3" xfId="23098"/>
    <cellStyle name="Comma 3 10" xfId="23099"/>
    <cellStyle name="Comma 3 10 2" xfId="23100"/>
    <cellStyle name="Comma 3 10 3" xfId="23101"/>
    <cellStyle name="Comma 3 11" xfId="23102"/>
    <cellStyle name="Comma 3 11 2" xfId="23103"/>
    <cellStyle name="Comma 3 11 3" xfId="23104"/>
    <cellStyle name="Comma 3 12" xfId="23105"/>
    <cellStyle name="Comma 3 12 2" xfId="23106"/>
    <cellStyle name="Comma 3 12 3" xfId="23107"/>
    <cellStyle name="Comma 3 13" xfId="23108"/>
    <cellStyle name="Comma 3 13 2" xfId="23109"/>
    <cellStyle name="Comma 3 13 3" xfId="23110"/>
    <cellStyle name="Comma 3 14" xfId="23111"/>
    <cellStyle name="Comma 3 14 2" xfId="23112"/>
    <cellStyle name="Comma 3 14 3" xfId="23113"/>
    <cellStyle name="Comma 3 15" xfId="23114"/>
    <cellStyle name="Comma 3 15 2" xfId="23115"/>
    <cellStyle name="Comma 3 15 2 2" xfId="23116"/>
    <cellStyle name="Comma 3 15 2 2 2" xfId="23117"/>
    <cellStyle name="Comma 3 15 2 2 3" xfId="23118"/>
    <cellStyle name="Comma 3 15 2 3" xfId="23119"/>
    <cellStyle name="Comma 3 15 2 3 2" xfId="23120"/>
    <cellStyle name="Comma 3 15 2 4" xfId="23121"/>
    <cellStyle name="Comma 3 15 2 5" xfId="23122"/>
    <cellStyle name="Comma 3 15 3" xfId="23123"/>
    <cellStyle name="Comma 3 15 3 2" xfId="23124"/>
    <cellStyle name="Comma 3 15 3 2 2" xfId="23125"/>
    <cellStyle name="Comma 3 15 3 3" xfId="23126"/>
    <cellStyle name="Comma 3 15 3 4" xfId="23127"/>
    <cellStyle name="Comma 3 15 4" xfId="23128"/>
    <cellStyle name="Comma 3 15 4 2" xfId="23129"/>
    <cellStyle name="Comma 3 15 4 2 2" xfId="23130"/>
    <cellStyle name="Comma 3 15 4 3" xfId="23131"/>
    <cellStyle name="Comma 3 15 4 4" xfId="23132"/>
    <cellStyle name="Comma 3 15 5" xfId="23133"/>
    <cellStyle name="Comma 3 15 5 2" xfId="23134"/>
    <cellStyle name="Comma 3 15 6" xfId="23135"/>
    <cellStyle name="Comma 3 15 7" xfId="23136"/>
    <cellStyle name="Comma 3 15 8" xfId="23137"/>
    <cellStyle name="Comma 3 16" xfId="23138"/>
    <cellStyle name="Comma 3 16 2" xfId="23139"/>
    <cellStyle name="Comma 3 16 2 2" xfId="23140"/>
    <cellStyle name="Comma 3 16 2 2 2" xfId="23141"/>
    <cellStyle name="Comma 3 16 2 2 3" xfId="23142"/>
    <cellStyle name="Comma 3 16 2 3" xfId="23143"/>
    <cellStyle name="Comma 3 16 2 3 2" xfId="23144"/>
    <cellStyle name="Comma 3 16 2 4" xfId="23145"/>
    <cellStyle name="Comma 3 16 2 5" xfId="23146"/>
    <cellStyle name="Comma 3 16 3" xfId="23147"/>
    <cellStyle name="Comma 3 16 3 2" xfId="23148"/>
    <cellStyle name="Comma 3 16 3 2 2" xfId="23149"/>
    <cellStyle name="Comma 3 16 3 3" xfId="23150"/>
    <cellStyle name="Comma 3 16 3 4" xfId="23151"/>
    <cellStyle name="Comma 3 16 4" xfId="23152"/>
    <cellStyle name="Comma 3 16 4 2" xfId="23153"/>
    <cellStyle name="Comma 3 16 4 2 2" xfId="23154"/>
    <cellStyle name="Comma 3 16 4 3" xfId="23155"/>
    <cellStyle name="Comma 3 16 4 4" xfId="23156"/>
    <cellStyle name="Comma 3 16 5" xfId="23157"/>
    <cellStyle name="Comma 3 16 5 2" xfId="23158"/>
    <cellStyle name="Comma 3 16 6" xfId="23159"/>
    <cellStyle name="Comma 3 16 7" xfId="23160"/>
    <cellStyle name="Comma 3 16 8" xfId="23161"/>
    <cellStyle name="Comma 3 17" xfId="23162"/>
    <cellStyle name="Comma 3 17 2" xfId="23163"/>
    <cellStyle name="Comma 3 17 2 2" xfId="23164"/>
    <cellStyle name="Comma 3 17 2 2 2" xfId="23165"/>
    <cellStyle name="Comma 3 17 2 2 3" xfId="23166"/>
    <cellStyle name="Comma 3 17 2 3" xfId="23167"/>
    <cellStyle name="Comma 3 17 2 3 2" xfId="23168"/>
    <cellStyle name="Comma 3 17 2 4" xfId="23169"/>
    <cellStyle name="Comma 3 17 2 5" xfId="23170"/>
    <cellStyle name="Comma 3 17 3" xfId="23171"/>
    <cellStyle name="Comma 3 17 3 2" xfId="23172"/>
    <cellStyle name="Comma 3 17 3 2 2" xfId="23173"/>
    <cellStyle name="Comma 3 17 3 3" xfId="23174"/>
    <cellStyle name="Comma 3 17 3 4" xfId="23175"/>
    <cellStyle name="Comma 3 17 4" xfId="23176"/>
    <cellStyle name="Comma 3 17 4 2" xfId="23177"/>
    <cellStyle name="Comma 3 17 4 2 2" xfId="23178"/>
    <cellStyle name="Comma 3 17 4 3" xfId="23179"/>
    <cellStyle name="Comma 3 17 4 4" xfId="23180"/>
    <cellStyle name="Comma 3 17 5" xfId="23181"/>
    <cellStyle name="Comma 3 17 5 2" xfId="23182"/>
    <cellStyle name="Comma 3 17 6" xfId="23183"/>
    <cellStyle name="Comma 3 17 7" xfId="23184"/>
    <cellStyle name="Comma 3 17 8" xfId="23185"/>
    <cellStyle name="Comma 3 18" xfId="23186"/>
    <cellStyle name="Comma 3 19" xfId="23187"/>
    <cellStyle name="Comma 3 2" xfId="23188"/>
    <cellStyle name="Comma 3 2 10" xfId="23189"/>
    <cellStyle name="Comma 3 2 10 2" xfId="23190"/>
    <cellStyle name="Comma 3 2 10 2 2" xfId="23191"/>
    <cellStyle name="Comma 3 2 10 2 2 2" xfId="23192"/>
    <cellStyle name="Comma 3 2 10 2 2 3" xfId="23193"/>
    <cellStyle name="Comma 3 2 10 2 3" xfId="23194"/>
    <cellStyle name="Comma 3 2 10 2 3 2" xfId="23195"/>
    <cellStyle name="Comma 3 2 10 2 4" xfId="23196"/>
    <cellStyle name="Comma 3 2 10 2 5" xfId="23197"/>
    <cellStyle name="Comma 3 2 10 3" xfId="23198"/>
    <cellStyle name="Comma 3 2 10 3 2" xfId="23199"/>
    <cellStyle name="Comma 3 2 10 3 2 2" xfId="23200"/>
    <cellStyle name="Comma 3 2 10 3 3" xfId="23201"/>
    <cellStyle name="Comma 3 2 10 3 4" xfId="23202"/>
    <cellStyle name="Comma 3 2 10 4" xfId="23203"/>
    <cellStyle name="Comma 3 2 10 4 2" xfId="23204"/>
    <cellStyle name="Comma 3 2 10 4 2 2" xfId="23205"/>
    <cellStyle name="Comma 3 2 10 4 3" xfId="23206"/>
    <cellStyle name="Comma 3 2 10 4 4" xfId="23207"/>
    <cellStyle name="Comma 3 2 10 5" xfId="23208"/>
    <cellStyle name="Comma 3 2 10 5 2" xfId="23209"/>
    <cellStyle name="Comma 3 2 10 6" xfId="23210"/>
    <cellStyle name="Comma 3 2 10 7" xfId="23211"/>
    <cellStyle name="Comma 3 2 10 8" xfId="23212"/>
    <cellStyle name="Comma 3 2 11" xfId="23213"/>
    <cellStyle name="Comma 3 2 11 2" xfId="23214"/>
    <cellStyle name="Comma 3 2 11 2 2" xfId="23215"/>
    <cellStyle name="Comma 3 2 11 2 2 2" xfId="23216"/>
    <cellStyle name="Comma 3 2 11 2 2 3" xfId="23217"/>
    <cellStyle name="Comma 3 2 11 2 3" xfId="23218"/>
    <cellStyle name="Comma 3 2 11 2 3 2" xfId="23219"/>
    <cellStyle name="Comma 3 2 11 2 4" xfId="23220"/>
    <cellStyle name="Comma 3 2 11 2 5" xfId="23221"/>
    <cellStyle name="Comma 3 2 11 3" xfId="23222"/>
    <cellStyle name="Comma 3 2 11 3 2" xfId="23223"/>
    <cellStyle name="Comma 3 2 11 3 2 2" xfId="23224"/>
    <cellStyle name="Comma 3 2 11 3 3" xfId="23225"/>
    <cellStyle name="Comma 3 2 11 3 4" xfId="23226"/>
    <cellStyle name="Comma 3 2 11 4" xfId="23227"/>
    <cellStyle name="Comma 3 2 11 4 2" xfId="23228"/>
    <cellStyle name="Comma 3 2 11 4 2 2" xfId="23229"/>
    <cellStyle name="Comma 3 2 11 4 3" xfId="23230"/>
    <cellStyle name="Comma 3 2 11 4 4" xfId="23231"/>
    <cellStyle name="Comma 3 2 11 5" xfId="23232"/>
    <cellStyle name="Comma 3 2 11 5 2" xfId="23233"/>
    <cellStyle name="Comma 3 2 11 6" xfId="23234"/>
    <cellStyle name="Comma 3 2 11 7" xfId="23235"/>
    <cellStyle name="Comma 3 2 11 8" xfId="23236"/>
    <cellStyle name="Comma 3 2 12" xfId="23237"/>
    <cellStyle name="Comma 3 2 2" xfId="23238"/>
    <cellStyle name="Comma 3 2 2 2" xfId="23239"/>
    <cellStyle name="Comma 3 2 2 2 2" xfId="23240"/>
    <cellStyle name="Comma 3 2 2 2 3" xfId="23241"/>
    <cellStyle name="Comma 3 2 2 3" xfId="23242"/>
    <cellStyle name="Comma 3 2 2 3 2" xfId="23243"/>
    <cellStyle name="Comma 3 2 2 3 2 2" xfId="23244"/>
    <cellStyle name="Comma 3 2 2 3 2 2 2" xfId="23245"/>
    <cellStyle name="Comma 3 2 2 3 2 2 3" xfId="23246"/>
    <cellStyle name="Comma 3 2 2 3 2 3" xfId="23247"/>
    <cellStyle name="Comma 3 2 2 3 2 3 2" xfId="23248"/>
    <cellStyle name="Comma 3 2 2 3 2 4" xfId="23249"/>
    <cellStyle name="Comma 3 2 2 3 2 5" xfId="23250"/>
    <cellStyle name="Comma 3 2 2 3 3" xfId="23251"/>
    <cellStyle name="Comma 3 2 2 3 3 2" xfId="23252"/>
    <cellStyle name="Comma 3 2 2 3 3 2 2" xfId="23253"/>
    <cellStyle name="Comma 3 2 2 3 3 3" xfId="23254"/>
    <cellStyle name="Comma 3 2 2 3 3 4" xfId="23255"/>
    <cellStyle name="Comma 3 2 2 3 4" xfId="23256"/>
    <cellStyle name="Comma 3 2 2 3 4 2" xfId="23257"/>
    <cellStyle name="Comma 3 2 2 3 4 2 2" xfId="23258"/>
    <cellStyle name="Comma 3 2 2 3 4 3" xfId="23259"/>
    <cellStyle name="Comma 3 2 2 3 4 4" xfId="23260"/>
    <cellStyle name="Comma 3 2 2 3 5" xfId="23261"/>
    <cellStyle name="Comma 3 2 2 3 5 2" xfId="23262"/>
    <cellStyle name="Comma 3 2 2 3 6" xfId="23263"/>
    <cellStyle name="Comma 3 2 2 3 7" xfId="23264"/>
    <cellStyle name="Comma 3 2 2 3 8" xfId="23265"/>
    <cellStyle name="Comma 3 2 2 4" xfId="23266"/>
    <cellStyle name="Comma 3 2 2 4 2" xfId="23267"/>
    <cellStyle name="Comma 3 2 2 4 2 2" xfId="23268"/>
    <cellStyle name="Comma 3 2 2 4 2 2 2" xfId="23269"/>
    <cellStyle name="Comma 3 2 2 4 2 2 3" xfId="23270"/>
    <cellStyle name="Comma 3 2 2 4 2 3" xfId="23271"/>
    <cellStyle name="Comma 3 2 2 4 2 3 2" xfId="23272"/>
    <cellStyle name="Comma 3 2 2 4 2 4" xfId="23273"/>
    <cellStyle name="Comma 3 2 2 4 2 5" xfId="23274"/>
    <cellStyle name="Comma 3 2 2 4 3" xfId="23275"/>
    <cellStyle name="Comma 3 2 2 4 3 2" xfId="23276"/>
    <cellStyle name="Comma 3 2 2 4 3 2 2" xfId="23277"/>
    <cellStyle name="Comma 3 2 2 4 3 3" xfId="23278"/>
    <cellStyle name="Comma 3 2 2 4 3 4" xfId="23279"/>
    <cellStyle name="Comma 3 2 2 4 4" xfId="23280"/>
    <cellStyle name="Comma 3 2 2 4 4 2" xfId="23281"/>
    <cellStyle name="Comma 3 2 2 4 4 2 2" xfId="23282"/>
    <cellStyle name="Comma 3 2 2 4 4 3" xfId="23283"/>
    <cellStyle name="Comma 3 2 2 4 4 4" xfId="23284"/>
    <cellStyle name="Comma 3 2 2 4 5" xfId="23285"/>
    <cellStyle name="Comma 3 2 2 4 5 2" xfId="23286"/>
    <cellStyle name="Comma 3 2 2 4 6" xfId="23287"/>
    <cellStyle name="Comma 3 2 2 4 7" xfId="23288"/>
    <cellStyle name="Comma 3 2 2 4 8" xfId="23289"/>
    <cellStyle name="Comma 3 2 2 5" xfId="23290"/>
    <cellStyle name="Comma 3 2 2 5 2" xfId="23291"/>
    <cellStyle name="Comma 3 2 2 5 2 2" xfId="23292"/>
    <cellStyle name="Comma 3 2 2 5 2 2 2" xfId="23293"/>
    <cellStyle name="Comma 3 2 2 5 2 2 3" xfId="23294"/>
    <cellStyle name="Comma 3 2 2 5 2 3" xfId="23295"/>
    <cellStyle name="Comma 3 2 2 5 2 3 2" xfId="23296"/>
    <cellStyle name="Comma 3 2 2 5 2 4" xfId="23297"/>
    <cellStyle name="Comma 3 2 2 5 2 5" xfId="23298"/>
    <cellStyle name="Comma 3 2 2 5 3" xfId="23299"/>
    <cellStyle name="Comma 3 2 2 5 3 2" xfId="23300"/>
    <cellStyle name="Comma 3 2 2 5 3 2 2" xfId="23301"/>
    <cellStyle name="Comma 3 2 2 5 3 3" xfId="23302"/>
    <cellStyle name="Comma 3 2 2 5 3 4" xfId="23303"/>
    <cellStyle name="Comma 3 2 2 5 4" xfId="23304"/>
    <cellStyle name="Comma 3 2 2 5 4 2" xfId="23305"/>
    <cellStyle name="Comma 3 2 2 5 4 2 2" xfId="23306"/>
    <cellStyle name="Comma 3 2 2 5 4 3" xfId="23307"/>
    <cellStyle name="Comma 3 2 2 5 4 4" xfId="23308"/>
    <cellStyle name="Comma 3 2 2 5 5" xfId="23309"/>
    <cellStyle name="Comma 3 2 2 5 5 2" xfId="23310"/>
    <cellStyle name="Comma 3 2 2 5 6" xfId="23311"/>
    <cellStyle name="Comma 3 2 2 5 7" xfId="23312"/>
    <cellStyle name="Comma 3 2 2 5 8" xfId="23313"/>
    <cellStyle name="Comma 3 2 2 6" xfId="23314"/>
    <cellStyle name="Comma 3 2 3" xfId="23315"/>
    <cellStyle name="Comma 3 2 3 2" xfId="23316"/>
    <cellStyle name="Comma 3 2 3 3" xfId="23317"/>
    <cellStyle name="Comma 3 2 4" xfId="23318"/>
    <cellStyle name="Comma 3 2 4 2" xfId="23319"/>
    <cellStyle name="Comma 3 2 4 3" xfId="23320"/>
    <cellStyle name="Comma 3 2 4 3 2" xfId="23321"/>
    <cellStyle name="Comma 3 2 4 3 2 2" xfId="23322"/>
    <cellStyle name="Comma 3 2 4 3 2 2 2" xfId="23323"/>
    <cellStyle name="Comma 3 2 4 3 2 2 3" xfId="23324"/>
    <cellStyle name="Comma 3 2 4 3 2 3" xfId="23325"/>
    <cellStyle name="Comma 3 2 4 3 2 3 2" xfId="23326"/>
    <cellStyle name="Comma 3 2 4 3 2 4" xfId="23327"/>
    <cellStyle name="Comma 3 2 4 3 2 5" xfId="23328"/>
    <cellStyle name="Comma 3 2 4 3 3" xfId="23329"/>
    <cellStyle name="Comma 3 2 4 3 3 2" xfId="23330"/>
    <cellStyle name="Comma 3 2 4 3 3 2 2" xfId="23331"/>
    <cellStyle name="Comma 3 2 4 3 3 3" xfId="23332"/>
    <cellStyle name="Comma 3 2 4 3 3 4" xfId="23333"/>
    <cellStyle name="Comma 3 2 4 3 4" xfId="23334"/>
    <cellStyle name="Comma 3 2 4 3 4 2" xfId="23335"/>
    <cellStyle name="Comma 3 2 4 3 4 2 2" xfId="23336"/>
    <cellStyle name="Comma 3 2 4 3 4 3" xfId="23337"/>
    <cellStyle name="Comma 3 2 4 3 4 4" xfId="23338"/>
    <cellStyle name="Comma 3 2 4 3 5" xfId="23339"/>
    <cellStyle name="Comma 3 2 4 3 5 2" xfId="23340"/>
    <cellStyle name="Comma 3 2 4 3 6" xfId="23341"/>
    <cellStyle name="Comma 3 2 4 3 7" xfId="23342"/>
    <cellStyle name="Comma 3 2 4 3 8" xfId="23343"/>
    <cellStyle name="Comma 3 2 4 4" xfId="23344"/>
    <cellStyle name="Comma 3 2 5" xfId="23345"/>
    <cellStyle name="Comma 3 2 5 2" xfId="23346"/>
    <cellStyle name="Comma 3 2 5 3" xfId="23347"/>
    <cellStyle name="Comma 3 2 6" xfId="23348"/>
    <cellStyle name="Comma 3 2 6 2" xfId="23349"/>
    <cellStyle name="Comma 3 2 6 3" xfId="23350"/>
    <cellStyle name="Comma 3 2 7" xfId="23351"/>
    <cellStyle name="Comma 3 2 7 2" xfId="23352"/>
    <cellStyle name="Comma 3 2 7 3" xfId="23353"/>
    <cellStyle name="Comma 3 2 8" xfId="23354"/>
    <cellStyle name="Comma 3 2 8 2" xfId="23355"/>
    <cellStyle name="Comma 3 2 8 3" xfId="23356"/>
    <cellStyle name="Comma 3 2 9" xfId="23357"/>
    <cellStyle name="Comma 3 2 9 2" xfId="23358"/>
    <cellStyle name="Comma 3 2 9 2 2" xfId="23359"/>
    <cellStyle name="Comma 3 2 9 2 2 2" xfId="23360"/>
    <cellStyle name="Comma 3 2 9 2 2 3" xfId="23361"/>
    <cellStyle name="Comma 3 2 9 2 3" xfId="23362"/>
    <cellStyle name="Comma 3 2 9 2 3 2" xfId="23363"/>
    <cellStyle name="Comma 3 2 9 2 4" xfId="23364"/>
    <cellStyle name="Comma 3 2 9 2 5" xfId="23365"/>
    <cellStyle name="Comma 3 2 9 3" xfId="23366"/>
    <cellStyle name="Comma 3 2 9 3 2" xfId="23367"/>
    <cellStyle name="Comma 3 2 9 3 2 2" xfId="23368"/>
    <cellStyle name="Comma 3 2 9 3 3" xfId="23369"/>
    <cellStyle name="Comma 3 2 9 3 4" xfId="23370"/>
    <cellStyle name="Comma 3 2 9 4" xfId="23371"/>
    <cellStyle name="Comma 3 2 9 4 2" xfId="23372"/>
    <cellStyle name="Comma 3 2 9 4 2 2" xfId="23373"/>
    <cellStyle name="Comma 3 2 9 4 3" xfId="23374"/>
    <cellStyle name="Comma 3 2 9 4 4" xfId="23375"/>
    <cellStyle name="Comma 3 2 9 5" xfId="23376"/>
    <cellStyle name="Comma 3 2 9 5 2" xfId="23377"/>
    <cellStyle name="Comma 3 2 9 6" xfId="23378"/>
    <cellStyle name="Comma 3 2 9 7" xfId="23379"/>
    <cellStyle name="Comma 3 2 9 8" xfId="23380"/>
    <cellStyle name="Comma 3 3" xfId="23381"/>
    <cellStyle name="Comma 3 3 2" xfId="23382"/>
    <cellStyle name="Comma 3 3 2 2" xfId="23383"/>
    <cellStyle name="Comma 3 3 2 2 2" xfId="23384"/>
    <cellStyle name="Comma 3 3 2 2 2 2" xfId="23385"/>
    <cellStyle name="Comma 3 3 2 3" xfId="23386"/>
    <cellStyle name="Comma 3 3 2 4" xfId="23387"/>
    <cellStyle name="Comma 3 3 2 4 2" xfId="23388"/>
    <cellStyle name="Comma 3 3 3" xfId="23389"/>
    <cellStyle name="Comma 3 3 3 2" xfId="23390"/>
    <cellStyle name="Comma 3 3 3 3" xfId="23391"/>
    <cellStyle name="Comma 3 3 3 4" xfId="23392"/>
    <cellStyle name="Comma 3 3 3 4 2" xfId="23393"/>
    <cellStyle name="Comma 3 3 4" xfId="23394"/>
    <cellStyle name="Comma 3 3 4 2" xfId="23395"/>
    <cellStyle name="Comma 3 3 4 3" xfId="23396"/>
    <cellStyle name="Comma 3 3 4 3 2" xfId="23397"/>
    <cellStyle name="Comma 3 3 5" xfId="23398"/>
    <cellStyle name="Comma 3 3 6" xfId="23399"/>
    <cellStyle name="Comma 3 3 7" xfId="23400"/>
    <cellStyle name="Comma 3 3 7 2" xfId="23401"/>
    <cellStyle name="Comma 3 3 7 2 2" xfId="23402"/>
    <cellStyle name="Comma 3 3 7 3" xfId="23403"/>
    <cellStyle name="Comma 3 3 7 4" xfId="23404"/>
    <cellStyle name="Comma 3 3 8" xfId="23405"/>
    <cellStyle name="Comma 3 3 8 2" xfId="23406"/>
    <cellStyle name="Comma 3 3 9" xfId="23407"/>
    <cellStyle name="Comma 3 4" xfId="23408"/>
    <cellStyle name="Comma 3 4 2" xfId="23409"/>
    <cellStyle name="Comma 3 4 2 2" xfId="23410"/>
    <cellStyle name="Comma 3 4 2 3" xfId="23411"/>
    <cellStyle name="Comma 3 4 3" xfId="23412"/>
    <cellStyle name="Comma 3 4 3 2" xfId="23413"/>
    <cellStyle name="Comma 3 4 3 3" xfId="23414"/>
    <cellStyle name="Comma 3 4 4" xfId="23415"/>
    <cellStyle name="Comma 3 4 4 2" xfId="23416"/>
    <cellStyle name="Comma 3 4 4 2 2" xfId="23417"/>
    <cellStyle name="Comma 3 4 4 2 2 2" xfId="23418"/>
    <cellStyle name="Comma 3 4 4 2 2 3" xfId="23419"/>
    <cellStyle name="Comma 3 4 4 2 3" xfId="23420"/>
    <cellStyle name="Comma 3 4 4 2 3 2" xfId="23421"/>
    <cellStyle name="Comma 3 4 4 2 4" xfId="23422"/>
    <cellStyle name="Comma 3 4 4 2 5" xfId="23423"/>
    <cellStyle name="Comma 3 4 4 3" xfId="23424"/>
    <cellStyle name="Comma 3 4 4 3 2" xfId="23425"/>
    <cellStyle name="Comma 3 4 4 3 2 2" xfId="23426"/>
    <cellStyle name="Comma 3 4 4 3 3" xfId="23427"/>
    <cellStyle name="Comma 3 4 4 3 4" xfId="23428"/>
    <cellStyle name="Comma 3 4 4 4" xfId="23429"/>
    <cellStyle name="Comma 3 4 4 4 2" xfId="23430"/>
    <cellStyle name="Comma 3 4 4 4 2 2" xfId="23431"/>
    <cellStyle name="Comma 3 4 4 4 3" xfId="23432"/>
    <cellStyle name="Comma 3 4 4 4 4" xfId="23433"/>
    <cellStyle name="Comma 3 4 4 5" xfId="23434"/>
    <cellStyle name="Comma 3 4 4 5 2" xfId="23435"/>
    <cellStyle name="Comma 3 4 4 6" xfId="23436"/>
    <cellStyle name="Comma 3 4 4 7" xfId="23437"/>
    <cellStyle name="Comma 3 4 4 8" xfId="23438"/>
    <cellStyle name="Comma 3 4 5" xfId="23439"/>
    <cellStyle name="Comma 3 4 5 2" xfId="23440"/>
    <cellStyle name="Comma 3 4 5 2 2" xfId="23441"/>
    <cellStyle name="Comma 3 4 5 2 2 2" xfId="23442"/>
    <cellStyle name="Comma 3 4 5 2 2 3" xfId="23443"/>
    <cellStyle name="Comma 3 4 5 2 3" xfId="23444"/>
    <cellStyle name="Comma 3 4 5 2 3 2" xfId="23445"/>
    <cellStyle name="Comma 3 4 5 2 4" xfId="23446"/>
    <cellStyle name="Comma 3 4 5 2 5" xfId="23447"/>
    <cellStyle name="Comma 3 4 5 3" xfId="23448"/>
    <cellStyle name="Comma 3 4 5 3 2" xfId="23449"/>
    <cellStyle name="Comma 3 4 5 3 2 2" xfId="23450"/>
    <cellStyle name="Comma 3 4 5 3 3" xfId="23451"/>
    <cellStyle name="Comma 3 4 5 3 4" xfId="23452"/>
    <cellStyle name="Comma 3 4 5 4" xfId="23453"/>
    <cellStyle name="Comma 3 4 5 4 2" xfId="23454"/>
    <cellStyle name="Comma 3 4 5 4 2 2" xfId="23455"/>
    <cellStyle name="Comma 3 4 5 4 3" xfId="23456"/>
    <cellStyle name="Comma 3 4 5 4 4" xfId="23457"/>
    <cellStyle name="Comma 3 4 5 5" xfId="23458"/>
    <cellStyle name="Comma 3 4 5 5 2" xfId="23459"/>
    <cellStyle name="Comma 3 4 5 6" xfId="23460"/>
    <cellStyle name="Comma 3 4 5 7" xfId="23461"/>
    <cellStyle name="Comma 3 4 5 8" xfId="23462"/>
    <cellStyle name="Comma 3 4 6" xfId="23463"/>
    <cellStyle name="Comma 3 4 6 2" xfId="23464"/>
    <cellStyle name="Comma 3 4 6 2 2" xfId="23465"/>
    <cellStyle name="Comma 3 4 6 2 2 2" xfId="23466"/>
    <cellStyle name="Comma 3 4 6 2 2 3" xfId="23467"/>
    <cellStyle name="Comma 3 4 6 2 3" xfId="23468"/>
    <cellStyle name="Comma 3 4 6 2 3 2" xfId="23469"/>
    <cellStyle name="Comma 3 4 6 2 4" xfId="23470"/>
    <cellStyle name="Comma 3 4 6 2 5" xfId="23471"/>
    <cellStyle name="Comma 3 4 6 3" xfId="23472"/>
    <cellStyle name="Comma 3 4 6 3 2" xfId="23473"/>
    <cellStyle name="Comma 3 4 6 3 2 2" xfId="23474"/>
    <cellStyle name="Comma 3 4 6 3 3" xfId="23475"/>
    <cellStyle name="Comma 3 4 6 3 4" xfId="23476"/>
    <cellStyle name="Comma 3 4 6 4" xfId="23477"/>
    <cellStyle name="Comma 3 4 6 4 2" xfId="23478"/>
    <cellStyle name="Comma 3 4 6 4 2 2" xfId="23479"/>
    <cellStyle name="Comma 3 4 6 4 3" xfId="23480"/>
    <cellStyle name="Comma 3 4 6 4 4" xfId="23481"/>
    <cellStyle name="Comma 3 4 6 5" xfId="23482"/>
    <cellStyle name="Comma 3 4 6 5 2" xfId="23483"/>
    <cellStyle name="Comma 3 4 6 6" xfId="23484"/>
    <cellStyle name="Comma 3 4 6 7" xfId="23485"/>
    <cellStyle name="Comma 3 4 6 8" xfId="23486"/>
    <cellStyle name="Comma 3 4 7" xfId="23487"/>
    <cellStyle name="Comma 3 5" xfId="23488"/>
    <cellStyle name="Comma 3 5 2" xfId="23489"/>
    <cellStyle name="Comma 3 5 2 2" xfId="23490"/>
    <cellStyle name="Comma 3 5 2 3" xfId="23491"/>
    <cellStyle name="Comma 3 5 3" xfId="23492"/>
    <cellStyle name="Comma 3 5 3 2" xfId="23493"/>
    <cellStyle name="Comma 3 5 3 3" xfId="23494"/>
    <cellStyle name="Comma 3 5 4" xfId="23495"/>
    <cellStyle name="Comma 3 5 5" xfId="23496"/>
    <cellStyle name="Comma 3 6" xfId="23497"/>
    <cellStyle name="Comma 3 6 2" xfId="23498"/>
    <cellStyle name="Comma 3 6 2 2" xfId="23499"/>
    <cellStyle name="Comma 3 6 2 3" xfId="23500"/>
    <cellStyle name="Comma 3 6 3" xfId="23501"/>
    <cellStyle name="Comma 3 6 4" xfId="23502"/>
    <cellStyle name="Comma 3 6 4 2" xfId="23503"/>
    <cellStyle name="Comma 3 6 4 2 2" xfId="23504"/>
    <cellStyle name="Comma 3 6 4 2 2 2" xfId="23505"/>
    <cellStyle name="Comma 3 6 4 2 2 3" xfId="23506"/>
    <cellStyle name="Comma 3 6 4 2 3" xfId="23507"/>
    <cellStyle name="Comma 3 6 4 2 3 2" xfId="23508"/>
    <cellStyle name="Comma 3 6 4 2 4" xfId="23509"/>
    <cellStyle name="Comma 3 6 4 2 5" xfId="23510"/>
    <cellStyle name="Comma 3 6 4 3" xfId="23511"/>
    <cellStyle name="Comma 3 6 4 3 2" xfId="23512"/>
    <cellStyle name="Comma 3 6 4 3 2 2" xfId="23513"/>
    <cellStyle name="Comma 3 6 4 3 3" xfId="23514"/>
    <cellStyle name="Comma 3 6 4 3 4" xfId="23515"/>
    <cellStyle name="Comma 3 6 4 4" xfId="23516"/>
    <cellStyle name="Comma 3 6 4 4 2" xfId="23517"/>
    <cellStyle name="Comma 3 6 4 4 2 2" xfId="23518"/>
    <cellStyle name="Comma 3 6 4 4 3" xfId="23519"/>
    <cellStyle name="Comma 3 6 4 4 4" xfId="23520"/>
    <cellStyle name="Comma 3 6 4 5" xfId="23521"/>
    <cellStyle name="Comma 3 6 4 5 2" xfId="23522"/>
    <cellStyle name="Comma 3 6 4 6" xfId="23523"/>
    <cellStyle name="Comma 3 6 4 7" xfId="23524"/>
    <cellStyle name="Comma 3 6 4 8" xfId="23525"/>
    <cellStyle name="Comma 3 6 5" xfId="23526"/>
    <cellStyle name="Comma 3 7" xfId="23527"/>
    <cellStyle name="Comma 3 7 2" xfId="23528"/>
    <cellStyle name="Comma 3 7 2 2" xfId="23529"/>
    <cellStyle name="Comma 3 7 2 2 2" xfId="23530"/>
    <cellStyle name="Comma 3 7 2 2 2 2" xfId="23531"/>
    <cellStyle name="Comma 3 7 2 2 3" xfId="23532"/>
    <cellStyle name="Comma 3 7 2 3" xfId="23533"/>
    <cellStyle name="Comma 3 7 2 3 2" xfId="23534"/>
    <cellStyle name="Comma 3 7 2 4" xfId="23535"/>
    <cellStyle name="Comma 3 7 3" xfId="23536"/>
    <cellStyle name="Comma 3 7 3 2" xfId="23537"/>
    <cellStyle name="Comma 3 7 3 2 2" xfId="23538"/>
    <cellStyle name="Comma 3 7 3 3" xfId="23539"/>
    <cellStyle name="Comma 3 7 4" xfId="23540"/>
    <cellStyle name="Comma 3 7 4 2" xfId="23541"/>
    <cellStyle name="Comma 3 7 5" xfId="23542"/>
    <cellStyle name="Comma 3 8" xfId="23543"/>
    <cellStyle name="Comma 3 8 2" xfId="23544"/>
    <cellStyle name="Comma 3 8 3" xfId="23545"/>
    <cellStyle name="Comma 3 9" xfId="23546"/>
    <cellStyle name="Comma 3 9 2" xfId="23547"/>
    <cellStyle name="Comma 3 9 3" xfId="23548"/>
    <cellStyle name="Comma 30" xfId="23549"/>
    <cellStyle name="Comma 30 2" xfId="23550"/>
    <cellStyle name="Comma 30 2 2" xfId="23551"/>
    <cellStyle name="Comma 30 2 3" xfId="23552"/>
    <cellStyle name="Comma 30 3" xfId="23553"/>
    <cellStyle name="Comma 30 3 2" xfId="23554"/>
    <cellStyle name="Comma 30 3 3" xfId="23555"/>
    <cellStyle name="Comma 30 4" xfId="23556"/>
    <cellStyle name="Comma 30 5" xfId="23557"/>
    <cellStyle name="Comma 31" xfId="23558"/>
    <cellStyle name="Comma 31 2" xfId="23559"/>
    <cellStyle name="Comma 31 2 2" xfId="23560"/>
    <cellStyle name="Comma 31 2 3" xfId="23561"/>
    <cellStyle name="Comma 31 3" xfId="23562"/>
    <cellStyle name="Comma 31 3 2" xfId="23563"/>
    <cellStyle name="Comma 31 3 3" xfId="23564"/>
    <cellStyle name="Comma 31 4" xfId="23565"/>
    <cellStyle name="Comma 31 4 2" xfId="23566"/>
    <cellStyle name="Comma 31 4 3" xfId="23567"/>
    <cellStyle name="Comma 31 5" xfId="23568"/>
    <cellStyle name="Comma 31 6" xfId="23569"/>
    <cellStyle name="Comma 32" xfId="23570"/>
    <cellStyle name="Comma 32 2" xfId="23571"/>
    <cellStyle name="Comma 32 2 2" xfId="23572"/>
    <cellStyle name="Comma 32 2 3" xfId="23573"/>
    <cellStyle name="Comma 32 3" xfId="23574"/>
    <cellStyle name="Comma 32 4" xfId="23575"/>
    <cellStyle name="Comma 33" xfId="23576"/>
    <cellStyle name="Comma 33 2" xfId="23577"/>
    <cellStyle name="Comma 33 2 2" xfId="23578"/>
    <cellStyle name="Comma 33 2 3" xfId="23579"/>
    <cellStyle name="Comma 33 3" xfId="23580"/>
    <cellStyle name="Comma 33 4" xfId="23581"/>
    <cellStyle name="Comma 34" xfId="23582"/>
    <cellStyle name="Comma 34 2" xfId="23583"/>
    <cellStyle name="Comma 34 2 2" xfId="23584"/>
    <cellStyle name="Comma 34 2 3" xfId="23585"/>
    <cellStyle name="Comma 34 3" xfId="23586"/>
    <cellStyle name="Comma 34 4" xfId="23587"/>
    <cellStyle name="Comma 35" xfId="23588"/>
    <cellStyle name="Comma 35 2" xfId="23589"/>
    <cellStyle name="Comma 35 2 2" xfId="23590"/>
    <cellStyle name="Comma 35 2 3" xfId="23591"/>
    <cellStyle name="Comma 35 3" xfId="23592"/>
    <cellStyle name="Comma 35 4" xfId="23593"/>
    <cellStyle name="Comma 36" xfId="23594"/>
    <cellStyle name="Comma 36 2" xfId="23595"/>
    <cellStyle name="Comma 36 2 2" xfId="23596"/>
    <cellStyle name="Comma 36 2 3" xfId="23597"/>
    <cellStyle name="Comma 36 3" xfId="23598"/>
    <cellStyle name="Comma 36 4" xfId="23599"/>
    <cellStyle name="Comma 37" xfId="23600"/>
    <cellStyle name="Comma 37 2" xfId="23601"/>
    <cellStyle name="Comma 37 2 2" xfId="23602"/>
    <cellStyle name="Comma 37 2 3" xfId="23603"/>
    <cellStyle name="Comma 37 3" xfId="23604"/>
    <cellStyle name="Comma 37 4" xfId="23605"/>
    <cellStyle name="Comma 38" xfId="23606"/>
    <cellStyle name="Comma 38 2" xfId="23607"/>
    <cellStyle name="Comma 38 2 2" xfId="23608"/>
    <cellStyle name="Comma 38 2 3" xfId="23609"/>
    <cellStyle name="Comma 38 3" xfId="23610"/>
    <cellStyle name="Comma 38 3 2" xfId="23611"/>
    <cellStyle name="Comma 38 3 3" xfId="23612"/>
    <cellStyle name="Comma 38 4" xfId="23613"/>
    <cellStyle name="Comma 38 5" xfId="23614"/>
    <cellStyle name="Comma 39" xfId="23615"/>
    <cellStyle name="Comma 39 2" xfId="23616"/>
    <cellStyle name="Comma 39 2 2" xfId="23617"/>
    <cellStyle name="Comma 39 2 3" xfId="23618"/>
    <cellStyle name="Comma 39 3" xfId="23619"/>
    <cellStyle name="Comma 39 3 2" xfId="23620"/>
    <cellStyle name="Comma 39 3 3" xfId="23621"/>
    <cellStyle name="Comma 39 4" xfId="23622"/>
    <cellStyle name="Comma 39 5" xfId="23623"/>
    <cellStyle name="Comma 4" xfId="23624"/>
    <cellStyle name="Comma 4 10" xfId="23625"/>
    <cellStyle name="Comma 4 10 2" xfId="23626"/>
    <cellStyle name="Comma 4 10 3" xfId="23627"/>
    <cellStyle name="Comma 4 11" xfId="23628"/>
    <cellStyle name="Comma 4 11 2" xfId="23629"/>
    <cellStyle name="Comma 4 11 3" xfId="23630"/>
    <cellStyle name="Comma 4 12" xfId="23631"/>
    <cellStyle name="Comma 4 12 2" xfId="23632"/>
    <cellStyle name="Comma 4 12 3" xfId="23633"/>
    <cellStyle name="Comma 4 13" xfId="23634"/>
    <cellStyle name="Comma 4 14" xfId="23635"/>
    <cellStyle name="Comma 4 2" xfId="23636"/>
    <cellStyle name="Comma 4 2 2" xfId="23637"/>
    <cellStyle name="Comma 4 2 2 2" xfId="23638"/>
    <cellStyle name="Comma 4 2 2 3" xfId="23639"/>
    <cellStyle name="Comma 4 2 3" xfId="23640"/>
    <cellStyle name="Comma 4 2 3 2" xfId="23641"/>
    <cellStyle name="Comma 4 2 3 3" xfId="23642"/>
    <cellStyle name="Comma 4 2 4" xfId="23643"/>
    <cellStyle name="Comma 4 2 4 2" xfId="23644"/>
    <cellStyle name="Comma 4 2 5" xfId="23645"/>
    <cellStyle name="Comma 4 2 6" xfId="23646"/>
    <cellStyle name="Comma 4 3" xfId="23647"/>
    <cellStyle name="Comma 4 3 2" xfId="23648"/>
    <cellStyle name="Comma 4 3 2 2" xfId="23649"/>
    <cellStyle name="Comma 4 3 2 3" xfId="23650"/>
    <cellStyle name="Comma 4 3 3" xfId="23651"/>
    <cellStyle name="Comma 4 3 3 2" xfId="23652"/>
    <cellStyle name="Comma 4 3 3 3" xfId="23653"/>
    <cellStyle name="Comma 4 3 4" xfId="23654"/>
    <cellStyle name="Comma 4 3 5" xfId="23655"/>
    <cellStyle name="Comma 4 4" xfId="23656"/>
    <cellStyle name="Comma 4 4 2" xfId="23657"/>
    <cellStyle name="Comma 4 4 2 2" xfId="23658"/>
    <cellStyle name="Comma 4 4 2 2 2" xfId="23659"/>
    <cellStyle name="Comma 4 4 2 3" xfId="23660"/>
    <cellStyle name="Comma 4 4 3" xfId="23661"/>
    <cellStyle name="Comma 4 4 3 2" xfId="23662"/>
    <cellStyle name="Comma 4 4 3 3" xfId="23663"/>
    <cellStyle name="Comma 4 4 4" xfId="23664"/>
    <cellStyle name="Comma 4 4 5" xfId="23665"/>
    <cellStyle name="Comma 4 5" xfId="23666"/>
    <cellStyle name="Comma 4 5 2" xfId="23667"/>
    <cellStyle name="Comma 4 5 2 2" xfId="23668"/>
    <cellStyle name="Comma 4 5 2 3" xfId="23669"/>
    <cellStyle name="Comma 4 5 3" xfId="23670"/>
    <cellStyle name="Comma 4 5 3 2" xfId="23671"/>
    <cellStyle name="Comma 4 5 3 3" xfId="23672"/>
    <cellStyle name="Comma 4 5 4" xfId="23673"/>
    <cellStyle name="Comma 4 5 5" xfId="23674"/>
    <cellStyle name="Comma 4 6" xfId="23675"/>
    <cellStyle name="Comma 4 6 2" xfId="23676"/>
    <cellStyle name="Comma 4 6 2 2" xfId="23677"/>
    <cellStyle name="Comma 4 6 2 3" xfId="23678"/>
    <cellStyle name="Comma 4 6 3" xfId="23679"/>
    <cellStyle name="Comma 4 6 4" xfId="23680"/>
    <cellStyle name="Comma 4 7" xfId="23681"/>
    <cellStyle name="Comma 4 7 2" xfId="23682"/>
    <cellStyle name="Comma 4 7 2 2" xfId="23683"/>
    <cellStyle name="Comma 4 7 2 3" xfId="23684"/>
    <cellStyle name="Comma 4 7 3" xfId="23685"/>
    <cellStyle name="Comma 4 7 4" xfId="23686"/>
    <cellStyle name="Comma 4 8" xfId="23687"/>
    <cellStyle name="Comma 4 8 2" xfId="23688"/>
    <cellStyle name="Comma 4 8 3" xfId="23689"/>
    <cellStyle name="Comma 4 9" xfId="23690"/>
    <cellStyle name="Comma 4 9 2" xfId="23691"/>
    <cellStyle name="Comma 4 9 3" xfId="23692"/>
    <cellStyle name="Comma 40" xfId="23693"/>
    <cellStyle name="Comma 40 2" xfId="23694"/>
    <cellStyle name="Comma 40 2 2" xfId="23695"/>
    <cellStyle name="Comma 40 2 3" xfId="23696"/>
    <cellStyle name="Comma 40 3" xfId="23697"/>
    <cellStyle name="Comma 40 3 2" xfId="23698"/>
    <cellStyle name="Comma 40 3 3" xfId="23699"/>
    <cellStyle name="Comma 40 4" xfId="23700"/>
    <cellStyle name="Comma 40 5" xfId="23701"/>
    <cellStyle name="Comma 41" xfId="23702"/>
    <cellStyle name="Comma 41 2" xfId="23703"/>
    <cellStyle name="Comma 41 2 2" xfId="23704"/>
    <cellStyle name="Comma 41 2 3" xfId="23705"/>
    <cellStyle name="Comma 41 3" xfId="23706"/>
    <cellStyle name="Comma 41 3 2" xfId="23707"/>
    <cellStyle name="Comma 41 3 3" xfId="23708"/>
    <cellStyle name="Comma 41 4" xfId="23709"/>
    <cellStyle name="Comma 41 5" xfId="23710"/>
    <cellStyle name="Comma 42" xfId="23711"/>
    <cellStyle name="Comma 42 2" xfId="23712"/>
    <cellStyle name="Comma 42 2 2" xfId="23713"/>
    <cellStyle name="Comma 42 2 3" xfId="23714"/>
    <cellStyle name="Comma 42 3" xfId="23715"/>
    <cellStyle name="Comma 42 4" xfId="23716"/>
    <cellStyle name="Comma 43" xfId="23717"/>
    <cellStyle name="Comma 43 2" xfId="23718"/>
    <cellStyle name="Comma 43 2 2" xfId="23719"/>
    <cellStyle name="Comma 43 2 3" xfId="23720"/>
    <cellStyle name="Comma 43 3" xfId="23721"/>
    <cellStyle name="Comma 43 4" xfId="23722"/>
    <cellStyle name="Comma 44" xfId="23723"/>
    <cellStyle name="Comma 44 2" xfId="23724"/>
    <cellStyle name="Comma 44 2 2" xfId="23725"/>
    <cellStyle name="Comma 44 2 3" xfId="23726"/>
    <cellStyle name="Comma 44 3" xfId="23727"/>
    <cellStyle name="Comma 44 4" xfId="23728"/>
    <cellStyle name="Comma 45" xfId="23729"/>
    <cellStyle name="Comma 45 2" xfId="23730"/>
    <cellStyle name="Comma 45 2 2" xfId="23731"/>
    <cellStyle name="Comma 45 2 3" xfId="23732"/>
    <cellStyle name="Comma 45 3" xfId="23733"/>
    <cellStyle name="Comma 45 4" xfId="23734"/>
    <cellStyle name="Comma 46" xfId="23735"/>
    <cellStyle name="Comma 46 2" xfId="23736"/>
    <cellStyle name="Comma 46 2 2" xfId="23737"/>
    <cellStyle name="Comma 46 2 3" xfId="23738"/>
    <cellStyle name="Comma 46 3" xfId="23739"/>
    <cellStyle name="Comma 46 4" xfId="23740"/>
    <cellStyle name="Comma 47" xfId="23741"/>
    <cellStyle name="Comma 47 2" xfId="23742"/>
    <cellStyle name="Comma 47 2 2" xfId="23743"/>
    <cellStyle name="Comma 47 2 3" xfId="23744"/>
    <cellStyle name="Comma 47 3" xfId="23745"/>
    <cellStyle name="Comma 47 4" xfId="23746"/>
    <cellStyle name="Comma 48" xfId="23747"/>
    <cellStyle name="Comma 48 2" xfId="23748"/>
    <cellStyle name="Comma 48 2 2" xfId="23749"/>
    <cellStyle name="Comma 48 2 3" xfId="23750"/>
    <cellStyle name="Comma 48 3" xfId="23751"/>
    <cellStyle name="Comma 48 4" xfId="23752"/>
    <cellStyle name="Comma 49" xfId="23753"/>
    <cellStyle name="Comma 49 2" xfId="23754"/>
    <cellStyle name="Comma 49 2 2" xfId="23755"/>
    <cellStyle name="Comma 49 2 3" xfId="23756"/>
    <cellStyle name="Comma 49 3" xfId="23757"/>
    <cellStyle name="Comma 49 4" xfId="23758"/>
    <cellStyle name="Comma 5" xfId="23759"/>
    <cellStyle name="Comma 5 10" xfId="23760"/>
    <cellStyle name="Comma 5 2" xfId="23761"/>
    <cellStyle name="Comma 5 2 2" xfId="23762"/>
    <cellStyle name="Comma 5 2 2 2" xfId="23763"/>
    <cellStyle name="Comma 5 2 2 3" xfId="23764"/>
    <cellStyle name="Comma 5 2 3" xfId="23765"/>
    <cellStyle name="Comma 5 2 3 2" xfId="23766"/>
    <cellStyle name="Comma 5 2 4" xfId="23767"/>
    <cellStyle name="Comma 5 2 5" xfId="23768"/>
    <cellStyle name="Comma 5 2 6" xfId="23769"/>
    <cellStyle name="Comma 5 3" xfId="23770"/>
    <cellStyle name="Comma 5 3 2" xfId="23771"/>
    <cellStyle name="Comma 5 3 3" xfId="23772"/>
    <cellStyle name="Comma 5 4" xfId="23773"/>
    <cellStyle name="Comma 5 4 2" xfId="23774"/>
    <cellStyle name="Comma 5 4 2 2" xfId="23775"/>
    <cellStyle name="Comma 5 4 2 3" xfId="23776"/>
    <cellStyle name="Comma 5 4 3" xfId="23777"/>
    <cellStyle name="Comma 5 4 4" xfId="23778"/>
    <cellStyle name="Comma 5 5" xfId="23779"/>
    <cellStyle name="Comma 5 5 2" xfId="23780"/>
    <cellStyle name="Comma 5 5 2 2" xfId="23781"/>
    <cellStyle name="Comma 5 5 3" xfId="23782"/>
    <cellStyle name="Comma 5 5 4" xfId="23783"/>
    <cellStyle name="Comma 5 6" xfId="23784"/>
    <cellStyle name="Comma 5 6 2" xfId="23785"/>
    <cellStyle name="Comma 5 6 3" xfId="23786"/>
    <cellStyle name="Comma 5 7" xfId="23787"/>
    <cellStyle name="Comma 5 7 2" xfId="23788"/>
    <cellStyle name="Comma 5 7 2 2" xfId="23789"/>
    <cellStyle name="Comma 5 7 2 3" xfId="23790"/>
    <cellStyle name="Comma 5 7 3" xfId="23791"/>
    <cellStyle name="Comma 5 7 4" xfId="23792"/>
    <cellStyle name="Comma 5 8" xfId="23793"/>
    <cellStyle name="Comma 5 8 2" xfId="23794"/>
    <cellStyle name="Comma 5 8 3" xfId="23795"/>
    <cellStyle name="Comma 5 9" xfId="23796"/>
    <cellStyle name="Comma 50" xfId="23797"/>
    <cellStyle name="Comma 50 2" xfId="23798"/>
    <cellStyle name="Comma 50 2 2" xfId="23799"/>
    <cellStyle name="Comma 50 2 3" xfId="23800"/>
    <cellStyle name="Comma 50 3" xfId="23801"/>
    <cellStyle name="Comma 50 4" xfId="23802"/>
    <cellStyle name="Comma 51" xfId="23803"/>
    <cellStyle name="Comma 51 2" xfId="23804"/>
    <cellStyle name="Comma 51 2 2" xfId="23805"/>
    <cellStyle name="Comma 51 2 3" xfId="23806"/>
    <cellStyle name="Comma 51 3" xfId="23807"/>
    <cellStyle name="Comma 51 3 2" xfId="23808"/>
    <cellStyle name="Comma 51 4" xfId="23809"/>
    <cellStyle name="Comma 52" xfId="23810"/>
    <cellStyle name="Comma 52 2" xfId="23811"/>
    <cellStyle name="Comma 52 2 2" xfId="23812"/>
    <cellStyle name="Comma 52 2 3" xfId="23813"/>
    <cellStyle name="Comma 52 3" xfId="23814"/>
    <cellStyle name="Comma 52 3 2" xfId="23815"/>
    <cellStyle name="Comma 52 4" xfId="23816"/>
    <cellStyle name="Comma 53" xfId="23817"/>
    <cellStyle name="Comma 53 2" xfId="23818"/>
    <cellStyle name="Comma 53 2 2" xfId="23819"/>
    <cellStyle name="Comma 53 2 3" xfId="23820"/>
    <cellStyle name="Comma 53 3" xfId="23821"/>
    <cellStyle name="Comma 53 3 2" xfId="23822"/>
    <cellStyle name="Comma 53 4" xfId="23823"/>
    <cellStyle name="Comma 54" xfId="23824"/>
    <cellStyle name="Comma 54 2" xfId="23825"/>
    <cellStyle name="Comma 54 2 2" xfId="23826"/>
    <cellStyle name="Comma 54 2 3" xfId="23827"/>
    <cellStyle name="Comma 54 3" xfId="23828"/>
    <cellStyle name="Comma 54 3 2" xfId="23829"/>
    <cellStyle name="Comma 54 4" xfId="23830"/>
    <cellStyle name="Comma 55" xfId="23831"/>
    <cellStyle name="Comma 55 2" xfId="23832"/>
    <cellStyle name="Comma 55 2 2" xfId="23833"/>
    <cellStyle name="Comma 55 2 3" xfId="23834"/>
    <cellStyle name="Comma 55 3" xfId="23835"/>
    <cellStyle name="Comma 55 3 2" xfId="23836"/>
    <cellStyle name="Comma 55 4" xfId="23837"/>
    <cellStyle name="Comma 56" xfId="23838"/>
    <cellStyle name="Comma 56 2" xfId="23839"/>
    <cellStyle name="Comma 56 2 2" xfId="23840"/>
    <cellStyle name="Comma 56 2 3" xfId="23841"/>
    <cellStyle name="Comma 56 3" xfId="23842"/>
    <cellStyle name="Comma 56 3 2" xfId="23843"/>
    <cellStyle name="Comma 56 4" xfId="23844"/>
    <cellStyle name="Comma 57" xfId="23845"/>
    <cellStyle name="Comma 57 2" xfId="23846"/>
    <cellStyle name="Comma 57 2 2" xfId="23847"/>
    <cellStyle name="Comma 57 2 3" xfId="23848"/>
    <cellStyle name="Comma 57 3" xfId="23849"/>
    <cellStyle name="Comma 57 3 2" xfId="23850"/>
    <cellStyle name="Comma 57 4" xfId="23851"/>
    <cellStyle name="Comma 58" xfId="23852"/>
    <cellStyle name="Comma 58 2" xfId="23853"/>
    <cellStyle name="Comma 58 2 2" xfId="23854"/>
    <cellStyle name="Comma 58 2 3" xfId="23855"/>
    <cellStyle name="Comma 58 3" xfId="23856"/>
    <cellStyle name="Comma 58 3 2" xfId="23857"/>
    <cellStyle name="Comma 58 4" xfId="23858"/>
    <cellStyle name="Comma 59" xfId="23859"/>
    <cellStyle name="Comma 59 2" xfId="23860"/>
    <cellStyle name="Comma 59 2 2" xfId="23861"/>
    <cellStyle name="Comma 59 2 3" xfId="23862"/>
    <cellStyle name="Comma 59 3" xfId="23863"/>
    <cellStyle name="Comma 59 3 2" xfId="23864"/>
    <cellStyle name="Comma 59 4" xfId="23865"/>
    <cellStyle name="Comma 6" xfId="23866"/>
    <cellStyle name="Comma 6 10" xfId="23867"/>
    <cellStyle name="Comma 6 2" xfId="23868"/>
    <cellStyle name="Comma 6 2 2" xfId="23869"/>
    <cellStyle name="Comma 6 2 2 11" xfId="32"/>
    <cellStyle name="Comma 6 2 2 2" xfId="23870"/>
    <cellStyle name="Comma 6 2 3" xfId="23871"/>
    <cellStyle name="Comma 6 2 4" xfId="23872"/>
    <cellStyle name="Comma 6 2 5" xfId="23873"/>
    <cellStyle name="Comma 6 3" xfId="23874"/>
    <cellStyle name="Comma 6 3 2" xfId="23875"/>
    <cellStyle name="Comma 6 3 3" xfId="23876"/>
    <cellStyle name="Comma 6 4" xfId="23877"/>
    <cellStyle name="Comma 6 4 2" xfId="23878"/>
    <cellStyle name="Comma 6 4 2 2" xfId="23879"/>
    <cellStyle name="Comma 6 4 3" xfId="23880"/>
    <cellStyle name="Comma 6 4 4" xfId="23881"/>
    <cellStyle name="Comma 6 4 5" xfId="23882"/>
    <cellStyle name="Comma 6 5" xfId="23883"/>
    <cellStyle name="Comma 6 5 2" xfId="23884"/>
    <cellStyle name="Comma 6 5 3" xfId="23885"/>
    <cellStyle name="Comma 6 6" xfId="23886"/>
    <cellStyle name="Comma 6 6 2" xfId="23887"/>
    <cellStyle name="Comma 6 6 3" xfId="23888"/>
    <cellStyle name="Comma 6 7" xfId="23889"/>
    <cellStyle name="Comma 6 7 2" xfId="23890"/>
    <cellStyle name="Comma 6 7 2 2" xfId="23891"/>
    <cellStyle name="Comma 6 7 2 3" xfId="23892"/>
    <cellStyle name="Comma 6 7 3" xfId="23893"/>
    <cellStyle name="Comma 6 7 4" xfId="23894"/>
    <cellStyle name="Comma 6 8" xfId="23895"/>
    <cellStyle name="Comma 6 8 2" xfId="23896"/>
    <cellStyle name="Comma 6 8 3" xfId="23897"/>
    <cellStyle name="Comma 6 9" xfId="23898"/>
    <cellStyle name="Comma 60" xfId="23899"/>
    <cellStyle name="Comma 60 2" xfId="23900"/>
    <cellStyle name="Comma 60 2 2" xfId="23901"/>
    <cellStyle name="Comma 60 2 3" xfId="23902"/>
    <cellStyle name="Comma 60 3" xfId="23903"/>
    <cellStyle name="Comma 60 3 2" xfId="23904"/>
    <cellStyle name="Comma 60 4" xfId="23905"/>
    <cellStyle name="Comma 61" xfId="23906"/>
    <cellStyle name="Comma 61 2" xfId="23907"/>
    <cellStyle name="Comma 61 2 2" xfId="23908"/>
    <cellStyle name="Comma 61 2 3" xfId="23909"/>
    <cellStyle name="Comma 61 3" xfId="23910"/>
    <cellStyle name="Comma 61 3 2" xfId="23911"/>
    <cellStyle name="Comma 61 4" xfId="23912"/>
    <cellStyle name="Comma 62" xfId="23913"/>
    <cellStyle name="Comma 62 2" xfId="23914"/>
    <cellStyle name="Comma 62 2 2" xfId="23915"/>
    <cellStyle name="Comma 62 2 3" xfId="23916"/>
    <cellStyle name="Comma 62 3" xfId="23917"/>
    <cellStyle name="Comma 62 4" xfId="23918"/>
    <cellStyle name="Comma 63" xfId="23919"/>
    <cellStyle name="Comma 63 2" xfId="23920"/>
    <cellStyle name="Comma 63 2 2" xfId="23921"/>
    <cellStyle name="Comma 63 2 3" xfId="23922"/>
    <cellStyle name="Comma 63 3" xfId="23923"/>
    <cellStyle name="Comma 63 4" xfId="23924"/>
    <cellStyle name="Comma 64" xfId="23925"/>
    <cellStyle name="Comma 64 2" xfId="23926"/>
    <cellStyle name="Comma 64 2 2" xfId="23927"/>
    <cellStyle name="Comma 64 2 3" xfId="23928"/>
    <cellStyle name="Comma 64 3" xfId="23929"/>
    <cellStyle name="Comma 64 4" xfId="23930"/>
    <cellStyle name="Comma 65" xfId="23931"/>
    <cellStyle name="Comma 65 2" xfId="23932"/>
    <cellStyle name="Comma 65 2 2" xfId="23933"/>
    <cellStyle name="Comma 65 2 3" xfId="23934"/>
    <cellStyle name="Comma 65 3" xfId="23935"/>
    <cellStyle name="Comma 65 4" xfId="23936"/>
    <cellStyle name="Comma 66" xfId="23937"/>
    <cellStyle name="Comma 66 2" xfId="23938"/>
    <cellStyle name="Comma 66 2 2" xfId="23939"/>
    <cellStyle name="Comma 66 2 3" xfId="23940"/>
    <cellStyle name="Comma 66 3" xfId="23941"/>
    <cellStyle name="Comma 66 3 2" xfId="23942"/>
    <cellStyle name="Comma 66 3 3" xfId="23943"/>
    <cellStyle name="Comma 66 4" xfId="23944"/>
    <cellStyle name="Comma 66 5" xfId="23945"/>
    <cellStyle name="Comma 67" xfId="23946"/>
    <cellStyle name="Comma 67 2" xfId="23947"/>
    <cellStyle name="Comma 67 2 2" xfId="23948"/>
    <cellStyle name="Comma 67 3" xfId="23949"/>
    <cellStyle name="Comma 68" xfId="23950"/>
    <cellStyle name="Comma 68 2" xfId="23951"/>
    <cellStyle name="Comma 68 2 2" xfId="23952"/>
    <cellStyle name="Comma 68 3" xfId="23953"/>
    <cellStyle name="Comma 69" xfId="23954"/>
    <cellStyle name="Comma 69 2" xfId="23955"/>
    <cellStyle name="Comma 69 2 2" xfId="23956"/>
    <cellStyle name="Comma 69 2 2 2" xfId="23957"/>
    <cellStyle name="Comma 69 2 3" xfId="23958"/>
    <cellStyle name="Comma 69 3" xfId="23959"/>
    <cellStyle name="Comma 69 4" xfId="23960"/>
    <cellStyle name="Comma 7" xfId="23961"/>
    <cellStyle name="Comma 7 10" xfId="23962"/>
    <cellStyle name="Comma 7 10 2" xfId="23963"/>
    <cellStyle name="Comma 7 10 3" xfId="23964"/>
    <cellStyle name="Comma 7 11" xfId="23965"/>
    <cellStyle name="Comma 7 11 2" xfId="23966"/>
    <cellStyle name="Comma 7 12" xfId="23967"/>
    <cellStyle name="Comma 7 13" xfId="23968"/>
    <cellStyle name="Comma 7 2" xfId="23969"/>
    <cellStyle name="Comma 7 2 10" xfId="23970"/>
    <cellStyle name="Comma 7 2 11" xfId="23971"/>
    <cellStyle name="Comma 7 2 2" xfId="23972"/>
    <cellStyle name="Comma 7 2 2 2" xfId="23973"/>
    <cellStyle name="Comma 7 2 2 2 2" xfId="23974"/>
    <cellStyle name="Comma 7 2 2 2 3" xfId="23975"/>
    <cellStyle name="Comma 7 2 2 3" xfId="23976"/>
    <cellStyle name="Comma 7 2 2 3 2" xfId="23977"/>
    <cellStyle name="Comma 7 2 2 3 2 2" xfId="23978"/>
    <cellStyle name="Comma 7 2 2 3 2 2 2" xfId="23979"/>
    <cellStyle name="Comma 7 2 2 3 2 2 3" xfId="23980"/>
    <cellStyle name="Comma 7 2 2 3 2 3" xfId="23981"/>
    <cellStyle name="Comma 7 2 2 3 2 3 2" xfId="23982"/>
    <cellStyle name="Comma 7 2 2 3 2 4" xfId="23983"/>
    <cellStyle name="Comma 7 2 2 3 2 5" xfId="23984"/>
    <cellStyle name="Comma 7 2 2 3 3" xfId="23985"/>
    <cellStyle name="Comma 7 2 2 3 3 2" xfId="23986"/>
    <cellStyle name="Comma 7 2 2 3 3 2 2" xfId="23987"/>
    <cellStyle name="Comma 7 2 2 3 3 3" xfId="23988"/>
    <cellStyle name="Comma 7 2 2 3 3 4" xfId="23989"/>
    <cellStyle name="Comma 7 2 2 3 4" xfId="23990"/>
    <cellStyle name="Comma 7 2 2 3 4 2" xfId="23991"/>
    <cellStyle name="Comma 7 2 2 3 4 2 2" xfId="23992"/>
    <cellStyle name="Comma 7 2 2 3 4 3" xfId="23993"/>
    <cellStyle name="Comma 7 2 2 3 4 4" xfId="23994"/>
    <cellStyle name="Comma 7 2 2 3 5" xfId="23995"/>
    <cellStyle name="Comma 7 2 2 3 5 2" xfId="23996"/>
    <cellStyle name="Comma 7 2 2 3 6" xfId="23997"/>
    <cellStyle name="Comma 7 2 2 3 7" xfId="23998"/>
    <cellStyle name="Comma 7 2 2 3 8" xfId="23999"/>
    <cellStyle name="Comma 7 2 2 4" xfId="24000"/>
    <cellStyle name="Comma 7 2 2 4 2" xfId="24001"/>
    <cellStyle name="Comma 7 2 2 4 2 2" xfId="24002"/>
    <cellStyle name="Comma 7 2 2 4 2 2 2" xfId="24003"/>
    <cellStyle name="Comma 7 2 2 4 2 2 3" xfId="24004"/>
    <cellStyle name="Comma 7 2 2 4 2 3" xfId="24005"/>
    <cellStyle name="Comma 7 2 2 4 2 3 2" xfId="24006"/>
    <cellStyle name="Comma 7 2 2 4 2 4" xfId="24007"/>
    <cellStyle name="Comma 7 2 2 4 2 5" xfId="24008"/>
    <cellStyle name="Comma 7 2 2 4 3" xfId="24009"/>
    <cellStyle name="Comma 7 2 2 4 3 2" xfId="24010"/>
    <cellStyle name="Comma 7 2 2 4 3 2 2" xfId="24011"/>
    <cellStyle name="Comma 7 2 2 4 3 3" xfId="24012"/>
    <cellStyle name="Comma 7 2 2 4 3 4" xfId="24013"/>
    <cellStyle name="Comma 7 2 2 4 4" xfId="24014"/>
    <cellStyle name="Comma 7 2 2 4 4 2" xfId="24015"/>
    <cellStyle name="Comma 7 2 2 4 4 2 2" xfId="24016"/>
    <cellStyle name="Comma 7 2 2 4 4 3" xfId="24017"/>
    <cellStyle name="Comma 7 2 2 4 4 4" xfId="24018"/>
    <cellStyle name="Comma 7 2 2 4 5" xfId="24019"/>
    <cellStyle name="Comma 7 2 2 4 5 2" xfId="24020"/>
    <cellStyle name="Comma 7 2 2 4 6" xfId="24021"/>
    <cellStyle name="Comma 7 2 2 4 7" xfId="24022"/>
    <cellStyle name="Comma 7 2 2 4 8" xfId="24023"/>
    <cellStyle name="Comma 7 2 2 5" xfId="24024"/>
    <cellStyle name="Comma 7 2 2 5 2" xfId="24025"/>
    <cellStyle name="Comma 7 2 2 5 2 2" xfId="24026"/>
    <cellStyle name="Comma 7 2 2 5 2 2 2" xfId="24027"/>
    <cellStyle name="Comma 7 2 2 5 2 2 3" xfId="24028"/>
    <cellStyle name="Comma 7 2 2 5 2 3" xfId="24029"/>
    <cellStyle name="Comma 7 2 2 5 2 3 2" xfId="24030"/>
    <cellStyle name="Comma 7 2 2 5 2 4" xfId="24031"/>
    <cellStyle name="Comma 7 2 2 5 2 5" xfId="24032"/>
    <cellStyle name="Comma 7 2 2 5 3" xfId="24033"/>
    <cellStyle name="Comma 7 2 2 5 3 2" xfId="24034"/>
    <cellStyle name="Comma 7 2 2 5 3 2 2" xfId="24035"/>
    <cellStyle name="Comma 7 2 2 5 3 3" xfId="24036"/>
    <cellStyle name="Comma 7 2 2 5 3 4" xfId="24037"/>
    <cellStyle name="Comma 7 2 2 5 4" xfId="24038"/>
    <cellStyle name="Comma 7 2 2 5 4 2" xfId="24039"/>
    <cellStyle name="Comma 7 2 2 5 4 2 2" xfId="24040"/>
    <cellStyle name="Comma 7 2 2 5 4 3" xfId="24041"/>
    <cellStyle name="Comma 7 2 2 5 4 4" xfId="24042"/>
    <cellStyle name="Comma 7 2 2 5 5" xfId="24043"/>
    <cellStyle name="Comma 7 2 2 5 5 2" xfId="24044"/>
    <cellStyle name="Comma 7 2 2 5 6" xfId="24045"/>
    <cellStyle name="Comma 7 2 2 5 7" xfId="24046"/>
    <cellStyle name="Comma 7 2 2 5 8" xfId="24047"/>
    <cellStyle name="Comma 7 2 2 6" xfId="24048"/>
    <cellStyle name="Comma 7 2 3" xfId="24049"/>
    <cellStyle name="Comma 7 2 3 2" xfId="24050"/>
    <cellStyle name="Comma 7 2 3 3" xfId="24051"/>
    <cellStyle name="Comma 7 2 4" xfId="24052"/>
    <cellStyle name="Comma 7 2 4 2" xfId="24053"/>
    <cellStyle name="Comma 7 2 4 3" xfId="24054"/>
    <cellStyle name="Comma 7 2 5" xfId="24055"/>
    <cellStyle name="Comma 7 2 5 2" xfId="24056"/>
    <cellStyle name="Comma 7 2 5 3" xfId="24057"/>
    <cellStyle name="Comma 7 2 6" xfId="24058"/>
    <cellStyle name="Comma 7 2 6 2" xfId="24059"/>
    <cellStyle name="Comma 7 2 6 3" xfId="24060"/>
    <cellStyle name="Comma 7 2 7" xfId="24061"/>
    <cellStyle name="Comma 7 2 7 2" xfId="24062"/>
    <cellStyle name="Comma 7 2 7 3" xfId="24063"/>
    <cellStyle name="Comma 7 2 8" xfId="24064"/>
    <cellStyle name="Comma 7 2 8 2" xfId="24065"/>
    <cellStyle name="Comma 7 2 8 3" xfId="24066"/>
    <cellStyle name="Comma 7 2 9" xfId="24067"/>
    <cellStyle name="Comma 7 2 9 2" xfId="24068"/>
    <cellStyle name="Comma 7 2 9 3" xfId="24069"/>
    <cellStyle name="Comma 7 3" xfId="24070"/>
    <cellStyle name="Comma 7 3 2" xfId="24071"/>
    <cellStyle name="Comma 7 3 2 2" xfId="24072"/>
    <cellStyle name="Comma 7 3 2 3" xfId="24073"/>
    <cellStyle name="Comma 7 3 3" xfId="24074"/>
    <cellStyle name="Comma 7 3 3 2" xfId="24075"/>
    <cellStyle name="Comma 7 3 4" xfId="24076"/>
    <cellStyle name="Comma 7 3 4 2" xfId="24077"/>
    <cellStyle name="Comma 7 3 4 2 2" xfId="24078"/>
    <cellStyle name="Comma 7 3 4 2 2 2" xfId="24079"/>
    <cellStyle name="Comma 7 3 4 2 2 3" xfId="24080"/>
    <cellStyle name="Comma 7 3 4 2 3" xfId="24081"/>
    <cellStyle name="Comma 7 3 4 2 3 2" xfId="24082"/>
    <cellStyle name="Comma 7 3 4 2 4" xfId="24083"/>
    <cellStyle name="Comma 7 3 4 2 5" xfId="24084"/>
    <cellStyle name="Comma 7 3 4 3" xfId="24085"/>
    <cellStyle name="Comma 7 3 4 3 2" xfId="24086"/>
    <cellStyle name="Comma 7 3 4 3 2 2" xfId="24087"/>
    <cellStyle name="Comma 7 3 4 3 3" xfId="24088"/>
    <cellStyle name="Comma 7 3 4 3 4" xfId="24089"/>
    <cellStyle name="Comma 7 3 4 4" xfId="24090"/>
    <cellStyle name="Comma 7 3 4 4 2" xfId="24091"/>
    <cellStyle name="Comma 7 3 4 4 2 2" xfId="24092"/>
    <cellStyle name="Comma 7 3 4 4 3" xfId="24093"/>
    <cellStyle name="Comma 7 3 4 4 4" xfId="24094"/>
    <cellStyle name="Comma 7 3 4 5" xfId="24095"/>
    <cellStyle name="Comma 7 3 4 5 2" xfId="24096"/>
    <cellStyle name="Comma 7 3 4 6" xfId="24097"/>
    <cellStyle name="Comma 7 3 4 7" xfId="24098"/>
    <cellStyle name="Comma 7 3 4 8" xfId="24099"/>
    <cellStyle name="Comma 7 3 5" xfId="24100"/>
    <cellStyle name="Comma 7 3 5 2" xfId="24101"/>
    <cellStyle name="Comma 7 3 5 2 2" xfId="24102"/>
    <cellStyle name="Comma 7 3 5 2 2 2" xfId="24103"/>
    <cellStyle name="Comma 7 3 5 2 2 3" xfId="24104"/>
    <cellStyle name="Comma 7 3 5 2 3" xfId="24105"/>
    <cellStyle name="Comma 7 3 5 2 3 2" xfId="24106"/>
    <cellStyle name="Comma 7 3 5 2 4" xfId="24107"/>
    <cellStyle name="Comma 7 3 5 2 5" xfId="24108"/>
    <cellStyle name="Comma 7 3 5 3" xfId="24109"/>
    <cellStyle name="Comma 7 3 5 3 2" xfId="24110"/>
    <cellStyle name="Comma 7 3 5 3 2 2" xfId="24111"/>
    <cellStyle name="Comma 7 3 5 3 3" xfId="24112"/>
    <cellStyle name="Comma 7 3 5 3 4" xfId="24113"/>
    <cellStyle name="Comma 7 3 5 4" xfId="24114"/>
    <cellStyle name="Comma 7 3 5 4 2" xfId="24115"/>
    <cellStyle name="Comma 7 3 5 4 2 2" xfId="24116"/>
    <cellStyle name="Comma 7 3 5 4 3" xfId="24117"/>
    <cellStyle name="Comma 7 3 5 4 4" xfId="24118"/>
    <cellStyle name="Comma 7 3 5 5" xfId="24119"/>
    <cellStyle name="Comma 7 3 5 5 2" xfId="24120"/>
    <cellStyle name="Comma 7 3 5 6" xfId="24121"/>
    <cellStyle name="Comma 7 3 5 7" xfId="24122"/>
    <cellStyle name="Comma 7 3 5 8" xfId="24123"/>
    <cellStyle name="Comma 7 3 6" xfId="24124"/>
    <cellStyle name="Comma 7 3 6 2" xfId="24125"/>
    <cellStyle name="Comma 7 3 6 2 2" xfId="24126"/>
    <cellStyle name="Comma 7 3 6 2 2 2" xfId="24127"/>
    <cellStyle name="Comma 7 3 6 2 2 3" xfId="24128"/>
    <cellStyle name="Comma 7 3 6 2 3" xfId="24129"/>
    <cellStyle name="Comma 7 3 6 2 3 2" xfId="24130"/>
    <cellStyle name="Comma 7 3 6 2 4" xfId="24131"/>
    <cellStyle name="Comma 7 3 6 2 5" xfId="24132"/>
    <cellStyle name="Comma 7 3 6 3" xfId="24133"/>
    <cellStyle name="Comma 7 3 6 3 2" xfId="24134"/>
    <cellStyle name="Comma 7 3 6 3 2 2" xfId="24135"/>
    <cellStyle name="Comma 7 3 6 3 3" xfId="24136"/>
    <cellStyle name="Comma 7 3 6 3 4" xfId="24137"/>
    <cellStyle name="Comma 7 3 6 4" xfId="24138"/>
    <cellStyle name="Comma 7 3 6 4 2" xfId="24139"/>
    <cellStyle name="Comma 7 3 6 4 2 2" xfId="24140"/>
    <cellStyle name="Comma 7 3 6 4 3" xfId="24141"/>
    <cellStyle name="Comma 7 3 6 4 4" xfId="24142"/>
    <cellStyle name="Comma 7 3 6 5" xfId="24143"/>
    <cellStyle name="Comma 7 3 6 5 2" xfId="24144"/>
    <cellStyle name="Comma 7 3 6 6" xfId="24145"/>
    <cellStyle name="Comma 7 3 6 7" xfId="24146"/>
    <cellStyle name="Comma 7 3 6 8" xfId="24147"/>
    <cellStyle name="Comma 7 3 7" xfId="24148"/>
    <cellStyle name="Comma 7 4" xfId="24149"/>
    <cellStyle name="Comma 7 4 2" xfId="24150"/>
    <cellStyle name="Comma 7 4 2 2" xfId="24151"/>
    <cellStyle name="Comma 7 4 3" xfId="24152"/>
    <cellStyle name="Comma 7 4 4" xfId="24153"/>
    <cellStyle name="Comma 7 4 5" xfId="24154"/>
    <cellStyle name="Comma 7 5" xfId="24155"/>
    <cellStyle name="Comma 7 5 2" xfId="24156"/>
    <cellStyle name="Comma 7 5 3" xfId="24157"/>
    <cellStyle name="Comma 7 6" xfId="24158"/>
    <cellStyle name="Comma 7 6 2" xfId="24159"/>
    <cellStyle name="Comma 7 6 3" xfId="24160"/>
    <cellStyle name="Comma 7 7" xfId="24161"/>
    <cellStyle name="Comma 7 7 2" xfId="24162"/>
    <cellStyle name="Comma 7 7 3" xfId="24163"/>
    <cellStyle name="Comma 7 8" xfId="24164"/>
    <cellStyle name="Comma 7 8 2" xfId="24165"/>
    <cellStyle name="Comma 7 8 2 2" xfId="24166"/>
    <cellStyle name="Comma 7 8 2 3" xfId="24167"/>
    <cellStyle name="Comma 7 8 3" xfId="24168"/>
    <cellStyle name="Comma 7 8 4" xfId="24169"/>
    <cellStyle name="Comma 7 9" xfId="24170"/>
    <cellStyle name="Comma 7 9 2" xfId="24171"/>
    <cellStyle name="Comma 7 9 3" xfId="24172"/>
    <cellStyle name="Comma 70" xfId="24173"/>
    <cellStyle name="Comma 70 2" xfId="24174"/>
    <cellStyle name="Comma 70 2 2" xfId="24175"/>
    <cellStyle name="Comma 70 2 2 2" xfId="24176"/>
    <cellStyle name="Comma 70 2 3" xfId="24177"/>
    <cellStyle name="Comma 70 3" xfId="24178"/>
    <cellStyle name="Comma 70 4" xfId="24179"/>
    <cellStyle name="Comma 71" xfId="24180"/>
    <cellStyle name="Comma 71 2" xfId="24181"/>
    <cellStyle name="Comma 71 2 2" xfId="24182"/>
    <cellStyle name="Comma 71 3" xfId="24183"/>
    <cellStyle name="Comma 72" xfId="24184"/>
    <cellStyle name="Comma 72 2" xfId="24185"/>
    <cellStyle name="Comma 72 2 2" xfId="24186"/>
    <cellStyle name="Comma 72 3" xfId="24187"/>
    <cellStyle name="Comma 73" xfId="24188"/>
    <cellStyle name="Comma 73 2" xfId="24189"/>
    <cellStyle name="Comma 73 2 2" xfId="24190"/>
    <cellStyle name="Comma 73 3" xfId="24191"/>
    <cellStyle name="Comma 74" xfId="24192"/>
    <cellStyle name="Comma 74 2" xfId="24193"/>
    <cellStyle name="Comma 74 2 2" xfId="24194"/>
    <cellStyle name="Comma 74 3" xfId="24195"/>
    <cellStyle name="Comma 75" xfId="24196"/>
    <cellStyle name="Comma 75 2" xfId="24197"/>
    <cellStyle name="Comma 75 3" xfId="24198"/>
    <cellStyle name="Comma 76" xfId="24199"/>
    <cellStyle name="Comma 76 2" xfId="24200"/>
    <cellStyle name="Comma 76 3" xfId="24201"/>
    <cellStyle name="Comma 77" xfId="24202"/>
    <cellStyle name="Comma 77 2" xfId="24203"/>
    <cellStyle name="Comma 77 3" xfId="24204"/>
    <cellStyle name="Comma 78" xfId="24205"/>
    <cellStyle name="Comma 78 2" xfId="24206"/>
    <cellStyle name="Comma 78 3" xfId="24207"/>
    <cellStyle name="Comma 79" xfId="24208"/>
    <cellStyle name="Comma 79 2" xfId="24209"/>
    <cellStyle name="Comma 79 3" xfId="24210"/>
    <cellStyle name="Comma 8" xfId="24211"/>
    <cellStyle name="Comma 8 10" xfId="24212"/>
    <cellStyle name="Comma 8 10 2" xfId="24213"/>
    <cellStyle name="Comma 8 11" xfId="24214"/>
    <cellStyle name="Comma 8 12" xfId="24215"/>
    <cellStyle name="Comma 8 2" xfId="24216"/>
    <cellStyle name="Comma 8 2 10" xfId="24217"/>
    <cellStyle name="Comma 8 2 11" xfId="24218"/>
    <cellStyle name="Comma 8 2 12" xfId="24219"/>
    <cellStyle name="Comma 8 2 2" xfId="24220"/>
    <cellStyle name="Comma 8 2 2 2" xfId="24221"/>
    <cellStyle name="Comma 8 2 2 3" xfId="24222"/>
    <cellStyle name="Comma 8 2 3" xfId="24223"/>
    <cellStyle name="Comma 8 2 3 2" xfId="24224"/>
    <cellStyle name="Comma 8 2 3 3" xfId="24225"/>
    <cellStyle name="Comma 8 2 4" xfId="24226"/>
    <cellStyle name="Comma 8 2 4 2" xfId="24227"/>
    <cellStyle name="Comma 8 2 4 3" xfId="24228"/>
    <cellStyle name="Comma 8 2 5" xfId="24229"/>
    <cellStyle name="Comma 8 2 5 2" xfId="24230"/>
    <cellStyle name="Comma 8 2 5 3" xfId="24231"/>
    <cellStyle name="Comma 8 2 6" xfId="24232"/>
    <cellStyle name="Comma 8 2 6 2" xfId="24233"/>
    <cellStyle name="Comma 8 2 6 3" xfId="24234"/>
    <cellStyle name="Comma 8 2 7" xfId="24235"/>
    <cellStyle name="Comma 8 2 7 2" xfId="24236"/>
    <cellStyle name="Comma 8 2 7 3" xfId="24237"/>
    <cellStyle name="Comma 8 2 8" xfId="24238"/>
    <cellStyle name="Comma 8 2 8 2" xfId="24239"/>
    <cellStyle name="Comma 8 2 8 3" xfId="24240"/>
    <cellStyle name="Comma 8 2 9" xfId="24241"/>
    <cellStyle name="Comma 8 2 9 2" xfId="24242"/>
    <cellStyle name="Comma 8 3" xfId="24243"/>
    <cellStyle name="Comma 8 3 2" xfId="24244"/>
    <cellStyle name="Comma 8 3 3" xfId="24245"/>
    <cellStyle name="Comma 8 4" xfId="24246"/>
    <cellStyle name="Comma 8 4 2" xfId="24247"/>
    <cellStyle name="Comma 8 4 3" xfId="24248"/>
    <cellStyle name="Comma 8 5" xfId="24249"/>
    <cellStyle name="Comma 8 5 2" xfId="24250"/>
    <cellStyle name="Comma 8 5 3" xfId="24251"/>
    <cellStyle name="Comma 8 6" xfId="24252"/>
    <cellStyle name="Comma 8 6 2" xfId="24253"/>
    <cellStyle name="Comma 8 6 3" xfId="24254"/>
    <cellStyle name="Comma 8 7" xfId="24255"/>
    <cellStyle name="Comma 8 7 2" xfId="24256"/>
    <cellStyle name="Comma 8 7 3" xfId="24257"/>
    <cellStyle name="Comma 8 8" xfId="24258"/>
    <cellStyle name="Comma 8 8 2" xfId="24259"/>
    <cellStyle name="Comma 8 8 2 2" xfId="24260"/>
    <cellStyle name="Comma 8 8 2 3" xfId="24261"/>
    <cellStyle name="Comma 8 8 3" xfId="24262"/>
    <cellStyle name="Comma 8 8 4" xfId="24263"/>
    <cellStyle name="Comma 8 9" xfId="24264"/>
    <cellStyle name="Comma 8 9 2" xfId="24265"/>
    <cellStyle name="Comma 8 9 3" xfId="24266"/>
    <cellStyle name="Comma 80" xfId="24267"/>
    <cellStyle name="Comma 80 2" xfId="24268"/>
    <cellStyle name="Comma 80 2 2" xfId="24269"/>
    <cellStyle name="Comma 80 2 2 2" xfId="24270"/>
    <cellStyle name="Comma 80 2 3" xfId="24271"/>
    <cellStyle name="Comma 80 2 3 2" xfId="24272"/>
    <cellStyle name="Comma 80 3" xfId="24273"/>
    <cellStyle name="Comma 80 3 2" xfId="24274"/>
    <cellStyle name="Comma 80 3 2 2" xfId="24275"/>
    <cellStyle name="Comma 80 3 3" xfId="24276"/>
    <cellStyle name="Comma 80 3 4" xfId="24277"/>
    <cellStyle name="Comma 80 4" xfId="24278"/>
    <cellStyle name="Comma 80 4 2" xfId="24279"/>
    <cellStyle name="Comma 80 5" xfId="24280"/>
    <cellStyle name="Comma 80 5 2" xfId="24281"/>
    <cellStyle name="Comma 80 6" xfId="24282"/>
    <cellStyle name="Comma 81" xfId="24283"/>
    <cellStyle name="Comma 81 2" xfId="24284"/>
    <cellStyle name="Comma 81 2 2" xfId="24285"/>
    <cellStyle name="Comma 81 2 2 2" xfId="24286"/>
    <cellStyle name="Comma 81 2 3" xfId="24287"/>
    <cellStyle name="Comma 81 2 3 2" xfId="24288"/>
    <cellStyle name="Comma 81 3" xfId="24289"/>
    <cellStyle name="Comma 81 3 2" xfId="24290"/>
    <cellStyle name="Comma 81 3 2 2" xfId="24291"/>
    <cellStyle name="Comma 81 3 3" xfId="24292"/>
    <cellStyle name="Comma 81 3 4" xfId="24293"/>
    <cellStyle name="Comma 81 4" xfId="24294"/>
    <cellStyle name="Comma 81 4 2" xfId="24295"/>
    <cellStyle name="Comma 81 5" xfId="24296"/>
    <cellStyle name="Comma 81 5 2" xfId="24297"/>
    <cellStyle name="Comma 81 6" xfId="24298"/>
    <cellStyle name="Comma 82" xfId="24299"/>
    <cellStyle name="Comma 82 2" xfId="24300"/>
    <cellStyle name="Comma 82 2 2" xfId="24301"/>
    <cellStyle name="Comma 82 2 2 2" xfId="24302"/>
    <cellStyle name="Comma 82 2 3" xfId="24303"/>
    <cellStyle name="Comma 82 2 3 2" xfId="24304"/>
    <cellStyle name="Comma 82 3" xfId="24305"/>
    <cellStyle name="Comma 82 3 2" xfId="24306"/>
    <cellStyle name="Comma 82 3 2 2" xfId="24307"/>
    <cellStyle name="Comma 82 3 3" xfId="24308"/>
    <cellStyle name="Comma 82 3 4" xfId="24309"/>
    <cellStyle name="Comma 82 4" xfId="24310"/>
    <cellStyle name="Comma 82 4 2" xfId="24311"/>
    <cellStyle name="Comma 82 5" xfId="24312"/>
    <cellStyle name="Comma 82 5 2" xfId="24313"/>
    <cellStyle name="Comma 82 6" xfId="24314"/>
    <cellStyle name="Comma 83" xfId="24315"/>
    <cellStyle name="Comma 83 2" xfId="24316"/>
    <cellStyle name="Comma 83 2 2" xfId="24317"/>
    <cellStyle name="Comma 83 2 2 2" xfId="24318"/>
    <cellStyle name="Comma 83 2 3" xfId="24319"/>
    <cellStyle name="Comma 83 2 3 2" xfId="24320"/>
    <cellStyle name="Comma 83 3" xfId="24321"/>
    <cellStyle name="Comma 83 3 2" xfId="24322"/>
    <cellStyle name="Comma 83 3 2 2" xfId="24323"/>
    <cellStyle name="Comma 83 3 3" xfId="24324"/>
    <cellStyle name="Comma 83 3 4" xfId="24325"/>
    <cellStyle name="Comma 83 4" xfId="24326"/>
    <cellStyle name="Comma 83 4 2" xfId="24327"/>
    <cellStyle name="Comma 83 5" xfId="24328"/>
    <cellStyle name="Comma 83 5 2" xfId="24329"/>
    <cellStyle name="Comma 83 6" xfId="24330"/>
    <cellStyle name="Comma 84" xfId="24331"/>
    <cellStyle name="Comma 84 2" xfId="24332"/>
    <cellStyle name="Comma 84 2 2" xfId="24333"/>
    <cellStyle name="Comma 84 2 2 2" xfId="24334"/>
    <cellStyle name="Comma 84 2 3" xfId="24335"/>
    <cellStyle name="Comma 84 2 3 2" xfId="24336"/>
    <cellStyle name="Comma 84 3" xfId="24337"/>
    <cellStyle name="Comma 84 3 2" xfId="24338"/>
    <cellStyle name="Comma 84 3 2 2" xfId="24339"/>
    <cellStyle name="Comma 84 3 3" xfId="24340"/>
    <cellStyle name="Comma 84 3 4" xfId="24341"/>
    <cellStyle name="Comma 84 4" xfId="24342"/>
    <cellStyle name="Comma 84 4 2" xfId="24343"/>
    <cellStyle name="Comma 84 5" xfId="24344"/>
    <cellStyle name="Comma 84 5 2" xfId="24345"/>
    <cellStyle name="Comma 84 6" xfId="24346"/>
    <cellStyle name="Comma 85" xfId="24347"/>
    <cellStyle name="Comma 85 2" xfId="24348"/>
    <cellStyle name="Comma 85 2 2" xfId="24349"/>
    <cellStyle name="Comma 85 3" xfId="24350"/>
    <cellStyle name="Comma 85 4" xfId="24351"/>
    <cellStyle name="Comma 86" xfId="24352"/>
    <cellStyle name="Comma 86 2" xfId="24353"/>
    <cellStyle name="Comma 86 2 2" xfId="24354"/>
    <cellStyle name="Comma 86 3" xfId="24355"/>
    <cellStyle name="Comma 86 4" xfId="24356"/>
    <cellStyle name="Comma 87" xfId="24357"/>
    <cellStyle name="Comma 87 2" xfId="24358"/>
    <cellStyle name="Comma 87 2 2" xfId="24359"/>
    <cellStyle name="Comma 87 2 2 2" xfId="24360"/>
    <cellStyle name="Comma 87 2 2 2 2" xfId="24361"/>
    <cellStyle name="Comma 87 2 2 3" xfId="24362"/>
    <cellStyle name="Comma 87 2 3" xfId="24363"/>
    <cellStyle name="Comma 87 2 3 2" xfId="24364"/>
    <cellStyle name="Comma 87 2 4" xfId="24365"/>
    <cellStyle name="Comma 87 2 5" xfId="24366"/>
    <cellStyle name="Comma 87 3" xfId="24367"/>
    <cellStyle name="Comma 87 3 2" xfId="24368"/>
    <cellStyle name="Comma 87 3 3" xfId="24369"/>
    <cellStyle name="Comma 87 3 3 2" xfId="24370"/>
    <cellStyle name="Comma 87 3 4" xfId="24371"/>
    <cellStyle name="Comma 87 3 5" xfId="24372"/>
    <cellStyle name="Comma 87 4" xfId="24373"/>
    <cellStyle name="Comma 87 4 2" xfId="24374"/>
    <cellStyle name="Comma 87 4 2 2" xfId="24375"/>
    <cellStyle name="Comma 87 4 3" xfId="24376"/>
    <cellStyle name="Comma 87 4 4" xfId="24377"/>
    <cellStyle name="Comma 87 5" xfId="24378"/>
    <cellStyle name="Comma 87 6" xfId="24379"/>
    <cellStyle name="Comma 87 6 2" xfId="24380"/>
    <cellStyle name="Comma 87 7" xfId="24381"/>
    <cellStyle name="Comma 87 8" xfId="24382"/>
    <cellStyle name="Comma 87 9" xfId="24383"/>
    <cellStyle name="Comma 88" xfId="24384"/>
    <cellStyle name="Comma 88 2" xfId="24385"/>
    <cellStyle name="Comma 88 3" xfId="24386"/>
    <cellStyle name="Comma 88 4" xfId="24387"/>
    <cellStyle name="Comma 89" xfId="24388"/>
    <cellStyle name="Comma 89 2" xfId="24389"/>
    <cellStyle name="Comma 89 3" xfId="24390"/>
    <cellStyle name="Comma 89 4" xfId="24391"/>
    <cellStyle name="Comma 9" xfId="24392"/>
    <cellStyle name="Comma 9 2" xfId="24393"/>
    <cellStyle name="Comma 9 2 2" xfId="24394"/>
    <cellStyle name="Comma 9 2 2 2" xfId="24395"/>
    <cellStyle name="Comma 9 2 3" xfId="24396"/>
    <cellStyle name="Comma 9 2 4" xfId="24397"/>
    <cellStyle name="Comma 9 2 5" xfId="24398"/>
    <cellStyle name="Comma 9 3" xfId="24399"/>
    <cellStyle name="Comma 9 3 2" xfId="24400"/>
    <cellStyle name="Comma 9 3 3" xfId="24401"/>
    <cellStyle name="Comma 9 4" xfId="24402"/>
    <cellStyle name="Comma 9 4 2" xfId="24403"/>
    <cellStyle name="Comma 9 5" xfId="24404"/>
    <cellStyle name="Comma 9 6" xfId="24405"/>
    <cellStyle name="Comma 9 7" xfId="24406"/>
    <cellStyle name="Comma 90" xfId="24407"/>
    <cellStyle name="Comma 90 2" xfId="24408"/>
    <cellStyle name="Comma 90 2 2" xfId="24409"/>
    <cellStyle name="Comma 90 2 2 2" xfId="24410"/>
    <cellStyle name="Comma 90 2 2 2 2" xfId="24411"/>
    <cellStyle name="Comma 90 2 2 3" xfId="24412"/>
    <cellStyle name="Comma 90 2 3" xfId="24413"/>
    <cellStyle name="Comma 90 2 3 2" xfId="24414"/>
    <cellStyle name="Comma 90 2 4" xfId="24415"/>
    <cellStyle name="Comma 90 2 5" xfId="24416"/>
    <cellStyle name="Comma 90 3" xfId="24417"/>
    <cellStyle name="Comma 90 3 2" xfId="24418"/>
    <cellStyle name="Comma 90 3 3" xfId="24419"/>
    <cellStyle name="Comma 90 3 3 2" xfId="24420"/>
    <cellStyle name="Comma 90 3 4" xfId="24421"/>
    <cellStyle name="Comma 90 3 5" xfId="24422"/>
    <cellStyle name="Comma 90 4" xfId="24423"/>
    <cellStyle name="Comma 90 4 2" xfId="24424"/>
    <cellStyle name="Comma 90 4 2 2" xfId="24425"/>
    <cellStyle name="Comma 90 4 3" xfId="24426"/>
    <cellStyle name="Comma 90 4 4" xfId="24427"/>
    <cellStyle name="Comma 90 5" xfId="24428"/>
    <cellStyle name="Comma 90 6" xfId="24429"/>
    <cellStyle name="Comma 90 6 2" xfId="24430"/>
    <cellStyle name="Comma 90 7" xfId="24431"/>
    <cellStyle name="Comma 90 8" xfId="24432"/>
    <cellStyle name="Comma 90 9" xfId="24433"/>
    <cellStyle name="Comma 91" xfId="24434"/>
    <cellStyle name="Comma 91 2" xfId="24435"/>
    <cellStyle name="Comma 91 2 2" xfId="24436"/>
    <cellStyle name="Comma 91 2 2 2" xfId="24437"/>
    <cellStyle name="Comma 91 2 2 2 2" xfId="24438"/>
    <cellStyle name="Comma 91 2 2 3" xfId="24439"/>
    <cellStyle name="Comma 91 2 3" xfId="24440"/>
    <cellStyle name="Comma 91 2 3 2" xfId="24441"/>
    <cellStyle name="Comma 91 2 4" xfId="24442"/>
    <cellStyle name="Comma 91 2 5" xfId="24443"/>
    <cellStyle name="Comma 91 3" xfId="24444"/>
    <cellStyle name="Comma 91 3 2" xfId="24445"/>
    <cellStyle name="Comma 91 3 3" xfId="24446"/>
    <cellStyle name="Comma 91 3 3 2" xfId="24447"/>
    <cellStyle name="Comma 91 3 4" xfId="24448"/>
    <cellStyle name="Comma 91 3 5" xfId="24449"/>
    <cellStyle name="Comma 91 4" xfId="24450"/>
    <cellStyle name="Comma 91 4 2" xfId="24451"/>
    <cellStyle name="Comma 91 4 2 2" xfId="24452"/>
    <cellStyle name="Comma 91 4 3" xfId="24453"/>
    <cellStyle name="Comma 91 4 4" xfId="24454"/>
    <cellStyle name="Comma 91 5" xfId="24455"/>
    <cellStyle name="Comma 91 6" xfId="24456"/>
    <cellStyle name="Comma 91 6 2" xfId="24457"/>
    <cellStyle name="Comma 91 7" xfId="24458"/>
    <cellStyle name="Comma 91 8" xfId="24459"/>
    <cellStyle name="Comma 91 9" xfId="24460"/>
    <cellStyle name="Comma 92" xfId="24461"/>
    <cellStyle name="Comma 92 2" xfId="24462"/>
    <cellStyle name="Comma 92 2 2" xfId="24463"/>
    <cellStyle name="Comma 92 2 2 2" xfId="24464"/>
    <cellStyle name="Comma 92 2 2 2 2" xfId="24465"/>
    <cellStyle name="Comma 92 2 2 3" xfId="24466"/>
    <cellStyle name="Comma 92 2 3" xfId="24467"/>
    <cellStyle name="Comma 92 2 3 2" xfId="24468"/>
    <cellStyle name="Comma 92 2 4" xfId="24469"/>
    <cellStyle name="Comma 92 2 5" xfId="24470"/>
    <cellStyle name="Comma 92 3" xfId="24471"/>
    <cellStyle name="Comma 92 3 2" xfId="24472"/>
    <cellStyle name="Comma 92 3 3" xfId="24473"/>
    <cellStyle name="Comma 92 3 3 2" xfId="24474"/>
    <cellStyle name="Comma 92 3 4" xfId="24475"/>
    <cellStyle name="Comma 92 3 5" xfId="24476"/>
    <cellStyle name="Comma 92 4" xfId="24477"/>
    <cellStyle name="Comma 92 4 2" xfId="24478"/>
    <cellStyle name="Comma 92 4 2 2" xfId="24479"/>
    <cellStyle name="Comma 92 4 3" xfId="24480"/>
    <cellStyle name="Comma 92 4 4" xfId="24481"/>
    <cellStyle name="Comma 92 5" xfId="24482"/>
    <cellStyle name="Comma 92 6" xfId="24483"/>
    <cellStyle name="Comma 92 6 2" xfId="24484"/>
    <cellStyle name="Comma 92 7" xfId="24485"/>
    <cellStyle name="Comma 92 8" xfId="24486"/>
    <cellStyle name="Comma 92 9" xfId="24487"/>
    <cellStyle name="Comma 93" xfId="24488"/>
    <cellStyle name="Comma 93 2" xfId="24489"/>
    <cellStyle name="Comma 93 2 2" xfId="24490"/>
    <cellStyle name="Comma 93 2 2 2" xfId="24491"/>
    <cellStyle name="Comma 93 2 2 2 2" xfId="24492"/>
    <cellStyle name="Comma 93 2 2 3" xfId="24493"/>
    <cellStyle name="Comma 93 2 3" xfId="24494"/>
    <cellStyle name="Comma 93 2 3 2" xfId="24495"/>
    <cellStyle name="Comma 93 2 4" xfId="24496"/>
    <cellStyle name="Comma 93 2 5" xfId="24497"/>
    <cellStyle name="Comma 93 3" xfId="24498"/>
    <cellStyle name="Comma 93 3 2" xfId="24499"/>
    <cellStyle name="Comma 93 3 3" xfId="24500"/>
    <cellStyle name="Comma 93 3 3 2" xfId="24501"/>
    <cellStyle name="Comma 93 3 4" xfId="24502"/>
    <cellStyle name="Comma 93 3 5" xfId="24503"/>
    <cellStyle name="Comma 93 4" xfId="24504"/>
    <cellStyle name="Comma 93 4 2" xfId="24505"/>
    <cellStyle name="Comma 93 4 2 2" xfId="24506"/>
    <cellStyle name="Comma 93 4 3" xfId="24507"/>
    <cellStyle name="Comma 93 4 4" xfId="24508"/>
    <cellStyle name="Comma 93 5" xfId="24509"/>
    <cellStyle name="Comma 93 6" xfId="24510"/>
    <cellStyle name="Comma 93 6 2" xfId="24511"/>
    <cellStyle name="Comma 93 7" xfId="24512"/>
    <cellStyle name="Comma 93 8" xfId="24513"/>
    <cellStyle name="Comma 93 9" xfId="24514"/>
    <cellStyle name="Comma 94" xfId="24515"/>
    <cellStyle name="Comma 94 2" xfId="24516"/>
    <cellStyle name="Comma 94 2 2" xfId="24517"/>
    <cellStyle name="Comma 94 2 2 2" xfId="24518"/>
    <cellStyle name="Comma 94 2 2 2 2" xfId="24519"/>
    <cellStyle name="Comma 94 2 2 3" xfId="24520"/>
    <cellStyle name="Comma 94 2 3" xfId="24521"/>
    <cellStyle name="Comma 94 2 3 2" xfId="24522"/>
    <cellStyle name="Comma 94 2 4" xfId="24523"/>
    <cellStyle name="Comma 94 2 5" xfId="24524"/>
    <cellStyle name="Comma 94 3" xfId="24525"/>
    <cellStyle name="Comma 94 3 2" xfId="24526"/>
    <cellStyle name="Comma 94 3 3" xfId="24527"/>
    <cellStyle name="Comma 94 3 3 2" xfId="24528"/>
    <cellStyle name="Comma 94 3 4" xfId="24529"/>
    <cellStyle name="Comma 94 3 5" xfId="24530"/>
    <cellStyle name="Comma 94 4" xfId="24531"/>
    <cellStyle name="Comma 94 4 2" xfId="24532"/>
    <cellStyle name="Comma 94 4 2 2" xfId="24533"/>
    <cellStyle name="Comma 94 4 3" xfId="24534"/>
    <cellStyle name="Comma 94 4 4" xfId="24535"/>
    <cellStyle name="Comma 94 5" xfId="24536"/>
    <cellStyle name="Comma 94 6" xfId="24537"/>
    <cellStyle name="Comma 94 6 2" xfId="24538"/>
    <cellStyle name="Comma 94 7" xfId="24539"/>
    <cellStyle name="Comma 94 8" xfId="24540"/>
    <cellStyle name="Comma 94 9" xfId="24541"/>
    <cellStyle name="Comma 95" xfId="24542"/>
    <cellStyle name="Comma 95 2" xfId="24543"/>
    <cellStyle name="Comma 95 2 2" xfId="24544"/>
    <cellStyle name="Comma 95 2 2 2" xfId="24545"/>
    <cellStyle name="Comma 95 2 2 2 2" xfId="24546"/>
    <cellStyle name="Comma 95 2 2 3" xfId="24547"/>
    <cellStyle name="Comma 95 2 3" xfId="24548"/>
    <cellStyle name="Comma 95 2 3 2" xfId="24549"/>
    <cellStyle name="Comma 95 2 4" xfId="24550"/>
    <cellStyle name="Comma 95 2 5" xfId="24551"/>
    <cellStyle name="Comma 95 3" xfId="24552"/>
    <cellStyle name="Comma 95 3 2" xfId="24553"/>
    <cellStyle name="Comma 95 3 3" xfId="24554"/>
    <cellStyle name="Comma 95 3 3 2" xfId="24555"/>
    <cellStyle name="Comma 95 3 4" xfId="24556"/>
    <cellStyle name="Comma 95 3 5" xfId="24557"/>
    <cellStyle name="Comma 95 4" xfId="24558"/>
    <cellStyle name="Comma 95 4 2" xfId="24559"/>
    <cellStyle name="Comma 95 4 2 2" xfId="24560"/>
    <cellStyle name="Comma 95 4 3" xfId="24561"/>
    <cellStyle name="Comma 95 4 4" xfId="24562"/>
    <cellStyle name="Comma 95 5" xfId="24563"/>
    <cellStyle name="Comma 95 6" xfId="24564"/>
    <cellStyle name="Comma 95 6 2" xfId="24565"/>
    <cellStyle name="Comma 95 7" xfId="24566"/>
    <cellStyle name="Comma 95 8" xfId="24567"/>
    <cellStyle name="Comma 95 9" xfId="24568"/>
    <cellStyle name="Comma 96" xfId="24569"/>
    <cellStyle name="Comma 96 2" xfId="24570"/>
    <cellStyle name="Comma 96 2 2" xfId="24571"/>
    <cellStyle name="Comma 96 2 2 2" xfId="24572"/>
    <cellStyle name="Comma 96 2 2 2 2" xfId="24573"/>
    <cellStyle name="Comma 96 2 2 3" xfId="24574"/>
    <cellStyle name="Comma 96 2 3" xfId="24575"/>
    <cellStyle name="Comma 96 2 3 2" xfId="24576"/>
    <cellStyle name="Comma 96 2 4" xfId="24577"/>
    <cellStyle name="Comma 96 2 5" xfId="24578"/>
    <cellStyle name="Comma 96 3" xfId="24579"/>
    <cellStyle name="Comma 96 3 2" xfId="24580"/>
    <cellStyle name="Comma 96 3 3" xfId="24581"/>
    <cellStyle name="Comma 96 3 3 2" xfId="24582"/>
    <cellStyle name="Comma 96 3 4" xfId="24583"/>
    <cellStyle name="Comma 96 3 5" xfId="24584"/>
    <cellStyle name="Comma 96 4" xfId="24585"/>
    <cellStyle name="Comma 96 4 2" xfId="24586"/>
    <cellStyle name="Comma 96 4 2 2" xfId="24587"/>
    <cellStyle name="Comma 96 4 3" xfId="24588"/>
    <cellStyle name="Comma 96 4 4" xfId="24589"/>
    <cellStyle name="Comma 96 5" xfId="24590"/>
    <cellStyle name="Comma 96 6" xfId="24591"/>
    <cellStyle name="Comma 96 6 2" xfId="24592"/>
    <cellStyle name="Comma 96 7" xfId="24593"/>
    <cellStyle name="Comma 96 8" xfId="24594"/>
    <cellStyle name="Comma 96 9" xfId="24595"/>
    <cellStyle name="Comma 97" xfId="24596"/>
    <cellStyle name="Comma 97 2" xfId="24597"/>
    <cellStyle name="Comma 97 3" xfId="24598"/>
    <cellStyle name="Comma 98" xfId="24599"/>
    <cellStyle name="Comma 98 2" xfId="24600"/>
    <cellStyle name="Comma 98 3" xfId="24601"/>
    <cellStyle name="Comma 99" xfId="24602"/>
    <cellStyle name="Comma 99 2" xfId="24603"/>
    <cellStyle name="Comma 99 3" xfId="24604"/>
    <cellStyle name="Comma0" xfId="24605"/>
    <cellStyle name="Comma0 - Modelo1" xfId="24606"/>
    <cellStyle name="Comma0 - Style1" xfId="24607"/>
    <cellStyle name="Comma0 2" xfId="24608"/>
    <cellStyle name="Comma0 2 2" xfId="24609"/>
    <cellStyle name="Comma0 3" xfId="24610"/>
    <cellStyle name="Comma0 4" xfId="24611"/>
    <cellStyle name="Comma0 5" xfId="24612"/>
    <cellStyle name="Comma0 6" xfId="24613"/>
    <cellStyle name="Comma0_3 SAIC Infrastructure Services Pricing Tables Security Operations 09April2008" xfId="24614"/>
    <cellStyle name="Comma1 - Modelo2" xfId="24615"/>
    <cellStyle name="Comma1 - Style2" xfId="24616"/>
    <cellStyle name="CommaSimple" xfId="24617"/>
    <cellStyle name="Comment" xfId="24618"/>
    <cellStyle name="Copied" xfId="24619"/>
    <cellStyle name="Currency" xfId="41" builtinId="4"/>
    <cellStyle name="Currency [0 Decimal]" xfId="24620"/>
    <cellStyle name="Currency [0 Decimal] 2" xfId="24621"/>
    <cellStyle name="Currency [0 Decimal] 2 2" xfId="24622"/>
    <cellStyle name="Currency [0 Decimal] 2 2 2" xfId="24623"/>
    <cellStyle name="Currency [0 Decimal] 2 3" xfId="24624"/>
    <cellStyle name="Currency [0 Decimal] 3" xfId="24625"/>
    <cellStyle name="Currency [0 Decimal] 4" xfId="24626"/>
    <cellStyle name="Currency [0] 2" xfId="24627"/>
    <cellStyle name="Currency [0] 2 2" xfId="24628"/>
    <cellStyle name="Currency [0] 2 2 2" xfId="24629"/>
    <cellStyle name="Currency [0] 2 2 3" xfId="24630"/>
    <cellStyle name="Currency [0] 2 3" xfId="24631"/>
    <cellStyle name="Currency [0] 2 4" xfId="24632"/>
    <cellStyle name="Currency [0] 3" xfId="24633"/>
    <cellStyle name="Currency [0] 3 2" xfId="24634"/>
    <cellStyle name="Currency [0] 3 2 2" xfId="24635"/>
    <cellStyle name="Currency [0] 3 2 3" xfId="24636"/>
    <cellStyle name="Currency [0] 3 3" xfId="24637"/>
    <cellStyle name="Currency [0] 3 4" xfId="24638"/>
    <cellStyle name="Currency [0] 4" xfId="24639"/>
    <cellStyle name="Currency [0] 4 2" xfId="24640"/>
    <cellStyle name="Currency [0] 4 2 2" xfId="24641"/>
    <cellStyle name="Currency [0] 4 2 3" xfId="24642"/>
    <cellStyle name="Currency [0] 4 3" xfId="24643"/>
    <cellStyle name="Currency [0] 4 4" xfId="24644"/>
    <cellStyle name="Currency [0] 5" xfId="24645"/>
    <cellStyle name="Currency [0] 5 2" xfId="24646"/>
    <cellStyle name="Currency [0] 5 2 2" xfId="24647"/>
    <cellStyle name="Currency [0] 5 3" xfId="24648"/>
    <cellStyle name="Currency [00]" xfId="24649"/>
    <cellStyle name="Currency [2 Decimal]" xfId="24650"/>
    <cellStyle name="Currency [2 Decimal] 2" xfId="24651"/>
    <cellStyle name="Currency [2 Decimal] 2 2" xfId="24652"/>
    <cellStyle name="Currency [2 Decimal] 2 2 2" xfId="24653"/>
    <cellStyle name="Currency [2 Decimal] 2 3" xfId="24654"/>
    <cellStyle name="Currency [2 Decimal] 3" xfId="24655"/>
    <cellStyle name="Currency [2 Decimal] 4" xfId="24656"/>
    <cellStyle name="Currency [3 Decimal]" xfId="24657"/>
    <cellStyle name="Currency [3 Decimal] 2" xfId="24658"/>
    <cellStyle name="Currency [3 Decimal] 2 2" xfId="24659"/>
    <cellStyle name="Currency [3 Decimal] 2 2 2" xfId="24660"/>
    <cellStyle name="Currency [3 Decimal] 2 3" xfId="24661"/>
    <cellStyle name="Currency [3 Decimal] 3" xfId="24662"/>
    <cellStyle name="Currency [3 Decimal] 4" xfId="24663"/>
    <cellStyle name="Currency [5 Decimal]" xfId="24664"/>
    <cellStyle name="Currency [5 Decimal] 2" xfId="24665"/>
    <cellStyle name="Currency [5 Decimal] 2 2" xfId="24666"/>
    <cellStyle name="Currency [5 Decimal] 2 2 2" xfId="24667"/>
    <cellStyle name="Currency [5 Decimal] 2 3" xfId="24668"/>
    <cellStyle name="Currency [5 Decimal] 3" xfId="24669"/>
    <cellStyle name="Currency [5 Decimal] 4" xfId="24670"/>
    <cellStyle name="Currency 10" xfId="24671"/>
    <cellStyle name="Currency 10 2" xfId="24672"/>
    <cellStyle name="Currency 10 2 2" xfId="24673"/>
    <cellStyle name="Currency 10 2 2 2" xfId="24674"/>
    <cellStyle name="Currency 10 2 2 2 2" xfId="24675"/>
    <cellStyle name="Currency 10 2 2 3" xfId="24676"/>
    <cellStyle name="Currency 10 2 3" xfId="24677"/>
    <cellStyle name="Currency 10 2 3 2" xfId="24678"/>
    <cellStyle name="Currency 10 2 4" xfId="24679"/>
    <cellStyle name="Currency 10 3" xfId="24680"/>
    <cellStyle name="Currency 10 3 2" xfId="24681"/>
    <cellStyle name="Currency 10 3 2 2" xfId="24682"/>
    <cellStyle name="Currency 10 3 3" xfId="24683"/>
    <cellStyle name="Currency 10 4" xfId="24684"/>
    <cellStyle name="Currency 10 4 2" xfId="24685"/>
    <cellStyle name="Currency 10 5" xfId="24686"/>
    <cellStyle name="Currency 100" xfId="24687"/>
    <cellStyle name="Currency 100 2" xfId="24688"/>
    <cellStyle name="Currency 101" xfId="24689"/>
    <cellStyle name="Currency 101 2" xfId="24690"/>
    <cellStyle name="Currency 102" xfId="24691"/>
    <cellStyle name="Currency 102 2" xfId="24692"/>
    <cellStyle name="Currency 103" xfId="24693"/>
    <cellStyle name="Currency 103 2" xfId="24694"/>
    <cellStyle name="Currency 104" xfId="24695"/>
    <cellStyle name="Currency 104 2" xfId="24696"/>
    <cellStyle name="Currency 105" xfId="24697"/>
    <cellStyle name="Currency 105 2" xfId="24698"/>
    <cellStyle name="Currency 106" xfId="24699"/>
    <cellStyle name="Currency 106 2" xfId="24700"/>
    <cellStyle name="Currency 107" xfId="24701"/>
    <cellStyle name="Currency 107 2" xfId="24702"/>
    <cellStyle name="Currency 108" xfId="24703"/>
    <cellStyle name="Currency 108 2" xfId="24704"/>
    <cellStyle name="Currency 109" xfId="24705"/>
    <cellStyle name="Currency 109 2" xfId="24706"/>
    <cellStyle name="Currency 11" xfId="24707"/>
    <cellStyle name="Currency 11 2" xfId="24708"/>
    <cellStyle name="Currency 11 2 2" xfId="24709"/>
    <cellStyle name="Currency 11 2 2 2" xfId="24710"/>
    <cellStyle name="Currency 11 2 2 2 2" xfId="24711"/>
    <cellStyle name="Currency 11 2 2 3" xfId="24712"/>
    <cellStyle name="Currency 11 2 3" xfId="24713"/>
    <cellStyle name="Currency 11 2 3 2" xfId="24714"/>
    <cellStyle name="Currency 11 2 4" xfId="24715"/>
    <cellStyle name="Currency 11 3" xfId="24716"/>
    <cellStyle name="Currency 11 3 2" xfId="24717"/>
    <cellStyle name="Currency 11 3 2 2" xfId="24718"/>
    <cellStyle name="Currency 11 3 3" xfId="24719"/>
    <cellStyle name="Currency 11 4" xfId="24720"/>
    <cellStyle name="Currency 11 4 2" xfId="24721"/>
    <cellStyle name="Currency 11 5" xfId="24722"/>
    <cellStyle name="Currency 110" xfId="24723"/>
    <cellStyle name="Currency 110 2" xfId="24724"/>
    <cellStyle name="Currency 111" xfId="24725"/>
    <cellStyle name="Currency 111 2" xfId="24726"/>
    <cellStyle name="Currency 112" xfId="24727"/>
    <cellStyle name="Currency 112 2" xfId="24728"/>
    <cellStyle name="Currency 113" xfId="24729"/>
    <cellStyle name="Currency 113 2" xfId="24730"/>
    <cellStyle name="Currency 114" xfId="24731"/>
    <cellStyle name="Currency 114 2" xfId="24732"/>
    <cellStyle name="Currency 115" xfId="24733"/>
    <cellStyle name="Currency 115 2" xfId="24734"/>
    <cellStyle name="Currency 116" xfId="24735"/>
    <cellStyle name="Currency 116 2" xfId="24736"/>
    <cellStyle name="Currency 117" xfId="24737"/>
    <cellStyle name="Currency 117 2" xfId="24738"/>
    <cellStyle name="Currency 118" xfId="24739"/>
    <cellStyle name="Currency 118 2" xfId="24740"/>
    <cellStyle name="Currency 119" xfId="24741"/>
    <cellStyle name="Currency 119 2" xfId="24742"/>
    <cellStyle name="Currency 12" xfId="24743"/>
    <cellStyle name="Currency 12 2" xfId="24744"/>
    <cellStyle name="Currency 12 2 2" xfId="24745"/>
    <cellStyle name="Currency 12 2 2 2" xfId="24746"/>
    <cellStyle name="Currency 12 2 2 2 2" xfId="24747"/>
    <cellStyle name="Currency 12 2 2 3" xfId="24748"/>
    <cellStyle name="Currency 12 2 3" xfId="24749"/>
    <cellStyle name="Currency 12 2 3 2" xfId="24750"/>
    <cellStyle name="Currency 12 2 4" xfId="24751"/>
    <cellStyle name="Currency 12 3" xfId="24752"/>
    <cellStyle name="Currency 12 3 2" xfId="24753"/>
    <cellStyle name="Currency 12 3 2 2" xfId="24754"/>
    <cellStyle name="Currency 12 3 3" xfId="24755"/>
    <cellStyle name="Currency 12 4" xfId="24756"/>
    <cellStyle name="Currency 12 4 2" xfId="24757"/>
    <cellStyle name="Currency 12 5" xfId="24758"/>
    <cellStyle name="Currency 120" xfId="24759"/>
    <cellStyle name="Currency 120 2" xfId="24760"/>
    <cellStyle name="Currency 121" xfId="24761"/>
    <cellStyle name="Currency 121 2" xfId="24762"/>
    <cellStyle name="Currency 122" xfId="24763"/>
    <cellStyle name="Currency 122 2" xfId="24764"/>
    <cellStyle name="Currency 123" xfId="24765"/>
    <cellStyle name="Currency 123 2" xfId="24766"/>
    <cellStyle name="Currency 124" xfId="24767"/>
    <cellStyle name="Currency 124 2" xfId="24768"/>
    <cellStyle name="Currency 125" xfId="24769"/>
    <cellStyle name="Currency 125 2" xfId="24770"/>
    <cellStyle name="Currency 126" xfId="24771"/>
    <cellStyle name="Currency 126 2" xfId="24772"/>
    <cellStyle name="Currency 127" xfId="24773"/>
    <cellStyle name="Currency 127 2" xfId="24774"/>
    <cellStyle name="Currency 128" xfId="24775"/>
    <cellStyle name="Currency 128 2" xfId="24776"/>
    <cellStyle name="Currency 129" xfId="24777"/>
    <cellStyle name="Currency 129 2" xfId="24778"/>
    <cellStyle name="Currency 13" xfId="24779"/>
    <cellStyle name="Currency 13 2" xfId="24780"/>
    <cellStyle name="Currency 13 2 2" xfId="24781"/>
    <cellStyle name="Currency 13 2 3" xfId="24782"/>
    <cellStyle name="Currency 13 3" xfId="24783"/>
    <cellStyle name="Currency 13 3 2" xfId="24784"/>
    <cellStyle name="Currency 13 4" xfId="24785"/>
    <cellStyle name="Currency 130" xfId="24786"/>
    <cellStyle name="Currency 130 2" xfId="24787"/>
    <cellStyle name="Currency 131" xfId="24788"/>
    <cellStyle name="Currency 131 2" xfId="24789"/>
    <cellStyle name="Currency 132" xfId="24790"/>
    <cellStyle name="Currency 132 2" xfId="24791"/>
    <cellStyle name="Currency 133" xfId="24792"/>
    <cellStyle name="Currency 133 2" xfId="24793"/>
    <cellStyle name="Currency 134" xfId="24794"/>
    <cellStyle name="Currency 134 2" xfId="24795"/>
    <cellStyle name="Currency 135" xfId="24796"/>
    <cellStyle name="Currency 135 2" xfId="24797"/>
    <cellStyle name="Currency 136" xfId="24798"/>
    <cellStyle name="Currency 136 2" xfId="24799"/>
    <cellStyle name="Currency 137" xfId="24800"/>
    <cellStyle name="Currency 137 2" xfId="24801"/>
    <cellStyle name="Currency 138" xfId="24802"/>
    <cellStyle name="Currency 138 2" xfId="24803"/>
    <cellStyle name="Currency 139" xfId="24804"/>
    <cellStyle name="Currency 139 2" xfId="24805"/>
    <cellStyle name="Currency 14" xfId="24806"/>
    <cellStyle name="Currency 14 2" xfId="24807"/>
    <cellStyle name="Currency 14 2 2" xfId="24808"/>
    <cellStyle name="Currency 14 2 3" xfId="24809"/>
    <cellStyle name="Currency 14 3" xfId="24810"/>
    <cellStyle name="Currency 14 3 2" xfId="24811"/>
    <cellStyle name="Currency 14 3 3" xfId="24812"/>
    <cellStyle name="Currency 14 4" xfId="24813"/>
    <cellStyle name="Currency 14 4 2" xfId="24814"/>
    <cellStyle name="Currency 14 5" xfId="24815"/>
    <cellStyle name="Currency 140" xfId="24816"/>
    <cellStyle name="Currency 140 2" xfId="24817"/>
    <cellStyle name="Currency 141" xfId="24818"/>
    <cellStyle name="Currency 141 2" xfId="24819"/>
    <cellStyle name="Currency 142" xfId="24820"/>
    <cellStyle name="Currency 142 2" xfId="24821"/>
    <cellStyle name="Currency 143" xfId="24822"/>
    <cellStyle name="Currency 143 2" xfId="24823"/>
    <cellStyle name="Currency 144" xfId="24824"/>
    <cellStyle name="Currency 144 2" xfId="24825"/>
    <cellStyle name="Currency 145" xfId="24826"/>
    <cellStyle name="Currency 145 2" xfId="24827"/>
    <cellStyle name="Currency 146" xfId="24828"/>
    <cellStyle name="Currency 146 2" xfId="24829"/>
    <cellStyle name="Currency 147" xfId="24830"/>
    <cellStyle name="Currency 147 2" xfId="24831"/>
    <cellStyle name="Currency 148" xfId="24832"/>
    <cellStyle name="Currency 148 2" xfId="24833"/>
    <cellStyle name="Currency 149" xfId="24834"/>
    <cellStyle name="Currency 149 2" xfId="24835"/>
    <cellStyle name="Currency 15" xfId="24836"/>
    <cellStyle name="Currency 15 2" xfId="24837"/>
    <cellStyle name="Currency 15 2 2" xfId="24838"/>
    <cellStyle name="Currency 15 2 3" xfId="24839"/>
    <cellStyle name="Currency 15 3" xfId="24840"/>
    <cellStyle name="Currency 15 3 2" xfId="24841"/>
    <cellStyle name="Currency 15 3 3" xfId="24842"/>
    <cellStyle name="Currency 15 4" xfId="24843"/>
    <cellStyle name="Currency 15 4 2" xfId="24844"/>
    <cellStyle name="Currency 15 5" xfId="24845"/>
    <cellStyle name="Currency 150" xfId="24846"/>
    <cellStyle name="Currency 150 2" xfId="24847"/>
    <cellStyle name="Currency 151" xfId="24848"/>
    <cellStyle name="Currency 151 2" xfId="24849"/>
    <cellStyle name="Currency 152" xfId="24850"/>
    <cellStyle name="Currency 152 2" xfId="24851"/>
    <cellStyle name="Currency 153" xfId="24852"/>
    <cellStyle name="Currency 153 2" xfId="24853"/>
    <cellStyle name="Currency 154" xfId="24854"/>
    <cellStyle name="Currency 154 2" xfId="24855"/>
    <cellStyle name="Currency 155" xfId="24856"/>
    <cellStyle name="Currency 155 2" xfId="24857"/>
    <cellStyle name="Currency 156" xfId="24858"/>
    <cellStyle name="Currency 156 2" xfId="24859"/>
    <cellStyle name="Currency 157" xfId="24860"/>
    <cellStyle name="Currency 157 2" xfId="24861"/>
    <cellStyle name="Currency 158" xfId="24862"/>
    <cellStyle name="Currency 158 2" xfId="24863"/>
    <cellStyle name="Currency 159" xfId="24864"/>
    <cellStyle name="Currency 159 2" xfId="24865"/>
    <cellStyle name="Currency 16" xfId="24866"/>
    <cellStyle name="Currency 16 2" xfId="24867"/>
    <cellStyle name="Currency 16 2 2" xfId="24868"/>
    <cellStyle name="Currency 16 2 3" xfId="24869"/>
    <cellStyle name="Currency 16 3" xfId="24870"/>
    <cellStyle name="Currency 16 4" xfId="24871"/>
    <cellStyle name="Currency 160" xfId="24872"/>
    <cellStyle name="Currency 160 2" xfId="24873"/>
    <cellStyle name="Currency 161" xfId="24874"/>
    <cellStyle name="Currency 161 2" xfId="24875"/>
    <cellStyle name="Currency 162" xfId="24876"/>
    <cellStyle name="Currency 162 2" xfId="24877"/>
    <cellStyle name="Currency 163" xfId="24878"/>
    <cellStyle name="Currency 163 2" xfId="24879"/>
    <cellStyle name="Currency 164" xfId="24880"/>
    <cellStyle name="Currency 164 2" xfId="24881"/>
    <cellStyle name="Currency 165" xfId="24882"/>
    <cellStyle name="Currency 165 2" xfId="24883"/>
    <cellStyle name="Currency 166" xfId="24884"/>
    <cellStyle name="Currency 166 2" xfId="24885"/>
    <cellStyle name="Currency 167" xfId="24886"/>
    <cellStyle name="Currency 167 2" xfId="24887"/>
    <cellStyle name="Currency 168" xfId="24888"/>
    <cellStyle name="Currency 168 2" xfId="24889"/>
    <cellStyle name="Currency 169" xfId="24890"/>
    <cellStyle name="Currency 169 2" xfId="24891"/>
    <cellStyle name="Currency 17" xfId="24892"/>
    <cellStyle name="Currency 17 2" xfId="24893"/>
    <cellStyle name="Currency 17 2 2" xfId="24894"/>
    <cellStyle name="Currency 17 2 3" xfId="24895"/>
    <cellStyle name="Currency 17 3" xfId="24896"/>
    <cellStyle name="Currency 17 4" xfId="24897"/>
    <cellStyle name="Currency 170" xfId="24898"/>
    <cellStyle name="Currency 170 2" xfId="24899"/>
    <cellStyle name="Currency 171" xfId="24900"/>
    <cellStyle name="Currency 171 2" xfId="24901"/>
    <cellStyle name="Currency 172" xfId="24902"/>
    <cellStyle name="Currency 172 2" xfId="24903"/>
    <cellStyle name="Currency 173" xfId="24904"/>
    <cellStyle name="Currency 173 2" xfId="24905"/>
    <cellStyle name="Currency 174" xfId="24906"/>
    <cellStyle name="Currency 174 2" xfId="24907"/>
    <cellStyle name="Currency 175" xfId="24908"/>
    <cellStyle name="Currency 175 2" xfId="24909"/>
    <cellStyle name="Currency 176" xfId="24910"/>
    <cellStyle name="Currency 176 2" xfId="24911"/>
    <cellStyle name="Currency 177" xfId="24912"/>
    <cellStyle name="Currency 177 2" xfId="24913"/>
    <cellStyle name="Currency 178" xfId="24914"/>
    <cellStyle name="Currency 178 2" xfId="24915"/>
    <cellStyle name="Currency 179" xfId="24916"/>
    <cellStyle name="Currency 179 2" xfId="24917"/>
    <cellStyle name="Currency 18" xfId="24918"/>
    <cellStyle name="Currency 18 2" xfId="24919"/>
    <cellStyle name="Currency 18 2 2" xfId="24920"/>
    <cellStyle name="Currency 18 2 3" xfId="24921"/>
    <cellStyle name="Currency 18 3" xfId="24922"/>
    <cellStyle name="Currency 18 4" xfId="24923"/>
    <cellStyle name="Currency 180" xfId="24924"/>
    <cellStyle name="Currency 180 2" xfId="24925"/>
    <cellStyle name="Currency 181" xfId="24926"/>
    <cellStyle name="Currency 181 2" xfId="24927"/>
    <cellStyle name="Currency 182" xfId="24928"/>
    <cellStyle name="Currency 182 2" xfId="24929"/>
    <cellStyle name="Currency 183" xfId="24930"/>
    <cellStyle name="Currency 184" xfId="24931"/>
    <cellStyle name="Currency 185" xfId="24932"/>
    <cellStyle name="Currency 186" xfId="24933"/>
    <cellStyle name="Currency 187" xfId="24934"/>
    <cellStyle name="Currency 188" xfId="24935"/>
    <cellStyle name="Currency 189" xfId="24936"/>
    <cellStyle name="Currency 19" xfId="24937"/>
    <cellStyle name="Currency 19 2" xfId="24938"/>
    <cellStyle name="Currency 19 2 2" xfId="24939"/>
    <cellStyle name="Currency 19 2 3" xfId="24940"/>
    <cellStyle name="Currency 19 3" xfId="24941"/>
    <cellStyle name="Currency 19 4" xfId="24942"/>
    <cellStyle name="Currency 190" xfId="24943"/>
    <cellStyle name="Currency 191" xfId="24944"/>
    <cellStyle name="Currency 192" xfId="24945"/>
    <cellStyle name="Currency 193" xfId="24946"/>
    <cellStyle name="Currency 194" xfId="24947"/>
    <cellStyle name="Currency 195" xfId="24948"/>
    <cellStyle name="Currency 196" xfId="24949"/>
    <cellStyle name="Currency 197" xfId="24950"/>
    <cellStyle name="Currency 198" xfId="24951"/>
    <cellStyle name="Currency 199" xfId="24952"/>
    <cellStyle name="Currency 2" xfId="24953"/>
    <cellStyle name="Currency 2 2" xfId="24954"/>
    <cellStyle name="Currency 2 2 10" xfId="24955"/>
    <cellStyle name="Currency 2 2 11" xfId="24956"/>
    <cellStyle name="Currency 2 2 2" xfId="24957"/>
    <cellStyle name="Currency 2 2 2 2" xfId="24958"/>
    <cellStyle name="Currency 2 2 2 3" xfId="24959"/>
    <cellStyle name="Currency 2 2 3" xfId="24960"/>
    <cellStyle name="Currency 2 2 3 2" xfId="24961"/>
    <cellStyle name="Currency 2 2 3 3" xfId="24962"/>
    <cellStyle name="Currency 2 2 4" xfId="24963"/>
    <cellStyle name="Currency 2 2 4 2" xfId="24964"/>
    <cellStyle name="Currency 2 2 4 3" xfId="24965"/>
    <cellStyle name="Currency 2 2 5" xfId="24966"/>
    <cellStyle name="Currency 2 2 5 2" xfId="24967"/>
    <cellStyle name="Currency 2 2 5 3" xfId="24968"/>
    <cellStyle name="Currency 2 2 6" xfId="24969"/>
    <cellStyle name="Currency 2 2 6 2" xfId="24970"/>
    <cellStyle name="Currency 2 2 6 3" xfId="24971"/>
    <cellStyle name="Currency 2 2 7" xfId="24972"/>
    <cellStyle name="Currency 2 2 7 2" xfId="24973"/>
    <cellStyle name="Currency 2 2 7 3" xfId="24974"/>
    <cellStyle name="Currency 2 2 8" xfId="24975"/>
    <cellStyle name="Currency 2 2 8 2" xfId="24976"/>
    <cellStyle name="Currency 2 2 8 3" xfId="24977"/>
    <cellStyle name="Currency 2 2 9" xfId="24978"/>
    <cellStyle name="Currency 2 3" xfId="24979"/>
    <cellStyle name="Currency 2 3 2" xfId="24980"/>
    <cellStyle name="Currency 2 3 2 2" xfId="24981"/>
    <cellStyle name="Currency 2 3 3" xfId="24982"/>
    <cellStyle name="Currency 2 3 4" xfId="24983"/>
    <cellStyle name="Currency 2 4" xfId="24984"/>
    <cellStyle name="Currency 2 4 2" xfId="24985"/>
    <cellStyle name="Currency 2 4 3" xfId="24986"/>
    <cellStyle name="Currency 2 5" xfId="24987"/>
    <cellStyle name="Currency 2 5 2" xfId="24988"/>
    <cellStyle name="Currency 2 5 2 2" xfId="24989"/>
    <cellStyle name="Currency 2 5 2 2 2" xfId="24990"/>
    <cellStyle name="Currency 2 5 2 3" xfId="24991"/>
    <cellStyle name="Currency 2 5 3" xfId="24992"/>
    <cellStyle name="Currency 2 5 3 2" xfId="24993"/>
    <cellStyle name="Currency 2 5 4" xfId="24994"/>
    <cellStyle name="Currency 2 6" xfId="24995"/>
    <cellStyle name="Currency 2 6 2" xfId="24996"/>
    <cellStyle name="Currency 2 6 2 2" xfId="24997"/>
    <cellStyle name="Currency 2 6 3" xfId="24998"/>
    <cellStyle name="Currency 2 7" xfId="24999"/>
    <cellStyle name="Currency 2 7 2" xfId="25000"/>
    <cellStyle name="Currency 2 7 3" xfId="25001"/>
    <cellStyle name="Currency 2 8" xfId="25002"/>
    <cellStyle name="Currency 2 9" xfId="25003"/>
    <cellStyle name="Currency 20" xfId="25004"/>
    <cellStyle name="Currency 20 2" xfId="25005"/>
    <cellStyle name="Currency 20 2 2" xfId="25006"/>
    <cellStyle name="Currency 20 2 3" xfId="25007"/>
    <cellStyle name="Currency 20 3" xfId="25008"/>
    <cellStyle name="Currency 20 4" xfId="25009"/>
    <cellStyle name="Currency 200" xfId="25010"/>
    <cellStyle name="Currency 201" xfId="25011"/>
    <cellStyle name="Currency 202" xfId="25012"/>
    <cellStyle name="Currency 203" xfId="25013"/>
    <cellStyle name="Currency 204" xfId="25014"/>
    <cellStyle name="Currency 205" xfId="25015"/>
    <cellStyle name="Currency 206" xfId="25016"/>
    <cellStyle name="Currency 207" xfId="25017"/>
    <cellStyle name="Currency 208" xfId="25018"/>
    <cellStyle name="Currency 209" xfId="25019"/>
    <cellStyle name="Currency 21" xfId="25020"/>
    <cellStyle name="Currency 21 2" xfId="25021"/>
    <cellStyle name="Currency 21 3" xfId="25022"/>
    <cellStyle name="Currency 210" xfId="25023"/>
    <cellStyle name="Currency 211" xfId="25024"/>
    <cellStyle name="Currency 212" xfId="25025"/>
    <cellStyle name="Currency 213" xfId="25026"/>
    <cellStyle name="Currency 22" xfId="25027"/>
    <cellStyle name="Currency 22 2" xfId="25028"/>
    <cellStyle name="Currency 22 3" xfId="25029"/>
    <cellStyle name="Currency 23" xfId="25030"/>
    <cellStyle name="Currency 23 2" xfId="25031"/>
    <cellStyle name="Currency 23 3" xfId="25032"/>
    <cellStyle name="Currency 24" xfId="25033"/>
    <cellStyle name="Currency 24 2" xfId="25034"/>
    <cellStyle name="Currency 24 3" xfId="25035"/>
    <cellStyle name="Currency 25" xfId="25036"/>
    <cellStyle name="Currency 25 2" xfId="25037"/>
    <cellStyle name="Currency 25 2 2" xfId="25038"/>
    <cellStyle name="Currency 25 2 3" xfId="25039"/>
    <cellStyle name="Currency 25 3" xfId="25040"/>
    <cellStyle name="Currency 25 4" xfId="25041"/>
    <cellStyle name="Currency 26" xfId="25042"/>
    <cellStyle name="Currency 26 2" xfId="25043"/>
    <cellStyle name="Currency 26 3" xfId="25044"/>
    <cellStyle name="Currency 27" xfId="25045"/>
    <cellStyle name="Currency 27 2" xfId="25046"/>
    <cellStyle name="Currency 27 3" xfId="25047"/>
    <cellStyle name="Currency 28" xfId="25048"/>
    <cellStyle name="Currency 28 2" xfId="25049"/>
    <cellStyle name="Currency 28 3" xfId="25050"/>
    <cellStyle name="Currency 29" xfId="25051"/>
    <cellStyle name="Currency 29 2" xfId="25052"/>
    <cellStyle name="Currency 29 2 2" xfId="25053"/>
    <cellStyle name="Currency 29 2 3" xfId="25054"/>
    <cellStyle name="Currency 29 3" xfId="25055"/>
    <cellStyle name="Currency 29 4" xfId="25056"/>
    <cellStyle name="Currency 3" xfId="25057"/>
    <cellStyle name="Currency 3 2" xfId="25058"/>
    <cellStyle name="Currency 3 2 2" xfId="25059"/>
    <cellStyle name="Currency 3 2 2 2" xfId="25060"/>
    <cellStyle name="Currency 3 2 3" xfId="25061"/>
    <cellStyle name="Currency 3 2 4" xfId="25062"/>
    <cellStyle name="Currency 3 3" xfId="25063"/>
    <cellStyle name="Currency 3 3 2" xfId="25064"/>
    <cellStyle name="Currency 3 3 3" xfId="25065"/>
    <cellStyle name="Currency 3 4" xfId="25066"/>
    <cellStyle name="Currency 3 4 2" xfId="25067"/>
    <cellStyle name="Currency 3 4 3" xfId="25068"/>
    <cellStyle name="Currency 3 5" xfId="25069"/>
    <cellStyle name="Currency 3 5 2" xfId="25070"/>
    <cellStyle name="Currency 3 5 3" xfId="25071"/>
    <cellStyle name="Currency 3 6" xfId="25072"/>
    <cellStyle name="Currency 3 7" xfId="25073"/>
    <cellStyle name="Currency 30" xfId="25074"/>
    <cellStyle name="Currency 30 2" xfId="25075"/>
    <cellStyle name="Currency 30 2 2" xfId="25076"/>
    <cellStyle name="Currency 30 2 3" xfId="25077"/>
    <cellStyle name="Currency 30 3" xfId="25078"/>
    <cellStyle name="Currency 30 4" xfId="25079"/>
    <cellStyle name="Currency 31" xfId="25080"/>
    <cellStyle name="Currency 31 2" xfId="25081"/>
    <cellStyle name="Currency 31 2 2" xfId="25082"/>
    <cellStyle name="Currency 31 2 3" xfId="25083"/>
    <cellStyle name="Currency 31 3" xfId="25084"/>
    <cellStyle name="Currency 31 4" xfId="25085"/>
    <cellStyle name="Currency 32" xfId="25086"/>
    <cellStyle name="Currency 32 2" xfId="25087"/>
    <cellStyle name="Currency 32 3" xfId="25088"/>
    <cellStyle name="Currency 33" xfId="25089"/>
    <cellStyle name="Currency 33 2" xfId="25090"/>
    <cellStyle name="Currency 33 3" xfId="25091"/>
    <cellStyle name="Currency 34" xfId="25092"/>
    <cellStyle name="Currency 34 2" xfId="25093"/>
    <cellStyle name="Currency 34 3" xfId="25094"/>
    <cellStyle name="Currency 35" xfId="25095"/>
    <cellStyle name="Currency 35 2" xfId="25096"/>
    <cellStyle name="Currency 35 3" xfId="25097"/>
    <cellStyle name="Currency 36" xfId="25098"/>
    <cellStyle name="Currency 36 2" xfId="25099"/>
    <cellStyle name="Currency 36 3" xfId="25100"/>
    <cellStyle name="Currency 37" xfId="25101"/>
    <cellStyle name="Currency 37 2" xfId="25102"/>
    <cellStyle name="Currency 37 3" xfId="25103"/>
    <cellStyle name="Currency 38" xfId="25104"/>
    <cellStyle name="Currency 38 2" xfId="25105"/>
    <cellStyle name="Currency 38 2 2" xfId="25106"/>
    <cellStyle name="Currency 38 2 3" xfId="25107"/>
    <cellStyle name="Currency 38 3" xfId="25108"/>
    <cellStyle name="Currency 38 4" xfId="25109"/>
    <cellStyle name="Currency 39" xfId="25110"/>
    <cellStyle name="Currency 39 2" xfId="25111"/>
    <cellStyle name="Currency 39 2 2" xfId="25112"/>
    <cellStyle name="Currency 39 2 3" xfId="25113"/>
    <cellStyle name="Currency 39 3" xfId="25114"/>
    <cellStyle name="Currency 39 4" xfId="25115"/>
    <cellStyle name="Currency 4" xfId="25116"/>
    <cellStyle name="Currency 4 2" xfId="25117"/>
    <cellStyle name="Currency 4 2 2" xfId="25118"/>
    <cellStyle name="Currency 4 2 2 2" xfId="25119"/>
    <cellStyle name="Currency 4 2 2 2 2" xfId="25120"/>
    <cellStyle name="Currency 4 2 2 2 2 2" xfId="25121"/>
    <cellStyle name="Currency 4 2 2 2 3" xfId="25122"/>
    <cellStyle name="Currency 4 2 2 3" xfId="25123"/>
    <cellStyle name="Currency 4 2 2 3 2" xfId="25124"/>
    <cellStyle name="Currency 4 2 2 4" xfId="25125"/>
    <cellStyle name="Currency 4 2 3" xfId="25126"/>
    <cellStyle name="Currency 4 2 3 2" xfId="25127"/>
    <cellStyle name="Currency 4 2 3 2 2" xfId="25128"/>
    <cellStyle name="Currency 4 2 3 3" xfId="25129"/>
    <cellStyle name="Currency 4 2 4" xfId="25130"/>
    <cellStyle name="Currency 4 2 4 2" xfId="25131"/>
    <cellStyle name="Currency 4 2 5" xfId="25132"/>
    <cellStyle name="Currency 4 3" xfId="25133"/>
    <cellStyle name="Currency 4 4" xfId="25134"/>
    <cellStyle name="Currency 4 5" xfId="25135"/>
    <cellStyle name="Currency 40" xfId="25136"/>
    <cellStyle name="Currency 40 2" xfId="25137"/>
    <cellStyle name="Currency 40 2 2" xfId="25138"/>
    <cellStyle name="Currency 40 2 3" xfId="25139"/>
    <cellStyle name="Currency 40 3" xfId="25140"/>
    <cellStyle name="Currency 40 4" xfId="25141"/>
    <cellStyle name="Currency 41" xfId="25142"/>
    <cellStyle name="Currency 41 2" xfId="25143"/>
    <cellStyle name="Currency 41 2 2" xfId="25144"/>
    <cellStyle name="Currency 41 2 3" xfId="25145"/>
    <cellStyle name="Currency 41 3" xfId="25146"/>
    <cellStyle name="Currency 41 4" xfId="25147"/>
    <cellStyle name="Currency 42" xfId="25148"/>
    <cellStyle name="Currency 42 2" xfId="25149"/>
    <cellStyle name="Currency 42 3" xfId="25150"/>
    <cellStyle name="Currency 43" xfId="25151"/>
    <cellStyle name="Currency 43 2" xfId="25152"/>
    <cellStyle name="Currency 43 3" xfId="25153"/>
    <cellStyle name="Currency 44" xfId="25154"/>
    <cellStyle name="Currency 44 2" xfId="25155"/>
    <cellStyle name="Currency 44 3" xfId="25156"/>
    <cellStyle name="Currency 45" xfId="25157"/>
    <cellStyle name="Currency 45 2" xfId="25158"/>
    <cellStyle name="Currency 45 3" xfId="25159"/>
    <cellStyle name="Currency 46" xfId="25160"/>
    <cellStyle name="Currency 46 2" xfId="25161"/>
    <cellStyle name="Currency 46 3" xfId="25162"/>
    <cellStyle name="Currency 47" xfId="25163"/>
    <cellStyle name="Currency 47 2" xfId="25164"/>
    <cellStyle name="Currency 47 3" xfId="25165"/>
    <cellStyle name="Currency 48" xfId="25166"/>
    <cellStyle name="Currency 48 2" xfId="25167"/>
    <cellStyle name="Currency 48 3" xfId="25168"/>
    <cellStyle name="Currency 49" xfId="25169"/>
    <cellStyle name="Currency 49 2" xfId="25170"/>
    <cellStyle name="Currency 49 3" xfId="25171"/>
    <cellStyle name="Currency 5" xfId="25172"/>
    <cellStyle name="Currency 5 2" xfId="25173"/>
    <cellStyle name="Currency 5 2 2" xfId="25174"/>
    <cellStyle name="Currency 5 2 3" xfId="25175"/>
    <cellStyle name="Currency 5 3" xfId="25176"/>
    <cellStyle name="Currency 5 3 2" xfId="25177"/>
    <cellStyle name="Currency 5 3 3" xfId="25178"/>
    <cellStyle name="Currency 5 4" xfId="25179"/>
    <cellStyle name="Currency 5 5" xfId="25180"/>
    <cellStyle name="Currency 5 6" xfId="25181"/>
    <cellStyle name="Currency 50" xfId="25182"/>
    <cellStyle name="Currency 50 2" xfId="25183"/>
    <cellStyle name="Currency 50 3" xfId="25184"/>
    <cellStyle name="Currency 51" xfId="25185"/>
    <cellStyle name="Currency 51 2" xfId="25186"/>
    <cellStyle name="Currency 51 3" xfId="25187"/>
    <cellStyle name="Currency 52" xfId="25188"/>
    <cellStyle name="Currency 52 2" xfId="25189"/>
    <cellStyle name="Currency 52 3" xfId="25190"/>
    <cellStyle name="Currency 53" xfId="25191"/>
    <cellStyle name="Currency 53 2" xfId="25192"/>
    <cellStyle name="Currency 53 3" xfId="25193"/>
    <cellStyle name="Currency 54" xfId="25194"/>
    <cellStyle name="Currency 54 2" xfId="25195"/>
    <cellStyle name="Currency 54 3" xfId="25196"/>
    <cellStyle name="Currency 55" xfId="25197"/>
    <cellStyle name="Currency 55 2" xfId="25198"/>
    <cellStyle name="Currency 55 3" xfId="25199"/>
    <cellStyle name="Currency 56" xfId="25200"/>
    <cellStyle name="Currency 56 2" xfId="25201"/>
    <cellStyle name="Currency 56 3" xfId="25202"/>
    <cellStyle name="Currency 57" xfId="25203"/>
    <cellStyle name="Currency 57 2" xfId="25204"/>
    <cellStyle name="Currency 57 3" xfId="25205"/>
    <cellStyle name="Currency 58" xfId="25206"/>
    <cellStyle name="Currency 58 2" xfId="25207"/>
    <cellStyle name="Currency 58 3" xfId="25208"/>
    <cellStyle name="Currency 59" xfId="25209"/>
    <cellStyle name="Currency 59 2" xfId="25210"/>
    <cellStyle name="Currency 59 3" xfId="25211"/>
    <cellStyle name="Currency 6" xfId="25212"/>
    <cellStyle name="Currency 6 2" xfId="25213"/>
    <cellStyle name="Currency 6 2 2" xfId="25214"/>
    <cellStyle name="Currency 6 2 3" xfId="25215"/>
    <cellStyle name="Currency 6 3" xfId="25216"/>
    <cellStyle name="Currency 6 3 2" xfId="25217"/>
    <cellStyle name="Currency 6 4" xfId="25218"/>
    <cellStyle name="Currency 60" xfId="25219"/>
    <cellStyle name="Currency 60 2" xfId="25220"/>
    <cellStyle name="Currency 60 3" xfId="25221"/>
    <cellStyle name="Currency 61" xfId="25222"/>
    <cellStyle name="Currency 61 2" xfId="25223"/>
    <cellStyle name="Currency 61 3" xfId="25224"/>
    <cellStyle name="Currency 62" xfId="25225"/>
    <cellStyle name="Currency 62 2" xfId="25226"/>
    <cellStyle name="Currency 62 3" xfId="25227"/>
    <cellStyle name="Currency 63" xfId="25228"/>
    <cellStyle name="Currency 63 2" xfId="25229"/>
    <cellStyle name="Currency 63 3" xfId="25230"/>
    <cellStyle name="Currency 64" xfId="25231"/>
    <cellStyle name="Currency 64 2" xfId="25232"/>
    <cellStyle name="Currency 64 3" xfId="25233"/>
    <cellStyle name="Currency 65" xfId="25234"/>
    <cellStyle name="Currency 65 2" xfId="25235"/>
    <cellStyle name="Currency 65 3" xfId="25236"/>
    <cellStyle name="Currency 66" xfId="25237"/>
    <cellStyle name="Currency 66 2" xfId="25238"/>
    <cellStyle name="Currency 66 2 2" xfId="25239"/>
    <cellStyle name="Currency 66 3" xfId="25240"/>
    <cellStyle name="Currency 67" xfId="25241"/>
    <cellStyle name="Currency 67 2" xfId="25242"/>
    <cellStyle name="Currency 67 2 2" xfId="25243"/>
    <cellStyle name="Currency 67 3" xfId="25244"/>
    <cellStyle name="Currency 68" xfId="25245"/>
    <cellStyle name="Currency 68 2" xfId="25246"/>
    <cellStyle name="Currency 68 2 2" xfId="25247"/>
    <cellStyle name="Currency 68 3" xfId="25248"/>
    <cellStyle name="Currency 69" xfId="25249"/>
    <cellStyle name="Currency 69 2" xfId="25250"/>
    <cellStyle name="Currency 69 2 2" xfId="25251"/>
    <cellStyle name="Currency 69 3" xfId="25252"/>
    <cellStyle name="Currency 7" xfId="25253"/>
    <cellStyle name="Currency 7 2" xfId="25254"/>
    <cellStyle name="Currency 7 2 2" xfId="25255"/>
    <cellStyle name="Currency 7 2 3" xfId="25256"/>
    <cellStyle name="Currency 7 3" xfId="25257"/>
    <cellStyle name="Currency 7 3 2" xfId="25258"/>
    <cellStyle name="Currency 7 4" xfId="25259"/>
    <cellStyle name="Currency 70" xfId="25260"/>
    <cellStyle name="Currency 70 2" xfId="25261"/>
    <cellStyle name="Currency 70 2 2" xfId="25262"/>
    <cellStyle name="Currency 70 3" xfId="25263"/>
    <cellStyle name="Currency 71" xfId="25264"/>
    <cellStyle name="Currency 71 2" xfId="25265"/>
    <cellStyle name="Currency 71 2 2" xfId="25266"/>
    <cellStyle name="Currency 71 3" xfId="25267"/>
    <cellStyle name="Currency 72" xfId="25268"/>
    <cellStyle name="Currency 72 2" xfId="25269"/>
    <cellStyle name="Currency 72 2 2" xfId="25270"/>
    <cellStyle name="Currency 72 3" xfId="25271"/>
    <cellStyle name="Currency 73" xfId="25272"/>
    <cellStyle name="Currency 73 2" xfId="25273"/>
    <cellStyle name="Currency 73 2 2" xfId="25274"/>
    <cellStyle name="Currency 73 3" xfId="25275"/>
    <cellStyle name="Currency 74" xfId="25276"/>
    <cellStyle name="Currency 74 2" xfId="25277"/>
    <cellStyle name="Currency 74 3" xfId="25278"/>
    <cellStyle name="Currency 75" xfId="25279"/>
    <cellStyle name="Currency 75 2" xfId="25280"/>
    <cellStyle name="Currency 75 3" xfId="25281"/>
    <cellStyle name="Currency 76" xfId="25282"/>
    <cellStyle name="Currency 76 2" xfId="25283"/>
    <cellStyle name="Currency 76 3" xfId="25284"/>
    <cellStyle name="Currency 77" xfId="25285"/>
    <cellStyle name="Currency 77 2" xfId="25286"/>
    <cellStyle name="Currency 77 2 2" xfId="25287"/>
    <cellStyle name="Currency 77 2 2 2" xfId="25288"/>
    <cellStyle name="Currency 77 2 3" xfId="25289"/>
    <cellStyle name="Currency 77 2 3 2" xfId="25290"/>
    <cellStyle name="Currency 77 3" xfId="25291"/>
    <cellStyle name="Currency 77 3 2" xfId="25292"/>
    <cellStyle name="Currency 77 3 2 2" xfId="25293"/>
    <cellStyle name="Currency 77 3 3" xfId="25294"/>
    <cellStyle name="Currency 77 3 4" xfId="25295"/>
    <cellStyle name="Currency 77 4" xfId="25296"/>
    <cellStyle name="Currency 77 4 2" xfId="25297"/>
    <cellStyle name="Currency 77 5" xfId="25298"/>
    <cellStyle name="Currency 77 5 2" xfId="25299"/>
    <cellStyle name="Currency 77 6" xfId="25300"/>
    <cellStyle name="Currency 78" xfId="25301"/>
    <cellStyle name="Currency 78 2" xfId="25302"/>
    <cellStyle name="Currency 78 2 2" xfId="25303"/>
    <cellStyle name="Currency 78 2 2 2" xfId="25304"/>
    <cellStyle name="Currency 78 2 3" xfId="25305"/>
    <cellStyle name="Currency 78 2 3 2" xfId="25306"/>
    <cellStyle name="Currency 78 3" xfId="25307"/>
    <cellStyle name="Currency 78 3 2" xfId="25308"/>
    <cellStyle name="Currency 78 3 2 2" xfId="25309"/>
    <cellStyle name="Currency 78 3 3" xfId="25310"/>
    <cellStyle name="Currency 78 3 4" xfId="25311"/>
    <cellStyle name="Currency 78 4" xfId="25312"/>
    <cellStyle name="Currency 78 4 2" xfId="25313"/>
    <cellStyle name="Currency 78 5" xfId="25314"/>
    <cellStyle name="Currency 78 5 2" xfId="25315"/>
    <cellStyle name="Currency 78 6" xfId="25316"/>
    <cellStyle name="Currency 79" xfId="25317"/>
    <cellStyle name="Currency 79 2" xfId="25318"/>
    <cellStyle name="Currency 79 3" xfId="25319"/>
    <cellStyle name="Currency 8" xfId="25320"/>
    <cellStyle name="Currency 8 2" xfId="25321"/>
    <cellStyle name="Currency 8 2 2" xfId="25322"/>
    <cellStyle name="Currency 8 2 3" xfId="25323"/>
    <cellStyle name="Currency 8 3" xfId="25324"/>
    <cellStyle name="Currency 8 3 2" xfId="25325"/>
    <cellStyle name="Currency 8 4" xfId="25326"/>
    <cellStyle name="Currency 80" xfId="25327"/>
    <cellStyle name="Currency 80 2" xfId="25328"/>
    <cellStyle name="Currency 80 3" xfId="25329"/>
    <cellStyle name="Currency 81" xfId="25330"/>
    <cellStyle name="Currency 81 2" xfId="25331"/>
    <cellStyle name="Currency 81 3" xfId="25332"/>
    <cellStyle name="Currency 82" xfId="25333"/>
    <cellStyle name="Currency 82 2" xfId="25334"/>
    <cellStyle name="Currency 82 3" xfId="25335"/>
    <cellStyle name="Currency 83" xfId="25336"/>
    <cellStyle name="Currency 83 2" xfId="25337"/>
    <cellStyle name="Currency 83 3" xfId="25338"/>
    <cellStyle name="Currency 84" xfId="25339"/>
    <cellStyle name="Currency 84 2" xfId="25340"/>
    <cellStyle name="Currency 84 3" xfId="25341"/>
    <cellStyle name="Currency 85" xfId="25342"/>
    <cellStyle name="Currency 85 2" xfId="25343"/>
    <cellStyle name="Currency 85 3" xfId="25344"/>
    <cellStyle name="Currency 86" xfId="25345"/>
    <cellStyle name="Currency 86 2" xfId="25346"/>
    <cellStyle name="Currency 86 3" xfId="25347"/>
    <cellStyle name="Currency 87" xfId="25348"/>
    <cellStyle name="Currency 87 2" xfId="25349"/>
    <cellStyle name="Currency 87 3" xfId="25350"/>
    <cellStyle name="Currency 88" xfId="25351"/>
    <cellStyle name="Currency 88 2" xfId="25352"/>
    <cellStyle name="Currency 88 3" xfId="25353"/>
    <cellStyle name="Currency 89" xfId="25354"/>
    <cellStyle name="Currency 89 2" xfId="25355"/>
    <cellStyle name="Currency 89 3" xfId="25356"/>
    <cellStyle name="Currency 9" xfId="25357"/>
    <cellStyle name="Currency 9 2" xfId="25358"/>
    <cellStyle name="Currency 9 2 2" xfId="25359"/>
    <cellStyle name="Currency 9 2 2 2" xfId="25360"/>
    <cellStyle name="Currency 9 2 2 2 2" xfId="25361"/>
    <cellStyle name="Currency 9 2 2 3" xfId="25362"/>
    <cellStyle name="Currency 9 2 3" xfId="25363"/>
    <cellStyle name="Currency 9 2 3 2" xfId="25364"/>
    <cellStyle name="Currency 9 2 4" xfId="25365"/>
    <cellStyle name="Currency 9 3" xfId="25366"/>
    <cellStyle name="Currency 9 3 2" xfId="25367"/>
    <cellStyle name="Currency 9 3 2 2" xfId="25368"/>
    <cellStyle name="Currency 9 3 3" xfId="25369"/>
    <cellStyle name="Currency 9 4" xfId="25370"/>
    <cellStyle name="Currency 9 4 2" xfId="25371"/>
    <cellStyle name="Currency 9 5" xfId="25372"/>
    <cellStyle name="Currency 90" xfId="25373"/>
    <cellStyle name="Currency 90 2" xfId="25374"/>
    <cellStyle name="Currency 90 3" xfId="25375"/>
    <cellStyle name="Currency 91" xfId="25376"/>
    <cellStyle name="Currency 91 2" xfId="25377"/>
    <cellStyle name="Currency 92" xfId="25378"/>
    <cellStyle name="Currency 92 2" xfId="25379"/>
    <cellStyle name="Currency 93" xfId="25380"/>
    <cellStyle name="Currency 93 2" xfId="25381"/>
    <cellStyle name="Currency 94" xfId="25382"/>
    <cellStyle name="Currency 94 2" xfId="25383"/>
    <cellStyle name="Currency 95" xfId="25384"/>
    <cellStyle name="Currency 95 2" xfId="25385"/>
    <cellStyle name="Currency 96" xfId="25386"/>
    <cellStyle name="Currency 96 2" xfId="25387"/>
    <cellStyle name="Currency 97" xfId="25388"/>
    <cellStyle name="Currency 97 2" xfId="25389"/>
    <cellStyle name="Currency 98" xfId="25390"/>
    <cellStyle name="Currency 98 2" xfId="25391"/>
    <cellStyle name="Currency 99" xfId="25392"/>
    <cellStyle name="Currency 99 2" xfId="25393"/>
    <cellStyle name="Currency Simple" xfId="25394"/>
    <cellStyle name="Currency0" xfId="25395"/>
    <cellStyle name="Currency0 2" xfId="25396"/>
    <cellStyle name="Currency0 2 2" xfId="25397"/>
    <cellStyle name="Currency0 3" xfId="25398"/>
    <cellStyle name="Currency0 4" xfId="25399"/>
    <cellStyle name="Currency0 5" xfId="25400"/>
    <cellStyle name="Currency0 6" xfId="25401"/>
    <cellStyle name="Currency0 7" xfId="25402"/>
    <cellStyle name="CurrencyA" xfId="25403"/>
    <cellStyle name="CurrencyA 2" xfId="25404"/>
    <cellStyle name="CurrencyA 2 2" xfId="25405"/>
    <cellStyle name="CurrencyA 2 2 2" xfId="25406"/>
    <cellStyle name="CurrencyA 2 2 2 2" xfId="25407"/>
    <cellStyle name="CurrencyA 2 2 2 2 2" xfId="25408"/>
    <cellStyle name="CurrencyA 2 2 2 2 3" xfId="25409"/>
    <cellStyle name="CurrencyA 2 2 2 3" xfId="25410"/>
    <cellStyle name="CurrencyA 2 2 2 3 2" xfId="25411"/>
    <cellStyle name="CurrencyA 2 2 2 3 3" xfId="25412"/>
    <cellStyle name="CurrencyA 2 2 2 4" xfId="25413"/>
    <cellStyle name="CurrencyA 2 2 2 4 2" xfId="25414"/>
    <cellStyle name="CurrencyA 2 2 2 4 3" xfId="25415"/>
    <cellStyle name="CurrencyA 2 2 2 5" xfId="25416"/>
    <cellStyle name="CurrencyA 2 2 2 5 2" xfId="25417"/>
    <cellStyle name="CurrencyA 2 2 2 5 3" xfId="25418"/>
    <cellStyle name="CurrencyA 2 2 2 6" xfId="25419"/>
    <cellStyle name="CurrencyA 2 2 2 6 2" xfId="25420"/>
    <cellStyle name="CurrencyA 2 2 2 6 3" xfId="25421"/>
    <cellStyle name="CurrencyA 2 2 2 7" xfId="25422"/>
    <cellStyle name="CurrencyA 2 2 2 8" xfId="25423"/>
    <cellStyle name="CurrencyA 2 2 3" xfId="25424"/>
    <cellStyle name="CurrencyA 2 2 3 2" xfId="25425"/>
    <cellStyle name="CurrencyA 2 2 3 3" xfId="25426"/>
    <cellStyle name="CurrencyA 2 2 4" xfId="25427"/>
    <cellStyle name="CurrencyA 2 2 4 2" xfId="25428"/>
    <cellStyle name="CurrencyA 2 2 4 3" xfId="25429"/>
    <cellStyle name="CurrencyA 2 2 5" xfId="25430"/>
    <cellStyle name="CurrencyA 2 2 5 2" xfId="25431"/>
    <cellStyle name="CurrencyA 2 2 5 3" xfId="25432"/>
    <cellStyle name="CurrencyA 2 2 6" xfId="25433"/>
    <cellStyle name="CurrencyA 2 2 6 2" xfId="25434"/>
    <cellStyle name="CurrencyA 2 2 6 3" xfId="25435"/>
    <cellStyle name="CurrencyA 2 2 7" xfId="25436"/>
    <cellStyle name="CurrencyA 2 2 7 2" xfId="25437"/>
    <cellStyle name="CurrencyA 2 2 7 3" xfId="25438"/>
    <cellStyle name="CurrencyA 2 2 8" xfId="25439"/>
    <cellStyle name="CurrencyA 2 2 9" xfId="25440"/>
    <cellStyle name="CurrencyA 2 3" xfId="25441"/>
    <cellStyle name="CurrencyA 2 3 2" xfId="25442"/>
    <cellStyle name="CurrencyA 2 3 2 2" xfId="25443"/>
    <cellStyle name="CurrencyA 2 3 2 3" xfId="25444"/>
    <cellStyle name="CurrencyA 2 3 3" xfId="25445"/>
    <cellStyle name="CurrencyA 2 3 3 2" xfId="25446"/>
    <cellStyle name="CurrencyA 2 3 3 3" xfId="25447"/>
    <cellStyle name="CurrencyA 2 3 4" xfId="25448"/>
    <cellStyle name="CurrencyA 2 3 4 2" xfId="25449"/>
    <cellStyle name="CurrencyA 2 3 4 3" xfId="25450"/>
    <cellStyle name="CurrencyA 2 3 5" xfId="25451"/>
    <cellStyle name="CurrencyA 2 3 5 2" xfId="25452"/>
    <cellStyle name="CurrencyA 2 3 5 3" xfId="25453"/>
    <cellStyle name="CurrencyA 2 3 6" xfId="25454"/>
    <cellStyle name="CurrencyA 2 3 6 2" xfId="25455"/>
    <cellStyle name="CurrencyA 2 3 6 3" xfId="25456"/>
    <cellStyle name="CurrencyA 2 3 7" xfId="25457"/>
    <cellStyle name="CurrencyA 2 3 8" xfId="25458"/>
    <cellStyle name="CurrencyA 2 4" xfId="25459"/>
    <cellStyle name="CurrencyA 2 4 2" xfId="25460"/>
    <cellStyle name="CurrencyA 2 4 3" xfId="25461"/>
    <cellStyle name="CurrencyA 2 5" xfId="25462"/>
    <cellStyle name="CurrencyA 2 5 2" xfId="25463"/>
    <cellStyle name="CurrencyA 2 5 3" xfId="25464"/>
    <cellStyle name="CurrencyA 2 6" xfId="25465"/>
    <cellStyle name="CurrencyA 2 6 2" xfId="25466"/>
    <cellStyle name="CurrencyA 2 6 3" xfId="25467"/>
    <cellStyle name="CurrencyA 2 7" xfId="25468"/>
    <cellStyle name="CurrencyA 2 8" xfId="25469"/>
    <cellStyle name="CurrencyA 3" xfId="25470"/>
    <cellStyle name="CurrencyA 3 2" xfId="25471"/>
    <cellStyle name="CurrencyA 3 2 2" xfId="25472"/>
    <cellStyle name="CurrencyA 3 2 2 2" xfId="25473"/>
    <cellStyle name="CurrencyA 3 2 2 3" xfId="25474"/>
    <cellStyle name="CurrencyA 3 2 3" xfId="25475"/>
    <cellStyle name="CurrencyA 3 2 3 2" xfId="25476"/>
    <cellStyle name="CurrencyA 3 2 3 3" xfId="25477"/>
    <cellStyle name="CurrencyA 3 2 4" xfId="25478"/>
    <cellStyle name="CurrencyA 3 2 4 2" xfId="25479"/>
    <cellStyle name="CurrencyA 3 2 4 3" xfId="25480"/>
    <cellStyle name="CurrencyA 3 2 5" xfId="25481"/>
    <cellStyle name="CurrencyA 3 2 5 2" xfId="25482"/>
    <cellStyle name="CurrencyA 3 2 5 3" xfId="25483"/>
    <cellStyle name="CurrencyA 3 2 6" xfId="25484"/>
    <cellStyle name="CurrencyA 3 2 6 2" xfId="25485"/>
    <cellStyle name="CurrencyA 3 2 6 3" xfId="25486"/>
    <cellStyle name="CurrencyA 3 2 7" xfId="25487"/>
    <cellStyle name="CurrencyA 3 2 8" xfId="25488"/>
    <cellStyle name="CurrencyA 3 3" xfId="25489"/>
    <cellStyle name="CurrencyA 3 3 2" xfId="25490"/>
    <cellStyle name="CurrencyA 3 3 3" xfId="25491"/>
    <cellStyle name="CurrencyA 3 4" xfId="25492"/>
    <cellStyle name="CurrencyA 3 4 2" xfId="25493"/>
    <cellStyle name="CurrencyA 3 4 3" xfId="25494"/>
    <cellStyle name="CurrencyA 3 5" xfId="25495"/>
    <cellStyle name="CurrencyA 3 5 2" xfId="25496"/>
    <cellStyle name="CurrencyA 3 5 3" xfId="25497"/>
    <cellStyle name="CurrencyA 3 6" xfId="25498"/>
    <cellStyle name="CurrencyA 3 6 2" xfId="25499"/>
    <cellStyle name="CurrencyA 3 6 3" xfId="25500"/>
    <cellStyle name="CurrencyA 3 7" xfId="25501"/>
    <cellStyle name="CurrencyA 3 7 2" xfId="25502"/>
    <cellStyle name="CurrencyA 3 7 3" xfId="25503"/>
    <cellStyle name="CurrencyA 3 8" xfId="25504"/>
    <cellStyle name="CurrencyA 3 9" xfId="25505"/>
    <cellStyle name="CurrencyA 4" xfId="25506"/>
    <cellStyle name="CurrencyA 4 2" xfId="25507"/>
    <cellStyle name="CurrencyA 4 2 2" xfId="25508"/>
    <cellStyle name="CurrencyA 4 2 3" xfId="25509"/>
    <cellStyle name="CurrencyA 4 3" xfId="25510"/>
    <cellStyle name="CurrencyA 4 3 2" xfId="25511"/>
    <cellStyle name="CurrencyA 4 3 3" xfId="25512"/>
    <cellStyle name="CurrencyA 4 4" xfId="25513"/>
    <cellStyle name="CurrencyA 4 4 2" xfId="25514"/>
    <cellStyle name="CurrencyA 4 4 3" xfId="25515"/>
    <cellStyle name="CurrencyA 4 5" xfId="25516"/>
    <cellStyle name="CurrencyA 4 5 2" xfId="25517"/>
    <cellStyle name="CurrencyA 4 5 3" xfId="25518"/>
    <cellStyle name="CurrencyA 4 6" xfId="25519"/>
    <cellStyle name="CurrencyA 4 6 2" xfId="25520"/>
    <cellStyle name="CurrencyA 4 6 3" xfId="25521"/>
    <cellStyle name="CurrencyA 4 7" xfId="25522"/>
    <cellStyle name="CurrencyA 4 8" xfId="25523"/>
    <cellStyle name="CurrencyA 5" xfId="25524"/>
    <cellStyle name="CurrencyA 5 2" xfId="25525"/>
    <cellStyle name="CurrencyA 5 3" xfId="25526"/>
    <cellStyle name="CurrencyA 6" xfId="25527"/>
    <cellStyle name="CurrencyA 6 2" xfId="25528"/>
    <cellStyle name="CurrencyA 6 3" xfId="25529"/>
    <cellStyle name="CurrencyA 7" xfId="25530"/>
    <cellStyle name="CurrencyA 7 2" xfId="25531"/>
    <cellStyle name="CurrencyA 7 3" xfId="25532"/>
    <cellStyle name="CurrencyA 8" xfId="25533"/>
    <cellStyle name="CurrencyA 9" xfId="25534"/>
    <cellStyle name="CurrencyC" xfId="25535"/>
    <cellStyle name="CurrencyC 2" xfId="25536"/>
    <cellStyle name="CurrencyC 2 2" xfId="25537"/>
    <cellStyle name="CurrencyC 2 2 2" xfId="25538"/>
    <cellStyle name="CurrencyC 2 2 2 2" xfId="25539"/>
    <cellStyle name="CurrencyC 2 2 2 2 2" xfId="25540"/>
    <cellStyle name="CurrencyC 2 2 2 2 3" xfId="25541"/>
    <cellStyle name="CurrencyC 2 2 2 3" xfId="25542"/>
    <cellStyle name="CurrencyC 2 2 2 3 2" xfId="25543"/>
    <cellStyle name="CurrencyC 2 2 2 3 3" xfId="25544"/>
    <cellStyle name="CurrencyC 2 2 2 4" xfId="25545"/>
    <cellStyle name="CurrencyC 2 2 2 4 2" xfId="25546"/>
    <cellStyle name="CurrencyC 2 2 2 4 3" xfId="25547"/>
    <cellStyle name="CurrencyC 2 2 2 5" xfId="25548"/>
    <cellStyle name="CurrencyC 2 2 2 5 2" xfId="25549"/>
    <cellStyle name="CurrencyC 2 2 2 5 3" xfId="25550"/>
    <cellStyle name="CurrencyC 2 2 2 6" xfId="25551"/>
    <cellStyle name="CurrencyC 2 2 2 6 2" xfId="25552"/>
    <cellStyle name="CurrencyC 2 2 2 6 3" xfId="25553"/>
    <cellStyle name="CurrencyC 2 2 2 7" xfId="25554"/>
    <cellStyle name="CurrencyC 2 2 2 8" xfId="25555"/>
    <cellStyle name="CurrencyC 2 2 3" xfId="25556"/>
    <cellStyle name="CurrencyC 2 2 3 2" xfId="25557"/>
    <cellStyle name="CurrencyC 2 2 3 3" xfId="25558"/>
    <cellStyle name="CurrencyC 2 2 4" xfId="25559"/>
    <cellStyle name="CurrencyC 2 2 4 2" xfId="25560"/>
    <cellStyle name="CurrencyC 2 2 4 3" xfId="25561"/>
    <cellStyle name="CurrencyC 2 2 5" xfId="25562"/>
    <cellStyle name="CurrencyC 2 2 5 2" xfId="25563"/>
    <cellStyle name="CurrencyC 2 2 5 3" xfId="25564"/>
    <cellStyle name="CurrencyC 2 2 6" xfId="25565"/>
    <cellStyle name="CurrencyC 2 2 6 2" xfId="25566"/>
    <cellStyle name="CurrencyC 2 2 6 3" xfId="25567"/>
    <cellStyle name="CurrencyC 2 2 7" xfId="25568"/>
    <cellStyle name="CurrencyC 2 2 7 2" xfId="25569"/>
    <cellStyle name="CurrencyC 2 2 7 3" xfId="25570"/>
    <cellStyle name="CurrencyC 2 2 8" xfId="25571"/>
    <cellStyle name="CurrencyC 2 2 9" xfId="25572"/>
    <cellStyle name="CurrencyC 2 3" xfId="25573"/>
    <cellStyle name="CurrencyC 2 3 2" xfId="25574"/>
    <cellStyle name="CurrencyC 2 3 2 2" xfId="25575"/>
    <cellStyle name="CurrencyC 2 3 2 3" xfId="25576"/>
    <cellStyle name="CurrencyC 2 3 3" xfId="25577"/>
    <cellStyle name="CurrencyC 2 3 3 2" xfId="25578"/>
    <cellStyle name="CurrencyC 2 3 3 3" xfId="25579"/>
    <cellStyle name="CurrencyC 2 3 4" xfId="25580"/>
    <cellStyle name="CurrencyC 2 3 4 2" xfId="25581"/>
    <cellStyle name="CurrencyC 2 3 4 3" xfId="25582"/>
    <cellStyle name="CurrencyC 2 3 5" xfId="25583"/>
    <cellStyle name="CurrencyC 2 3 5 2" xfId="25584"/>
    <cellStyle name="CurrencyC 2 3 5 3" xfId="25585"/>
    <cellStyle name="CurrencyC 2 3 6" xfId="25586"/>
    <cellStyle name="CurrencyC 2 3 6 2" xfId="25587"/>
    <cellStyle name="CurrencyC 2 3 6 3" xfId="25588"/>
    <cellStyle name="CurrencyC 2 3 7" xfId="25589"/>
    <cellStyle name="CurrencyC 2 3 8" xfId="25590"/>
    <cellStyle name="CurrencyC 2 4" xfId="25591"/>
    <cellStyle name="CurrencyC 2 4 2" xfId="25592"/>
    <cellStyle name="CurrencyC 2 4 3" xfId="25593"/>
    <cellStyle name="CurrencyC 2 5" xfId="25594"/>
    <cellStyle name="CurrencyC 2 5 2" xfId="25595"/>
    <cellStyle name="CurrencyC 2 5 3" xfId="25596"/>
    <cellStyle name="CurrencyC 2 6" xfId="25597"/>
    <cellStyle name="CurrencyC 2 6 2" xfId="25598"/>
    <cellStyle name="CurrencyC 2 6 3" xfId="25599"/>
    <cellStyle name="CurrencyC 2 7" xfId="25600"/>
    <cellStyle name="CurrencyC 2 8" xfId="25601"/>
    <cellStyle name="CurrencyC 3" xfId="25602"/>
    <cellStyle name="CurrencyC 3 2" xfId="25603"/>
    <cellStyle name="CurrencyC 3 2 2" xfId="25604"/>
    <cellStyle name="CurrencyC 3 2 2 2" xfId="25605"/>
    <cellStyle name="CurrencyC 3 2 2 3" xfId="25606"/>
    <cellStyle name="CurrencyC 3 2 3" xfId="25607"/>
    <cellStyle name="CurrencyC 3 2 3 2" xfId="25608"/>
    <cellStyle name="CurrencyC 3 2 3 3" xfId="25609"/>
    <cellStyle name="CurrencyC 3 2 4" xfId="25610"/>
    <cellStyle name="CurrencyC 3 2 4 2" xfId="25611"/>
    <cellStyle name="CurrencyC 3 2 4 3" xfId="25612"/>
    <cellStyle name="CurrencyC 3 2 5" xfId="25613"/>
    <cellStyle name="CurrencyC 3 2 5 2" xfId="25614"/>
    <cellStyle name="CurrencyC 3 2 5 3" xfId="25615"/>
    <cellStyle name="CurrencyC 3 2 6" xfId="25616"/>
    <cellStyle name="CurrencyC 3 2 6 2" xfId="25617"/>
    <cellStyle name="CurrencyC 3 2 6 3" xfId="25618"/>
    <cellStyle name="CurrencyC 3 2 7" xfId="25619"/>
    <cellStyle name="CurrencyC 3 2 8" xfId="25620"/>
    <cellStyle name="CurrencyC 3 3" xfId="25621"/>
    <cellStyle name="CurrencyC 3 3 2" xfId="25622"/>
    <cellStyle name="CurrencyC 3 3 3" xfId="25623"/>
    <cellStyle name="CurrencyC 3 4" xfId="25624"/>
    <cellStyle name="CurrencyC 3 4 2" xfId="25625"/>
    <cellStyle name="CurrencyC 3 4 3" xfId="25626"/>
    <cellStyle name="CurrencyC 3 5" xfId="25627"/>
    <cellStyle name="CurrencyC 3 5 2" xfId="25628"/>
    <cellStyle name="CurrencyC 3 5 3" xfId="25629"/>
    <cellStyle name="CurrencyC 3 6" xfId="25630"/>
    <cellStyle name="CurrencyC 3 6 2" xfId="25631"/>
    <cellStyle name="CurrencyC 3 6 3" xfId="25632"/>
    <cellStyle name="CurrencyC 3 7" xfId="25633"/>
    <cellStyle name="CurrencyC 3 7 2" xfId="25634"/>
    <cellStyle name="CurrencyC 3 7 3" xfId="25635"/>
    <cellStyle name="CurrencyC 3 8" xfId="25636"/>
    <cellStyle name="CurrencyC 3 9" xfId="25637"/>
    <cellStyle name="CurrencyC 4" xfId="25638"/>
    <cellStyle name="CurrencyC 4 2" xfId="25639"/>
    <cellStyle name="CurrencyC 4 2 2" xfId="25640"/>
    <cellStyle name="CurrencyC 4 2 3" xfId="25641"/>
    <cellStyle name="CurrencyC 4 3" xfId="25642"/>
    <cellStyle name="CurrencyC 4 3 2" xfId="25643"/>
    <cellStyle name="CurrencyC 4 3 3" xfId="25644"/>
    <cellStyle name="CurrencyC 4 4" xfId="25645"/>
    <cellStyle name="CurrencyC 4 4 2" xfId="25646"/>
    <cellStyle name="CurrencyC 4 4 3" xfId="25647"/>
    <cellStyle name="CurrencyC 4 5" xfId="25648"/>
    <cellStyle name="CurrencyC 4 5 2" xfId="25649"/>
    <cellStyle name="CurrencyC 4 5 3" xfId="25650"/>
    <cellStyle name="CurrencyC 4 6" xfId="25651"/>
    <cellStyle name="CurrencyC 4 6 2" xfId="25652"/>
    <cellStyle name="CurrencyC 4 6 3" xfId="25653"/>
    <cellStyle name="CurrencyC 4 7" xfId="25654"/>
    <cellStyle name="CurrencyC 4 8" xfId="25655"/>
    <cellStyle name="CurrencyC 5" xfId="25656"/>
    <cellStyle name="CurrencyC 5 2" xfId="25657"/>
    <cellStyle name="CurrencyC 5 3" xfId="25658"/>
    <cellStyle name="CurrencyC 6" xfId="25659"/>
    <cellStyle name="CurrencyC 6 2" xfId="25660"/>
    <cellStyle name="CurrencyC 6 3" xfId="25661"/>
    <cellStyle name="CurrencyC 7" xfId="25662"/>
    <cellStyle name="CurrencyC 7 2" xfId="25663"/>
    <cellStyle name="CurrencyC 7 3" xfId="25664"/>
    <cellStyle name="CurrencyC 8" xfId="25665"/>
    <cellStyle name="CurrencyC 9" xfId="25666"/>
    <cellStyle name="CurrencyExt" xfId="25667"/>
    <cellStyle name="CurrencyExt 2" xfId="25668"/>
    <cellStyle name="CurrencyExt 2 2" xfId="25669"/>
    <cellStyle name="CurrencyExt 2 2 2" xfId="25670"/>
    <cellStyle name="CurrencyExt 2 2 2 2" xfId="25671"/>
    <cellStyle name="CurrencyExt 2 2 2 2 2" xfId="25672"/>
    <cellStyle name="CurrencyExt 2 2 2 2 3" xfId="25673"/>
    <cellStyle name="CurrencyExt 2 2 2 3" xfId="25674"/>
    <cellStyle name="CurrencyExt 2 2 2 3 2" xfId="25675"/>
    <cellStyle name="CurrencyExt 2 2 2 3 3" xfId="25676"/>
    <cellStyle name="CurrencyExt 2 2 2 4" xfId="25677"/>
    <cellStyle name="CurrencyExt 2 2 2 4 2" xfId="25678"/>
    <cellStyle name="CurrencyExt 2 2 2 4 3" xfId="25679"/>
    <cellStyle name="CurrencyExt 2 2 2 5" xfId="25680"/>
    <cellStyle name="CurrencyExt 2 2 2 5 2" xfId="25681"/>
    <cellStyle name="CurrencyExt 2 2 2 5 3" xfId="25682"/>
    <cellStyle name="CurrencyExt 2 2 2 6" xfId="25683"/>
    <cellStyle name="CurrencyExt 2 2 2 6 2" xfId="25684"/>
    <cellStyle name="CurrencyExt 2 2 2 6 3" xfId="25685"/>
    <cellStyle name="CurrencyExt 2 2 2 7" xfId="25686"/>
    <cellStyle name="CurrencyExt 2 2 2 8" xfId="25687"/>
    <cellStyle name="CurrencyExt 2 2 3" xfId="25688"/>
    <cellStyle name="CurrencyExt 2 2 3 2" xfId="25689"/>
    <cellStyle name="CurrencyExt 2 2 3 3" xfId="25690"/>
    <cellStyle name="CurrencyExt 2 2 4" xfId="25691"/>
    <cellStyle name="CurrencyExt 2 2 4 2" xfId="25692"/>
    <cellStyle name="CurrencyExt 2 2 4 3" xfId="25693"/>
    <cellStyle name="CurrencyExt 2 2 5" xfId="25694"/>
    <cellStyle name="CurrencyExt 2 2 5 2" xfId="25695"/>
    <cellStyle name="CurrencyExt 2 2 5 3" xfId="25696"/>
    <cellStyle name="CurrencyExt 2 2 6" xfId="25697"/>
    <cellStyle name="CurrencyExt 2 2 6 2" xfId="25698"/>
    <cellStyle name="CurrencyExt 2 2 6 3" xfId="25699"/>
    <cellStyle name="CurrencyExt 2 2 7" xfId="25700"/>
    <cellStyle name="CurrencyExt 2 2 7 2" xfId="25701"/>
    <cellStyle name="CurrencyExt 2 2 7 3" xfId="25702"/>
    <cellStyle name="CurrencyExt 2 2 8" xfId="25703"/>
    <cellStyle name="CurrencyExt 2 2 9" xfId="25704"/>
    <cellStyle name="CurrencyExt 2 3" xfId="25705"/>
    <cellStyle name="CurrencyExt 2 3 2" xfId="25706"/>
    <cellStyle name="CurrencyExt 2 3 2 2" xfId="25707"/>
    <cellStyle name="CurrencyExt 2 3 2 3" xfId="25708"/>
    <cellStyle name="CurrencyExt 2 3 3" xfId="25709"/>
    <cellStyle name="CurrencyExt 2 3 3 2" xfId="25710"/>
    <cellStyle name="CurrencyExt 2 3 3 3" xfId="25711"/>
    <cellStyle name="CurrencyExt 2 3 4" xfId="25712"/>
    <cellStyle name="CurrencyExt 2 3 4 2" xfId="25713"/>
    <cellStyle name="CurrencyExt 2 3 4 3" xfId="25714"/>
    <cellStyle name="CurrencyExt 2 3 5" xfId="25715"/>
    <cellStyle name="CurrencyExt 2 3 5 2" xfId="25716"/>
    <cellStyle name="CurrencyExt 2 3 5 3" xfId="25717"/>
    <cellStyle name="CurrencyExt 2 3 6" xfId="25718"/>
    <cellStyle name="CurrencyExt 2 3 6 2" xfId="25719"/>
    <cellStyle name="CurrencyExt 2 3 6 3" xfId="25720"/>
    <cellStyle name="CurrencyExt 2 3 7" xfId="25721"/>
    <cellStyle name="CurrencyExt 2 3 8" xfId="25722"/>
    <cellStyle name="CurrencyExt 2 4" xfId="25723"/>
    <cellStyle name="CurrencyExt 2 4 2" xfId="25724"/>
    <cellStyle name="CurrencyExt 2 4 3" xfId="25725"/>
    <cellStyle name="CurrencyExt 2 5" xfId="25726"/>
    <cellStyle name="CurrencyExt 2 5 2" xfId="25727"/>
    <cellStyle name="CurrencyExt 2 5 3" xfId="25728"/>
    <cellStyle name="CurrencyExt 2 6" xfId="25729"/>
    <cellStyle name="CurrencyExt 2 6 2" xfId="25730"/>
    <cellStyle name="CurrencyExt 2 6 3" xfId="25731"/>
    <cellStyle name="CurrencyExt 2 7" xfId="25732"/>
    <cellStyle name="CurrencyExt 2 8" xfId="25733"/>
    <cellStyle name="CurrencyExt 3" xfId="25734"/>
    <cellStyle name="CurrencyExt 3 2" xfId="25735"/>
    <cellStyle name="CurrencyExt 3 2 2" xfId="25736"/>
    <cellStyle name="CurrencyExt 3 2 2 2" xfId="25737"/>
    <cellStyle name="CurrencyExt 3 2 2 3" xfId="25738"/>
    <cellStyle name="CurrencyExt 3 2 3" xfId="25739"/>
    <cellStyle name="CurrencyExt 3 2 3 2" xfId="25740"/>
    <cellStyle name="CurrencyExt 3 2 3 3" xfId="25741"/>
    <cellStyle name="CurrencyExt 3 2 4" xfId="25742"/>
    <cellStyle name="CurrencyExt 3 2 4 2" xfId="25743"/>
    <cellStyle name="CurrencyExt 3 2 4 3" xfId="25744"/>
    <cellStyle name="CurrencyExt 3 2 5" xfId="25745"/>
    <cellStyle name="CurrencyExt 3 2 5 2" xfId="25746"/>
    <cellStyle name="CurrencyExt 3 2 5 3" xfId="25747"/>
    <cellStyle name="CurrencyExt 3 2 6" xfId="25748"/>
    <cellStyle name="CurrencyExt 3 2 6 2" xfId="25749"/>
    <cellStyle name="CurrencyExt 3 2 6 3" xfId="25750"/>
    <cellStyle name="CurrencyExt 3 2 7" xfId="25751"/>
    <cellStyle name="CurrencyExt 3 2 8" xfId="25752"/>
    <cellStyle name="CurrencyExt 3 3" xfId="25753"/>
    <cellStyle name="CurrencyExt 3 3 2" xfId="25754"/>
    <cellStyle name="CurrencyExt 3 3 3" xfId="25755"/>
    <cellStyle name="CurrencyExt 3 4" xfId="25756"/>
    <cellStyle name="CurrencyExt 3 4 2" xfId="25757"/>
    <cellStyle name="CurrencyExt 3 4 3" xfId="25758"/>
    <cellStyle name="CurrencyExt 3 5" xfId="25759"/>
    <cellStyle name="CurrencyExt 3 5 2" xfId="25760"/>
    <cellStyle name="CurrencyExt 3 5 3" xfId="25761"/>
    <cellStyle name="CurrencyExt 3 6" xfId="25762"/>
    <cellStyle name="CurrencyExt 3 6 2" xfId="25763"/>
    <cellStyle name="CurrencyExt 3 6 3" xfId="25764"/>
    <cellStyle name="CurrencyExt 3 7" xfId="25765"/>
    <cellStyle name="CurrencyExt 3 7 2" xfId="25766"/>
    <cellStyle name="CurrencyExt 3 7 3" xfId="25767"/>
    <cellStyle name="CurrencyExt 3 8" xfId="25768"/>
    <cellStyle name="CurrencyExt 3 9" xfId="25769"/>
    <cellStyle name="CurrencyExt 4" xfId="25770"/>
    <cellStyle name="CurrencyExt 4 2" xfId="25771"/>
    <cellStyle name="CurrencyExt 4 2 2" xfId="25772"/>
    <cellStyle name="CurrencyExt 4 2 3" xfId="25773"/>
    <cellStyle name="CurrencyExt 4 3" xfId="25774"/>
    <cellStyle name="CurrencyExt 4 3 2" xfId="25775"/>
    <cellStyle name="CurrencyExt 4 3 3" xfId="25776"/>
    <cellStyle name="CurrencyExt 4 4" xfId="25777"/>
    <cellStyle name="CurrencyExt 4 4 2" xfId="25778"/>
    <cellStyle name="CurrencyExt 4 4 3" xfId="25779"/>
    <cellStyle name="CurrencyExt 4 5" xfId="25780"/>
    <cellStyle name="CurrencyExt 4 5 2" xfId="25781"/>
    <cellStyle name="CurrencyExt 4 5 3" xfId="25782"/>
    <cellStyle name="CurrencyExt 4 6" xfId="25783"/>
    <cellStyle name="CurrencyExt 4 6 2" xfId="25784"/>
    <cellStyle name="CurrencyExt 4 6 3" xfId="25785"/>
    <cellStyle name="CurrencyExt 4 7" xfId="25786"/>
    <cellStyle name="CurrencyExt 4 8" xfId="25787"/>
    <cellStyle name="CurrencyExt 5" xfId="25788"/>
    <cellStyle name="CurrencyExt 5 2" xfId="25789"/>
    <cellStyle name="CurrencyExt 5 3" xfId="25790"/>
    <cellStyle name="CurrencyExt 6" xfId="25791"/>
    <cellStyle name="CurrencyExt 6 2" xfId="25792"/>
    <cellStyle name="CurrencyExt 6 3" xfId="25793"/>
    <cellStyle name="CurrencyExt 7" xfId="25794"/>
    <cellStyle name="CurrencyExt 7 2" xfId="25795"/>
    <cellStyle name="CurrencyExt 7 3" xfId="25796"/>
    <cellStyle name="CurrencyExt 8" xfId="25797"/>
    <cellStyle name="CurrencyExt 9" xfId="25798"/>
    <cellStyle name="CurrencyRep" xfId="25799"/>
    <cellStyle name="CurrencyRep 2" xfId="25800"/>
    <cellStyle name="CurrencyRep 2 2" xfId="25801"/>
    <cellStyle name="CurrencyRep 2 2 2" xfId="25802"/>
    <cellStyle name="CurrencyRep 2 2 2 2" xfId="25803"/>
    <cellStyle name="CurrencyRep 2 2 2 2 2" xfId="25804"/>
    <cellStyle name="CurrencyRep 2 2 2 2 3" xfId="25805"/>
    <cellStyle name="CurrencyRep 2 2 2 3" xfId="25806"/>
    <cellStyle name="CurrencyRep 2 2 2 3 2" xfId="25807"/>
    <cellStyle name="CurrencyRep 2 2 2 3 3" xfId="25808"/>
    <cellStyle name="CurrencyRep 2 2 2 4" xfId="25809"/>
    <cellStyle name="CurrencyRep 2 2 2 4 2" xfId="25810"/>
    <cellStyle name="CurrencyRep 2 2 2 4 3" xfId="25811"/>
    <cellStyle name="CurrencyRep 2 2 2 5" xfId="25812"/>
    <cellStyle name="CurrencyRep 2 2 2 5 2" xfId="25813"/>
    <cellStyle name="CurrencyRep 2 2 2 5 3" xfId="25814"/>
    <cellStyle name="CurrencyRep 2 2 2 6" xfId="25815"/>
    <cellStyle name="CurrencyRep 2 2 2 6 2" xfId="25816"/>
    <cellStyle name="CurrencyRep 2 2 2 6 3" xfId="25817"/>
    <cellStyle name="CurrencyRep 2 2 2 7" xfId="25818"/>
    <cellStyle name="CurrencyRep 2 2 2 8" xfId="25819"/>
    <cellStyle name="CurrencyRep 2 2 3" xfId="25820"/>
    <cellStyle name="CurrencyRep 2 2 3 2" xfId="25821"/>
    <cellStyle name="CurrencyRep 2 2 3 3" xfId="25822"/>
    <cellStyle name="CurrencyRep 2 2 4" xfId="25823"/>
    <cellStyle name="CurrencyRep 2 2 4 2" xfId="25824"/>
    <cellStyle name="CurrencyRep 2 2 4 3" xfId="25825"/>
    <cellStyle name="CurrencyRep 2 2 5" xfId="25826"/>
    <cellStyle name="CurrencyRep 2 2 5 2" xfId="25827"/>
    <cellStyle name="CurrencyRep 2 2 5 3" xfId="25828"/>
    <cellStyle name="CurrencyRep 2 2 6" xfId="25829"/>
    <cellStyle name="CurrencyRep 2 2 6 2" xfId="25830"/>
    <cellStyle name="CurrencyRep 2 2 6 3" xfId="25831"/>
    <cellStyle name="CurrencyRep 2 2 7" xfId="25832"/>
    <cellStyle name="CurrencyRep 2 2 7 2" xfId="25833"/>
    <cellStyle name="CurrencyRep 2 2 7 3" xfId="25834"/>
    <cellStyle name="CurrencyRep 2 2 8" xfId="25835"/>
    <cellStyle name="CurrencyRep 2 2 9" xfId="25836"/>
    <cellStyle name="CurrencyRep 2 3" xfId="25837"/>
    <cellStyle name="CurrencyRep 2 3 2" xfId="25838"/>
    <cellStyle name="CurrencyRep 2 3 2 2" xfId="25839"/>
    <cellStyle name="CurrencyRep 2 3 2 3" xfId="25840"/>
    <cellStyle name="CurrencyRep 2 3 3" xfId="25841"/>
    <cellStyle name="CurrencyRep 2 3 3 2" xfId="25842"/>
    <cellStyle name="CurrencyRep 2 3 3 3" xfId="25843"/>
    <cellStyle name="CurrencyRep 2 3 4" xfId="25844"/>
    <cellStyle name="CurrencyRep 2 3 4 2" xfId="25845"/>
    <cellStyle name="CurrencyRep 2 3 4 3" xfId="25846"/>
    <cellStyle name="CurrencyRep 2 3 5" xfId="25847"/>
    <cellStyle name="CurrencyRep 2 3 5 2" xfId="25848"/>
    <cellStyle name="CurrencyRep 2 3 5 3" xfId="25849"/>
    <cellStyle name="CurrencyRep 2 3 6" xfId="25850"/>
    <cellStyle name="CurrencyRep 2 3 6 2" xfId="25851"/>
    <cellStyle name="CurrencyRep 2 3 6 3" xfId="25852"/>
    <cellStyle name="CurrencyRep 2 3 7" xfId="25853"/>
    <cellStyle name="CurrencyRep 2 3 8" xfId="25854"/>
    <cellStyle name="CurrencyRep 2 4" xfId="25855"/>
    <cellStyle name="CurrencyRep 2 4 2" xfId="25856"/>
    <cellStyle name="CurrencyRep 2 4 3" xfId="25857"/>
    <cellStyle name="CurrencyRep 2 5" xfId="25858"/>
    <cellStyle name="CurrencyRep 2 5 2" xfId="25859"/>
    <cellStyle name="CurrencyRep 2 5 3" xfId="25860"/>
    <cellStyle name="CurrencyRep 2 6" xfId="25861"/>
    <cellStyle name="CurrencyRep 2 6 2" xfId="25862"/>
    <cellStyle name="CurrencyRep 2 6 3" xfId="25863"/>
    <cellStyle name="CurrencyRep 2 7" xfId="25864"/>
    <cellStyle name="CurrencyRep 2 8" xfId="25865"/>
    <cellStyle name="CurrencyRep 3" xfId="25866"/>
    <cellStyle name="CurrencyRep 3 2" xfId="25867"/>
    <cellStyle name="CurrencyRep 3 2 2" xfId="25868"/>
    <cellStyle name="CurrencyRep 3 2 2 2" xfId="25869"/>
    <cellStyle name="CurrencyRep 3 2 2 3" xfId="25870"/>
    <cellStyle name="CurrencyRep 3 2 3" xfId="25871"/>
    <cellStyle name="CurrencyRep 3 2 3 2" xfId="25872"/>
    <cellStyle name="CurrencyRep 3 2 3 3" xfId="25873"/>
    <cellStyle name="CurrencyRep 3 2 4" xfId="25874"/>
    <cellStyle name="CurrencyRep 3 2 4 2" xfId="25875"/>
    <cellStyle name="CurrencyRep 3 2 4 3" xfId="25876"/>
    <cellStyle name="CurrencyRep 3 2 5" xfId="25877"/>
    <cellStyle name="CurrencyRep 3 2 5 2" xfId="25878"/>
    <cellStyle name="CurrencyRep 3 2 5 3" xfId="25879"/>
    <cellStyle name="CurrencyRep 3 2 6" xfId="25880"/>
    <cellStyle name="CurrencyRep 3 2 6 2" xfId="25881"/>
    <cellStyle name="CurrencyRep 3 2 6 3" xfId="25882"/>
    <cellStyle name="CurrencyRep 3 2 7" xfId="25883"/>
    <cellStyle name="CurrencyRep 3 2 8" xfId="25884"/>
    <cellStyle name="CurrencyRep 3 3" xfId="25885"/>
    <cellStyle name="CurrencyRep 3 3 2" xfId="25886"/>
    <cellStyle name="CurrencyRep 3 3 3" xfId="25887"/>
    <cellStyle name="CurrencyRep 3 4" xfId="25888"/>
    <cellStyle name="CurrencyRep 3 4 2" xfId="25889"/>
    <cellStyle name="CurrencyRep 3 4 3" xfId="25890"/>
    <cellStyle name="CurrencyRep 3 5" xfId="25891"/>
    <cellStyle name="CurrencyRep 3 5 2" xfId="25892"/>
    <cellStyle name="CurrencyRep 3 5 3" xfId="25893"/>
    <cellStyle name="CurrencyRep 3 6" xfId="25894"/>
    <cellStyle name="CurrencyRep 3 6 2" xfId="25895"/>
    <cellStyle name="CurrencyRep 3 6 3" xfId="25896"/>
    <cellStyle name="CurrencyRep 3 7" xfId="25897"/>
    <cellStyle name="CurrencyRep 3 7 2" xfId="25898"/>
    <cellStyle name="CurrencyRep 3 7 3" xfId="25899"/>
    <cellStyle name="CurrencyRep 3 8" xfId="25900"/>
    <cellStyle name="CurrencyRep 3 9" xfId="25901"/>
    <cellStyle name="CurrencyRep 4" xfId="25902"/>
    <cellStyle name="CurrencyRep 4 2" xfId="25903"/>
    <cellStyle name="CurrencyRep 4 2 2" xfId="25904"/>
    <cellStyle name="CurrencyRep 4 2 3" xfId="25905"/>
    <cellStyle name="CurrencyRep 4 3" xfId="25906"/>
    <cellStyle name="CurrencyRep 4 3 2" xfId="25907"/>
    <cellStyle name="CurrencyRep 4 3 3" xfId="25908"/>
    <cellStyle name="CurrencyRep 4 4" xfId="25909"/>
    <cellStyle name="CurrencyRep 4 4 2" xfId="25910"/>
    <cellStyle name="CurrencyRep 4 4 3" xfId="25911"/>
    <cellStyle name="CurrencyRep 4 5" xfId="25912"/>
    <cellStyle name="CurrencyRep 4 5 2" xfId="25913"/>
    <cellStyle name="CurrencyRep 4 5 3" xfId="25914"/>
    <cellStyle name="CurrencyRep 4 6" xfId="25915"/>
    <cellStyle name="CurrencyRep 4 6 2" xfId="25916"/>
    <cellStyle name="CurrencyRep 4 6 3" xfId="25917"/>
    <cellStyle name="CurrencyRep 4 7" xfId="25918"/>
    <cellStyle name="CurrencyRep 4 8" xfId="25919"/>
    <cellStyle name="CurrencyRep 5" xfId="25920"/>
    <cellStyle name="CurrencyRep 5 2" xfId="25921"/>
    <cellStyle name="CurrencyRep 5 3" xfId="25922"/>
    <cellStyle name="CurrencyRep 6" xfId="25923"/>
    <cellStyle name="CurrencyRep 6 2" xfId="25924"/>
    <cellStyle name="CurrencyRep 6 3" xfId="25925"/>
    <cellStyle name="CurrencyRep 7" xfId="25926"/>
    <cellStyle name="CurrencyRep 7 2" xfId="25927"/>
    <cellStyle name="CurrencyRep 7 3" xfId="25928"/>
    <cellStyle name="CurrencyRep 8" xfId="25929"/>
    <cellStyle name="CurrencyRep 9" xfId="25930"/>
    <cellStyle name="CurrencyTot" xfId="25931"/>
    <cellStyle name="CurrencyTot 2" xfId="25932"/>
    <cellStyle name="CurrencyTot 2 2" xfId="25933"/>
    <cellStyle name="CurrencyTot 2 2 2" xfId="25934"/>
    <cellStyle name="CurrencyTot 2 2 2 2" xfId="25935"/>
    <cellStyle name="CurrencyTot 2 2 2 2 2" xfId="25936"/>
    <cellStyle name="CurrencyTot 2 2 2 2 3" xfId="25937"/>
    <cellStyle name="CurrencyTot 2 2 2 3" xfId="25938"/>
    <cellStyle name="CurrencyTot 2 2 2 3 2" xfId="25939"/>
    <cellStyle name="CurrencyTot 2 2 2 3 3" xfId="25940"/>
    <cellStyle name="CurrencyTot 2 2 2 4" xfId="25941"/>
    <cellStyle name="CurrencyTot 2 2 2 4 2" xfId="25942"/>
    <cellStyle name="CurrencyTot 2 2 2 4 3" xfId="25943"/>
    <cellStyle name="CurrencyTot 2 2 2 5" xfId="25944"/>
    <cellStyle name="CurrencyTot 2 2 2 5 2" xfId="25945"/>
    <cellStyle name="CurrencyTot 2 2 2 5 3" xfId="25946"/>
    <cellStyle name="CurrencyTot 2 2 2 6" xfId="25947"/>
    <cellStyle name="CurrencyTot 2 2 2 6 2" xfId="25948"/>
    <cellStyle name="CurrencyTot 2 2 2 6 3" xfId="25949"/>
    <cellStyle name="CurrencyTot 2 2 2 7" xfId="25950"/>
    <cellStyle name="CurrencyTot 2 2 2 8" xfId="25951"/>
    <cellStyle name="CurrencyTot 2 2 3" xfId="25952"/>
    <cellStyle name="CurrencyTot 2 2 3 2" xfId="25953"/>
    <cellStyle name="CurrencyTot 2 2 3 3" xfId="25954"/>
    <cellStyle name="CurrencyTot 2 2 4" xfId="25955"/>
    <cellStyle name="CurrencyTot 2 2 4 2" xfId="25956"/>
    <cellStyle name="CurrencyTot 2 2 4 3" xfId="25957"/>
    <cellStyle name="CurrencyTot 2 2 5" xfId="25958"/>
    <cellStyle name="CurrencyTot 2 2 5 2" xfId="25959"/>
    <cellStyle name="CurrencyTot 2 2 5 3" xfId="25960"/>
    <cellStyle name="CurrencyTot 2 2 6" xfId="25961"/>
    <cellStyle name="CurrencyTot 2 2 6 2" xfId="25962"/>
    <cellStyle name="CurrencyTot 2 2 6 3" xfId="25963"/>
    <cellStyle name="CurrencyTot 2 2 7" xfId="25964"/>
    <cellStyle name="CurrencyTot 2 2 7 2" xfId="25965"/>
    <cellStyle name="CurrencyTot 2 2 7 3" xfId="25966"/>
    <cellStyle name="CurrencyTot 2 2 8" xfId="25967"/>
    <cellStyle name="CurrencyTot 2 2 9" xfId="25968"/>
    <cellStyle name="CurrencyTot 2 3" xfId="25969"/>
    <cellStyle name="CurrencyTot 2 3 2" xfId="25970"/>
    <cellStyle name="CurrencyTot 2 3 2 2" xfId="25971"/>
    <cellStyle name="CurrencyTot 2 3 2 3" xfId="25972"/>
    <cellStyle name="CurrencyTot 2 3 3" xfId="25973"/>
    <cellStyle name="CurrencyTot 2 3 3 2" xfId="25974"/>
    <cellStyle name="CurrencyTot 2 3 3 3" xfId="25975"/>
    <cellStyle name="CurrencyTot 2 3 4" xfId="25976"/>
    <cellStyle name="CurrencyTot 2 3 4 2" xfId="25977"/>
    <cellStyle name="CurrencyTot 2 3 4 3" xfId="25978"/>
    <cellStyle name="CurrencyTot 2 3 5" xfId="25979"/>
    <cellStyle name="CurrencyTot 2 3 5 2" xfId="25980"/>
    <cellStyle name="CurrencyTot 2 3 5 3" xfId="25981"/>
    <cellStyle name="CurrencyTot 2 3 6" xfId="25982"/>
    <cellStyle name="CurrencyTot 2 3 6 2" xfId="25983"/>
    <cellStyle name="CurrencyTot 2 3 6 3" xfId="25984"/>
    <cellStyle name="CurrencyTot 2 3 7" xfId="25985"/>
    <cellStyle name="CurrencyTot 2 3 8" xfId="25986"/>
    <cellStyle name="CurrencyTot 2 4" xfId="25987"/>
    <cellStyle name="CurrencyTot 2 4 2" xfId="25988"/>
    <cellStyle name="CurrencyTot 2 4 3" xfId="25989"/>
    <cellStyle name="CurrencyTot 2 5" xfId="25990"/>
    <cellStyle name="CurrencyTot 2 5 2" xfId="25991"/>
    <cellStyle name="CurrencyTot 2 5 3" xfId="25992"/>
    <cellStyle name="CurrencyTot 2 6" xfId="25993"/>
    <cellStyle name="CurrencyTot 2 6 2" xfId="25994"/>
    <cellStyle name="CurrencyTot 2 6 3" xfId="25995"/>
    <cellStyle name="CurrencyTot 2 7" xfId="25996"/>
    <cellStyle name="CurrencyTot 2 8" xfId="25997"/>
    <cellStyle name="CurrencyTot 3" xfId="25998"/>
    <cellStyle name="CurrencyTot 3 2" xfId="25999"/>
    <cellStyle name="CurrencyTot 3 2 2" xfId="26000"/>
    <cellStyle name="CurrencyTot 3 2 2 2" xfId="26001"/>
    <cellStyle name="CurrencyTot 3 2 2 3" xfId="26002"/>
    <cellStyle name="CurrencyTot 3 2 3" xfId="26003"/>
    <cellStyle name="CurrencyTot 3 2 3 2" xfId="26004"/>
    <cellStyle name="CurrencyTot 3 2 3 3" xfId="26005"/>
    <cellStyle name="CurrencyTot 3 2 4" xfId="26006"/>
    <cellStyle name="CurrencyTot 3 2 4 2" xfId="26007"/>
    <cellStyle name="CurrencyTot 3 2 4 3" xfId="26008"/>
    <cellStyle name="CurrencyTot 3 2 5" xfId="26009"/>
    <cellStyle name="CurrencyTot 3 2 5 2" xfId="26010"/>
    <cellStyle name="CurrencyTot 3 2 5 3" xfId="26011"/>
    <cellStyle name="CurrencyTot 3 2 6" xfId="26012"/>
    <cellStyle name="CurrencyTot 3 2 6 2" xfId="26013"/>
    <cellStyle name="CurrencyTot 3 2 6 3" xfId="26014"/>
    <cellStyle name="CurrencyTot 3 2 7" xfId="26015"/>
    <cellStyle name="CurrencyTot 3 2 8" xfId="26016"/>
    <cellStyle name="CurrencyTot 3 3" xfId="26017"/>
    <cellStyle name="CurrencyTot 3 3 2" xfId="26018"/>
    <cellStyle name="CurrencyTot 3 3 3" xfId="26019"/>
    <cellStyle name="CurrencyTot 3 4" xfId="26020"/>
    <cellStyle name="CurrencyTot 3 4 2" xfId="26021"/>
    <cellStyle name="CurrencyTot 3 4 3" xfId="26022"/>
    <cellStyle name="CurrencyTot 3 5" xfId="26023"/>
    <cellStyle name="CurrencyTot 3 5 2" xfId="26024"/>
    <cellStyle name="CurrencyTot 3 5 3" xfId="26025"/>
    <cellStyle name="CurrencyTot 3 6" xfId="26026"/>
    <cellStyle name="CurrencyTot 3 6 2" xfId="26027"/>
    <cellStyle name="CurrencyTot 3 6 3" xfId="26028"/>
    <cellStyle name="CurrencyTot 3 7" xfId="26029"/>
    <cellStyle name="CurrencyTot 3 7 2" xfId="26030"/>
    <cellStyle name="CurrencyTot 3 7 3" xfId="26031"/>
    <cellStyle name="CurrencyTot 3 8" xfId="26032"/>
    <cellStyle name="CurrencyTot 3 9" xfId="26033"/>
    <cellStyle name="CurrencyTot 4" xfId="26034"/>
    <cellStyle name="CurrencyTot 4 2" xfId="26035"/>
    <cellStyle name="CurrencyTot 4 2 2" xfId="26036"/>
    <cellStyle name="CurrencyTot 4 2 3" xfId="26037"/>
    <cellStyle name="CurrencyTot 4 3" xfId="26038"/>
    <cellStyle name="CurrencyTot 4 3 2" xfId="26039"/>
    <cellStyle name="CurrencyTot 4 3 3" xfId="26040"/>
    <cellStyle name="CurrencyTot 4 4" xfId="26041"/>
    <cellStyle name="CurrencyTot 4 4 2" xfId="26042"/>
    <cellStyle name="CurrencyTot 4 4 3" xfId="26043"/>
    <cellStyle name="CurrencyTot 4 5" xfId="26044"/>
    <cellStyle name="CurrencyTot 4 5 2" xfId="26045"/>
    <cellStyle name="CurrencyTot 4 5 3" xfId="26046"/>
    <cellStyle name="CurrencyTot 4 6" xfId="26047"/>
    <cellStyle name="CurrencyTot 4 6 2" xfId="26048"/>
    <cellStyle name="CurrencyTot 4 6 3" xfId="26049"/>
    <cellStyle name="CurrencyTot 4 7" xfId="26050"/>
    <cellStyle name="CurrencyTot 4 8" xfId="26051"/>
    <cellStyle name="CurrencyTot 5" xfId="26052"/>
    <cellStyle name="CurrencyTot 5 2" xfId="26053"/>
    <cellStyle name="CurrencyTot 5 3" xfId="26054"/>
    <cellStyle name="CurrencyTot 6" xfId="26055"/>
    <cellStyle name="CurrencyTot 6 2" xfId="26056"/>
    <cellStyle name="CurrencyTot 6 3" xfId="26057"/>
    <cellStyle name="CurrencyTot 7" xfId="26058"/>
    <cellStyle name="CurrencyTot 7 2" xfId="26059"/>
    <cellStyle name="CurrencyTot 7 3" xfId="26060"/>
    <cellStyle name="CurrencyTot 8" xfId="26061"/>
    <cellStyle name="CurrencyTot 9" xfId="26062"/>
    <cellStyle name="Data" xfId="26063"/>
    <cellStyle name="Date" xfId="26064"/>
    <cellStyle name="Date 2" xfId="26065"/>
    <cellStyle name="Date 2 2" xfId="26066"/>
    <cellStyle name="Date 2 3" xfId="26067"/>
    <cellStyle name="Date 3" xfId="26068"/>
    <cellStyle name="Date 3 2" xfId="26069"/>
    <cellStyle name="Date 4" xfId="26070"/>
    <cellStyle name="Date 5" xfId="26071"/>
    <cellStyle name="Date 6" xfId="26072"/>
    <cellStyle name="Date mmm-yy" xfId="26073"/>
    <cellStyle name="Date mmm-yy 2" xfId="26074"/>
    <cellStyle name="Date mmm-yy 2 2" xfId="26075"/>
    <cellStyle name="Date mmm-yy 2 2 2" xfId="26076"/>
    <cellStyle name="Date mmm-yy 2 3" xfId="26077"/>
    <cellStyle name="Date mmm-yy 3" xfId="26078"/>
    <cellStyle name="Date mmm-yy 4" xfId="26079"/>
    <cellStyle name="Date mmm-yy_Dakota Panel" xfId="26080"/>
    <cellStyle name="Date Short" xfId="26081"/>
    <cellStyle name="Del" xfId="26082"/>
    <cellStyle name="Desc" xfId="26083"/>
    <cellStyle name="Dezimal [0]_Compiling Utility Macros" xfId="26084"/>
    <cellStyle name="Dezimal_Compiling Utility Macros" xfId="26085"/>
    <cellStyle name="Enter Currency (0)" xfId="26086"/>
    <cellStyle name="Enter Currency (2)" xfId="26087"/>
    <cellStyle name="Enter Units (0)" xfId="26088"/>
    <cellStyle name="Enter Units (1)" xfId="26089"/>
    <cellStyle name="Enter Units (2)" xfId="26090"/>
    <cellStyle name="Entered" xfId="26091"/>
    <cellStyle name="Euro" xfId="26092"/>
    <cellStyle name="Euro 10" xfId="26093"/>
    <cellStyle name="Euro 10 2" xfId="26094"/>
    <cellStyle name="Euro 2" xfId="26095"/>
    <cellStyle name="Euro 2 2" xfId="26096"/>
    <cellStyle name="Euro 2 2 2" xfId="26097"/>
    <cellStyle name="Euro 2 2 2 2" xfId="26098"/>
    <cellStyle name="Euro 2 2 3" xfId="26099"/>
    <cellStyle name="Euro 2 3" xfId="26100"/>
    <cellStyle name="Euro 2 3 2" xfId="26101"/>
    <cellStyle name="Euro 2 4" xfId="26102"/>
    <cellStyle name="Euro 2 5" xfId="26103"/>
    <cellStyle name="Euro 3" xfId="26104"/>
    <cellStyle name="Euro 3 2" xfId="26105"/>
    <cellStyle name="Euro 3 2 2" xfId="26106"/>
    <cellStyle name="Euro 3 2 3" xfId="26107"/>
    <cellStyle name="Euro 3 2 4" xfId="26108"/>
    <cellStyle name="Euro 3 3" xfId="26109"/>
    <cellStyle name="Euro 3 4" xfId="26110"/>
    <cellStyle name="Euro 3 5" xfId="26111"/>
    <cellStyle name="Euro 4" xfId="26112"/>
    <cellStyle name="Euro 4 2" xfId="26113"/>
    <cellStyle name="Euro 4 2 2" xfId="26114"/>
    <cellStyle name="Euro 4 3" xfId="26115"/>
    <cellStyle name="Euro 4 4" xfId="26116"/>
    <cellStyle name="Euro 4 5" xfId="26117"/>
    <cellStyle name="Euro 5" xfId="26118"/>
    <cellStyle name="Euro 5 2" xfId="26119"/>
    <cellStyle name="Euro 6" xfId="26120"/>
    <cellStyle name="Euro 6 2" xfId="26121"/>
    <cellStyle name="Euro 7" xfId="26122"/>
    <cellStyle name="Euro 7 2" xfId="26123"/>
    <cellStyle name="Euro 8" xfId="26124"/>
    <cellStyle name="Euro 8 2" xfId="26125"/>
    <cellStyle name="Euro 9" xfId="26126"/>
    <cellStyle name="Euro 9 2" xfId="26127"/>
    <cellStyle name="Excel Built-in Normal" xfId="26128"/>
    <cellStyle name="Explanatory Text 10" xfId="26129"/>
    <cellStyle name="Explanatory Text 10 2" xfId="26130"/>
    <cellStyle name="Explanatory Text 10 3" xfId="26131"/>
    <cellStyle name="Explanatory Text 11" xfId="26132"/>
    <cellStyle name="Explanatory Text 11 2" xfId="26133"/>
    <cellStyle name="Explanatory Text 11 3" xfId="26134"/>
    <cellStyle name="Explanatory Text 12" xfId="26135"/>
    <cellStyle name="Explanatory Text 12 2" xfId="26136"/>
    <cellStyle name="Explanatory Text 12 3" xfId="26137"/>
    <cellStyle name="Explanatory Text 13" xfId="26138"/>
    <cellStyle name="Explanatory Text 13 2" xfId="26139"/>
    <cellStyle name="Explanatory Text 13 3" xfId="26140"/>
    <cellStyle name="Explanatory Text 14" xfId="26141"/>
    <cellStyle name="Explanatory Text 14 2" xfId="26142"/>
    <cellStyle name="Explanatory Text 14 3" xfId="26143"/>
    <cellStyle name="Explanatory Text 15" xfId="26144"/>
    <cellStyle name="Explanatory Text 15 2" xfId="26145"/>
    <cellStyle name="Explanatory Text 15 3" xfId="26146"/>
    <cellStyle name="Explanatory Text 16" xfId="26147"/>
    <cellStyle name="Explanatory Text 16 2" xfId="26148"/>
    <cellStyle name="Explanatory Text 16 3" xfId="26149"/>
    <cellStyle name="Explanatory Text 17" xfId="26150"/>
    <cellStyle name="Explanatory Text 18" xfId="26151"/>
    <cellStyle name="Explanatory Text 2" xfId="26152"/>
    <cellStyle name="Explanatory Text 2 10" xfId="26153"/>
    <cellStyle name="Explanatory Text 2 10 2" xfId="26154"/>
    <cellStyle name="Explanatory Text 2 10 3" xfId="26155"/>
    <cellStyle name="Explanatory Text 2 11" xfId="26156"/>
    <cellStyle name="Explanatory Text 2 11 2" xfId="26157"/>
    <cellStyle name="Explanatory Text 2 11 3" xfId="26158"/>
    <cellStyle name="Explanatory Text 2 12" xfId="26159"/>
    <cellStyle name="Explanatory Text 2 12 2" xfId="26160"/>
    <cellStyle name="Explanatory Text 2 12 3" xfId="26161"/>
    <cellStyle name="Explanatory Text 2 13" xfId="26162"/>
    <cellStyle name="Explanatory Text 2 14" xfId="26163"/>
    <cellStyle name="Explanatory Text 2 2" xfId="26164"/>
    <cellStyle name="Explanatory Text 2 2 10" xfId="26165"/>
    <cellStyle name="Explanatory Text 2 2 10 2" xfId="26166"/>
    <cellStyle name="Explanatory Text 2 2 10 3" xfId="26167"/>
    <cellStyle name="Explanatory Text 2 2 11" xfId="26168"/>
    <cellStyle name="Explanatory Text 2 2 12" xfId="26169"/>
    <cellStyle name="Explanatory Text 2 2 13" xfId="26170"/>
    <cellStyle name="Explanatory Text 2 2 2" xfId="26171"/>
    <cellStyle name="Explanatory Text 2 2 2 10" xfId="26172"/>
    <cellStyle name="Explanatory Text 2 2 2 10 2" xfId="26173"/>
    <cellStyle name="Explanatory Text 2 2 2 10 3" xfId="26174"/>
    <cellStyle name="Explanatory Text 2 2 2 11" xfId="26175"/>
    <cellStyle name="Explanatory Text 2 2 2 12" xfId="26176"/>
    <cellStyle name="Explanatory Text 2 2 2 2" xfId="26177"/>
    <cellStyle name="Explanatory Text 2 2 2 2 2" xfId="26178"/>
    <cellStyle name="Explanatory Text 2 2 2 2 3" xfId="26179"/>
    <cellStyle name="Explanatory Text 2 2 2 3" xfId="26180"/>
    <cellStyle name="Explanatory Text 2 2 2 3 2" xfId="26181"/>
    <cellStyle name="Explanatory Text 2 2 2 3 3" xfId="26182"/>
    <cellStyle name="Explanatory Text 2 2 2 4" xfId="26183"/>
    <cellStyle name="Explanatory Text 2 2 2 4 2" xfId="26184"/>
    <cellStyle name="Explanatory Text 2 2 2 4 3" xfId="26185"/>
    <cellStyle name="Explanatory Text 2 2 2 5" xfId="26186"/>
    <cellStyle name="Explanatory Text 2 2 2 5 2" xfId="26187"/>
    <cellStyle name="Explanatory Text 2 2 2 5 3" xfId="26188"/>
    <cellStyle name="Explanatory Text 2 2 2 6" xfId="26189"/>
    <cellStyle name="Explanatory Text 2 2 2 6 2" xfId="26190"/>
    <cellStyle name="Explanatory Text 2 2 2 6 3" xfId="26191"/>
    <cellStyle name="Explanatory Text 2 2 2 7" xfId="26192"/>
    <cellStyle name="Explanatory Text 2 2 2 7 2" xfId="26193"/>
    <cellStyle name="Explanatory Text 2 2 2 7 3" xfId="26194"/>
    <cellStyle name="Explanatory Text 2 2 2 8" xfId="26195"/>
    <cellStyle name="Explanatory Text 2 2 2 8 2" xfId="26196"/>
    <cellStyle name="Explanatory Text 2 2 2 8 3" xfId="26197"/>
    <cellStyle name="Explanatory Text 2 2 2 9" xfId="26198"/>
    <cellStyle name="Explanatory Text 2 2 2 9 2" xfId="26199"/>
    <cellStyle name="Explanatory Text 2 2 2 9 3" xfId="26200"/>
    <cellStyle name="Explanatory Text 2 2 3" xfId="26201"/>
    <cellStyle name="Explanatory Text 2 2 3 2" xfId="26202"/>
    <cellStyle name="Explanatory Text 2 2 3 3" xfId="26203"/>
    <cellStyle name="Explanatory Text 2 2 4" xfId="26204"/>
    <cellStyle name="Explanatory Text 2 2 4 2" xfId="26205"/>
    <cellStyle name="Explanatory Text 2 2 4 3" xfId="26206"/>
    <cellStyle name="Explanatory Text 2 2 5" xfId="26207"/>
    <cellStyle name="Explanatory Text 2 2 5 2" xfId="26208"/>
    <cellStyle name="Explanatory Text 2 2 5 3" xfId="26209"/>
    <cellStyle name="Explanatory Text 2 2 6" xfId="26210"/>
    <cellStyle name="Explanatory Text 2 2 6 2" xfId="26211"/>
    <cellStyle name="Explanatory Text 2 2 6 3" xfId="26212"/>
    <cellStyle name="Explanatory Text 2 2 7" xfId="26213"/>
    <cellStyle name="Explanatory Text 2 2 7 2" xfId="26214"/>
    <cellStyle name="Explanatory Text 2 2 7 3" xfId="26215"/>
    <cellStyle name="Explanatory Text 2 2 8" xfId="26216"/>
    <cellStyle name="Explanatory Text 2 2 8 2" xfId="26217"/>
    <cellStyle name="Explanatory Text 2 2 8 3" xfId="26218"/>
    <cellStyle name="Explanatory Text 2 2 9" xfId="26219"/>
    <cellStyle name="Explanatory Text 2 2 9 2" xfId="26220"/>
    <cellStyle name="Explanatory Text 2 2 9 3" xfId="26221"/>
    <cellStyle name="Explanatory Text 2 3" xfId="26222"/>
    <cellStyle name="Explanatory Text 2 3 2" xfId="26223"/>
    <cellStyle name="Explanatory Text 2 3 3" xfId="26224"/>
    <cellStyle name="Explanatory Text 2 4" xfId="26225"/>
    <cellStyle name="Explanatory Text 2 4 2" xfId="26226"/>
    <cellStyle name="Explanatory Text 2 4 3" xfId="26227"/>
    <cellStyle name="Explanatory Text 2 5" xfId="26228"/>
    <cellStyle name="Explanatory Text 2 5 2" xfId="26229"/>
    <cellStyle name="Explanatory Text 2 5 3" xfId="26230"/>
    <cellStyle name="Explanatory Text 2 6" xfId="26231"/>
    <cellStyle name="Explanatory Text 2 6 2" xfId="26232"/>
    <cellStyle name="Explanatory Text 2 6 3" xfId="26233"/>
    <cellStyle name="Explanatory Text 2 7" xfId="26234"/>
    <cellStyle name="Explanatory Text 2 7 2" xfId="26235"/>
    <cellStyle name="Explanatory Text 2 7 3" xfId="26236"/>
    <cellStyle name="Explanatory Text 2 8" xfId="26237"/>
    <cellStyle name="Explanatory Text 2 8 2" xfId="26238"/>
    <cellStyle name="Explanatory Text 2 8 3" xfId="26239"/>
    <cellStyle name="Explanatory Text 2 9" xfId="26240"/>
    <cellStyle name="Explanatory Text 2 9 2" xfId="26241"/>
    <cellStyle name="Explanatory Text 2 9 3" xfId="26242"/>
    <cellStyle name="Explanatory Text 3" xfId="26243"/>
    <cellStyle name="Explanatory Text 3 2" xfId="26244"/>
    <cellStyle name="Explanatory Text 3 2 2" xfId="26245"/>
    <cellStyle name="Explanatory Text 3 2 3" xfId="26246"/>
    <cellStyle name="Explanatory Text 3 3" xfId="26247"/>
    <cellStyle name="Explanatory Text 3 4" xfId="26248"/>
    <cellStyle name="Explanatory Text 3 5" xfId="26249"/>
    <cellStyle name="Explanatory Text 4" xfId="26250"/>
    <cellStyle name="Explanatory Text 4 2" xfId="26251"/>
    <cellStyle name="Explanatory Text 4 2 2" xfId="26252"/>
    <cellStyle name="Explanatory Text 4 2 3" xfId="26253"/>
    <cellStyle name="Explanatory Text 4 3" xfId="26254"/>
    <cellStyle name="Explanatory Text 4 4" xfId="26255"/>
    <cellStyle name="Explanatory Text 5" xfId="26256"/>
    <cellStyle name="Explanatory Text 5 2" xfId="26257"/>
    <cellStyle name="Explanatory Text 5 2 2" xfId="26258"/>
    <cellStyle name="Explanatory Text 5 2 3" xfId="26259"/>
    <cellStyle name="Explanatory Text 5 3" xfId="26260"/>
    <cellStyle name="Explanatory Text 5 4" xfId="26261"/>
    <cellStyle name="Explanatory Text 6" xfId="26262"/>
    <cellStyle name="Explanatory Text 6 2" xfId="26263"/>
    <cellStyle name="Explanatory Text 6 3" xfId="26264"/>
    <cellStyle name="Explanatory Text 7" xfId="26265"/>
    <cellStyle name="Explanatory Text 7 2" xfId="26266"/>
    <cellStyle name="Explanatory Text 7 3" xfId="26267"/>
    <cellStyle name="Explanatory Text 8" xfId="26268"/>
    <cellStyle name="Explanatory Text 8 2" xfId="26269"/>
    <cellStyle name="Explanatory Text 8 3" xfId="26270"/>
    <cellStyle name="Explanatory Text 9" xfId="26271"/>
    <cellStyle name="Explanatory Text 9 2" xfId="26272"/>
    <cellStyle name="Explanatory Text 9 3" xfId="26273"/>
    <cellStyle name="F2" xfId="26274"/>
    <cellStyle name="F3" xfId="26275"/>
    <cellStyle name="F4" xfId="26276"/>
    <cellStyle name="F5" xfId="26277"/>
    <cellStyle name="F6" xfId="26278"/>
    <cellStyle name="F7" xfId="26279"/>
    <cellStyle name="F8" xfId="26280"/>
    <cellStyle name="Fixed" xfId="26281"/>
    <cellStyle name="Fixed 2" xfId="26282"/>
    <cellStyle name="Fixed 2 2" xfId="26283"/>
    <cellStyle name="Fixed 3" xfId="26284"/>
    <cellStyle name="Fixed 4" xfId="26285"/>
    <cellStyle name="Fixed 5" xfId="26286"/>
    <cellStyle name="Fixed 6" xfId="26287"/>
    <cellStyle name="Footnotes: top row" xfId="40"/>
    <cellStyle name="Forumulas" xfId="26288"/>
    <cellStyle name="Good 10" xfId="26289"/>
    <cellStyle name="Good 10 2" xfId="26290"/>
    <cellStyle name="Good 10 2 2" xfId="26291"/>
    <cellStyle name="Good 10 2 3" xfId="26292"/>
    <cellStyle name="Good 10 3" xfId="26293"/>
    <cellStyle name="Good 10 4" xfId="26294"/>
    <cellStyle name="Good 11" xfId="26295"/>
    <cellStyle name="Good 11 2" xfId="26296"/>
    <cellStyle name="Good 11 2 2" xfId="26297"/>
    <cellStyle name="Good 11 2 3" xfId="26298"/>
    <cellStyle name="Good 11 3" xfId="26299"/>
    <cellStyle name="Good 11 4" xfId="26300"/>
    <cellStyle name="Good 12" xfId="26301"/>
    <cellStyle name="Good 12 2" xfId="26302"/>
    <cellStyle name="Good 12 3" xfId="26303"/>
    <cellStyle name="Good 13" xfId="26304"/>
    <cellStyle name="Good 13 2" xfId="26305"/>
    <cellStyle name="Good 13 3" xfId="26306"/>
    <cellStyle name="Good 14" xfId="26307"/>
    <cellStyle name="Good 14 2" xfId="26308"/>
    <cellStyle name="Good 14 3" xfId="26309"/>
    <cellStyle name="Good 15" xfId="26310"/>
    <cellStyle name="Good 15 2" xfId="26311"/>
    <cellStyle name="Good 15 2 2" xfId="26312"/>
    <cellStyle name="Good 15 2 3" xfId="26313"/>
    <cellStyle name="Good 15 3" xfId="26314"/>
    <cellStyle name="Good 15 4" xfId="26315"/>
    <cellStyle name="Good 16" xfId="26316"/>
    <cellStyle name="Good 16 2" xfId="26317"/>
    <cellStyle name="Good 16 3" xfId="26318"/>
    <cellStyle name="Good 17" xfId="26319"/>
    <cellStyle name="Good 18" xfId="26320"/>
    <cellStyle name="Good 2" xfId="26321"/>
    <cellStyle name="Good 2 10" xfId="26322"/>
    <cellStyle name="Good 2 10 2" xfId="26323"/>
    <cellStyle name="Good 2 10 3" xfId="26324"/>
    <cellStyle name="Good 2 11" xfId="26325"/>
    <cellStyle name="Good 2 11 2" xfId="26326"/>
    <cellStyle name="Good 2 11 3" xfId="26327"/>
    <cellStyle name="Good 2 12" xfId="26328"/>
    <cellStyle name="Good 2 12 2" xfId="26329"/>
    <cellStyle name="Good 2 12 3" xfId="26330"/>
    <cellStyle name="Good 2 13" xfId="26331"/>
    <cellStyle name="Good 2 13 2" xfId="26332"/>
    <cellStyle name="Good 2 14" xfId="26333"/>
    <cellStyle name="Good 2 15" xfId="26334"/>
    <cellStyle name="Good 2 16" xfId="26335"/>
    <cellStyle name="Good 2 2" xfId="26336"/>
    <cellStyle name="Good 2 2 10" xfId="26337"/>
    <cellStyle name="Good 2 2 10 2" xfId="26338"/>
    <cellStyle name="Good 2 2 10 3" xfId="26339"/>
    <cellStyle name="Good 2 2 11" xfId="26340"/>
    <cellStyle name="Good 2 2 12" xfId="26341"/>
    <cellStyle name="Good 2 2 2" xfId="26342"/>
    <cellStyle name="Good 2 2 2 10" xfId="26343"/>
    <cellStyle name="Good 2 2 2 10 2" xfId="26344"/>
    <cellStyle name="Good 2 2 2 10 3" xfId="26345"/>
    <cellStyle name="Good 2 2 2 11" xfId="26346"/>
    <cellStyle name="Good 2 2 2 12" xfId="26347"/>
    <cellStyle name="Good 2 2 2 13" xfId="26348"/>
    <cellStyle name="Good 2 2 2 2" xfId="26349"/>
    <cellStyle name="Good 2 2 2 2 2" xfId="26350"/>
    <cellStyle name="Good 2 2 2 2 3" xfId="26351"/>
    <cellStyle name="Good 2 2 2 3" xfId="26352"/>
    <cellStyle name="Good 2 2 2 3 2" xfId="26353"/>
    <cellStyle name="Good 2 2 2 3 3" xfId="26354"/>
    <cellStyle name="Good 2 2 2 4" xfId="26355"/>
    <cellStyle name="Good 2 2 2 4 2" xfId="26356"/>
    <cellStyle name="Good 2 2 2 4 3" xfId="26357"/>
    <cellStyle name="Good 2 2 2 5" xfId="26358"/>
    <cellStyle name="Good 2 2 2 5 2" xfId="26359"/>
    <cellStyle name="Good 2 2 2 5 3" xfId="26360"/>
    <cellStyle name="Good 2 2 2 6" xfId="26361"/>
    <cellStyle name="Good 2 2 2 6 2" xfId="26362"/>
    <cellStyle name="Good 2 2 2 6 3" xfId="26363"/>
    <cellStyle name="Good 2 2 2 7" xfId="26364"/>
    <cellStyle name="Good 2 2 2 7 2" xfId="26365"/>
    <cellStyle name="Good 2 2 2 7 3" xfId="26366"/>
    <cellStyle name="Good 2 2 2 8" xfId="26367"/>
    <cellStyle name="Good 2 2 2 8 2" xfId="26368"/>
    <cellStyle name="Good 2 2 2 8 3" xfId="26369"/>
    <cellStyle name="Good 2 2 2 9" xfId="26370"/>
    <cellStyle name="Good 2 2 2 9 2" xfId="26371"/>
    <cellStyle name="Good 2 2 2 9 3" xfId="26372"/>
    <cellStyle name="Good 2 2 3" xfId="26373"/>
    <cellStyle name="Good 2 2 3 2" xfId="26374"/>
    <cellStyle name="Good 2 2 3 3" xfId="26375"/>
    <cellStyle name="Good 2 2 4" xfId="26376"/>
    <cellStyle name="Good 2 2 4 2" xfId="26377"/>
    <cellStyle name="Good 2 2 4 3" xfId="26378"/>
    <cellStyle name="Good 2 2 5" xfId="26379"/>
    <cellStyle name="Good 2 2 5 2" xfId="26380"/>
    <cellStyle name="Good 2 2 5 3" xfId="26381"/>
    <cellStyle name="Good 2 2 6" xfId="26382"/>
    <cellStyle name="Good 2 2 6 2" xfId="26383"/>
    <cellStyle name="Good 2 2 6 3" xfId="26384"/>
    <cellStyle name="Good 2 2 7" xfId="26385"/>
    <cellStyle name="Good 2 2 7 2" xfId="26386"/>
    <cellStyle name="Good 2 2 7 3" xfId="26387"/>
    <cellStyle name="Good 2 2 8" xfId="26388"/>
    <cellStyle name="Good 2 2 8 2" xfId="26389"/>
    <cellStyle name="Good 2 2 8 3" xfId="26390"/>
    <cellStyle name="Good 2 2 9" xfId="26391"/>
    <cellStyle name="Good 2 2 9 2" xfId="26392"/>
    <cellStyle name="Good 2 2 9 3" xfId="26393"/>
    <cellStyle name="Good 2 3" xfId="26394"/>
    <cellStyle name="Good 2 3 2" xfId="26395"/>
    <cellStyle name="Good 2 3 3" xfId="26396"/>
    <cellStyle name="Good 2 3 4" xfId="26397"/>
    <cellStyle name="Good 2 4" xfId="26398"/>
    <cellStyle name="Good 2 4 2" xfId="26399"/>
    <cellStyle name="Good 2 4 3" xfId="26400"/>
    <cellStyle name="Good 2 5" xfId="26401"/>
    <cellStyle name="Good 2 5 2" xfId="26402"/>
    <cellStyle name="Good 2 5 3" xfId="26403"/>
    <cellStyle name="Good 2 6" xfId="26404"/>
    <cellStyle name="Good 2 6 2" xfId="26405"/>
    <cellStyle name="Good 2 6 3" xfId="26406"/>
    <cellStyle name="Good 2 7" xfId="26407"/>
    <cellStyle name="Good 2 7 2" xfId="26408"/>
    <cellStyle name="Good 2 7 2 2" xfId="26409"/>
    <cellStyle name="Good 2 7 2 3" xfId="26410"/>
    <cellStyle name="Good 2 7 3" xfId="26411"/>
    <cellStyle name="Good 2 7 4" xfId="26412"/>
    <cellStyle name="Good 2 8" xfId="26413"/>
    <cellStyle name="Good 2 8 2" xfId="26414"/>
    <cellStyle name="Good 2 8 3" xfId="26415"/>
    <cellStyle name="Good 2 9" xfId="26416"/>
    <cellStyle name="Good 2 9 2" xfId="26417"/>
    <cellStyle name="Good 2 9 3" xfId="26418"/>
    <cellStyle name="Good 2_1-10 BHU IS" xfId="26419"/>
    <cellStyle name="Good 3" xfId="26420"/>
    <cellStyle name="Good 3 2" xfId="26421"/>
    <cellStyle name="Good 3 2 2" xfId="26422"/>
    <cellStyle name="Good 3 2 2 2" xfId="26423"/>
    <cellStyle name="Good 3 2 2 3" xfId="26424"/>
    <cellStyle name="Good 3 2 3" xfId="26425"/>
    <cellStyle name="Good 3 2 4" xfId="26426"/>
    <cellStyle name="Good 3 2 5" xfId="26427"/>
    <cellStyle name="Good 3 3" xfId="26428"/>
    <cellStyle name="Good 3 3 2" xfId="26429"/>
    <cellStyle name="Good 3 4" xfId="26430"/>
    <cellStyle name="Good 4" xfId="26431"/>
    <cellStyle name="Good 4 2" xfId="26432"/>
    <cellStyle name="Good 4 2 2" xfId="26433"/>
    <cellStyle name="Good 4 2 3" xfId="26434"/>
    <cellStyle name="Good 4 3" xfId="26435"/>
    <cellStyle name="Good 4 4" xfId="26436"/>
    <cellStyle name="Good 5" xfId="26437"/>
    <cellStyle name="Good 5 2" xfId="26438"/>
    <cellStyle name="Good 5 2 2" xfId="26439"/>
    <cellStyle name="Good 5 2 3" xfId="26440"/>
    <cellStyle name="Good 5 3" xfId="26441"/>
    <cellStyle name="Good 5 4" xfId="26442"/>
    <cellStyle name="Good 6" xfId="26443"/>
    <cellStyle name="Good 6 2" xfId="26444"/>
    <cellStyle name="Good 6 2 2" xfId="26445"/>
    <cellStyle name="Good 6 2 3" xfId="26446"/>
    <cellStyle name="Good 6 3" xfId="26447"/>
    <cellStyle name="Good 6 4" xfId="26448"/>
    <cellStyle name="Good 7" xfId="26449"/>
    <cellStyle name="Good 7 2" xfId="26450"/>
    <cellStyle name="Good 7 2 2" xfId="26451"/>
    <cellStyle name="Good 7 2 3" xfId="26452"/>
    <cellStyle name="Good 7 3" xfId="26453"/>
    <cellStyle name="Good 7 4" xfId="26454"/>
    <cellStyle name="Good 8" xfId="26455"/>
    <cellStyle name="Good 8 2" xfId="26456"/>
    <cellStyle name="Good 8 2 2" xfId="26457"/>
    <cellStyle name="Good 8 2 3" xfId="26458"/>
    <cellStyle name="Good 8 3" xfId="26459"/>
    <cellStyle name="Good 8 4" xfId="26460"/>
    <cellStyle name="Good 9" xfId="26461"/>
    <cellStyle name="Good 9 2" xfId="26462"/>
    <cellStyle name="Good 9 2 2" xfId="26463"/>
    <cellStyle name="Good 9 2 3" xfId="26464"/>
    <cellStyle name="Good 9 3" xfId="26465"/>
    <cellStyle name="Good 9 4" xfId="26466"/>
    <cellStyle name="Green cell" xfId="26467"/>
    <cellStyle name="Grey" xfId="26468"/>
    <cellStyle name="Grey 2" xfId="26469"/>
    <cellStyle name="Grey 2 2" xfId="26470"/>
    <cellStyle name="Grey 2 3" xfId="26471"/>
    <cellStyle name="Grey 3" xfId="26472"/>
    <cellStyle name="Grey 4" xfId="26473"/>
    <cellStyle name="Header" xfId="26474"/>
    <cellStyle name="Header: bottom row" xfId="39"/>
    <cellStyle name="Header1" xfId="26475"/>
    <cellStyle name="Header1 2" xfId="26476"/>
    <cellStyle name="Header1 2 2" xfId="26477"/>
    <cellStyle name="Header1 3" xfId="26478"/>
    <cellStyle name="Header2" xfId="26479"/>
    <cellStyle name="Header2 10" xfId="26480"/>
    <cellStyle name="Header2 2" xfId="26481"/>
    <cellStyle name="Header2 2 2" xfId="26482"/>
    <cellStyle name="Header2 2 2 2" xfId="26483"/>
    <cellStyle name="Header2 2 2 2 2" xfId="26484"/>
    <cellStyle name="Header2 2 2 2 2 2" xfId="26485"/>
    <cellStyle name="Header2 2 2 2 2 3" xfId="26486"/>
    <cellStyle name="Header2 2 2 2 3" xfId="26487"/>
    <cellStyle name="Header2 2 2 2 3 2" xfId="26488"/>
    <cellStyle name="Header2 2 2 2 3 3" xfId="26489"/>
    <cellStyle name="Header2 2 2 2 4" xfId="26490"/>
    <cellStyle name="Header2 2 2 2 4 2" xfId="26491"/>
    <cellStyle name="Header2 2 2 2 4 3" xfId="26492"/>
    <cellStyle name="Header2 2 2 2 5" xfId="26493"/>
    <cellStyle name="Header2 2 2 2 5 2" xfId="26494"/>
    <cellStyle name="Header2 2 2 2 5 3" xfId="26495"/>
    <cellStyle name="Header2 2 2 2 6" xfId="26496"/>
    <cellStyle name="Header2 2 2 2 6 2" xfId="26497"/>
    <cellStyle name="Header2 2 2 2 6 3" xfId="26498"/>
    <cellStyle name="Header2 2 2 2 7" xfId="26499"/>
    <cellStyle name="Header2 2 2 2 8" xfId="26500"/>
    <cellStyle name="Header2 2 2 3" xfId="26501"/>
    <cellStyle name="Header2 2 2 3 2" xfId="26502"/>
    <cellStyle name="Header2 2 2 3 3" xfId="26503"/>
    <cellStyle name="Header2 2 2 4" xfId="26504"/>
    <cellStyle name="Header2 2 2 4 2" xfId="26505"/>
    <cellStyle name="Header2 2 2 4 3" xfId="26506"/>
    <cellStyle name="Header2 2 2 5" xfId="26507"/>
    <cellStyle name="Header2 2 2 5 2" xfId="26508"/>
    <cellStyle name="Header2 2 2 5 3" xfId="26509"/>
    <cellStyle name="Header2 2 2 6" xfId="26510"/>
    <cellStyle name="Header2 2 2 6 2" xfId="26511"/>
    <cellStyle name="Header2 2 2 6 3" xfId="26512"/>
    <cellStyle name="Header2 2 2 7" xfId="26513"/>
    <cellStyle name="Header2 2 2 7 2" xfId="26514"/>
    <cellStyle name="Header2 2 2 7 3" xfId="26515"/>
    <cellStyle name="Header2 2 2 8" xfId="26516"/>
    <cellStyle name="Header2 2 2 9" xfId="26517"/>
    <cellStyle name="Header2 2 3" xfId="26518"/>
    <cellStyle name="Header2 2 3 2" xfId="26519"/>
    <cellStyle name="Header2 2 3 2 2" xfId="26520"/>
    <cellStyle name="Header2 2 3 2 3" xfId="26521"/>
    <cellStyle name="Header2 2 3 3" xfId="26522"/>
    <cellStyle name="Header2 2 3 3 2" xfId="26523"/>
    <cellStyle name="Header2 2 3 3 3" xfId="26524"/>
    <cellStyle name="Header2 2 3 4" xfId="26525"/>
    <cellStyle name="Header2 2 3 4 2" xfId="26526"/>
    <cellStyle name="Header2 2 3 4 3" xfId="26527"/>
    <cellStyle name="Header2 2 3 5" xfId="26528"/>
    <cellStyle name="Header2 2 3 5 2" xfId="26529"/>
    <cellStyle name="Header2 2 3 5 3" xfId="26530"/>
    <cellStyle name="Header2 2 3 6" xfId="26531"/>
    <cellStyle name="Header2 2 3 6 2" xfId="26532"/>
    <cellStyle name="Header2 2 3 6 3" xfId="26533"/>
    <cellStyle name="Header2 2 3 7" xfId="26534"/>
    <cellStyle name="Header2 2 3 8" xfId="26535"/>
    <cellStyle name="Header2 2 4" xfId="26536"/>
    <cellStyle name="Header2 2 4 2" xfId="26537"/>
    <cellStyle name="Header2 2 4 2 2" xfId="26538"/>
    <cellStyle name="Header2 2 4 2 3" xfId="26539"/>
    <cellStyle name="Header2 2 4 3" xfId="26540"/>
    <cellStyle name="Header2 2 4 3 2" xfId="26541"/>
    <cellStyle name="Header2 2 4 3 3" xfId="26542"/>
    <cellStyle name="Header2 2 4 4" xfId="26543"/>
    <cellStyle name="Header2 2 4 4 2" xfId="26544"/>
    <cellStyle name="Header2 2 4 4 3" xfId="26545"/>
    <cellStyle name="Header2 2 4 5" xfId="26546"/>
    <cellStyle name="Header2 2 4 5 2" xfId="26547"/>
    <cellStyle name="Header2 2 4 5 3" xfId="26548"/>
    <cellStyle name="Header2 2 4 6" xfId="26549"/>
    <cellStyle name="Header2 2 4 6 2" xfId="26550"/>
    <cellStyle name="Header2 2 4 6 3" xfId="26551"/>
    <cellStyle name="Header2 2 4 7" xfId="26552"/>
    <cellStyle name="Header2 2 4 8" xfId="26553"/>
    <cellStyle name="Header2 2 5" xfId="26554"/>
    <cellStyle name="Header2 2 5 2" xfId="26555"/>
    <cellStyle name="Header2 2 5 3" xfId="26556"/>
    <cellStyle name="Header2 2 6" xfId="26557"/>
    <cellStyle name="Header2 2 6 2" xfId="26558"/>
    <cellStyle name="Header2 2 6 3" xfId="26559"/>
    <cellStyle name="Header2 2 7" xfId="26560"/>
    <cellStyle name="Header2 2 7 2" xfId="26561"/>
    <cellStyle name="Header2 2 7 3" xfId="26562"/>
    <cellStyle name="Header2 2 8" xfId="26563"/>
    <cellStyle name="Header2 2 9" xfId="26564"/>
    <cellStyle name="Header2 3" xfId="26565"/>
    <cellStyle name="Header2 3 2" xfId="26566"/>
    <cellStyle name="Header2 3 2 2" xfId="26567"/>
    <cellStyle name="Header2 3 2 2 2" xfId="26568"/>
    <cellStyle name="Header2 3 2 2 3" xfId="26569"/>
    <cellStyle name="Header2 3 2 3" xfId="26570"/>
    <cellStyle name="Header2 3 2 3 2" xfId="26571"/>
    <cellStyle name="Header2 3 2 3 3" xfId="26572"/>
    <cellStyle name="Header2 3 2 4" xfId="26573"/>
    <cellStyle name="Header2 3 2 4 2" xfId="26574"/>
    <cellStyle name="Header2 3 2 4 3" xfId="26575"/>
    <cellStyle name="Header2 3 2 5" xfId="26576"/>
    <cellStyle name="Header2 3 2 5 2" xfId="26577"/>
    <cellStyle name="Header2 3 2 5 3" xfId="26578"/>
    <cellStyle name="Header2 3 2 6" xfId="26579"/>
    <cellStyle name="Header2 3 2 6 2" xfId="26580"/>
    <cellStyle name="Header2 3 2 6 3" xfId="26581"/>
    <cellStyle name="Header2 3 2 7" xfId="26582"/>
    <cellStyle name="Header2 3 2 8" xfId="26583"/>
    <cellStyle name="Header2 3 3" xfId="26584"/>
    <cellStyle name="Header2 3 3 2" xfId="26585"/>
    <cellStyle name="Header2 3 3 3" xfId="26586"/>
    <cellStyle name="Header2 3 4" xfId="26587"/>
    <cellStyle name="Header2 3 4 2" xfId="26588"/>
    <cellStyle name="Header2 3 4 3" xfId="26589"/>
    <cellStyle name="Header2 3 5" xfId="26590"/>
    <cellStyle name="Header2 3 5 2" xfId="26591"/>
    <cellStyle name="Header2 3 5 3" xfId="26592"/>
    <cellStyle name="Header2 3 6" xfId="26593"/>
    <cellStyle name="Header2 3 6 2" xfId="26594"/>
    <cellStyle name="Header2 3 6 3" xfId="26595"/>
    <cellStyle name="Header2 3 7" xfId="26596"/>
    <cellStyle name="Header2 3 7 2" xfId="26597"/>
    <cellStyle name="Header2 3 7 3" xfId="26598"/>
    <cellStyle name="Header2 3 8" xfId="26599"/>
    <cellStyle name="Header2 3 9" xfId="26600"/>
    <cellStyle name="Header2 4" xfId="26601"/>
    <cellStyle name="Header2 4 2" xfId="26602"/>
    <cellStyle name="Header2 4 2 2" xfId="26603"/>
    <cellStyle name="Header2 4 2 3" xfId="26604"/>
    <cellStyle name="Header2 4 3" xfId="26605"/>
    <cellStyle name="Header2 4 3 2" xfId="26606"/>
    <cellStyle name="Header2 4 3 3" xfId="26607"/>
    <cellStyle name="Header2 4 4" xfId="26608"/>
    <cellStyle name="Header2 4 4 2" xfId="26609"/>
    <cellStyle name="Header2 4 4 3" xfId="26610"/>
    <cellStyle name="Header2 4 5" xfId="26611"/>
    <cellStyle name="Header2 4 5 2" xfId="26612"/>
    <cellStyle name="Header2 4 5 3" xfId="26613"/>
    <cellStyle name="Header2 4 6" xfId="26614"/>
    <cellStyle name="Header2 4 6 2" xfId="26615"/>
    <cellStyle name="Header2 4 6 3" xfId="26616"/>
    <cellStyle name="Header2 4 7" xfId="26617"/>
    <cellStyle name="Header2 4 8" xfId="26618"/>
    <cellStyle name="Header2 5" xfId="26619"/>
    <cellStyle name="Header2 5 2" xfId="26620"/>
    <cellStyle name="Header2 5 2 2" xfId="26621"/>
    <cellStyle name="Header2 5 2 3" xfId="26622"/>
    <cellStyle name="Header2 5 3" xfId="26623"/>
    <cellStyle name="Header2 5 3 2" xfId="26624"/>
    <cellStyle name="Header2 5 3 3" xfId="26625"/>
    <cellStyle name="Header2 5 4" xfId="26626"/>
    <cellStyle name="Header2 5 4 2" xfId="26627"/>
    <cellStyle name="Header2 5 4 3" xfId="26628"/>
    <cellStyle name="Header2 5 5" xfId="26629"/>
    <cellStyle name="Header2 5 5 2" xfId="26630"/>
    <cellStyle name="Header2 5 5 3" xfId="26631"/>
    <cellStyle name="Header2 5 6" xfId="26632"/>
    <cellStyle name="Header2 5 6 2" xfId="26633"/>
    <cellStyle name="Header2 5 6 3" xfId="26634"/>
    <cellStyle name="Header2 5 7" xfId="26635"/>
    <cellStyle name="Header2 5 8" xfId="26636"/>
    <cellStyle name="Header2 6" xfId="26637"/>
    <cellStyle name="Header2 6 2" xfId="26638"/>
    <cellStyle name="Header2 6 3" xfId="26639"/>
    <cellStyle name="Header2 7" xfId="26640"/>
    <cellStyle name="Header2 7 2" xfId="26641"/>
    <cellStyle name="Header2 7 3" xfId="26642"/>
    <cellStyle name="Header2 8" xfId="26643"/>
    <cellStyle name="Header2 8 2" xfId="26644"/>
    <cellStyle name="Header2 8 3" xfId="26645"/>
    <cellStyle name="Header2 9" xfId="26646"/>
    <cellStyle name="Headers" xfId="26647"/>
    <cellStyle name="Heading" xfId="26648"/>
    <cellStyle name="Heading 1 10" xfId="26649"/>
    <cellStyle name="Heading 1 10 2" xfId="26650"/>
    <cellStyle name="Heading 1 10 2 2" xfId="26651"/>
    <cellStyle name="Heading 1 10 2 3" xfId="26652"/>
    <cellStyle name="Heading 1 10 3" xfId="26653"/>
    <cellStyle name="Heading 1 10 4" xfId="26654"/>
    <cellStyle name="Heading 1 11" xfId="26655"/>
    <cellStyle name="Heading 1 11 2" xfId="26656"/>
    <cellStyle name="Heading 1 11 2 2" xfId="26657"/>
    <cellStyle name="Heading 1 11 2 3" xfId="26658"/>
    <cellStyle name="Heading 1 11 3" xfId="26659"/>
    <cellStyle name="Heading 1 11 4" xfId="26660"/>
    <cellStyle name="Heading 1 12" xfId="26661"/>
    <cellStyle name="Heading 1 12 2" xfId="26662"/>
    <cellStyle name="Heading 1 12 3" xfId="26663"/>
    <cellStyle name="Heading 1 13" xfId="26664"/>
    <cellStyle name="Heading 1 13 2" xfId="26665"/>
    <cellStyle name="Heading 1 13 3" xfId="26666"/>
    <cellStyle name="Heading 1 14" xfId="26667"/>
    <cellStyle name="Heading 1 14 2" xfId="26668"/>
    <cellStyle name="Heading 1 14 3" xfId="26669"/>
    <cellStyle name="Heading 1 15" xfId="26670"/>
    <cellStyle name="Heading 1 15 2" xfId="26671"/>
    <cellStyle name="Heading 1 15 2 2" xfId="26672"/>
    <cellStyle name="Heading 1 15 2 3" xfId="26673"/>
    <cellStyle name="Heading 1 15 3" xfId="26674"/>
    <cellStyle name="Heading 1 15 4" xfId="26675"/>
    <cellStyle name="Heading 1 16" xfId="26676"/>
    <cellStyle name="Heading 1 16 2" xfId="26677"/>
    <cellStyle name="Heading 1 16 3" xfId="26678"/>
    <cellStyle name="Heading 1 17" xfId="26679"/>
    <cellStyle name="Heading 1 18" xfId="26680"/>
    <cellStyle name="Heading 1 2" xfId="26681"/>
    <cellStyle name="Heading 1 2 10" xfId="26682"/>
    <cellStyle name="Heading 1 2 10 2" xfId="26683"/>
    <cellStyle name="Heading 1 2 10 3" xfId="26684"/>
    <cellStyle name="Heading 1 2 11" xfId="26685"/>
    <cellStyle name="Heading 1 2 11 2" xfId="26686"/>
    <cellStyle name="Heading 1 2 11 3" xfId="26687"/>
    <cellStyle name="Heading 1 2 12" xfId="26688"/>
    <cellStyle name="Heading 1 2 12 2" xfId="26689"/>
    <cellStyle name="Heading 1 2 12 3" xfId="26690"/>
    <cellStyle name="Heading 1 2 13" xfId="26691"/>
    <cellStyle name="Heading 1 2 13 2" xfId="26692"/>
    <cellStyle name="Heading 1 2 14" xfId="26693"/>
    <cellStyle name="Heading 1 2 15" xfId="26694"/>
    <cellStyle name="Heading 1 2 2" xfId="26695"/>
    <cellStyle name="Heading 1 2 2 10" xfId="26696"/>
    <cellStyle name="Heading 1 2 2 10 2" xfId="26697"/>
    <cellStyle name="Heading 1 2 2 10 3" xfId="26698"/>
    <cellStyle name="Heading 1 2 2 11" xfId="26699"/>
    <cellStyle name="Heading 1 2 2 12" xfId="26700"/>
    <cellStyle name="Heading 1 2 2 13" xfId="26701"/>
    <cellStyle name="Heading 1 2 2 2" xfId="26702"/>
    <cellStyle name="Heading 1 2 2 2 10" xfId="26703"/>
    <cellStyle name="Heading 1 2 2 2 10 2" xfId="26704"/>
    <cellStyle name="Heading 1 2 2 2 10 3" xfId="26705"/>
    <cellStyle name="Heading 1 2 2 2 11" xfId="26706"/>
    <cellStyle name="Heading 1 2 2 2 12" xfId="26707"/>
    <cellStyle name="Heading 1 2 2 2 2" xfId="26708"/>
    <cellStyle name="Heading 1 2 2 2 2 2" xfId="26709"/>
    <cellStyle name="Heading 1 2 2 2 2 3" xfId="26710"/>
    <cellStyle name="Heading 1 2 2 2 3" xfId="26711"/>
    <cellStyle name="Heading 1 2 2 2 3 2" xfId="26712"/>
    <cellStyle name="Heading 1 2 2 2 3 3" xfId="26713"/>
    <cellStyle name="Heading 1 2 2 2 4" xfId="26714"/>
    <cellStyle name="Heading 1 2 2 2 4 2" xfId="26715"/>
    <cellStyle name="Heading 1 2 2 2 4 3" xfId="26716"/>
    <cellStyle name="Heading 1 2 2 2 5" xfId="26717"/>
    <cellStyle name="Heading 1 2 2 2 5 2" xfId="26718"/>
    <cellStyle name="Heading 1 2 2 2 5 3" xfId="26719"/>
    <cellStyle name="Heading 1 2 2 2 6" xfId="26720"/>
    <cellStyle name="Heading 1 2 2 2 6 2" xfId="26721"/>
    <cellStyle name="Heading 1 2 2 2 6 3" xfId="26722"/>
    <cellStyle name="Heading 1 2 2 2 7" xfId="26723"/>
    <cellStyle name="Heading 1 2 2 2 7 2" xfId="26724"/>
    <cellStyle name="Heading 1 2 2 2 7 3" xfId="26725"/>
    <cellStyle name="Heading 1 2 2 2 8" xfId="26726"/>
    <cellStyle name="Heading 1 2 2 2 8 2" xfId="26727"/>
    <cellStyle name="Heading 1 2 2 2 8 3" xfId="26728"/>
    <cellStyle name="Heading 1 2 2 2 9" xfId="26729"/>
    <cellStyle name="Heading 1 2 2 2 9 2" xfId="26730"/>
    <cellStyle name="Heading 1 2 2 2 9 3" xfId="26731"/>
    <cellStyle name="Heading 1 2 2 3" xfId="26732"/>
    <cellStyle name="Heading 1 2 2 3 2" xfId="26733"/>
    <cellStyle name="Heading 1 2 2 3 3" xfId="26734"/>
    <cellStyle name="Heading 1 2 2 4" xfId="26735"/>
    <cellStyle name="Heading 1 2 2 4 2" xfId="26736"/>
    <cellStyle name="Heading 1 2 2 4 3" xfId="26737"/>
    <cellStyle name="Heading 1 2 2 5" xfId="26738"/>
    <cellStyle name="Heading 1 2 2 5 2" xfId="26739"/>
    <cellStyle name="Heading 1 2 2 5 3" xfId="26740"/>
    <cellStyle name="Heading 1 2 2 6" xfId="26741"/>
    <cellStyle name="Heading 1 2 2 6 2" xfId="26742"/>
    <cellStyle name="Heading 1 2 2 6 3" xfId="26743"/>
    <cellStyle name="Heading 1 2 2 7" xfId="26744"/>
    <cellStyle name="Heading 1 2 2 7 2" xfId="26745"/>
    <cellStyle name="Heading 1 2 2 7 3" xfId="26746"/>
    <cellStyle name="Heading 1 2 2 8" xfId="26747"/>
    <cellStyle name="Heading 1 2 2 8 2" xfId="26748"/>
    <cellStyle name="Heading 1 2 2 8 3" xfId="26749"/>
    <cellStyle name="Heading 1 2 2 9" xfId="26750"/>
    <cellStyle name="Heading 1 2 2 9 2" xfId="26751"/>
    <cellStyle name="Heading 1 2 2 9 3" xfId="26752"/>
    <cellStyle name="Heading 1 2 2_BHP 4Q 2010 Ops Review Senior Managment " xfId="11"/>
    <cellStyle name="Heading 1 2 3" xfId="26753"/>
    <cellStyle name="Heading 1 2 3 2" xfId="26754"/>
    <cellStyle name="Heading 1 2 3 3" xfId="26755"/>
    <cellStyle name="Heading 1 2 4" xfId="26756"/>
    <cellStyle name="Heading 1 2 4 2" xfId="26757"/>
    <cellStyle name="Heading 1 2 4 3" xfId="26758"/>
    <cellStyle name="Heading 1 2 5" xfId="26759"/>
    <cellStyle name="Heading 1 2 5 2" xfId="26760"/>
    <cellStyle name="Heading 1 2 5 3" xfId="26761"/>
    <cellStyle name="Heading 1 2 6" xfId="26762"/>
    <cellStyle name="Heading 1 2 6 2" xfId="26763"/>
    <cellStyle name="Heading 1 2 6 3" xfId="26764"/>
    <cellStyle name="Heading 1 2 7" xfId="26765"/>
    <cellStyle name="Heading 1 2 7 2" xfId="26766"/>
    <cellStyle name="Heading 1 2 7 2 2" xfId="26767"/>
    <cellStyle name="Heading 1 2 7 2 3" xfId="26768"/>
    <cellStyle name="Heading 1 2 7 3" xfId="26769"/>
    <cellStyle name="Heading 1 2 7 4" xfId="26770"/>
    <cellStyle name="Heading 1 2 8" xfId="26771"/>
    <cellStyle name="Heading 1 2 8 2" xfId="26772"/>
    <cellStyle name="Heading 1 2 8 3" xfId="26773"/>
    <cellStyle name="Heading 1 2 9" xfId="26774"/>
    <cellStyle name="Heading 1 2 9 2" xfId="26775"/>
    <cellStyle name="Heading 1 2 9 3" xfId="26776"/>
    <cellStyle name="Heading 1 2_1-10 BHU IS" xfId="26777"/>
    <cellStyle name="Heading 1 3" xfId="26778"/>
    <cellStyle name="Heading 1 3 2" xfId="26779"/>
    <cellStyle name="Heading 1 3 2 2" xfId="26780"/>
    <cellStyle name="Heading 1 3 2 2 2" xfId="26781"/>
    <cellStyle name="Heading 1 3 2 3" xfId="26782"/>
    <cellStyle name="Heading 1 3 3" xfId="26783"/>
    <cellStyle name="Heading 1 3 3 2" xfId="26784"/>
    <cellStyle name="Heading 1 3 3 2 2" xfId="26785"/>
    <cellStyle name="Heading 1 3 3 3" xfId="26786"/>
    <cellStyle name="Heading 1 3 4" xfId="26787"/>
    <cellStyle name="Heading 1 3 4 2" xfId="26788"/>
    <cellStyle name="Heading 1 3 5" xfId="26789"/>
    <cellStyle name="Heading 1 3_1-10 BHU IS" xfId="26790"/>
    <cellStyle name="Heading 1 4" xfId="26791"/>
    <cellStyle name="Heading 1 4 2" xfId="26792"/>
    <cellStyle name="Heading 1 4 2 2" xfId="26793"/>
    <cellStyle name="Heading 1 4 2 3" xfId="26794"/>
    <cellStyle name="Heading 1 4 3" xfId="26795"/>
    <cellStyle name="Heading 1 4 4" xfId="26796"/>
    <cellStyle name="Heading 1 4_1-10 BHU IS" xfId="26797"/>
    <cellStyle name="Heading 1 5" xfId="26798"/>
    <cellStyle name="Heading 1 5 2" xfId="26799"/>
    <cellStyle name="Heading 1 5 2 2" xfId="26800"/>
    <cellStyle name="Heading 1 5 2 3" xfId="26801"/>
    <cellStyle name="Heading 1 5 3" xfId="26802"/>
    <cellStyle name="Heading 1 5 4" xfId="26803"/>
    <cellStyle name="Heading 1 5_1-10 BHU IS" xfId="26804"/>
    <cellStyle name="Heading 1 6" xfId="26805"/>
    <cellStyle name="Heading 1 6 2" xfId="26806"/>
    <cellStyle name="Heading 1 6 2 2" xfId="26807"/>
    <cellStyle name="Heading 1 6 2 3" xfId="26808"/>
    <cellStyle name="Heading 1 6 3" xfId="26809"/>
    <cellStyle name="Heading 1 6 4" xfId="26810"/>
    <cellStyle name="Heading 1 7" xfId="26811"/>
    <cellStyle name="Heading 1 7 2" xfId="26812"/>
    <cellStyle name="Heading 1 7 2 2" xfId="26813"/>
    <cellStyle name="Heading 1 7 2 3" xfId="26814"/>
    <cellStyle name="Heading 1 7 3" xfId="26815"/>
    <cellStyle name="Heading 1 7 4" xfId="26816"/>
    <cellStyle name="Heading 1 8" xfId="26817"/>
    <cellStyle name="Heading 1 8 2" xfId="26818"/>
    <cellStyle name="Heading 1 8 2 2" xfId="26819"/>
    <cellStyle name="Heading 1 8 2 3" xfId="26820"/>
    <cellStyle name="Heading 1 8 3" xfId="26821"/>
    <cellStyle name="Heading 1 8 4" xfId="26822"/>
    <cellStyle name="Heading 1 9" xfId="26823"/>
    <cellStyle name="Heading 1 9 2" xfId="26824"/>
    <cellStyle name="Heading 1 9 2 2" xfId="26825"/>
    <cellStyle name="Heading 1 9 2 3" xfId="26826"/>
    <cellStyle name="Heading 1 9 3" xfId="26827"/>
    <cellStyle name="Heading 1 9 4" xfId="26828"/>
    <cellStyle name="Heading 10" xfId="26829"/>
    <cellStyle name="Heading 11" xfId="26830"/>
    <cellStyle name="Heading 12" xfId="26831"/>
    <cellStyle name="Heading 2 10" xfId="26832"/>
    <cellStyle name="Heading 2 10 2" xfId="26833"/>
    <cellStyle name="Heading 2 10 2 2" xfId="26834"/>
    <cellStyle name="Heading 2 10 2 3" xfId="26835"/>
    <cellStyle name="Heading 2 10 3" xfId="26836"/>
    <cellStyle name="Heading 2 10 4" xfId="26837"/>
    <cellStyle name="Heading 2 11" xfId="26838"/>
    <cellStyle name="Heading 2 11 2" xfId="26839"/>
    <cellStyle name="Heading 2 11 2 2" xfId="26840"/>
    <cellStyle name="Heading 2 11 2 3" xfId="26841"/>
    <cellStyle name="Heading 2 11 3" xfId="26842"/>
    <cellStyle name="Heading 2 11 4" xfId="26843"/>
    <cellStyle name="Heading 2 12" xfId="26844"/>
    <cellStyle name="Heading 2 12 2" xfId="26845"/>
    <cellStyle name="Heading 2 12 3" xfId="26846"/>
    <cellStyle name="Heading 2 13" xfId="26847"/>
    <cellStyle name="Heading 2 13 2" xfId="26848"/>
    <cellStyle name="Heading 2 13 3" xfId="26849"/>
    <cellStyle name="Heading 2 14" xfId="26850"/>
    <cellStyle name="Heading 2 14 2" xfId="26851"/>
    <cellStyle name="Heading 2 14 3" xfId="26852"/>
    <cellStyle name="Heading 2 15" xfId="26853"/>
    <cellStyle name="Heading 2 15 2" xfId="26854"/>
    <cellStyle name="Heading 2 15 2 2" xfId="26855"/>
    <cellStyle name="Heading 2 15 2 3" xfId="26856"/>
    <cellStyle name="Heading 2 15 3" xfId="26857"/>
    <cellStyle name="Heading 2 15 4" xfId="26858"/>
    <cellStyle name="Heading 2 16" xfId="26859"/>
    <cellStyle name="Heading 2 16 2" xfId="26860"/>
    <cellStyle name="Heading 2 16 3" xfId="26861"/>
    <cellStyle name="Heading 2 17" xfId="26862"/>
    <cellStyle name="Heading 2 18" xfId="26863"/>
    <cellStyle name="Heading 2 2" xfId="26864"/>
    <cellStyle name="Heading 2 2 10" xfId="26865"/>
    <cellStyle name="Heading 2 2 10 2" xfId="26866"/>
    <cellStyle name="Heading 2 2 10 3" xfId="26867"/>
    <cellStyle name="Heading 2 2 11" xfId="26868"/>
    <cellStyle name="Heading 2 2 11 2" xfId="26869"/>
    <cellStyle name="Heading 2 2 11 3" xfId="26870"/>
    <cellStyle name="Heading 2 2 12" xfId="26871"/>
    <cellStyle name="Heading 2 2 12 2" xfId="26872"/>
    <cellStyle name="Heading 2 2 12 3" xfId="26873"/>
    <cellStyle name="Heading 2 2 13" xfId="26874"/>
    <cellStyle name="Heading 2 2 13 2" xfId="26875"/>
    <cellStyle name="Heading 2 2 14" xfId="26876"/>
    <cellStyle name="Heading 2 2 15" xfId="26877"/>
    <cellStyle name="Heading 2 2 2" xfId="26878"/>
    <cellStyle name="Heading 2 2 2 10" xfId="26879"/>
    <cellStyle name="Heading 2 2 2 10 2" xfId="26880"/>
    <cellStyle name="Heading 2 2 2 10 3" xfId="26881"/>
    <cellStyle name="Heading 2 2 2 11" xfId="26882"/>
    <cellStyle name="Heading 2 2 2 12" xfId="26883"/>
    <cellStyle name="Heading 2 2 2 13" xfId="26884"/>
    <cellStyle name="Heading 2 2 2 2" xfId="26885"/>
    <cellStyle name="Heading 2 2 2 2 10" xfId="26886"/>
    <cellStyle name="Heading 2 2 2 2 10 2" xfId="26887"/>
    <cellStyle name="Heading 2 2 2 2 10 3" xfId="26888"/>
    <cellStyle name="Heading 2 2 2 2 11" xfId="26889"/>
    <cellStyle name="Heading 2 2 2 2 12" xfId="26890"/>
    <cellStyle name="Heading 2 2 2 2 2" xfId="26891"/>
    <cellStyle name="Heading 2 2 2 2 2 2" xfId="26892"/>
    <cellStyle name="Heading 2 2 2 2 2 3" xfId="26893"/>
    <cellStyle name="Heading 2 2 2 2 3" xfId="26894"/>
    <cellStyle name="Heading 2 2 2 2 3 2" xfId="26895"/>
    <cellStyle name="Heading 2 2 2 2 3 3" xfId="26896"/>
    <cellStyle name="Heading 2 2 2 2 4" xfId="26897"/>
    <cellStyle name="Heading 2 2 2 2 4 2" xfId="26898"/>
    <cellStyle name="Heading 2 2 2 2 4 3" xfId="26899"/>
    <cellStyle name="Heading 2 2 2 2 5" xfId="26900"/>
    <cellStyle name="Heading 2 2 2 2 5 2" xfId="26901"/>
    <cellStyle name="Heading 2 2 2 2 5 3" xfId="26902"/>
    <cellStyle name="Heading 2 2 2 2 6" xfId="26903"/>
    <cellStyle name="Heading 2 2 2 2 6 2" xfId="26904"/>
    <cellStyle name="Heading 2 2 2 2 6 3" xfId="26905"/>
    <cellStyle name="Heading 2 2 2 2 7" xfId="26906"/>
    <cellStyle name="Heading 2 2 2 2 7 2" xfId="26907"/>
    <cellStyle name="Heading 2 2 2 2 7 3" xfId="26908"/>
    <cellStyle name="Heading 2 2 2 2 8" xfId="26909"/>
    <cellStyle name="Heading 2 2 2 2 8 2" xfId="26910"/>
    <cellStyle name="Heading 2 2 2 2 8 3" xfId="26911"/>
    <cellStyle name="Heading 2 2 2 2 9" xfId="26912"/>
    <cellStyle name="Heading 2 2 2 2 9 2" xfId="26913"/>
    <cellStyle name="Heading 2 2 2 2 9 3" xfId="26914"/>
    <cellStyle name="Heading 2 2 2 3" xfId="26915"/>
    <cellStyle name="Heading 2 2 2 3 2" xfId="26916"/>
    <cellStyle name="Heading 2 2 2 3 3" xfId="26917"/>
    <cellStyle name="Heading 2 2 2 4" xfId="26918"/>
    <cellStyle name="Heading 2 2 2 4 2" xfId="26919"/>
    <cellStyle name="Heading 2 2 2 4 3" xfId="26920"/>
    <cellStyle name="Heading 2 2 2 5" xfId="26921"/>
    <cellStyle name="Heading 2 2 2 5 2" xfId="26922"/>
    <cellStyle name="Heading 2 2 2 5 3" xfId="26923"/>
    <cellStyle name="Heading 2 2 2 6" xfId="26924"/>
    <cellStyle name="Heading 2 2 2 6 2" xfId="26925"/>
    <cellStyle name="Heading 2 2 2 6 3" xfId="26926"/>
    <cellStyle name="Heading 2 2 2 7" xfId="26927"/>
    <cellStyle name="Heading 2 2 2 7 2" xfId="26928"/>
    <cellStyle name="Heading 2 2 2 7 3" xfId="26929"/>
    <cellStyle name="Heading 2 2 2 8" xfId="26930"/>
    <cellStyle name="Heading 2 2 2 8 2" xfId="26931"/>
    <cellStyle name="Heading 2 2 2 8 3" xfId="26932"/>
    <cellStyle name="Heading 2 2 2 9" xfId="26933"/>
    <cellStyle name="Heading 2 2 2 9 2" xfId="26934"/>
    <cellStyle name="Heading 2 2 2 9 3" xfId="26935"/>
    <cellStyle name="Heading 2 2 2_BHP 4Q 2010 Ops Review Senior Managment " xfId="12"/>
    <cellStyle name="Heading 2 2 3" xfId="26936"/>
    <cellStyle name="Heading 2 2 3 2" xfId="26937"/>
    <cellStyle name="Heading 2 2 3 3" xfId="26938"/>
    <cellStyle name="Heading 2 2 4" xfId="26939"/>
    <cellStyle name="Heading 2 2 4 2" xfId="26940"/>
    <cellStyle name="Heading 2 2 4 3" xfId="26941"/>
    <cellStyle name="Heading 2 2 5" xfId="26942"/>
    <cellStyle name="Heading 2 2 5 2" xfId="26943"/>
    <cellStyle name="Heading 2 2 5 3" xfId="26944"/>
    <cellStyle name="Heading 2 2 6" xfId="26945"/>
    <cellStyle name="Heading 2 2 6 2" xfId="26946"/>
    <cellStyle name="Heading 2 2 6 3" xfId="26947"/>
    <cellStyle name="Heading 2 2 7" xfId="26948"/>
    <cellStyle name="Heading 2 2 7 2" xfId="26949"/>
    <cellStyle name="Heading 2 2 7 2 2" xfId="26950"/>
    <cellStyle name="Heading 2 2 7 2 3" xfId="26951"/>
    <cellStyle name="Heading 2 2 7 3" xfId="26952"/>
    <cellStyle name="Heading 2 2 7 4" xfId="26953"/>
    <cellStyle name="Heading 2 2 8" xfId="26954"/>
    <cellStyle name="Heading 2 2 8 2" xfId="26955"/>
    <cellStyle name="Heading 2 2 8 3" xfId="26956"/>
    <cellStyle name="Heading 2 2 9" xfId="26957"/>
    <cellStyle name="Heading 2 2 9 2" xfId="26958"/>
    <cellStyle name="Heading 2 2 9 3" xfId="26959"/>
    <cellStyle name="Heading 2 2_1-10 BHU IS" xfId="26960"/>
    <cellStyle name="Heading 2 3" xfId="26961"/>
    <cellStyle name="Heading 2 3 2" xfId="26962"/>
    <cellStyle name="Heading 2 3 2 2" xfId="26963"/>
    <cellStyle name="Heading 2 3 2 2 2" xfId="26964"/>
    <cellStyle name="Heading 2 3 2 3" xfId="26965"/>
    <cellStyle name="Heading 2 3 3" xfId="26966"/>
    <cellStyle name="Heading 2 3 3 2" xfId="26967"/>
    <cellStyle name="Heading 2 3 3 2 2" xfId="26968"/>
    <cellStyle name="Heading 2 3 3 3" xfId="26969"/>
    <cellStyle name="Heading 2 3 4" xfId="26970"/>
    <cellStyle name="Heading 2 3 4 2" xfId="26971"/>
    <cellStyle name="Heading 2 3 5" xfId="26972"/>
    <cellStyle name="Heading 2 3_1-10 BHU IS" xfId="26973"/>
    <cellStyle name="Heading 2 4" xfId="26974"/>
    <cellStyle name="Heading 2 4 2" xfId="26975"/>
    <cellStyle name="Heading 2 4 2 2" xfId="26976"/>
    <cellStyle name="Heading 2 4 2 3" xfId="26977"/>
    <cellStyle name="Heading 2 4 3" xfId="26978"/>
    <cellStyle name="Heading 2 4 4" xfId="26979"/>
    <cellStyle name="Heading 2 4_1-10 BHU IS" xfId="26980"/>
    <cellStyle name="Heading 2 5" xfId="26981"/>
    <cellStyle name="Heading 2 5 2" xfId="26982"/>
    <cellStyle name="Heading 2 5 2 2" xfId="26983"/>
    <cellStyle name="Heading 2 5 2 3" xfId="26984"/>
    <cellStyle name="Heading 2 5 3" xfId="26985"/>
    <cellStyle name="Heading 2 5 4" xfId="26986"/>
    <cellStyle name="Heading 2 5_1-10 BHU IS" xfId="26987"/>
    <cellStyle name="Heading 2 6" xfId="26988"/>
    <cellStyle name="Heading 2 6 2" xfId="26989"/>
    <cellStyle name="Heading 2 6 2 2" xfId="26990"/>
    <cellStyle name="Heading 2 6 2 3" xfId="26991"/>
    <cellStyle name="Heading 2 6 3" xfId="26992"/>
    <cellStyle name="Heading 2 6 4" xfId="26993"/>
    <cellStyle name="Heading 2 7" xfId="26994"/>
    <cellStyle name="Heading 2 7 2" xfId="26995"/>
    <cellStyle name="Heading 2 7 2 2" xfId="26996"/>
    <cellStyle name="Heading 2 7 2 3" xfId="26997"/>
    <cellStyle name="Heading 2 7 3" xfId="26998"/>
    <cellStyle name="Heading 2 7 4" xfId="26999"/>
    <cellStyle name="Heading 2 8" xfId="27000"/>
    <cellStyle name="Heading 2 8 2" xfId="27001"/>
    <cellStyle name="Heading 2 8 2 2" xfId="27002"/>
    <cellStyle name="Heading 2 8 2 3" xfId="27003"/>
    <cellStyle name="Heading 2 8 3" xfId="27004"/>
    <cellStyle name="Heading 2 8 4" xfId="27005"/>
    <cellStyle name="Heading 2 9" xfId="27006"/>
    <cellStyle name="Heading 2 9 2" xfId="27007"/>
    <cellStyle name="Heading 2 9 2 2" xfId="27008"/>
    <cellStyle name="Heading 2 9 2 3" xfId="27009"/>
    <cellStyle name="Heading 2 9 3" xfId="27010"/>
    <cellStyle name="Heading 2 9 4" xfId="27011"/>
    <cellStyle name="Heading 3 10" xfId="27012"/>
    <cellStyle name="Heading 3 10 2" xfId="27013"/>
    <cellStyle name="Heading 3 10 2 2" xfId="27014"/>
    <cellStyle name="Heading 3 10 2 3" xfId="27015"/>
    <cellStyle name="Heading 3 10 3" xfId="27016"/>
    <cellStyle name="Heading 3 10 4" xfId="27017"/>
    <cellStyle name="Heading 3 11" xfId="27018"/>
    <cellStyle name="Heading 3 11 2" xfId="27019"/>
    <cellStyle name="Heading 3 11 2 2" xfId="27020"/>
    <cellStyle name="Heading 3 11 2 3" xfId="27021"/>
    <cellStyle name="Heading 3 11 3" xfId="27022"/>
    <cellStyle name="Heading 3 11 4" xfId="27023"/>
    <cellStyle name="Heading 3 12" xfId="27024"/>
    <cellStyle name="Heading 3 12 2" xfId="27025"/>
    <cellStyle name="Heading 3 12 3" xfId="27026"/>
    <cellStyle name="Heading 3 13" xfId="27027"/>
    <cellStyle name="Heading 3 13 2" xfId="27028"/>
    <cellStyle name="Heading 3 13 3" xfId="27029"/>
    <cellStyle name="Heading 3 14" xfId="27030"/>
    <cellStyle name="Heading 3 14 2" xfId="27031"/>
    <cellStyle name="Heading 3 14 3" xfId="27032"/>
    <cellStyle name="Heading 3 15" xfId="27033"/>
    <cellStyle name="Heading 3 15 2" xfId="27034"/>
    <cellStyle name="Heading 3 15 2 2" xfId="27035"/>
    <cellStyle name="Heading 3 15 2 3" xfId="27036"/>
    <cellStyle name="Heading 3 15 3" xfId="27037"/>
    <cellStyle name="Heading 3 15 4" xfId="27038"/>
    <cellStyle name="Heading 3 16" xfId="27039"/>
    <cellStyle name="Heading 3 16 2" xfId="27040"/>
    <cellStyle name="Heading 3 16 3" xfId="27041"/>
    <cellStyle name="Heading 3 17" xfId="27042"/>
    <cellStyle name="Heading 3 18" xfId="27043"/>
    <cellStyle name="Heading 3 2" xfId="27044"/>
    <cellStyle name="Heading 3 2 10" xfId="27045"/>
    <cellStyle name="Heading 3 2 10 2" xfId="27046"/>
    <cellStyle name="Heading 3 2 10 3" xfId="27047"/>
    <cellStyle name="Heading 3 2 11" xfId="27048"/>
    <cellStyle name="Heading 3 2 11 2" xfId="27049"/>
    <cellStyle name="Heading 3 2 11 3" xfId="27050"/>
    <cellStyle name="Heading 3 2 12" xfId="27051"/>
    <cellStyle name="Heading 3 2 12 2" xfId="27052"/>
    <cellStyle name="Heading 3 2 12 3" xfId="27053"/>
    <cellStyle name="Heading 3 2 13" xfId="27054"/>
    <cellStyle name="Heading 3 2 13 2" xfId="27055"/>
    <cellStyle name="Heading 3 2 14" xfId="27056"/>
    <cellStyle name="Heading 3 2 15" xfId="27057"/>
    <cellStyle name="Heading 3 2 2" xfId="27058"/>
    <cellStyle name="Heading 3 2 2 10" xfId="27059"/>
    <cellStyle name="Heading 3 2 2 10 2" xfId="27060"/>
    <cellStyle name="Heading 3 2 2 10 3" xfId="27061"/>
    <cellStyle name="Heading 3 2 2 11" xfId="27062"/>
    <cellStyle name="Heading 3 2 2 12" xfId="27063"/>
    <cellStyle name="Heading 3 2 2 13" xfId="27064"/>
    <cellStyle name="Heading 3 2 2 2" xfId="27065"/>
    <cellStyle name="Heading 3 2 2 2 10" xfId="27066"/>
    <cellStyle name="Heading 3 2 2 2 10 2" xfId="27067"/>
    <cellStyle name="Heading 3 2 2 2 10 3" xfId="27068"/>
    <cellStyle name="Heading 3 2 2 2 11" xfId="27069"/>
    <cellStyle name="Heading 3 2 2 2 12" xfId="27070"/>
    <cellStyle name="Heading 3 2 2 2 2" xfId="27071"/>
    <cellStyle name="Heading 3 2 2 2 2 2" xfId="27072"/>
    <cellStyle name="Heading 3 2 2 2 2 3" xfId="27073"/>
    <cellStyle name="Heading 3 2 2 2 3" xfId="27074"/>
    <cellStyle name="Heading 3 2 2 2 3 2" xfId="27075"/>
    <cellStyle name="Heading 3 2 2 2 3 3" xfId="27076"/>
    <cellStyle name="Heading 3 2 2 2 4" xfId="27077"/>
    <cellStyle name="Heading 3 2 2 2 4 2" xfId="27078"/>
    <cellStyle name="Heading 3 2 2 2 4 3" xfId="27079"/>
    <cellStyle name="Heading 3 2 2 2 5" xfId="27080"/>
    <cellStyle name="Heading 3 2 2 2 5 2" xfId="27081"/>
    <cellStyle name="Heading 3 2 2 2 5 3" xfId="27082"/>
    <cellStyle name="Heading 3 2 2 2 6" xfId="27083"/>
    <cellStyle name="Heading 3 2 2 2 6 2" xfId="27084"/>
    <cellStyle name="Heading 3 2 2 2 6 3" xfId="27085"/>
    <cellStyle name="Heading 3 2 2 2 7" xfId="27086"/>
    <cellStyle name="Heading 3 2 2 2 7 2" xfId="27087"/>
    <cellStyle name="Heading 3 2 2 2 7 3" xfId="27088"/>
    <cellStyle name="Heading 3 2 2 2 8" xfId="27089"/>
    <cellStyle name="Heading 3 2 2 2 8 2" xfId="27090"/>
    <cellStyle name="Heading 3 2 2 2 8 3" xfId="27091"/>
    <cellStyle name="Heading 3 2 2 2 9" xfId="27092"/>
    <cellStyle name="Heading 3 2 2 2 9 2" xfId="27093"/>
    <cellStyle name="Heading 3 2 2 2 9 3" xfId="27094"/>
    <cellStyle name="Heading 3 2 2 3" xfId="27095"/>
    <cellStyle name="Heading 3 2 2 3 2" xfId="27096"/>
    <cellStyle name="Heading 3 2 2 3 3" xfId="27097"/>
    <cellStyle name="Heading 3 2 2 4" xfId="27098"/>
    <cellStyle name="Heading 3 2 2 4 2" xfId="27099"/>
    <cellStyle name="Heading 3 2 2 4 3" xfId="27100"/>
    <cellStyle name="Heading 3 2 2 5" xfId="27101"/>
    <cellStyle name="Heading 3 2 2 5 2" xfId="27102"/>
    <cellStyle name="Heading 3 2 2 5 3" xfId="27103"/>
    <cellStyle name="Heading 3 2 2 6" xfId="27104"/>
    <cellStyle name="Heading 3 2 2 6 2" xfId="27105"/>
    <cellStyle name="Heading 3 2 2 6 3" xfId="27106"/>
    <cellStyle name="Heading 3 2 2 7" xfId="27107"/>
    <cellStyle name="Heading 3 2 2 7 2" xfId="27108"/>
    <cellStyle name="Heading 3 2 2 7 3" xfId="27109"/>
    <cellStyle name="Heading 3 2 2 8" xfId="27110"/>
    <cellStyle name="Heading 3 2 2 8 2" xfId="27111"/>
    <cellStyle name="Heading 3 2 2 8 3" xfId="27112"/>
    <cellStyle name="Heading 3 2 2 9" xfId="27113"/>
    <cellStyle name="Heading 3 2 2 9 2" xfId="27114"/>
    <cellStyle name="Heading 3 2 2 9 3" xfId="27115"/>
    <cellStyle name="Heading 3 2 2_BHP 4Q 2010 Ops Review Senior Managment " xfId="13"/>
    <cellStyle name="Heading 3 2 3" xfId="27116"/>
    <cellStyle name="Heading 3 2 3 2" xfId="27117"/>
    <cellStyle name="Heading 3 2 3 3" xfId="27118"/>
    <cellStyle name="Heading 3 2 4" xfId="27119"/>
    <cellStyle name="Heading 3 2 4 2" xfId="27120"/>
    <cellStyle name="Heading 3 2 4 3" xfId="27121"/>
    <cellStyle name="Heading 3 2 5" xfId="27122"/>
    <cellStyle name="Heading 3 2 5 2" xfId="27123"/>
    <cellStyle name="Heading 3 2 5 3" xfId="27124"/>
    <cellStyle name="Heading 3 2 6" xfId="27125"/>
    <cellStyle name="Heading 3 2 6 2" xfId="27126"/>
    <cellStyle name="Heading 3 2 6 3" xfId="27127"/>
    <cellStyle name="Heading 3 2 7" xfId="27128"/>
    <cellStyle name="Heading 3 2 7 2" xfId="27129"/>
    <cellStyle name="Heading 3 2 7 2 2" xfId="27130"/>
    <cellStyle name="Heading 3 2 7 2 3" xfId="27131"/>
    <cellStyle name="Heading 3 2 7 3" xfId="27132"/>
    <cellStyle name="Heading 3 2 7 4" xfId="27133"/>
    <cellStyle name="Heading 3 2 8" xfId="27134"/>
    <cellStyle name="Heading 3 2 8 2" xfId="27135"/>
    <cellStyle name="Heading 3 2 8 3" xfId="27136"/>
    <cellStyle name="Heading 3 2 9" xfId="27137"/>
    <cellStyle name="Heading 3 2 9 2" xfId="27138"/>
    <cellStyle name="Heading 3 2 9 3" xfId="27139"/>
    <cellStyle name="Heading 3 2_1-10 BHU IS" xfId="27140"/>
    <cellStyle name="Heading 3 3" xfId="27141"/>
    <cellStyle name="Heading 3 3 2" xfId="27142"/>
    <cellStyle name="Heading 3 3 2 2" xfId="27143"/>
    <cellStyle name="Heading 3 3 2 2 2" xfId="27144"/>
    <cellStyle name="Heading 3 3 2 3" xfId="27145"/>
    <cellStyle name="Heading 3 3 3" xfId="27146"/>
    <cellStyle name="Heading 3 3 3 2" xfId="27147"/>
    <cellStyle name="Heading 3 3 3 2 2" xfId="27148"/>
    <cellStyle name="Heading 3 3 3 3" xfId="27149"/>
    <cellStyle name="Heading 3 3 4" xfId="27150"/>
    <cellStyle name="Heading 3 3 4 2" xfId="27151"/>
    <cellStyle name="Heading 3 3 5" xfId="27152"/>
    <cellStyle name="Heading 3 3_1-10 BHU IS" xfId="27153"/>
    <cellStyle name="Heading 3 4" xfId="27154"/>
    <cellStyle name="Heading 3 4 2" xfId="27155"/>
    <cellStyle name="Heading 3 4 2 2" xfId="27156"/>
    <cellStyle name="Heading 3 4 2 3" xfId="27157"/>
    <cellStyle name="Heading 3 4 3" xfId="27158"/>
    <cellStyle name="Heading 3 4 4" xfId="27159"/>
    <cellStyle name="Heading 3 4_1-10 BHU IS" xfId="27160"/>
    <cellStyle name="Heading 3 5" xfId="27161"/>
    <cellStyle name="Heading 3 5 2" xfId="27162"/>
    <cellStyle name="Heading 3 5 2 2" xfId="27163"/>
    <cellStyle name="Heading 3 5 2 3" xfId="27164"/>
    <cellStyle name="Heading 3 5 3" xfId="27165"/>
    <cellStyle name="Heading 3 5 4" xfId="27166"/>
    <cellStyle name="Heading 3 5_1-10 BHU IS" xfId="27167"/>
    <cellStyle name="Heading 3 6" xfId="27168"/>
    <cellStyle name="Heading 3 6 2" xfId="27169"/>
    <cellStyle name="Heading 3 6 2 2" xfId="27170"/>
    <cellStyle name="Heading 3 6 2 3" xfId="27171"/>
    <cellStyle name="Heading 3 6 3" xfId="27172"/>
    <cellStyle name="Heading 3 6 4" xfId="27173"/>
    <cellStyle name="Heading 3 7" xfId="27174"/>
    <cellStyle name="Heading 3 7 2" xfId="27175"/>
    <cellStyle name="Heading 3 7 2 2" xfId="27176"/>
    <cellStyle name="Heading 3 7 2 3" xfId="27177"/>
    <cellStyle name="Heading 3 7 3" xfId="27178"/>
    <cellStyle name="Heading 3 7 4" xfId="27179"/>
    <cellStyle name="Heading 3 8" xfId="27180"/>
    <cellStyle name="Heading 3 8 2" xfId="27181"/>
    <cellStyle name="Heading 3 8 2 2" xfId="27182"/>
    <cellStyle name="Heading 3 8 2 3" xfId="27183"/>
    <cellStyle name="Heading 3 8 3" xfId="27184"/>
    <cellStyle name="Heading 3 8 4" xfId="27185"/>
    <cellStyle name="Heading 3 9" xfId="27186"/>
    <cellStyle name="Heading 3 9 2" xfId="27187"/>
    <cellStyle name="Heading 3 9 2 2" xfId="27188"/>
    <cellStyle name="Heading 3 9 2 3" xfId="27189"/>
    <cellStyle name="Heading 3 9 3" xfId="27190"/>
    <cellStyle name="Heading 3 9 4" xfId="27191"/>
    <cellStyle name="Heading 4 10" xfId="27192"/>
    <cellStyle name="Heading 4 10 2" xfId="27193"/>
    <cellStyle name="Heading 4 10 2 2" xfId="27194"/>
    <cellStyle name="Heading 4 10 2 3" xfId="27195"/>
    <cellStyle name="Heading 4 10 3" xfId="27196"/>
    <cellStyle name="Heading 4 10 4" xfId="27197"/>
    <cellStyle name="Heading 4 11" xfId="27198"/>
    <cellStyle name="Heading 4 11 2" xfId="27199"/>
    <cellStyle name="Heading 4 11 2 2" xfId="27200"/>
    <cellStyle name="Heading 4 11 2 3" xfId="27201"/>
    <cellStyle name="Heading 4 11 3" xfId="27202"/>
    <cellStyle name="Heading 4 11 4" xfId="27203"/>
    <cellStyle name="Heading 4 12" xfId="27204"/>
    <cellStyle name="Heading 4 12 2" xfId="27205"/>
    <cellStyle name="Heading 4 12 3" xfId="27206"/>
    <cellStyle name="Heading 4 13" xfId="27207"/>
    <cellStyle name="Heading 4 13 2" xfId="27208"/>
    <cellStyle name="Heading 4 13 2 2" xfId="27209"/>
    <cellStyle name="Heading 4 13 3" xfId="27210"/>
    <cellStyle name="Heading 4 14" xfId="27211"/>
    <cellStyle name="Heading 4 14 2" xfId="27212"/>
    <cellStyle name="Heading 4 14 2 2" xfId="27213"/>
    <cellStyle name="Heading 4 14 3" xfId="27214"/>
    <cellStyle name="Heading 4 15" xfId="27215"/>
    <cellStyle name="Heading 4 15 2" xfId="27216"/>
    <cellStyle name="Heading 4 15 2 2" xfId="27217"/>
    <cellStyle name="Heading 4 15 2 3" xfId="27218"/>
    <cellStyle name="Heading 4 15 3" xfId="27219"/>
    <cellStyle name="Heading 4 15 4" xfId="27220"/>
    <cellStyle name="Heading 4 16" xfId="27221"/>
    <cellStyle name="Heading 4 16 2" xfId="27222"/>
    <cellStyle name="Heading 4 16 3" xfId="27223"/>
    <cellStyle name="Heading 4 17" xfId="27224"/>
    <cellStyle name="Heading 4 18" xfId="27225"/>
    <cellStyle name="Heading 4 2" xfId="27226"/>
    <cellStyle name="Heading 4 2 10" xfId="27227"/>
    <cellStyle name="Heading 4 2 10 2" xfId="27228"/>
    <cellStyle name="Heading 4 2 10 3" xfId="27229"/>
    <cellStyle name="Heading 4 2 11" xfId="27230"/>
    <cellStyle name="Heading 4 2 11 2" xfId="27231"/>
    <cellStyle name="Heading 4 2 11 3" xfId="27232"/>
    <cellStyle name="Heading 4 2 12" xfId="27233"/>
    <cellStyle name="Heading 4 2 12 2" xfId="27234"/>
    <cellStyle name="Heading 4 2 12 3" xfId="27235"/>
    <cellStyle name="Heading 4 2 13" xfId="27236"/>
    <cellStyle name="Heading 4 2 13 2" xfId="27237"/>
    <cellStyle name="Heading 4 2 14" xfId="27238"/>
    <cellStyle name="Heading 4 2 14 2" xfId="27239"/>
    <cellStyle name="Heading 4 2 15" xfId="27240"/>
    <cellStyle name="Heading 4 2 16" xfId="27241"/>
    <cellStyle name="Heading 4 2 2" xfId="27242"/>
    <cellStyle name="Heading 4 2 2 10" xfId="27243"/>
    <cellStyle name="Heading 4 2 2 10 2" xfId="27244"/>
    <cellStyle name="Heading 4 2 2 10 3" xfId="27245"/>
    <cellStyle name="Heading 4 2 2 11" xfId="27246"/>
    <cellStyle name="Heading 4 2 2 11 2" xfId="27247"/>
    <cellStyle name="Heading 4 2 2 12" xfId="27248"/>
    <cellStyle name="Heading 4 2 2 13" xfId="27249"/>
    <cellStyle name="Heading 4 2 2 2" xfId="27250"/>
    <cellStyle name="Heading 4 2 2 2 10" xfId="27251"/>
    <cellStyle name="Heading 4 2 2 2 10 2" xfId="27252"/>
    <cellStyle name="Heading 4 2 2 2 10 3" xfId="27253"/>
    <cellStyle name="Heading 4 2 2 2 11" xfId="27254"/>
    <cellStyle name="Heading 4 2 2 2 12" xfId="27255"/>
    <cellStyle name="Heading 4 2 2 2 2" xfId="27256"/>
    <cellStyle name="Heading 4 2 2 2 2 2" xfId="27257"/>
    <cellStyle name="Heading 4 2 2 2 2 3" xfId="27258"/>
    <cellStyle name="Heading 4 2 2 2 3" xfId="27259"/>
    <cellStyle name="Heading 4 2 2 2 3 2" xfId="27260"/>
    <cellStyle name="Heading 4 2 2 2 3 3" xfId="27261"/>
    <cellStyle name="Heading 4 2 2 2 4" xfId="27262"/>
    <cellStyle name="Heading 4 2 2 2 4 2" xfId="27263"/>
    <cellStyle name="Heading 4 2 2 2 4 3" xfId="27264"/>
    <cellStyle name="Heading 4 2 2 2 5" xfId="27265"/>
    <cellStyle name="Heading 4 2 2 2 5 2" xfId="27266"/>
    <cellStyle name="Heading 4 2 2 2 5 3" xfId="27267"/>
    <cellStyle name="Heading 4 2 2 2 6" xfId="27268"/>
    <cellStyle name="Heading 4 2 2 2 6 2" xfId="27269"/>
    <cellStyle name="Heading 4 2 2 2 6 3" xfId="27270"/>
    <cellStyle name="Heading 4 2 2 2 7" xfId="27271"/>
    <cellStyle name="Heading 4 2 2 2 7 2" xfId="27272"/>
    <cellStyle name="Heading 4 2 2 2 7 3" xfId="27273"/>
    <cellStyle name="Heading 4 2 2 2 8" xfId="27274"/>
    <cellStyle name="Heading 4 2 2 2 8 2" xfId="27275"/>
    <cellStyle name="Heading 4 2 2 2 8 3" xfId="27276"/>
    <cellStyle name="Heading 4 2 2 2 9" xfId="27277"/>
    <cellStyle name="Heading 4 2 2 2 9 2" xfId="27278"/>
    <cellStyle name="Heading 4 2 2 2 9 3" xfId="27279"/>
    <cellStyle name="Heading 4 2 2 3" xfId="27280"/>
    <cellStyle name="Heading 4 2 2 3 2" xfId="27281"/>
    <cellStyle name="Heading 4 2 2 3 3" xfId="27282"/>
    <cellStyle name="Heading 4 2 2 4" xfId="27283"/>
    <cellStyle name="Heading 4 2 2 4 2" xfId="27284"/>
    <cellStyle name="Heading 4 2 2 4 3" xfId="27285"/>
    <cellStyle name="Heading 4 2 2 5" xfId="27286"/>
    <cellStyle name="Heading 4 2 2 5 2" xfId="27287"/>
    <cellStyle name="Heading 4 2 2 5 3" xfId="27288"/>
    <cellStyle name="Heading 4 2 2 6" xfId="27289"/>
    <cellStyle name="Heading 4 2 2 6 2" xfId="27290"/>
    <cellStyle name="Heading 4 2 2 6 3" xfId="27291"/>
    <cellStyle name="Heading 4 2 2 7" xfId="27292"/>
    <cellStyle name="Heading 4 2 2 7 2" xfId="27293"/>
    <cellStyle name="Heading 4 2 2 7 3" xfId="27294"/>
    <cellStyle name="Heading 4 2 2 8" xfId="27295"/>
    <cellStyle name="Heading 4 2 2 8 2" xfId="27296"/>
    <cellStyle name="Heading 4 2 2 8 3" xfId="27297"/>
    <cellStyle name="Heading 4 2 2 9" xfId="27298"/>
    <cellStyle name="Heading 4 2 2 9 2" xfId="27299"/>
    <cellStyle name="Heading 4 2 2 9 3" xfId="27300"/>
    <cellStyle name="Heading 4 2 3" xfId="27301"/>
    <cellStyle name="Heading 4 2 3 2" xfId="27302"/>
    <cellStyle name="Heading 4 2 3 2 2" xfId="27303"/>
    <cellStyle name="Heading 4 2 3 3" xfId="27304"/>
    <cellStyle name="Heading 4 2 4" xfId="27305"/>
    <cellStyle name="Heading 4 2 4 2" xfId="27306"/>
    <cellStyle name="Heading 4 2 4 2 2" xfId="27307"/>
    <cellStyle name="Heading 4 2 4 3" xfId="27308"/>
    <cellStyle name="Heading 4 2 5" xfId="27309"/>
    <cellStyle name="Heading 4 2 5 2" xfId="27310"/>
    <cellStyle name="Heading 4 2 5 2 2" xfId="27311"/>
    <cellStyle name="Heading 4 2 5 3" xfId="27312"/>
    <cellStyle name="Heading 4 2 6" xfId="27313"/>
    <cellStyle name="Heading 4 2 6 2" xfId="27314"/>
    <cellStyle name="Heading 4 2 6 2 2" xfId="27315"/>
    <cellStyle name="Heading 4 2 6 3" xfId="27316"/>
    <cellStyle name="Heading 4 2 7" xfId="27317"/>
    <cellStyle name="Heading 4 2 7 2" xfId="27318"/>
    <cellStyle name="Heading 4 2 7 2 2" xfId="27319"/>
    <cellStyle name="Heading 4 2 7 3" xfId="27320"/>
    <cellStyle name="Heading 4 2 8" xfId="27321"/>
    <cellStyle name="Heading 4 2 8 2" xfId="27322"/>
    <cellStyle name="Heading 4 2 8 3" xfId="27323"/>
    <cellStyle name="Heading 4 2 9" xfId="27324"/>
    <cellStyle name="Heading 4 2 9 2" xfId="27325"/>
    <cellStyle name="Heading 4 2 9 3" xfId="27326"/>
    <cellStyle name="Heading 4 2_1-10 BHU IS" xfId="27327"/>
    <cellStyle name="Heading 4 3" xfId="27328"/>
    <cellStyle name="Heading 4 3 2" xfId="27329"/>
    <cellStyle name="Heading 4 3 2 2" xfId="27330"/>
    <cellStyle name="Heading 4 3 2 2 2" xfId="27331"/>
    <cellStyle name="Heading 4 3 2 2 3" xfId="27332"/>
    <cellStyle name="Heading 4 3 2 3" xfId="27333"/>
    <cellStyle name="Heading 4 3 2 4" xfId="27334"/>
    <cellStyle name="Heading 4 3 3" xfId="27335"/>
    <cellStyle name="Heading 4 3 3 2" xfId="27336"/>
    <cellStyle name="Heading 4 3 3 2 2" xfId="27337"/>
    <cellStyle name="Heading 4 3 3 2 3" xfId="27338"/>
    <cellStyle name="Heading 4 3 3 3" xfId="27339"/>
    <cellStyle name="Heading 4 3 3 4" xfId="27340"/>
    <cellStyle name="Heading 4 3 3 5" xfId="27341"/>
    <cellStyle name="Heading 4 3 4" xfId="27342"/>
    <cellStyle name="Heading 4 3 4 2" xfId="27343"/>
    <cellStyle name="Heading 4 3 5" xfId="27344"/>
    <cellStyle name="Heading 4 4" xfId="27345"/>
    <cellStyle name="Heading 4 4 2" xfId="27346"/>
    <cellStyle name="Heading 4 4 2 2" xfId="27347"/>
    <cellStyle name="Heading 4 4 2 2 2" xfId="27348"/>
    <cellStyle name="Heading 4 4 2 3" xfId="27349"/>
    <cellStyle name="Heading 4 4 3" xfId="27350"/>
    <cellStyle name="Heading 4 4 3 2" xfId="27351"/>
    <cellStyle name="Heading 4 4 4" xfId="27352"/>
    <cellStyle name="Heading 4 5" xfId="27353"/>
    <cellStyle name="Heading 4 5 2" xfId="27354"/>
    <cellStyle name="Heading 4 5 2 2" xfId="27355"/>
    <cellStyle name="Heading 4 5 2 2 2" xfId="27356"/>
    <cellStyle name="Heading 4 5 2 3" xfId="27357"/>
    <cellStyle name="Heading 4 5 3" xfId="27358"/>
    <cellStyle name="Heading 4 5 3 2" xfId="27359"/>
    <cellStyle name="Heading 4 5 4" xfId="27360"/>
    <cellStyle name="Heading 4 6" xfId="27361"/>
    <cellStyle name="Heading 4 6 2" xfId="27362"/>
    <cellStyle name="Heading 4 6 2 2" xfId="27363"/>
    <cellStyle name="Heading 4 6 2 3" xfId="27364"/>
    <cellStyle name="Heading 4 6 3" xfId="27365"/>
    <cellStyle name="Heading 4 6 3 2" xfId="27366"/>
    <cellStyle name="Heading 4 6 4" xfId="27367"/>
    <cellStyle name="Heading 4 7" xfId="27368"/>
    <cellStyle name="Heading 4 7 2" xfId="27369"/>
    <cellStyle name="Heading 4 7 2 2" xfId="27370"/>
    <cellStyle name="Heading 4 7 2 3" xfId="27371"/>
    <cellStyle name="Heading 4 7 3" xfId="27372"/>
    <cellStyle name="Heading 4 7 3 2" xfId="27373"/>
    <cellStyle name="Heading 4 7 4" xfId="27374"/>
    <cellStyle name="Heading 4 8" xfId="27375"/>
    <cellStyle name="Heading 4 8 2" xfId="27376"/>
    <cellStyle name="Heading 4 8 2 2" xfId="27377"/>
    <cellStyle name="Heading 4 8 2 3" xfId="27378"/>
    <cellStyle name="Heading 4 8 3" xfId="27379"/>
    <cellStyle name="Heading 4 8 3 2" xfId="27380"/>
    <cellStyle name="Heading 4 8 4" xfId="27381"/>
    <cellStyle name="Heading 4 9" xfId="27382"/>
    <cellStyle name="Heading 4 9 2" xfId="27383"/>
    <cellStyle name="Heading 4 9 2 2" xfId="27384"/>
    <cellStyle name="Heading 4 9 2 3" xfId="27385"/>
    <cellStyle name="Heading 4 9 3" xfId="27386"/>
    <cellStyle name="Heading 4 9 3 2" xfId="27387"/>
    <cellStyle name="Heading 4 9 4" xfId="27388"/>
    <cellStyle name="Heading 5" xfId="27389"/>
    <cellStyle name="Heading 6" xfId="27390"/>
    <cellStyle name="Heading 7" xfId="27391"/>
    <cellStyle name="Heading 8" xfId="27392"/>
    <cellStyle name="Heading 9" xfId="27393"/>
    <cellStyle name="Heading1" xfId="27394"/>
    <cellStyle name="Heading1 2" xfId="27395"/>
    <cellStyle name="Heading2" xfId="27396"/>
    <cellStyle name="HEADINGS" xfId="27397"/>
    <cellStyle name="HEADINGSTOP" xfId="27398"/>
    <cellStyle name="Headline1" xfId="27399"/>
    <cellStyle name="Headline3" xfId="27400"/>
    <cellStyle name="Helv 9 ctr wrap" xfId="27401"/>
    <cellStyle name="Helv 9 lft wrap" xfId="27402"/>
    <cellStyle name="Hidden" xfId="27403"/>
    <cellStyle name="Hidden 2" xfId="27404"/>
    <cellStyle name="Hidden 2 2" xfId="27405"/>
    <cellStyle name="Hidden 2 2 2" xfId="27406"/>
    <cellStyle name="Hidden 2 3" xfId="27407"/>
    <cellStyle name="Hidden 3" xfId="27408"/>
    <cellStyle name="Hidden 3 2" xfId="27409"/>
    <cellStyle name="Hidden 3 2 2" xfId="27410"/>
    <cellStyle name="Hidden 3 3" xfId="27411"/>
    <cellStyle name="Hidden 4" xfId="27412"/>
    <cellStyle name="Hidden 4 2" xfId="27413"/>
    <cellStyle name="Hidden 5" xfId="27414"/>
    <cellStyle name="Hide_Me" xfId="27415"/>
    <cellStyle name="Hyperlink" xfId="25" builtinId="8"/>
    <cellStyle name="Input [yellow]" xfId="27416"/>
    <cellStyle name="Input [yellow] 2" xfId="27417"/>
    <cellStyle name="Input [yellow] 2 2" xfId="27418"/>
    <cellStyle name="Input [yellow] 2 3" xfId="27419"/>
    <cellStyle name="Input [yellow] 3" xfId="27420"/>
    <cellStyle name="Input [yellow] 3 2" xfId="27421"/>
    <cellStyle name="Input [yellow] 4" xfId="27422"/>
    <cellStyle name="Input [yellow] 5" xfId="27423"/>
    <cellStyle name="Input 10" xfId="27424"/>
    <cellStyle name="Input 10 2" xfId="27425"/>
    <cellStyle name="Input 10 2 2" xfId="27426"/>
    <cellStyle name="Input 10 2 2 2" xfId="27427"/>
    <cellStyle name="Input 10 2 2 2 2" xfId="27428"/>
    <cellStyle name="Input 10 2 2 2 3" xfId="27429"/>
    <cellStyle name="Input 10 2 2 3" xfId="27430"/>
    <cellStyle name="Input 10 2 2 3 2" xfId="27431"/>
    <cellStyle name="Input 10 2 2 3 3" xfId="27432"/>
    <cellStyle name="Input 10 2 2 4" xfId="27433"/>
    <cellStyle name="Input 10 2 2 4 2" xfId="27434"/>
    <cellStyle name="Input 10 2 2 4 3" xfId="27435"/>
    <cellStyle name="Input 10 2 2 5" xfId="27436"/>
    <cellStyle name="Input 10 2 2 5 2" xfId="27437"/>
    <cellStyle name="Input 10 2 2 5 3" xfId="27438"/>
    <cellStyle name="Input 10 2 2 6" xfId="27439"/>
    <cellStyle name="Input 10 2 2 6 2" xfId="27440"/>
    <cellStyle name="Input 10 2 2 6 3" xfId="27441"/>
    <cellStyle name="Input 10 2 2 7" xfId="27442"/>
    <cellStyle name="Input 10 2 2 8" xfId="27443"/>
    <cellStyle name="Input 10 2 3" xfId="27444"/>
    <cellStyle name="Input 10 2 3 2" xfId="27445"/>
    <cellStyle name="Input 10 2 3 3" xfId="27446"/>
    <cellStyle name="Input 10 2 4" xfId="27447"/>
    <cellStyle name="Input 10 2 4 2" xfId="27448"/>
    <cellStyle name="Input 10 2 4 3" xfId="27449"/>
    <cellStyle name="Input 10 2 5" xfId="27450"/>
    <cellStyle name="Input 10 2 5 2" xfId="27451"/>
    <cellStyle name="Input 10 2 5 3" xfId="27452"/>
    <cellStyle name="Input 10 2 6" xfId="27453"/>
    <cellStyle name="Input 10 2 6 2" xfId="27454"/>
    <cellStyle name="Input 10 2 6 3" xfId="27455"/>
    <cellStyle name="Input 10 2 7" xfId="27456"/>
    <cellStyle name="Input 10 2 7 2" xfId="27457"/>
    <cellStyle name="Input 10 2 7 3" xfId="27458"/>
    <cellStyle name="Input 10 2 8" xfId="27459"/>
    <cellStyle name="Input 10 2 9" xfId="27460"/>
    <cellStyle name="Input 10 3" xfId="27461"/>
    <cellStyle name="Input 10 3 2" xfId="27462"/>
    <cellStyle name="Input 10 3 2 2" xfId="27463"/>
    <cellStyle name="Input 10 3 2 3" xfId="27464"/>
    <cellStyle name="Input 10 3 3" xfId="27465"/>
    <cellStyle name="Input 10 3 3 2" xfId="27466"/>
    <cellStyle name="Input 10 3 3 3" xfId="27467"/>
    <cellStyle name="Input 10 3 4" xfId="27468"/>
    <cellStyle name="Input 10 3 4 2" xfId="27469"/>
    <cellStyle name="Input 10 3 4 3" xfId="27470"/>
    <cellStyle name="Input 10 3 5" xfId="27471"/>
    <cellStyle name="Input 10 3 5 2" xfId="27472"/>
    <cellStyle name="Input 10 3 5 3" xfId="27473"/>
    <cellStyle name="Input 10 3 6" xfId="27474"/>
    <cellStyle name="Input 10 3 6 2" xfId="27475"/>
    <cellStyle name="Input 10 3 6 3" xfId="27476"/>
    <cellStyle name="Input 10 3 7" xfId="27477"/>
    <cellStyle name="Input 10 3 8" xfId="27478"/>
    <cellStyle name="Input 10 4" xfId="27479"/>
    <cellStyle name="Input 10 4 2" xfId="27480"/>
    <cellStyle name="Input 10 4 3" xfId="27481"/>
    <cellStyle name="Input 10 5" xfId="27482"/>
    <cellStyle name="Input 10 5 2" xfId="27483"/>
    <cellStyle name="Input 10 5 3" xfId="27484"/>
    <cellStyle name="Input 10 6" xfId="27485"/>
    <cellStyle name="Input 10 6 2" xfId="27486"/>
    <cellStyle name="Input 10 6 3" xfId="27487"/>
    <cellStyle name="Input 10 7" xfId="27488"/>
    <cellStyle name="Input 10 8" xfId="27489"/>
    <cellStyle name="Input 10_Dakota Panel" xfId="27490"/>
    <cellStyle name="Input 100" xfId="27491"/>
    <cellStyle name="Input 100 2" xfId="27492"/>
    <cellStyle name="Input 100 2 2" xfId="27493"/>
    <cellStyle name="Input 100 3" xfId="27494"/>
    <cellStyle name="Input 100_Dakota Panel" xfId="27495"/>
    <cellStyle name="Input 101" xfId="27496"/>
    <cellStyle name="Input 101 2" xfId="27497"/>
    <cellStyle name="Input 101 2 2" xfId="27498"/>
    <cellStyle name="Input 101 3" xfId="27499"/>
    <cellStyle name="Input 101_Dakota Panel" xfId="27500"/>
    <cellStyle name="Input 102" xfId="27501"/>
    <cellStyle name="Input 102 2" xfId="27502"/>
    <cellStyle name="Input 102 2 2" xfId="27503"/>
    <cellStyle name="Input 102 3" xfId="27504"/>
    <cellStyle name="Input 102_Dakota Panel" xfId="27505"/>
    <cellStyle name="Input 103" xfId="27506"/>
    <cellStyle name="Input 103 2" xfId="27507"/>
    <cellStyle name="Input 103 2 2" xfId="27508"/>
    <cellStyle name="Input 103 3" xfId="27509"/>
    <cellStyle name="Input 103_Dakota Panel" xfId="27510"/>
    <cellStyle name="Input 104" xfId="27511"/>
    <cellStyle name="Input 104 2" xfId="27512"/>
    <cellStyle name="Input 104 2 2" xfId="27513"/>
    <cellStyle name="Input 104 3" xfId="27514"/>
    <cellStyle name="Input 104_Dakota Panel" xfId="27515"/>
    <cellStyle name="Input 105" xfId="27516"/>
    <cellStyle name="Input 105 2" xfId="27517"/>
    <cellStyle name="Input 105 2 2" xfId="27518"/>
    <cellStyle name="Input 105 3" xfId="27519"/>
    <cellStyle name="Input 105_Dakota Panel" xfId="27520"/>
    <cellStyle name="Input 106" xfId="27521"/>
    <cellStyle name="Input 106 2" xfId="27522"/>
    <cellStyle name="Input 106 2 2" xfId="27523"/>
    <cellStyle name="Input 106 3" xfId="27524"/>
    <cellStyle name="Input 106_Dakota Panel" xfId="27525"/>
    <cellStyle name="Input 107" xfId="27526"/>
    <cellStyle name="Input 107 2" xfId="27527"/>
    <cellStyle name="Input 107 2 2" xfId="27528"/>
    <cellStyle name="Input 107 3" xfId="27529"/>
    <cellStyle name="Input 107_Dakota Panel" xfId="27530"/>
    <cellStyle name="Input 108" xfId="27531"/>
    <cellStyle name="Input 108 2" xfId="27532"/>
    <cellStyle name="Input 108 2 2" xfId="27533"/>
    <cellStyle name="Input 108 3" xfId="27534"/>
    <cellStyle name="Input 108_Dakota Panel" xfId="27535"/>
    <cellStyle name="Input 109" xfId="27536"/>
    <cellStyle name="Input 109 2" xfId="27537"/>
    <cellStyle name="Input 109 2 2" xfId="27538"/>
    <cellStyle name="Input 109 3" xfId="27539"/>
    <cellStyle name="Input 109_Dakota Panel" xfId="27540"/>
    <cellStyle name="Input 11" xfId="27541"/>
    <cellStyle name="Input 11 2" xfId="27542"/>
    <cellStyle name="Input 11 2 2" xfId="27543"/>
    <cellStyle name="Input 11 2 2 2" xfId="27544"/>
    <cellStyle name="Input 11 2 2 3" xfId="27545"/>
    <cellStyle name="Input 11 2 3" xfId="27546"/>
    <cellStyle name="Input 11 2 4" xfId="27547"/>
    <cellStyle name="Input 11 3" xfId="27548"/>
    <cellStyle name="Input 11 3 2" xfId="27549"/>
    <cellStyle name="Input 11 3 3" xfId="27550"/>
    <cellStyle name="Input 11 4" xfId="27551"/>
    <cellStyle name="Input 11 4 2" xfId="27552"/>
    <cellStyle name="Input 11 5" xfId="27553"/>
    <cellStyle name="Input 11 5 2" xfId="27554"/>
    <cellStyle name="Input 11 6" xfId="27555"/>
    <cellStyle name="Input 11 7" xfId="27556"/>
    <cellStyle name="Input 11 8" xfId="27557"/>
    <cellStyle name="Input 11_Dakota Panel" xfId="27558"/>
    <cellStyle name="Input 110" xfId="27559"/>
    <cellStyle name="Input 110 2" xfId="27560"/>
    <cellStyle name="Input 110 2 2" xfId="27561"/>
    <cellStyle name="Input 110 3" xfId="27562"/>
    <cellStyle name="Input 110_Dakota Panel" xfId="27563"/>
    <cellStyle name="Input 111" xfId="27564"/>
    <cellStyle name="Input 111 2" xfId="27565"/>
    <cellStyle name="Input 111 2 2" xfId="27566"/>
    <cellStyle name="Input 111 3" xfId="27567"/>
    <cellStyle name="Input 111_Dakota Panel" xfId="27568"/>
    <cellStyle name="Input 112" xfId="27569"/>
    <cellStyle name="Input 112 2" xfId="27570"/>
    <cellStyle name="Input 112 2 2" xfId="27571"/>
    <cellStyle name="Input 112 3" xfId="27572"/>
    <cellStyle name="Input 112_Dakota Panel" xfId="27573"/>
    <cellStyle name="Input 113" xfId="27574"/>
    <cellStyle name="Input 113 2" xfId="27575"/>
    <cellStyle name="Input 113 2 2" xfId="27576"/>
    <cellStyle name="Input 113 3" xfId="27577"/>
    <cellStyle name="Input 113_Dakota Panel" xfId="27578"/>
    <cellStyle name="Input 114" xfId="27579"/>
    <cellStyle name="Input 114 2" xfId="27580"/>
    <cellStyle name="Input 114 2 2" xfId="27581"/>
    <cellStyle name="Input 114 3" xfId="27582"/>
    <cellStyle name="Input 114_Dakota Panel" xfId="27583"/>
    <cellStyle name="Input 115" xfId="27584"/>
    <cellStyle name="Input 115 2" xfId="27585"/>
    <cellStyle name="Input 115 2 2" xfId="27586"/>
    <cellStyle name="Input 115 3" xfId="27587"/>
    <cellStyle name="Input 115_Dakota Panel" xfId="27588"/>
    <cellStyle name="Input 116" xfId="27589"/>
    <cellStyle name="Input 116 2" xfId="27590"/>
    <cellStyle name="Input 116 2 2" xfId="27591"/>
    <cellStyle name="Input 116 3" xfId="27592"/>
    <cellStyle name="Input 116_Dakota Panel" xfId="27593"/>
    <cellStyle name="Input 117" xfId="27594"/>
    <cellStyle name="Input 117 2" xfId="27595"/>
    <cellStyle name="Input 117 2 2" xfId="27596"/>
    <cellStyle name="Input 117 3" xfId="27597"/>
    <cellStyle name="Input 117_Dakota Panel" xfId="27598"/>
    <cellStyle name="Input 118" xfId="27599"/>
    <cellStyle name="Input 118 2" xfId="27600"/>
    <cellStyle name="Input 118 2 2" xfId="27601"/>
    <cellStyle name="Input 118 3" xfId="27602"/>
    <cellStyle name="Input 118_Dakota Panel" xfId="27603"/>
    <cellStyle name="Input 119" xfId="27604"/>
    <cellStyle name="Input 119 2" xfId="27605"/>
    <cellStyle name="Input 119 2 2" xfId="27606"/>
    <cellStyle name="Input 119 3" xfId="27607"/>
    <cellStyle name="Input 119_Dakota Panel" xfId="27608"/>
    <cellStyle name="Input 12" xfId="27609"/>
    <cellStyle name="Input 12 2" xfId="27610"/>
    <cellStyle name="Input 12 2 2" xfId="27611"/>
    <cellStyle name="Input 12 2 2 2" xfId="27612"/>
    <cellStyle name="Input 12 2 2 3" xfId="27613"/>
    <cellStyle name="Input 12 2 3" xfId="27614"/>
    <cellStyle name="Input 12 2 4" xfId="27615"/>
    <cellStyle name="Input 12 2 5" xfId="27616"/>
    <cellStyle name="Input 12 3" xfId="27617"/>
    <cellStyle name="Input 12 3 2" xfId="27618"/>
    <cellStyle name="Input 12 3 3" xfId="27619"/>
    <cellStyle name="Input 12 4" xfId="27620"/>
    <cellStyle name="Input 12 5" xfId="27621"/>
    <cellStyle name="Input 12 6" xfId="27622"/>
    <cellStyle name="Input 12_Dakota Panel" xfId="27623"/>
    <cellStyle name="Input 120" xfId="27624"/>
    <cellStyle name="Input 120 2" xfId="27625"/>
    <cellStyle name="Input 120 2 2" xfId="27626"/>
    <cellStyle name="Input 120 3" xfId="27627"/>
    <cellStyle name="Input 120_Dakota Panel" xfId="27628"/>
    <cellStyle name="Input 121" xfId="27629"/>
    <cellStyle name="Input 121 2" xfId="27630"/>
    <cellStyle name="Input 121 2 2" xfId="27631"/>
    <cellStyle name="Input 121 3" xfId="27632"/>
    <cellStyle name="Input 121_Dakota Panel" xfId="27633"/>
    <cellStyle name="Input 122" xfId="27634"/>
    <cellStyle name="Input 122 2" xfId="27635"/>
    <cellStyle name="Input 122 2 2" xfId="27636"/>
    <cellStyle name="Input 122 3" xfId="27637"/>
    <cellStyle name="Input 122_Dakota Panel" xfId="27638"/>
    <cellStyle name="Input 123" xfId="27639"/>
    <cellStyle name="Input 123 2" xfId="27640"/>
    <cellStyle name="Input 123 2 2" xfId="27641"/>
    <cellStyle name="Input 123 3" xfId="27642"/>
    <cellStyle name="Input 123_Dakota Panel" xfId="27643"/>
    <cellStyle name="Input 124" xfId="27644"/>
    <cellStyle name="Input 124 2" xfId="27645"/>
    <cellStyle name="Input 124 2 2" xfId="27646"/>
    <cellStyle name="Input 124 3" xfId="27647"/>
    <cellStyle name="Input 124_Dakota Panel" xfId="27648"/>
    <cellStyle name="Input 125" xfId="27649"/>
    <cellStyle name="Input 125 2" xfId="27650"/>
    <cellStyle name="Input 125 2 2" xfId="27651"/>
    <cellStyle name="Input 125 3" xfId="27652"/>
    <cellStyle name="Input 125_Dakota Panel" xfId="27653"/>
    <cellStyle name="Input 126" xfId="27654"/>
    <cellStyle name="Input 126 2" xfId="27655"/>
    <cellStyle name="Input 126 2 2" xfId="27656"/>
    <cellStyle name="Input 126 3" xfId="27657"/>
    <cellStyle name="Input 126_Dakota Panel" xfId="27658"/>
    <cellStyle name="Input 127" xfId="27659"/>
    <cellStyle name="Input 127 2" xfId="27660"/>
    <cellStyle name="Input 127 2 2" xfId="27661"/>
    <cellStyle name="Input 127 3" xfId="27662"/>
    <cellStyle name="Input 127_Dakota Panel" xfId="27663"/>
    <cellStyle name="Input 128" xfId="27664"/>
    <cellStyle name="Input 128 2" xfId="27665"/>
    <cellStyle name="Input 128 2 2" xfId="27666"/>
    <cellStyle name="Input 128 3" xfId="27667"/>
    <cellStyle name="Input 128_Dakota Panel" xfId="27668"/>
    <cellStyle name="Input 129" xfId="27669"/>
    <cellStyle name="Input 129 2" xfId="27670"/>
    <cellStyle name="Input 129 2 2" xfId="27671"/>
    <cellStyle name="Input 129 3" xfId="27672"/>
    <cellStyle name="Input 129_Dakota Panel" xfId="27673"/>
    <cellStyle name="Input 13" xfId="27674"/>
    <cellStyle name="Input 13 2" xfId="27675"/>
    <cellStyle name="Input 13 2 2" xfId="27676"/>
    <cellStyle name="Input 13 2 2 2" xfId="27677"/>
    <cellStyle name="Input 13 2 2 3" xfId="27678"/>
    <cellStyle name="Input 13 2 3" xfId="27679"/>
    <cellStyle name="Input 13 2 4" xfId="27680"/>
    <cellStyle name="Input 13 2 5" xfId="27681"/>
    <cellStyle name="Input 13 3" xfId="27682"/>
    <cellStyle name="Input 13 3 2" xfId="27683"/>
    <cellStyle name="Input 13 3 3" xfId="27684"/>
    <cellStyle name="Input 13 4" xfId="27685"/>
    <cellStyle name="Input 13 5" xfId="27686"/>
    <cellStyle name="Input 13 6" xfId="27687"/>
    <cellStyle name="Input 13_Dakota Panel" xfId="27688"/>
    <cellStyle name="Input 130" xfId="27689"/>
    <cellStyle name="Input 130 2" xfId="27690"/>
    <cellStyle name="Input 130 2 2" xfId="27691"/>
    <cellStyle name="Input 130 3" xfId="27692"/>
    <cellStyle name="Input 130_Dakota Panel" xfId="27693"/>
    <cellStyle name="Input 131" xfId="27694"/>
    <cellStyle name="Input 131 2" xfId="27695"/>
    <cellStyle name="Input 131 2 2" xfId="27696"/>
    <cellStyle name="Input 131 3" xfId="27697"/>
    <cellStyle name="Input 131_Dakota Panel" xfId="27698"/>
    <cellStyle name="Input 132" xfId="27699"/>
    <cellStyle name="Input 132 2" xfId="27700"/>
    <cellStyle name="Input 132 2 2" xfId="27701"/>
    <cellStyle name="Input 132 3" xfId="27702"/>
    <cellStyle name="Input 132_Dakota Panel" xfId="27703"/>
    <cellStyle name="Input 133" xfId="27704"/>
    <cellStyle name="Input 133 2" xfId="27705"/>
    <cellStyle name="Input 133 2 2" xfId="27706"/>
    <cellStyle name="Input 133 3" xfId="27707"/>
    <cellStyle name="Input 133_Dakota Panel" xfId="27708"/>
    <cellStyle name="Input 134" xfId="27709"/>
    <cellStyle name="Input 134 2" xfId="27710"/>
    <cellStyle name="Input 134 2 2" xfId="27711"/>
    <cellStyle name="Input 134 3" xfId="27712"/>
    <cellStyle name="Input 134_Dakota Panel" xfId="27713"/>
    <cellStyle name="Input 135" xfId="27714"/>
    <cellStyle name="Input 135 2" xfId="27715"/>
    <cellStyle name="Input 135 2 2" xfId="27716"/>
    <cellStyle name="Input 135 3" xfId="27717"/>
    <cellStyle name="Input 135_Dakota Panel" xfId="27718"/>
    <cellStyle name="Input 136" xfId="27719"/>
    <cellStyle name="Input 136 2" xfId="27720"/>
    <cellStyle name="Input 136 2 2" xfId="27721"/>
    <cellStyle name="Input 136 3" xfId="27722"/>
    <cellStyle name="Input 136_Dakota Panel" xfId="27723"/>
    <cellStyle name="Input 137" xfId="27724"/>
    <cellStyle name="Input 137 2" xfId="27725"/>
    <cellStyle name="Input 137 2 2" xfId="27726"/>
    <cellStyle name="Input 137 3" xfId="27727"/>
    <cellStyle name="Input 137_Dakota Panel" xfId="27728"/>
    <cellStyle name="Input 138" xfId="27729"/>
    <cellStyle name="Input 138 2" xfId="27730"/>
    <cellStyle name="Input 138 2 2" xfId="27731"/>
    <cellStyle name="Input 138 3" xfId="27732"/>
    <cellStyle name="Input 138_Dakota Panel" xfId="27733"/>
    <cellStyle name="Input 139" xfId="27734"/>
    <cellStyle name="Input 139 2" xfId="27735"/>
    <cellStyle name="Input 139 2 2" xfId="27736"/>
    <cellStyle name="Input 139 3" xfId="27737"/>
    <cellStyle name="Input 139_Dakota Panel" xfId="27738"/>
    <cellStyle name="Input 14" xfId="27739"/>
    <cellStyle name="Input 14 2" xfId="27740"/>
    <cellStyle name="Input 14 2 2" xfId="27741"/>
    <cellStyle name="Input 14 2 2 2" xfId="27742"/>
    <cellStyle name="Input 14 2 2 3" xfId="27743"/>
    <cellStyle name="Input 14 2 3" xfId="27744"/>
    <cellStyle name="Input 14 2 4" xfId="27745"/>
    <cellStyle name="Input 14 2 5" xfId="27746"/>
    <cellStyle name="Input 14 3" xfId="27747"/>
    <cellStyle name="Input 14 3 2" xfId="27748"/>
    <cellStyle name="Input 14 3 3" xfId="27749"/>
    <cellStyle name="Input 14 4" xfId="27750"/>
    <cellStyle name="Input 14 5" xfId="27751"/>
    <cellStyle name="Input 14 6" xfId="27752"/>
    <cellStyle name="Input 14_Dakota Panel" xfId="27753"/>
    <cellStyle name="Input 140" xfId="27754"/>
    <cellStyle name="Input 140 2" xfId="27755"/>
    <cellStyle name="Input 140 2 2" xfId="27756"/>
    <cellStyle name="Input 140 3" xfId="27757"/>
    <cellStyle name="Input 140_Dakota Panel" xfId="27758"/>
    <cellStyle name="Input 141" xfId="27759"/>
    <cellStyle name="Input 141 2" xfId="27760"/>
    <cellStyle name="Input 141 2 2" xfId="27761"/>
    <cellStyle name="Input 141 3" xfId="27762"/>
    <cellStyle name="Input 141_Dakota Panel" xfId="27763"/>
    <cellStyle name="Input 142" xfId="27764"/>
    <cellStyle name="Input 142 2" xfId="27765"/>
    <cellStyle name="Input 142 2 2" xfId="27766"/>
    <cellStyle name="Input 142 3" xfId="27767"/>
    <cellStyle name="Input 142_Dakota Panel" xfId="27768"/>
    <cellStyle name="Input 143" xfId="27769"/>
    <cellStyle name="Input 143 2" xfId="27770"/>
    <cellStyle name="Input 143 2 2" xfId="27771"/>
    <cellStyle name="Input 143 3" xfId="27772"/>
    <cellStyle name="Input 143_Dakota Panel" xfId="27773"/>
    <cellStyle name="Input 144" xfId="27774"/>
    <cellStyle name="Input 144 2" xfId="27775"/>
    <cellStyle name="Input 144 2 2" xfId="27776"/>
    <cellStyle name="Input 144 3" xfId="27777"/>
    <cellStyle name="Input 144_Dakota Panel" xfId="27778"/>
    <cellStyle name="Input 145" xfId="27779"/>
    <cellStyle name="Input 145 2" xfId="27780"/>
    <cellStyle name="Input 145 2 2" xfId="27781"/>
    <cellStyle name="Input 145 3" xfId="27782"/>
    <cellStyle name="Input 145_Dakota Panel" xfId="27783"/>
    <cellStyle name="Input 146" xfId="27784"/>
    <cellStyle name="Input 146 2" xfId="27785"/>
    <cellStyle name="Input 146 2 2" xfId="27786"/>
    <cellStyle name="Input 146 3" xfId="27787"/>
    <cellStyle name="Input 146_Dakota Panel" xfId="27788"/>
    <cellStyle name="Input 147" xfId="27789"/>
    <cellStyle name="Input 147 2" xfId="27790"/>
    <cellStyle name="Input 147 2 2" xfId="27791"/>
    <cellStyle name="Input 147 3" xfId="27792"/>
    <cellStyle name="Input 147_Dakota Panel" xfId="27793"/>
    <cellStyle name="Input 148" xfId="27794"/>
    <cellStyle name="Input 148 2" xfId="27795"/>
    <cellStyle name="Input 148 2 2" xfId="27796"/>
    <cellStyle name="Input 148 3" xfId="27797"/>
    <cellStyle name="Input 148_Dakota Panel" xfId="27798"/>
    <cellStyle name="Input 149" xfId="27799"/>
    <cellStyle name="Input 149 2" xfId="27800"/>
    <cellStyle name="Input 149 2 2" xfId="27801"/>
    <cellStyle name="Input 149 3" xfId="27802"/>
    <cellStyle name="Input 149_Dakota Panel" xfId="27803"/>
    <cellStyle name="Input 15" xfId="27804"/>
    <cellStyle name="Input 15 2" xfId="27805"/>
    <cellStyle name="Input 15 2 2" xfId="27806"/>
    <cellStyle name="Input 15 2 2 2" xfId="27807"/>
    <cellStyle name="Input 15 2 2 3" xfId="27808"/>
    <cellStyle name="Input 15 2 3" xfId="27809"/>
    <cellStyle name="Input 15 2 4" xfId="27810"/>
    <cellStyle name="Input 15 2 5" xfId="27811"/>
    <cellStyle name="Input 15 3" xfId="27812"/>
    <cellStyle name="Input 15 3 2" xfId="27813"/>
    <cellStyle name="Input 15 3 3" xfId="27814"/>
    <cellStyle name="Input 15 4" xfId="27815"/>
    <cellStyle name="Input 15 5" xfId="27816"/>
    <cellStyle name="Input 15 6" xfId="27817"/>
    <cellStyle name="Input 15_Dakota Panel" xfId="27818"/>
    <cellStyle name="Input 150" xfId="27819"/>
    <cellStyle name="Input 150 2" xfId="27820"/>
    <cellStyle name="Input 150 2 2" xfId="27821"/>
    <cellStyle name="Input 150 3" xfId="27822"/>
    <cellStyle name="Input 150_Dakota Panel" xfId="27823"/>
    <cellStyle name="Input 151" xfId="27824"/>
    <cellStyle name="Input 151 2" xfId="27825"/>
    <cellStyle name="Input 151 2 2" xfId="27826"/>
    <cellStyle name="Input 151 3" xfId="27827"/>
    <cellStyle name="Input 151_Dakota Panel" xfId="27828"/>
    <cellStyle name="Input 152" xfId="27829"/>
    <cellStyle name="Input 152 2" xfId="27830"/>
    <cellStyle name="Input 152 2 2" xfId="27831"/>
    <cellStyle name="Input 152 3" xfId="27832"/>
    <cellStyle name="Input 152_Dakota Panel" xfId="27833"/>
    <cellStyle name="Input 153" xfId="27834"/>
    <cellStyle name="Input 153 2" xfId="27835"/>
    <cellStyle name="Input 153 2 2" xfId="27836"/>
    <cellStyle name="Input 153 3" xfId="27837"/>
    <cellStyle name="Input 153_Dakota Panel" xfId="27838"/>
    <cellStyle name="Input 154" xfId="27839"/>
    <cellStyle name="Input 154 2" xfId="27840"/>
    <cellStyle name="Input 154 2 2" xfId="27841"/>
    <cellStyle name="Input 154 3" xfId="27842"/>
    <cellStyle name="Input 154_Dakota Panel" xfId="27843"/>
    <cellStyle name="Input 155" xfId="27844"/>
    <cellStyle name="Input 155 2" xfId="27845"/>
    <cellStyle name="Input 155 2 2" xfId="27846"/>
    <cellStyle name="Input 155 3" xfId="27847"/>
    <cellStyle name="Input 155_Dakota Panel" xfId="27848"/>
    <cellStyle name="Input 156" xfId="27849"/>
    <cellStyle name="Input 156 2" xfId="27850"/>
    <cellStyle name="Input 156 2 2" xfId="27851"/>
    <cellStyle name="Input 156 3" xfId="27852"/>
    <cellStyle name="Input 156_Dakota Panel" xfId="27853"/>
    <cellStyle name="Input 157" xfId="27854"/>
    <cellStyle name="Input 157 2" xfId="27855"/>
    <cellStyle name="Input 157 2 2" xfId="27856"/>
    <cellStyle name="Input 157 3" xfId="27857"/>
    <cellStyle name="Input 157_Dakota Panel" xfId="27858"/>
    <cellStyle name="Input 158" xfId="27859"/>
    <cellStyle name="Input 158 2" xfId="27860"/>
    <cellStyle name="Input 158 2 2" xfId="27861"/>
    <cellStyle name="Input 158 3" xfId="27862"/>
    <cellStyle name="Input 158_Dakota Panel" xfId="27863"/>
    <cellStyle name="Input 159" xfId="27864"/>
    <cellStyle name="Input 159 2" xfId="27865"/>
    <cellStyle name="Input 159 2 2" xfId="27866"/>
    <cellStyle name="Input 159 3" xfId="27867"/>
    <cellStyle name="Input 159_Dakota Panel" xfId="27868"/>
    <cellStyle name="Input 16" xfId="27869"/>
    <cellStyle name="Input 16 2" xfId="27870"/>
    <cellStyle name="Input 16 2 2" xfId="27871"/>
    <cellStyle name="Input 16 2 2 2" xfId="27872"/>
    <cellStyle name="Input 16 2 3" xfId="27873"/>
    <cellStyle name="Input 16 3" xfId="27874"/>
    <cellStyle name="Input 16 3 2" xfId="27875"/>
    <cellStyle name="Input 16 3 3" xfId="27876"/>
    <cellStyle name="Input 16 4" xfId="27877"/>
    <cellStyle name="Input 16 5" xfId="27878"/>
    <cellStyle name="Input 16 6" xfId="27879"/>
    <cellStyle name="Input 16_Dakota Panel" xfId="27880"/>
    <cellStyle name="Input 160" xfId="27881"/>
    <cellStyle name="Input 160 2" xfId="27882"/>
    <cellStyle name="Input 160 2 2" xfId="27883"/>
    <cellStyle name="Input 160 3" xfId="27884"/>
    <cellStyle name="Input 160_Dakota Panel" xfId="27885"/>
    <cellStyle name="Input 161" xfId="27886"/>
    <cellStyle name="Input 161 2" xfId="27887"/>
    <cellStyle name="Input 161 2 2" xfId="27888"/>
    <cellStyle name="Input 161 3" xfId="27889"/>
    <cellStyle name="Input 161_Dakota Panel" xfId="27890"/>
    <cellStyle name="Input 162" xfId="27891"/>
    <cellStyle name="Input 162 2" xfId="27892"/>
    <cellStyle name="Input 162 2 2" xfId="27893"/>
    <cellStyle name="Input 162 3" xfId="27894"/>
    <cellStyle name="Input 162_Dakota Panel" xfId="27895"/>
    <cellStyle name="Input 163" xfId="27896"/>
    <cellStyle name="Input 163 2" xfId="27897"/>
    <cellStyle name="Input 163 2 2" xfId="27898"/>
    <cellStyle name="Input 163 3" xfId="27899"/>
    <cellStyle name="Input 163_Dakota Panel" xfId="27900"/>
    <cellStyle name="Input 164" xfId="27901"/>
    <cellStyle name="Input 164 2" xfId="27902"/>
    <cellStyle name="Input 164 2 2" xfId="27903"/>
    <cellStyle name="Input 164 3" xfId="27904"/>
    <cellStyle name="Input 164_Dakota Panel" xfId="27905"/>
    <cellStyle name="Input 165" xfId="27906"/>
    <cellStyle name="Input 165 2" xfId="27907"/>
    <cellStyle name="Input 165 2 2" xfId="27908"/>
    <cellStyle name="Input 165 3" xfId="27909"/>
    <cellStyle name="Input 165_Dakota Panel" xfId="27910"/>
    <cellStyle name="Input 166" xfId="27911"/>
    <cellStyle name="Input 166 2" xfId="27912"/>
    <cellStyle name="Input 166 2 2" xfId="27913"/>
    <cellStyle name="Input 166 3" xfId="27914"/>
    <cellStyle name="Input 166_Dakota Panel" xfId="27915"/>
    <cellStyle name="Input 167" xfId="27916"/>
    <cellStyle name="Input 167 2" xfId="27917"/>
    <cellStyle name="Input 167 2 2" xfId="27918"/>
    <cellStyle name="Input 167 3" xfId="27919"/>
    <cellStyle name="Input 167_Dakota Panel" xfId="27920"/>
    <cellStyle name="Input 168" xfId="27921"/>
    <cellStyle name="Input 168 2" xfId="27922"/>
    <cellStyle name="Input 168 2 2" xfId="27923"/>
    <cellStyle name="Input 168 3" xfId="27924"/>
    <cellStyle name="Input 168_Dakota Panel" xfId="27925"/>
    <cellStyle name="Input 169" xfId="27926"/>
    <cellStyle name="Input 169 2" xfId="27927"/>
    <cellStyle name="Input 169 2 2" xfId="27928"/>
    <cellStyle name="Input 169 3" xfId="27929"/>
    <cellStyle name="Input 169_Dakota Panel" xfId="27930"/>
    <cellStyle name="Input 17" xfId="27931"/>
    <cellStyle name="Input 17 2" xfId="27932"/>
    <cellStyle name="Input 17 2 2" xfId="27933"/>
    <cellStyle name="Input 17 2 2 2" xfId="27934"/>
    <cellStyle name="Input 17 2 3" xfId="27935"/>
    <cellStyle name="Input 17 3" xfId="27936"/>
    <cellStyle name="Input 17 3 2" xfId="27937"/>
    <cellStyle name="Input 17 3 3" xfId="27938"/>
    <cellStyle name="Input 17 4" xfId="27939"/>
    <cellStyle name="Input 17 5" xfId="27940"/>
    <cellStyle name="Input 17 6" xfId="27941"/>
    <cellStyle name="Input 17_Dakota Panel" xfId="27942"/>
    <cellStyle name="Input 170" xfId="27943"/>
    <cellStyle name="Input 170 2" xfId="27944"/>
    <cellStyle name="Input 170 2 2" xfId="27945"/>
    <cellStyle name="Input 170 3" xfId="27946"/>
    <cellStyle name="Input 170_Dakota Panel" xfId="27947"/>
    <cellStyle name="Input 171" xfId="27948"/>
    <cellStyle name="Input 171 2" xfId="27949"/>
    <cellStyle name="Input 171 2 2" xfId="27950"/>
    <cellStyle name="Input 171 3" xfId="27951"/>
    <cellStyle name="Input 171_Dakota Panel" xfId="27952"/>
    <cellStyle name="Input 172" xfId="27953"/>
    <cellStyle name="Input 172 2" xfId="27954"/>
    <cellStyle name="Input 172 2 2" xfId="27955"/>
    <cellStyle name="Input 172 3" xfId="27956"/>
    <cellStyle name="Input 172_Dakota Panel" xfId="27957"/>
    <cellStyle name="Input 173" xfId="27958"/>
    <cellStyle name="Input 173 2" xfId="27959"/>
    <cellStyle name="Input 173 2 2" xfId="27960"/>
    <cellStyle name="Input 173 3" xfId="27961"/>
    <cellStyle name="Input 173_Dakota Panel" xfId="27962"/>
    <cellStyle name="Input 174" xfId="27963"/>
    <cellStyle name="Input 174 2" xfId="27964"/>
    <cellStyle name="Input 174 2 2" xfId="27965"/>
    <cellStyle name="Input 174 3" xfId="27966"/>
    <cellStyle name="Input 174_Dakota Panel" xfId="27967"/>
    <cellStyle name="Input 175" xfId="27968"/>
    <cellStyle name="Input 175 2" xfId="27969"/>
    <cellStyle name="Input 175 2 2" xfId="27970"/>
    <cellStyle name="Input 175 3" xfId="27971"/>
    <cellStyle name="Input 175_Dakota Panel" xfId="27972"/>
    <cellStyle name="Input 176" xfId="27973"/>
    <cellStyle name="Input 176 2" xfId="27974"/>
    <cellStyle name="Input 176 2 2" xfId="27975"/>
    <cellStyle name="Input 176 3" xfId="27976"/>
    <cellStyle name="Input 176_Dakota Panel" xfId="27977"/>
    <cellStyle name="Input 177" xfId="27978"/>
    <cellStyle name="Input 177 2" xfId="27979"/>
    <cellStyle name="Input 177 2 2" xfId="27980"/>
    <cellStyle name="Input 177 3" xfId="27981"/>
    <cellStyle name="Input 177_Dakota Panel" xfId="27982"/>
    <cellStyle name="Input 178" xfId="27983"/>
    <cellStyle name="Input 178 2" xfId="27984"/>
    <cellStyle name="Input 178 2 2" xfId="27985"/>
    <cellStyle name="Input 178 3" xfId="27986"/>
    <cellStyle name="Input 178_Dakota Panel" xfId="27987"/>
    <cellStyle name="Input 179" xfId="27988"/>
    <cellStyle name="Input 179 2" xfId="27989"/>
    <cellStyle name="Input 179 2 2" xfId="27990"/>
    <cellStyle name="Input 179 3" xfId="27991"/>
    <cellStyle name="Input 179_Dakota Panel" xfId="27992"/>
    <cellStyle name="Input 18" xfId="27993"/>
    <cellStyle name="Input 18 2" xfId="27994"/>
    <cellStyle name="Input 18 2 2" xfId="27995"/>
    <cellStyle name="Input 18 2 2 2" xfId="27996"/>
    <cellStyle name="Input 18 2 3" xfId="27997"/>
    <cellStyle name="Input 18 3" xfId="27998"/>
    <cellStyle name="Input 18 3 2" xfId="27999"/>
    <cellStyle name="Input 18 3 3" xfId="28000"/>
    <cellStyle name="Input 18 4" xfId="28001"/>
    <cellStyle name="Input 18 5" xfId="28002"/>
    <cellStyle name="Input 18 6" xfId="28003"/>
    <cellStyle name="Input 18_Dakota Panel" xfId="28004"/>
    <cellStyle name="Input 180" xfId="28005"/>
    <cellStyle name="Input 180 2" xfId="28006"/>
    <cellStyle name="Input 180 2 2" xfId="28007"/>
    <cellStyle name="Input 180 3" xfId="28008"/>
    <cellStyle name="Input 180_Dakota Panel" xfId="28009"/>
    <cellStyle name="Input 181" xfId="28010"/>
    <cellStyle name="Input 181 2" xfId="28011"/>
    <cellStyle name="Input 181 2 2" xfId="28012"/>
    <cellStyle name="Input 181 3" xfId="28013"/>
    <cellStyle name="Input 181_Dakota Panel" xfId="28014"/>
    <cellStyle name="Input 182" xfId="28015"/>
    <cellStyle name="Input 182 2" xfId="28016"/>
    <cellStyle name="Input 182 2 2" xfId="28017"/>
    <cellStyle name="Input 182 3" xfId="28018"/>
    <cellStyle name="Input 183" xfId="28019"/>
    <cellStyle name="Input 183 2" xfId="28020"/>
    <cellStyle name="Input 183 2 2" xfId="28021"/>
    <cellStyle name="Input 183 3" xfId="28022"/>
    <cellStyle name="Input 184" xfId="28023"/>
    <cellStyle name="Input 184 2" xfId="28024"/>
    <cellStyle name="Input 184 2 2" xfId="28025"/>
    <cellStyle name="Input 184 3" xfId="28026"/>
    <cellStyle name="Input 185" xfId="28027"/>
    <cellStyle name="Input 185 2" xfId="28028"/>
    <cellStyle name="Input 185 2 2" xfId="28029"/>
    <cellStyle name="Input 185 3" xfId="28030"/>
    <cellStyle name="Input 186" xfId="28031"/>
    <cellStyle name="Input 186 2" xfId="28032"/>
    <cellStyle name="Input 186 2 2" xfId="28033"/>
    <cellStyle name="Input 186 3" xfId="28034"/>
    <cellStyle name="Input 187" xfId="28035"/>
    <cellStyle name="Input 187 2" xfId="28036"/>
    <cellStyle name="Input 187 2 2" xfId="28037"/>
    <cellStyle name="Input 187 3" xfId="28038"/>
    <cellStyle name="Input 188" xfId="28039"/>
    <cellStyle name="Input 188 2" xfId="28040"/>
    <cellStyle name="Input 188 2 2" xfId="28041"/>
    <cellStyle name="Input 188 3" xfId="28042"/>
    <cellStyle name="Input 189" xfId="28043"/>
    <cellStyle name="Input 189 2" xfId="28044"/>
    <cellStyle name="Input 189 2 2" xfId="28045"/>
    <cellStyle name="Input 189 3" xfId="28046"/>
    <cellStyle name="Input 19" xfId="28047"/>
    <cellStyle name="Input 19 2" xfId="28048"/>
    <cellStyle name="Input 19 2 2" xfId="28049"/>
    <cellStyle name="Input 19 2 2 2" xfId="28050"/>
    <cellStyle name="Input 19 2 3" xfId="28051"/>
    <cellStyle name="Input 19 3" xfId="28052"/>
    <cellStyle name="Input 19 3 2" xfId="28053"/>
    <cellStyle name="Input 19 3 3" xfId="28054"/>
    <cellStyle name="Input 19 4" xfId="28055"/>
    <cellStyle name="Input 19 5" xfId="28056"/>
    <cellStyle name="Input 19 6" xfId="28057"/>
    <cellStyle name="Input 19_Dakota Panel" xfId="28058"/>
    <cellStyle name="Input 190" xfId="28059"/>
    <cellStyle name="Input 190 2" xfId="28060"/>
    <cellStyle name="Input 190 2 2" xfId="28061"/>
    <cellStyle name="Input 190 3" xfId="28062"/>
    <cellStyle name="Input 191" xfId="28063"/>
    <cellStyle name="Input 192" xfId="28064"/>
    <cellStyle name="Input 193" xfId="28065"/>
    <cellStyle name="Input 194" xfId="28066"/>
    <cellStyle name="Input 195" xfId="28067"/>
    <cellStyle name="Input 196" xfId="28068"/>
    <cellStyle name="Input 197" xfId="28069"/>
    <cellStyle name="Input 198" xfId="28070"/>
    <cellStyle name="Input 199" xfId="28071"/>
    <cellStyle name="Input 2" xfId="28072"/>
    <cellStyle name="Input 2 10" xfId="28073"/>
    <cellStyle name="Input 2 10 2" xfId="28074"/>
    <cellStyle name="Input 2 10 3" xfId="28075"/>
    <cellStyle name="Input 2 11" xfId="28076"/>
    <cellStyle name="Input 2 11 2" xfId="28077"/>
    <cellStyle name="Input 2 11 3" xfId="28078"/>
    <cellStyle name="Input 2 12" xfId="28079"/>
    <cellStyle name="Input 2 12 2" xfId="28080"/>
    <cellStyle name="Input 2 12 3" xfId="28081"/>
    <cellStyle name="Input 2 13" xfId="28082"/>
    <cellStyle name="Input 2 13 2" xfId="28083"/>
    <cellStyle name="Input 2 14" xfId="28084"/>
    <cellStyle name="Input 2 14 2" xfId="28085"/>
    <cellStyle name="Input 2 15" xfId="28086"/>
    <cellStyle name="Input 2 16" xfId="28087"/>
    <cellStyle name="Input 2 17" xfId="28088"/>
    <cellStyle name="Input 2 2" xfId="28089"/>
    <cellStyle name="Input 2 2 10" xfId="28090"/>
    <cellStyle name="Input 2 2 10 2" xfId="28091"/>
    <cellStyle name="Input 2 2 10 3" xfId="28092"/>
    <cellStyle name="Input 2 2 11" xfId="28093"/>
    <cellStyle name="Input 2 2 11 2" xfId="28094"/>
    <cellStyle name="Input 2 2 12" xfId="28095"/>
    <cellStyle name="Input 2 2 13" xfId="28096"/>
    <cellStyle name="Input 2 2 2" xfId="28097"/>
    <cellStyle name="Input 2 2 2 10" xfId="28098"/>
    <cellStyle name="Input 2 2 2 10 2" xfId="28099"/>
    <cellStyle name="Input 2 2 2 10 3" xfId="28100"/>
    <cellStyle name="Input 2 2 2 11" xfId="28101"/>
    <cellStyle name="Input 2 2 2 11 2" xfId="28102"/>
    <cellStyle name="Input 2 2 2 12" xfId="28103"/>
    <cellStyle name="Input 2 2 2 13" xfId="28104"/>
    <cellStyle name="Input 2 2 2 2" xfId="28105"/>
    <cellStyle name="Input 2 2 2 2 2" xfId="28106"/>
    <cellStyle name="Input 2 2 2 2 3" xfId="28107"/>
    <cellStyle name="Input 2 2 2 3" xfId="28108"/>
    <cellStyle name="Input 2 2 2 3 2" xfId="28109"/>
    <cellStyle name="Input 2 2 2 3 3" xfId="28110"/>
    <cellStyle name="Input 2 2 2 4" xfId="28111"/>
    <cellStyle name="Input 2 2 2 4 2" xfId="28112"/>
    <cellStyle name="Input 2 2 2 4 3" xfId="28113"/>
    <cellStyle name="Input 2 2 2 5" xfId="28114"/>
    <cellStyle name="Input 2 2 2 5 2" xfId="28115"/>
    <cellStyle name="Input 2 2 2 5 3" xfId="28116"/>
    <cellStyle name="Input 2 2 2 6" xfId="28117"/>
    <cellStyle name="Input 2 2 2 6 2" xfId="28118"/>
    <cellStyle name="Input 2 2 2 6 3" xfId="28119"/>
    <cellStyle name="Input 2 2 2 7" xfId="28120"/>
    <cellStyle name="Input 2 2 2 7 2" xfId="28121"/>
    <cellStyle name="Input 2 2 2 7 3" xfId="28122"/>
    <cellStyle name="Input 2 2 2 8" xfId="28123"/>
    <cellStyle name="Input 2 2 2 8 2" xfId="28124"/>
    <cellStyle name="Input 2 2 2 8 3" xfId="28125"/>
    <cellStyle name="Input 2 2 2 9" xfId="28126"/>
    <cellStyle name="Input 2 2 2 9 2" xfId="28127"/>
    <cellStyle name="Input 2 2 2 9 3" xfId="28128"/>
    <cellStyle name="Input 2 2 2_BHP 4Q 2010 Ops Review Senior Managment " xfId="14"/>
    <cellStyle name="Input 2 2 3" xfId="28129"/>
    <cellStyle name="Input 2 2 3 2" xfId="28130"/>
    <cellStyle name="Input 2 2 3 2 2" xfId="28131"/>
    <cellStyle name="Input 2 2 3 3" xfId="28132"/>
    <cellStyle name="Input 2 2 4" xfId="28133"/>
    <cellStyle name="Input 2 2 4 2" xfId="28134"/>
    <cellStyle name="Input 2 2 4 3" xfId="28135"/>
    <cellStyle name="Input 2 2 5" xfId="28136"/>
    <cellStyle name="Input 2 2 5 2" xfId="28137"/>
    <cellStyle name="Input 2 2 5 3" xfId="28138"/>
    <cellStyle name="Input 2 2 6" xfId="28139"/>
    <cellStyle name="Input 2 2 6 2" xfId="28140"/>
    <cellStyle name="Input 2 2 6 3" xfId="28141"/>
    <cellStyle name="Input 2 2 7" xfId="28142"/>
    <cellStyle name="Input 2 2 7 2" xfId="28143"/>
    <cellStyle name="Input 2 2 7 3" xfId="28144"/>
    <cellStyle name="Input 2 2 8" xfId="28145"/>
    <cellStyle name="Input 2 2 8 2" xfId="28146"/>
    <cellStyle name="Input 2 2 8 3" xfId="28147"/>
    <cellStyle name="Input 2 2 9" xfId="28148"/>
    <cellStyle name="Input 2 2 9 2" xfId="28149"/>
    <cellStyle name="Input 2 2 9 3" xfId="28150"/>
    <cellStyle name="Input 2 2_BHP 4Q 2010 Ops Review Senior Managment " xfId="15"/>
    <cellStyle name="Input 2 3" xfId="28151"/>
    <cellStyle name="Input 2 3 2" xfId="28152"/>
    <cellStyle name="Input 2 3 2 2" xfId="28153"/>
    <cellStyle name="Input 2 3 2 2 2" xfId="28154"/>
    <cellStyle name="Input 2 3 2 2 2 2" xfId="28155"/>
    <cellStyle name="Input 2 3 2 2 2 3" xfId="28156"/>
    <cellStyle name="Input 2 3 2 2 3" xfId="28157"/>
    <cellStyle name="Input 2 3 2 2 3 2" xfId="28158"/>
    <cellStyle name="Input 2 3 2 2 3 3" xfId="28159"/>
    <cellStyle name="Input 2 3 2 2 4" xfId="28160"/>
    <cellStyle name="Input 2 3 2 2 4 2" xfId="28161"/>
    <cellStyle name="Input 2 3 2 2 4 3" xfId="28162"/>
    <cellStyle name="Input 2 3 2 2 5" xfId="28163"/>
    <cellStyle name="Input 2 3 2 2 5 2" xfId="28164"/>
    <cellStyle name="Input 2 3 2 2 5 3" xfId="28165"/>
    <cellStyle name="Input 2 3 2 2 6" xfId="28166"/>
    <cellStyle name="Input 2 3 2 2 6 2" xfId="28167"/>
    <cellStyle name="Input 2 3 2 2 6 3" xfId="28168"/>
    <cellStyle name="Input 2 3 2 2 7" xfId="28169"/>
    <cellStyle name="Input 2 3 2 2 8" xfId="28170"/>
    <cellStyle name="Input 2 3 2 3" xfId="28171"/>
    <cellStyle name="Input 2 3 2 3 2" xfId="28172"/>
    <cellStyle name="Input 2 3 2 3 3" xfId="28173"/>
    <cellStyle name="Input 2 3 2 4" xfId="28174"/>
    <cellStyle name="Input 2 3 2 4 2" xfId="28175"/>
    <cellStyle name="Input 2 3 2 4 3" xfId="28176"/>
    <cellStyle name="Input 2 3 2 5" xfId="28177"/>
    <cellStyle name="Input 2 3 2 5 2" xfId="28178"/>
    <cellStyle name="Input 2 3 2 5 3" xfId="28179"/>
    <cellStyle name="Input 2 3 2 6" xfId="28180"/>
    <cellStyle name="Input 2 3 2 6 2" xfId="28181"/>
    <cellStyle name="Input 2 3 2 6 3" xfId="28182"/>
    <cellStyle name="Input 2 3 2 7" xfId="28183"/>
    <cellStyle name="Input 2 3 2 7 2" xfId="28184"/>
    <cellStyle name="Input 2 3 2 7 3" xfId="28185"/>
    <cellStyle name="Input 2 3 2 8" xfId="28186"/>
    <cellStyle name="Input 2 3 2 9" xfId="28187"/>
    <cellStyle name="Input 2 3 3" xfId="28188"/>
    <cellStyle name="Input 2 3 3 2" xfId="28189"/>
    <cellStyle name="Input 2 3 3 2 2" xfId="28190"/>
    <cellStyle name="Input 2 3 3 2 3" xfId="28191"/>
    <cellStyle name="Input 2 3 3 3" xfId="28192"/>
    <cellStyle name="Input 2 3 3 3 2" xfId="28193"/>
    <cellStyle name="Input 2 3 3 3 3" xfId="28194"/>
    <cellStyle name="Input 2 3 3 4" xfId="28195"/>
    <cellStyle name="Input 2 3 3 4 2" xfId="28196"/>
    <cellStyle name="Input 2 3 3 4 3" xfId="28197"/>
    <cellStyle name="Input 2 3 3 5" xfId="28198"/>
    <cellStyle name="Input 2 3 3 5 2" xfId="28199"/>
    <cellStyle name="Input 2 3 3 5 3" xfId="28200"/>
    <cellStyle name="Input 2 3 3 6" xfId="28201"/>
    <cellStyle name="Input 2 3 3 6 2" xfId="28202"/>
    <cellStyle name="Input 2 3 3 6 3" xfId="28203"/>
    <cellStyle name="Input 2 3 3 7" xfId="28204"/>
    <cellStyle name="Input 2 3 3 8" xfId="28205"/>
    <cellStyle name="Input 2 3 4" xfId="28206"/>
    <cellStyle name="Input 2 3 4 2" xfId="28207"/>
    <cellStyle name="Input 2 3 4 3" xfId="28208"/>
    <cellStyle name="Input 2 3 5" xfId="28209"/>
    <cellStyle name="Input 2 3 5 2" xfId="28210"/>
    <cellStyle name="Input 2 3 5 3" xfId="28211"/>
    <cellStyle name="Input 2 3 6" xfId="28212"/>
    <cellStyle name="Input 2 3 6 2" xfId="28213"/>
    <cellStyle name="Input 2 3 6 3" xfId="28214"/>
    <cellStyle name="Input 2 3 7" xfId="28215"/>
    <cellStyle name="Input 2 3 8" xfId="28216"/>
    <cellStyle name="Input 2 4" xfId="28217"/>
    <cellStyle name="Input 2 4 2" xfId="28218"/>
    <cellStyle name="Input 2 4 2 2" xfId="28219"/>
    <cellStyle name="Input 2 4 2 2 2" xfId="28220"/>
    <cellStyle name="Input 2 4 2 2 3" xfId="28221"/>
    <cellStyle name="Input 2 4 2 3" xfId="28222"/>
    <cellStyle name="Input 2 4 2 3 2" xfId="28223"/>
    <cellStyle name="Input 2 4 2 3 3" xfId="28224"/>
    <cellStyle name="Input 2 4 2 4" xfId="28225"/>
    <cellStyle name="Input 2 4 2 4 2" xfId="28226"/>
    <cellStyle name="Input 2 4 2 4 3" xfId="28227"/>
    <cellStyle name="Input 2 4 2 5" xfId="28228"/>
    <cellStyle name="Input 2 4 2 5 2" xfId="28229"/>
    <cellStyle name="Input 2 4 2 5 3" xfId="28230"/>
    <cellStyle name="Input 2 4 2 6" xfId="28231"/>
    <cellStyle name="Input 2 4 2 6 2" xfId="28232"/>
    <cellStyle name="Input 2 4 2 6 3" xfId="28233"/>
    <cellStyle name="Input 2 4 2 7" xfId="28234"/>
    <cellStyle name="Input 2 4 2 8" xfId="28235"/>
    <cellStyle name="Input 2 4 3" xfId="28236"/>
    <cellStyle name="Input 2 4 3 2" xfId="28237"/>
    <cellStyle name="Input 2 4 3 3" xfId="28238"/>
    <cellStyle name="Input 2 4 4" xfId="28239"/>
    <cellStyle name="Input 2 4 4 2" xfId="28240"/>
    <cellStyle name="Input 2 4 4 3" xfId="28241"/>
    <cellStyle name="Input 2 4 5" xfId="28242"/>
    <cellStyle name="Input 2 4 5 2" xfId="28243"/>
    <cellStyle name="Input 2 4 5 3" xfId="28244"/>
    <cellStyle name="Input 2 4 6" xfId="28245"/>
    <cellStyle name="Input 2 4 6 2" xfId="28246"/>
    <cellStyle name="Input 2 4 6 3" xfId="28247"/>
    <cellStyle name="Input 2 4 7" xfId="28248"/>
    <cellStyle name="Input 2 4 7 2" xfId="28249"/>
    <cellStyle name="Input 2 4 7 3" xfId="28250"/>
    <cellStyle name="Input 2 4 8" xfId="28251"/>
    <cellStyle name="Input 2 4 9" xfId="28252"/>
    <cellStyle name="Input 2 5" xfId="28253"/>
    <cellStyle name="Input 2 5 2" xfId="28254"/>
    <cellStyle name="Input 2 5 2 2" xfId="28255"/>
    <cellStyle name="Input 2 5 2 3" xfId="28256"/>
    <cellStyle name="Input 2 5 3" xfId="28257"/>
    <cellStyle name="Input 2 5 3 2" xfId="28258"/>
    <cellStyle name="Input 2 5 3 3" xfId="28259"/>
    <cellStyle name="Input 2 5 4" xfId="28260"/>
    <cellStyle name="Input 2 5 4 2" xfId="28261"/>
    <cellStyle name="Input 2 5 4 3" xfId="28262"/>
    <cellStyle name="Input 2 5 5" xfId="28263"/>
    <cellStyle name="Input 2 5 5 2" xfId="28264"/>
    <cellStyle name="Input 2 5 5 3" xfId="28265"/>
    <cellStyle name="Input 2 5 6" xfId="28266"/>
    <cellStyle name="Input 2 5 6 2" xfId="28267"/>
    <cellStyle name="Input 2 5 6 3" xfId="28268"/>
    <cellStyle name="Input 2 5 7" xfId="28269"/>
    <cellStyle name="Input 2 5 8" xfId="28270"/>
    <cellStyle name="Input 2 6" xfId="28271"/>
    <cellStyle name="Input 2 6 2" xfId="28272"/>
    <cellStyle name="Input 2 6 2 2" xfId="28273"/>
    <cellStyle name="Input 2 6 3" xfId="28274"/>
    <cellStyle name="Input 2 6 3 2" xfId="28275"/>
    <cellStyle name="Input 2 6 4" xfId="28276"/>
    <cellStyle name="Input 2 6 4 2" xfId="28277"/>
    <cellStyle name="Input 2 6 5" xfId="28278"/>
    <cellStyle name="Input 2 7" xfId="28279"/>
    <cellStyle name="Input 2 7 2" xfId="28280"/>
    <cellStyle name="Input 2 7 2 2" xfId="28281"/>
    <cellStyle name="Input 2 7 3" xfId="28282"/>
    <cellStyle name="Input 2 8" xfId="28283"/>
    <cellStyle name="Input 2 8 2" xfId="28284"/>
    <cellStyle name="Input 2 8 2 2" xfId="28285"/>
    <cellStyle name="Input 2 8 3" xfId="28286"/>
    <cellStyle name="Input 2 9" xfId="28287"/>
    <cellStyle name="Input 2 9 2" xfId="28288"/>
    <cellStyle name="Input 2 9 3" xfId="28289"/>
    <cellStyle name="Input 2_1-10 BHU IS" xfId="28290"/>
    <cellStyle name="Input 20" xfId="28291"/>
    <cellStyle name="Input 20 2" xfId="28292"/>
    <cellStyle name="Input 20 2 2" xfId="28293"/>
    <cellStyle name="Input 20 2 2 2" xfId="28294"/>
    <cellStyle name="Input 20 2 3" xfId="28295"/>
    <cellStyle name="Input 20 3" xfId="28296"/>
    <cellStyle name="Input 20 3 2" xfId="28297"/>
    <cellStyle name="Input 20 3 3" xfId="28298"/>
    <cellStyle name="Input 20 4" xfId="28299"/>
    <cellStyle name="Input 20 5" xfId="28300"/>
    <cellStyle name="Input 20 6" xfId="28301"/>
    <cellStyle name="Input 20_Dakota Panel" xfId="28302"/>
    <cellStyle name="Input 200" xfId="28303"/>
    <cellStyle name="Input 201" xfId="28304"/>
    <cellStyle name="Input 202" xfId="28305"/>
    <cellStyle name="Input 203" xfId="28306"/>
    <cellStyle name="Input 204" xfId="28307"/>
    <cellStyle name="Input 205" xfId="28308"/>
    <cellStyle name="Input 206" xfId="28309"/>
    <cellStyle name="Input 207" xfId="28310"/>
    <cellStyle name="Input 208" xfId="28311"/>
    <cellStyle name="Input 209" xfId="28312"/>
    <cellStyle name="Input 21" xfId="28313"/>
    <cellStyle name="Input 21 2" xfId="28314"/>
    <cellStyle name="Input 21 2 2" xfId="28315"/>
    <cellStyle name="Input 21 2 2 2" xfId="28316"/>
    <cellStyle name="Input 21 2 3" xfId="28317"/>
    <cellStyle name="Input 21 3" xfId="28318"/>
    <cellStyle name="Input 21 3 2" xfId="28319"/>
    <cellStyle name="Input 21 3 3" xfId="28320"/>
    <cellStyle name="Input 21 4" xfId="28321"/>
    <cellStyle name="Input 21 5" xfId="28322"/>
    <cellStyle name="Input 21 6" xfId="28323"/>
    <cellStyle name="Input 21_Dakota Panel" xfId="28324"/>
    <cellStyle name="Input 210" xfId="28325"/>
    <cellStyle name="Input 211" xfId="28326"/>
    <cellStyle name="Input 212" xfId="28327"/>
    <cellStyle name="Input 213" xfId="28328"/>
    <cellStyle name="Input 214" xfId="28329"/>
    <cellStyle name="Input 215" xfId="28330"/>
    <cellStyle name="Input 216" xfId="28331"/>
    <cellStyle name="Input 217" xfId="28332"/>
    <cellStyle name="Input 218" xfId="28333"/>
    <cellStyle name="Input 219" xfId="28334"/>
    <cellStyle name="Input 22" xfId="28335"/>
    <cellStyle name="Input 22 2" xfId="28336"/>
    <cellStyle name="Input 22 2 2" xfId="28337"/>
    <cellStyle name="Input 22 2 2 2" xfId="28338"/>
    <cellStyle name="Input 22 2 3" xfId="28339"/>
    <cellStyle name="Input 22 3" xfId="28340"/>
    <cellStyle name="Input 22 3 2" xfId="28341"/>
    <cellStyle name="Input 22 3 3" xfId="28342"/>
    <cellStyle name="Input 22 4" xfId="28343"/>
    <cellStyle name="Input 22 5" xfId="28344"/>
    <cellStyle name="Input 22 6" xfId="28345"/>
    <cellStyle name="Input 22_Dakota Panel" xfId="28346"/>
    <cellStyle name="Input 220" xfId="28347"/>
    <cellStyle name="Input 221" xfId="28348"/>
    <cellStyle name="Input 222" xfId="28349"/>
    <cellStyle name="Input 223" xfId="28350"/>
    <cellStyle name="Input 224" xfId="28351"/>
    <cellStyle name="Input 225" xfId="28352"/>
    <cellStyle name="Input 226" xfId="28353"/>
    <cellStyle name="Input 227" xfId="28354"/>
    <cellStyle name="Input 228" xfId="28355"/>
    <cellStyle name="Input 229" xfId="28356"/>
    <cellStyle name="Input 23" xfId="28357"/>
    <cellStyle name="Input 23 2" xfId="28358"/>
    <cellStyle name="Input 23 2 2" xfId="28359"/>
    <cellStyle name="Input 23 2 2 2" xfId="28360"/>
    <cellStyle name="Input 23 2 3" xfId="28361"/>
    <cellStyle name="Input 23 3" xfId="28362"/>
    <cellStyle name="Input 23 3 2" xfId="28363"/>
    <cellStyle name="Input 23 3 3" xfId="28364"/>
    <cellStyle name="Input 23 4" xfId="28365"/>
    <cellStyle name="Input 23 5" xfId="28366"/>
    <cellStyle name="Input 23 6" xfId="28367"/>
    <cellStyle name="Input 23_Dakota Panel" xfId="28368"/>
    <cellStyle name="Input 230" xfId="28369"/>
    <cellStyle name="Input 231" xfId="28370"/>
    <cellStyle name="Input 232" xfId="28371"/>
    <cellStyle name="Input 233" xfId="28372"/>
    <cellStyle name="Input 234" xfId="28373"/>
    <cellStyle name="Input 235" xfId="28374"/>
    <cellStyle name="Input 236" xfId="28375"/>
    <cellStyle name="Input 237" xfId="28376"/>
    <cellStyle name="Input 238" xfId="28377"/>
    <cellStyle name="Input 239" xfId="28378"/>
    <cellStyle name="Input 24" xfId="28379"/>
    <cellStyle name="Input 24 2" xfId="28380"/>
    <cellStyle name="Input 24 2 2" xfId="28381"/>
    <cellStyle name="Input 24 2 2 2" xfId="28382"/>
    <cellStyle name="Input 24 2 3" xfId="28383"/>
    <cellStyle name="Input 24 3" xfId="28384"/>
    <cellStyle name="Input 24 3 2" xfId="28385"/>
    <cellStyle name="Input 24 3 3" xfId="28386"/>
    <cellStyle name="Input 24 4" xfId="28387"/>
    <cellStyle name="Input 24 5" xfId="28388"/>
    <cellStyle name="Input 24 6" xfId="28389"/>
    <cellStyle name="Input 24_Dakota Panel" xfId="28390"/>
    <cellStyle name="Input 240" xfId="28391"/>
    <cellStyle name="Input 241" xfId="28392"/>
    <cellStyle name="Input 242" xfId="28393"/>
    <cellStyle name="Input 243" xfId="28394"/>
    <cellStyle name="Input 244" xfId="28395"/>
    <cellStyle name="Input 245" xfId="28396"/>
    <cellStyle name="Input 246" xfId="28397"/>
    <cellStyle name="Input 247" xfId="28398"/>
    <cellStyle name="Input 248" xfId="28399"/>
    <cellStyle name="Input 249" xfId="28400"/>
    <cellStyle name="Input 25" xfId="28401"/>
    <cellStyle name="Input 25 2" xfId="28402"/>
    <cellStyle name="Input 25 2 2" xfId="28403"/>
    <cellStyle name="Input 25 2 2 2" xfId="28404"/>
    <cellStyle name="Input 25 2 3" xfId="28405"/>
    <cellStyle name="Input 25 3" xfId="28406"/>
    <cellStyle name="Input 25 3 2" xfId="28407"/>
    <cellStyle name="Input 25 3 3" xfId="28408"/>
    <cellStyle name="Input 25 4" xfId="28409"/>
    <cellStyle name="Input 25 5" xfId="28410"/>
    <cellStyle name="Input 25 6" xfId="28411"/>
    <cellStyle name="Input 25_Dakota Panel" xfId="28412"/>
    <cellStyle name="Input 250" xfId="28413"/>
    <cellStyle name="Input 251" xfId="28414"/>
    <cellStyle name="Input 252" xfId="28415"/>
    <cellStyle name="Input 253" xfId="28416"/>
    <cellStyle name="Input 254" xfId="28417"/>
    <cellStyle name="Input 255" xfId="28418"/>
    <cellStyle name="Input 256" xfId="28419"/>
    <cellStyle name="Input 257" xfId="28420"/>
    <cellStyle name="Input 258" xfId="28421"/>
    <cellStyle name="Input 259" xfId="28422"/>
    <cellStyle name="Input 26" xfId="28423"/>
    <cellStyle name="Input 26 2" xfId="28424"/>
    <cellStyle name="Input 26 2 2" xfId="28425"/>
    <cellStyle name="Input 26 2 2 2" xfId="28426"/>
    <cellStyle name="Input 26 2 3" xfId="28427"/>
    <cellStyle name="Input 26 3" xfId="28428"/>
    <cellStyle name="Input 26 3 2" xfId="28429"/>
    <cellStyle name="Input 26 3 3" xfId="28430"/>
    <cellStyle name="Input 26 4" xfId="28431"/>
    <cellStyle name="Input 26 5" xfId="28432"/>
    <cellStyle name="Input 26 6" xfId="28433"/>
    <cellStyle name="Input 26_Dakota Panel" xfId="28434"/>
    <cellStyle name="Input 260" xfId="28435"/>
    <cellStyle name="Input 261" xfId="28436"/>
    <cellStyle name="Input 262" xfId="28437"/>
    <cellStyle name="Input 263" xfId="28438"/>
    <cellStyle name="Input 264" xfId="28439"/>
    <cellStyle name="Input 265" xfId="28440"/>
    <cellStyle name="Input 266" xfId="28441"/>
    <cellStyle name="Input 267" xfId="28442"/>
    <cellStyle name="Input 268" xfId="28443"/>
    <cellStyle name="Input 269" xfId="28444"/>
    <cellStyle name="Input 27" xfId="28445"/>
    <cellStyle name="Input 27 2" xfId="28446"/>
    <cellStyle name="Input 27 2 2" xfId="28447"/>
    <cellStyle name="Input 27 2 2 2" xfId="28448"/>
    <cellStyle name="Input 27 2 3" xfId="28449"/>
    <cellStyle name="Input 27 3" xfId="28450"/>
    <cellStyle name="Input 27 3 2" xfId="28451"/>
    <cellStyle name="Input 27 3 3" xfId="28452"/>
    <cellStyle name="Input 27 4" xfId="28453"/>
    <cellStyle name="Input 27 5" xfId="28454"/>
    <cellStyle name="Input 27 6" xfId="28455"/>
    <cellStyle name="Input 27_Dakota Panel" xfId="28456"/>
    <cellStyle name="Input 270" xfId="28457"/>
    <cellStyle name="Input 271" xfId="28458"/>
    <cellStyle name="Input 272" xfId="28459"/>
    <cellStyle name="Input 273" xfId="28460"/>
    <cellStyle name="Input 274" xfId="28461"/>
    <cellStyle name="Input 275" xfId="28462"/>
    <cellStyle name="Input 276" xfId="28463"/>
    <cellStyle name="Input 277" xfId="28464"/>
    <cellStyle name="Input 278" xfId="28465"/>
    <cellStyle name="Input 279" xfId="28466"/>
    <cellStyle name="Input 28" xfId="28467"/>
    <cellStyle name="Input 28 2" xfId="28468"/>
    <cellStyle name="Input 28 2 2" xfId="28469"/>
    <cellStyle name="Input 28 2 2 2" xfId="28470"/>
    <cellStyle name="Input 28 2 3" xfId="28471"/>
    <cellStyle name="Input 28 3" xfId="28472"/>
    <cellStyle name="Input 28 3 2" xfId="28473"/>
    <cellStyle name="Input 28 4" xfId="28474"/>
    <cellStyle name="Input 28 5" xfId="28475"/>
    <cellStyle name="Input 28_Dakota Panel" xfId="28476"/>
    <cellStyle name="Input 280" xfId="28477"/>
    <cellStyle name="Input 281" xfId="28478"/>
    <cellStyle name="Input 282" xfId="28479"/>
    <cellStyle name="Input 283" xfId="28480"/>
    <cellStyle name="Input 284" xfId="28481"/>
    <cellStyle name="Input 285" xfId="28482"/>
    <cellStyle name="Input 286" xfId="28483"/>
    <cellStyle name="Input 287" xfId="28484"/>
    <cellStyle name="Input 288" xfId="28485"/>
    <cellStyle name="Input 29" xfId="28486"/>
    <cellStyle name="Input 29 2" xfId="28487"/>
    <cellStyle name="Input 29 2 2" xfId="28488"/>
    <cellStyle name="Input 29 2 2 2" xfId="28489"/>
    <cellStyle name="Input 29 2 3" xfId="28490"/>
    <cellStyle name="Input 29 3" xfId="28491"/>
    <cellStyle name="Input 29 3 2" xfId="28492"/>
    <cellStyle name="Input 29 4" xfId="28493"/>
    <cellStyle name="Input 29 5" xfId="28494"/>
    <cellStyle name="Input 29_Dakota Panel" xfId="28495"/>
    <cellStyle name="Input 3" xfId="28496"/>
    <cellStyle name="Input 3 10" xfId="28497"/>
    <cellStyle name="Input 3 2" xfId="28498"/>
    <cellStyle name="Input 3 2 2" xfId="28499"/>
    <cellStyle name="Input 3 2 2 2" xfId="28500"/>
    <cellStyle name="Input 3 2 2 3" xfId="28501"/>
    <cellStyle name="Input 3 2 3" xfId="28502"/>
    <cellStyle name="Input 3 2 3 2" xfId="28503"/>
    <cellStyle name="Input 3 2 4" xfId="28504"/>
    <cellStyle name="Input 3 2 4 2" xfId="28505"/>
    <cellStyle name="Input 3 2 5" xfId="28506"/>
    <cellStyle name="Input 3 2 6" xfId="28507"/>
    <cellStyle name="Input 3 3" xfId="28508"/>
    <cellStyle name="Input 3 3 2" xfId="28509"/>
    <cellStyle name="Input 3 3 2 2" xfId="28510"/>
    <cellStyle name="Input 3 3 2 2 2" xfId="28511"/>
    <cellStyle name="Input 3 3 2 2 2 2" xfId="28512"/>
    <cellStyle name="Input 3 3 2 2 2 3" xfId="28513"/>
    <cellStyle name="Input 3 3 2 2 3" xfId="28514"/>
    <cellStyle name="Input 3 3 2 2 3 2" xfId="28515"/>
    <cellStyle name="Input 3 3 2 2 3 3" xfId="28516"/>
    <cellStyle name="Input 3 3 2 2 4" xfId="28517"/>
    <cellStyle name="Input 3 3 2 2 4 2" xfId="28518"/>
    <cellStyle name="Input 3 3 2 2 4 3" xfId="28519"/>
    <cellStyle name="Input 3 3 2 2 5" xfId="28520"/>
    <cellStyle name="Input 3 3 2 2 5 2" xfId="28521"/>
    <cellStyle name="Input 3 3 2 2 5 3" xfId="28522"/>
    <cellStyle name="Input 3 3 2 2 6" xfId="28523"/>
    <cellStyle name="Input 3 3 2 2 6 2" xfId="28524"/>
    <cellStyle name="Input 3 3 2 2 6 3" xfId="28525"/>
    <cellStyle name="Input 3 3 2 2 7" xfId="28526"/>
    <cellStyle name="Input 3 3 2 2 8" xfId="28527"/>
    <cellStyle name="Input 3 3 2 3" xfId="28528"/>
    <cellStyle name="Input 3 3 2 3 2" xfId="28529"/>
    <cellStyle name="Input 3 3 2 3 3" xfId="28530"/>
    <cellStyle name="Input 3 3 2 4" xfId="28531"/>
    <cellStyle name="Input 3 3 2 4 2" xfId="28532"/>
    <cellStyle name="Input 3 3 2 4 3" xfId="28533"/>
    <cellStyle name="Input 3 3 2 5" xfId="28534"/>
    <cellStyle name="Input 3 3 2 5 2" xfId="28535"/>
    <cellStyle name="Input 3 3 2 5 3" xfId="28536"/>
    <cellStyle name="Input 3 3 2 6" xfId="28537"/>
    <cellStyle name="Input 3 3 2 6 2" xfId="28538"/>
    <cellStyle name="Input 3 3 2 6 3" xfId="28539"/>
    <cellStyle name="Input 3 3 2 7" xfId="28540"/>
    <cellStyle name="Input 3 3 2 7 2" xfId="28541"/>
    <cellStyle name="Input 3 3 2 7 3" xfId="28542"/>
    <cellStyle name="Input 3 3 2 8" xfId="28543"/>
    <cellStyle name="Input 3 3 2 9" xfId="28544"/>
    <cellStyle name="Input 3 3 3" xfId="28545"/>
    <cellStyle name="Input 3 3 3 2" xfId="28546"/>
    <cellStyle name="Input 3 3 3 2 2" xfId="28547"/>
    <cellStyle name="Input 3 3 3 2 3" xfId="28548"/>
    <cellStyle name="Input 3 3 3 3" xfId="28549"/>
    <cellStyle name="Input 3 3 3 3 2" xfId="28550"/>
    <cellStyle name="Input 3 3 3 3 3" xfId="28551"/>
    <cellStyle name="Input 3 3 3 4" xfId="28552"/>
    <cellStyle name="Input 3 3 3 4 2" xfId="28553"/>
    <cellStyle name="Input 3 3 3 4 3" xfId="28554"/>
    <cellStyle name="Input 3 3 3 5" xfId="28555"/>
    <cellStyle name="Input 3 3 3 5 2" xfId="28556"/>
    <cellStyle name="Input 3 3 3 5 3" xfId="28557"/>
    <cellStyle name="Input 3 3 3 6" xfId="28558"/>
    <cellStyle name="Input 3 3 3 6 2" xfId="28559"/>
    <cellStyle name="Input 3 3 3 6 3" xfId="28560"/>
    <cellStyle name="Input 3 3 3 7" xfId="28561"/>
    <cellStyle name="Input 3 3 3 8" xfId="28562"/>
    <cellStyle name="Input 3 3 4" xfId="28563"/>
    <cellStyle name="Input 3 3 4 2" xfId="28564"/>
    <cellStyle name="Input 3 3 4 3" xfId="28565"/>
    <cellStyle name="Input 3 3 5" xfId="28566"/>
    <cellStyle name="Input 3 3 5 2" xfId="28567"/>
    <cellStyle name="Input 3 3 5 3" xfId="28568"/>
    <cellStyle name="Input 3 3 6" xfId="28569"/>
    <cellStyle name="Input 3 3 6 2" xfId="28570"/>
    <cellStyle name="Input 3 3 6 3" xfId="28571"/>
    <cellStyle name="Input 3 3 7" xfId="28572"/>
    <cellStyle name="Input 3 3 8" xfId="28573"/>
    <cellStyle name="Input 3 4" xfId="28574"/>
    <cellStyle name="Input 3 4 2" xfId="28575"/>
    <cellStyle name="Input 3 4 2 2" xfId="28576"/>
    <cellStyle name="Input 3 4 2 2 2" xfId="28577"/>
    <cellStyle name="Input 3 4 2 2 3" xfId="28578"/>
    <cellStyle name="Input 3 4 2 3" xfId="28579"/>
    <cellStyle name="Input 3 4 2 3 2" xfId="28580"/>
    <cellStyle name="Input 3 4 2 3 3" xfId="28581"/>
    <cellStyle name="Input 3 4 2 4" xfId="28582"/>
    <cellStyle name="Input 3 4 2 4 2" xfId="28583"/>
    <cellStyle name="Input 3 4 2 4 3" xfId="28584"/>
    <cellStyle name="Input 3 4 2 5" xfId="28585"/>
    <cellStyle name="Input 3 4 2 5 2" xfId="28586"/>
    <cellStyle name="Input 3 4 2 5 3" xfId="28587"/>
    <cellStyle name="Input 3 4 2 6" xfId="28588"/>
    <cellStyle name="Input 3 4 2 6 2" xfId="28589"/>
    <cellStyle name="Input 3 4 2 6 3" xfId="28590"/>
    <cellStyle name="Input 3 4 2 7" xfId="28591"/>
    <cellStyle name="Input 3 4 2 8" xfId="28592"/>
    <cellStyle name="Input 3 4 3" xfId="28593"/>
    <cellStyle name="Input 3 4 3 2" xfId="28594"/>
    <cellStyle name="Input 3 4 3 3" xfId="28595"/>
    <cellStyle name="Input 3 4 4" xfId="28596"/>
    <cellStyle name="Input 3 4 4 2" xfId="28597"/>
    <cellStyle name="Input 3 4 4 3" xfId="28598"/>
    <cellStyle name="Input 3 4 5" xfId="28599"/>
    <cellStyle name="Input 3 4 5 2" xfId="28600"/>
    <cellStyle name="Input 3 4 5 3" xfId="28601"/>
    <cellStyle name="Input 3 4 6" xfId="28602"/>
    <cellStyle name="Input 3 4 6 2" xfId="28603"/>
    <cellStyle name="Input 3 4 6 3" xfId="28604"/>
    <cellStyle name="Input 3 4 7" xfId="28605"/>
    <cellStyle name="Input 3 4 7 2" xfId="28606"/>
    <cellStyle name="Input 3 4 7 3" xfId="28607"/>
    <cellStyle name="Input 3 4 8" xfId="28608"/>
    <cellStyle name="Input 3 4 9" xfId="28609"/>
    <cellStyle name="Input 3 5" xfId="28610"/>
    <cellStyle name="Input 3 5 2" xfId="28611"/>
    <cellStyle name="Input 3 5 2 2" xfId="28612"/>
    <cellStyle name="Input 3 5 2 3" xfId="28613"/>
    <cellStyle name="Input 3 5 3" xfId="28614"/>
    <cellStyle name="Input 3 5 3 2" xfId="28615"/>
    <cellStyle name="Input 3 5 3 3" xfId="28616"/>
    <cellStyle name="Input 3 5 4" xfId="28617"/>
    <cellStyle name="Input 3 5 4 2" xfId="28618"/>
    <cellStyle name="Input 3 5 4 3" xfId="28619"/>
    <cellStyle name="Input 3 5 5" xfId="28620"/>
    <cellStyle name="Input 3 5 5 2" xfId="28621"/>
    <cellStyle name="Input 3 5 5 3" xfId="28622"/>
    <cellStyle name="Input 3 5 6" xfId="28623"/>
    <cellStyle name="Input 3 5 6 2" xfId="28624"/>
    <cellStyle name="Input 3 5 6 3" xfId="28625"/>
    <cellStyle name="Input 3 5 7" xfId="28626"/>
    <cellStyle name="Input 3 5 8" xfId="28627"/>
    <cellStyle name="Input 3 6" xfId="28628"/>
    <cellStyle name="Input 3 6 2" xfId="28629"/>
    <cellStyle name="Input 3 6 3" xfId="28630"/>
    <cellStyle name="Input 3 7" xfId="28631"/>
    <cellStyle name="Input 3 7 2" xfId="28632"/>
    <cellStyle name="Input 3 7 3" xfId="28633"/>
    <cellStyle name="Input 3 8" xfId="28634"/>
    <cellStyle name="Input 3 8 2" xfId="28635"/>
    <cellStyle name="Input 3 8 3" xfId="28636"/>
    <cellStyle name="Input 3 9" xfId="28637"/>
    <cellStyle name="Input 3_1-10 BHU IS" xfId="28638"/>
    <cellStyle name="Input 30" xfId="28639"/>
    <cellStyle name="Input 30 2" xfId="28640"/>
    <cellStyle name="Input 30 2 2" xfId="28641"/>
    <cellStyle name="Input 30 2 2 2" xfId="28642"/>
    <cellStyle name="Input 30 2 3" xfId="28643"/>
    <cellStyle name="Input 30 3" xfId="28644"/>
    <cellStyle name="Input 30 3 2" xfId="28645"/>
    <cellStyle name="Input 30 4" xfId="28646"/>
    <cellStyle name="Input 30 5" xfId="28647"/>
    <cellStyle name="Input 30_Dakota Panel" xfId="28648"/>
    <cellStyle name="Input 31" xfId="28649"/>
    <cellStyle name="Input 31 2" xfId="28650"/>
    <cellStyle name="Input 31 2 2" xfId="28651"/>
    <cellStyle name="Input 31 2 2 2" xfId="28652"/>
    <cellStyle name="Input 31 2 3" xfId="28653"/>
    <cellStyle name="Input 31 3" xfId="28654"/>
    <cellStyle name="Input 31 3 2" xfId="28655"/>
    <cellStyle name="Input 31 4" xfId="28656"/>
    <cellStyle name="Input 31 5" xfId="28657"/>
    <cellStyle name="Input 31_Dakota Panel" xfId="28658"/>
    <cellStyle name="Input 32" xfId="28659"/>
    <cellStyle name="Input 32 2" xfId="28660"/>
    <cellStyle name="Input 32 2 2" xfId="28661"/>
    <cellStyle name="Input 32 2 2 2" xfId="28662"/>
    <cellStyle name="Input 32 2 3" xfId="28663"/>
    <cellStyle name="Input 32 3" xfId="28664"/>
    <cellStyle name="Input 32 3 2" xfId="28665"/>
    <cellStyle name="Input 32 4" xfId="28666"/>
    <cellStyle name="Input 32 5" xfId="28667"/>
    <cellStyle name="Input 32_Dakota Panel" xfId="28668"/>
    <cellStyle name="Input 33" xfId="28669"/>
    <cellStyle name="Input 33 2" xfId="28670"/>
    <cellStyle name="Input 33 2 2" xfId="28671"/>
    <cellStyle name="Input 33 2 2 2" xfId="28672"/>
    <cellStyle name="Input 33 2 3" xfId="28673"/>
    <cellStyle name="Input 33 3" xfId="28674"/>
    <cellStyle name="Input 33 3 2" xfId="28675"/>
    <cellStyle name="Input 33 4" xfId="28676"/>
    <cellStyle name="Input 33 5" xfId="28677"/>
    <cellStyle name="Input 33_Dakota Panel" xfId="28678"/>
    <cellStyle name="Input 34" xfId="28679"/>
    <cellStyle name="Input 34 2" xfId="28680"/>
    <cellStyle name="Input 34 2 2" xfId="28681"/>
    <cellStyle name="Input 34 2 2 2" xfId="28682"/>
    <cellStyle name="Input 34 2 3" xfId="28683"/>
    <cellStyle name="Input 34 3" xfId="28684"/>
    <cellStyle name="Input 34 3 2" xfId="28685"/>
    <cellStyle name="Input 34 4" xfId="28686"/>
    <cellStyle name="Input 34 5" xfId="28687"/>
    <cellStyle name="Input 34_Dakota Panel" xfId="28688"/>
    <cellStyle name="Input 35" xfId="28689"/>
    <cellStyle name="Input 35 2" xfId="28690"/>
    <cellStyle name="Input 35 2 2" xfId="28691"/>
    <cellStyle name="Input 35 2 2 2" xfId="28692"/>
    <cellStyle name="Input 35 2 3" xfId="28693"/>
    <cellStyle name="Input 35 3" xfId="28694"/>
    <cellStyle name="Input 35 3 2" xfId="28695"/>
    <cellStyle name="Input 35 4" xfId="28696"/>
    <cellStyle name="Input 35 5" xfId="28697"/>
    <cellStyle name="Input 35_Dakota Panel" xfId="28698"/>
    <cellStyle name="Input 36" xfId="28699"/>
    <cellStyle name="Input 36 2" xfId="28700"/>
    <cellStyle name="Input 36 2 2" xfId="28701"/>
    <cellStyle name="Input 36 2 2 2" xfId="28702"/>
    <cellStyle name="Input 36 2 3" xfId="28703"/>
    <cellStyle name="Input 36 3" xfId="28704"/>
    <cellStyle name="Input 36 3 2" xfId="28705"/>
    <cellStyle name="Input 36 4" xfId="28706"/>
    <cellStyle name="Input 36 5" xfId="28707"/>
    <cellStyle name="Input 36_Dakota Panel" xfId="28708"/>
    <cellStyle name="Input 37" xfId="28709"/>
    <cellStyle name="Input 37 2" xfId="28710"/>
    <cellStyle name="Input 37 2 2" xfId="28711"/>
    <cellStyle name="Input 37 2 2 2" xfId="28712"/>
    <cellStyle name="Input 37 2 3" xfId="28713"/>
    <cellStyle name="Input 37 3" xfId="28714"/>
    <cellStyle name="Input 37 3 2" xfId="28715"/>
    <cellStyle name="Input 37 4" xfId="28716"/>
    <cellStyle name="Input 37 5" xfId="28717"/>
    <cellStyle name="Input 37_Dakota Panel" xfId="28718"/>
    <cellStyle name="Input 38" xfId="28719"/>
    <cellStyle name="Input 38 2" xfId="28720"/>
    <cellStyle name="Input 38 2 2" xfId="28721"/>
    <cellStyle name="Input 38 2 2 2" xfId="28722"/>
    <cellStyle name="Input 38 2 3" xfId="28723"/>
    <cellStyle name="Input 38 3" xfId="28724"/>
    <cellStyle name="Input 38 3 2" xfId="28725"/>
    <cellStyle name="Input 38 4" xfId="28726"/>
    <cellStyle name="Input 38_Dakota Panel" xfId="28727"/>
    <cellStyle name="Input 39" xfId="28728"/>
    <cellStyle name="Input 39 2" xfId="28729"/>
    <cellStyle name="Input 39 2 2" xfId="28730"/>
    <cellStyle name="Input 39 2 2 2" xfId="28731"/>
    <cellStyle name="Input 39 2 3" xfId="28732"/>
    <cellStyle name="Input 39 3" xfId="28733"/>
    <cellStyle name="Input 39 3 2" xfId="28734"/>
    <cellStyle name="Input 39 4" xfId="28735"/>
    <cellStyle name="Input 39_Dakota Panel" xfId="28736"/>
    <cellStyle name="Input 4" xfId="28737"/>
    <cellStyle name="Input 4 2" xfId="28738"/>
    <cellStyle name="Input 4 2 2" xfId="28739"/>
    <cellStyle name="Input 4 2 2 2" xfId="28740"/>
    <cellStyle name="Input 4 2 2 2 2" xfId="28741"/>
    <cellStyle name="Input 4 2 2 2 2 2" xfId="28742"/>
    <cellStyle name="Input 4 2 2 2 2 3" xfId="28743"/>
    <cellStyle name="Input 4 2 2 2 3" xfId="28744"/>
    <cellStyle name="Input 4 2 2 2 3 2" xfId="28745"/>
    <cellStyle name="Input 4 2 2 2 3 3" xfId="28746"/>
    <cellStyle name="Input 4 2 2 2 4" xfId="28747"/>
    <cellStyle name="Input 4 2 2 2 4 2" xfId="28748"/>
    <cellStyle name="Input 4 2 2 2 4 3" xfId="28749"/>
    <cellStyle name="Input 4 2 2 2 5" xfId="28750"/>
    <cellStyle name="Input 4 2 2 2 5 2" xfId="28751"/>
    <cellStyle name="Input 4 2 2 2 5 3" xfId="28752"/>
    <cellStyle name="Input 4 2 2 2 6" xfId="28753"/>
    <cellStyle name="Input 4 2 2 2 6 2" xfId="28754"/>
    <cellStyle name="Input 4 2 2 2 6 3" xfId="28755"/>
    <cellStyle name="Input 4 2 2 2 7" xfId="28756"/>
    <cellStyle name="Input 4 2 2 2 8" xfId="28757"/>
    <cellStyle name="Input 4 2 2 3" xfId="28758"/>
    <cellStyle name="Input 4 2 2 3 2" xfId="28759"/>
    <cellStyle name="Input 4 2 2 3 3" xfId="28760"/>
    <cellStyle name="Input 4 2 2 4" xfId="28761"/>
    <cellStyle name="Input 4 2 2 4 2" xfId="28762"/>
    <cellStyle name="Input 4 2 2 4 3" xfId="28763"/>
    <cellStyle name="Input 4 2 2 5" xfId="28764"/>
    <cellStyle name="Input 4 2 2 5 2" xfId="28765"/>
    <cellStyle name="Input 4 2 2 5 3" xfId="28766"/>
    <cellStyle name="Input 4 2 2 6" xfId="28767"/>
    <cellStyle name="Input 4 2 2 6 2" xfId="28768"/>
    <cellStyle name="Input 4 2 2 6 3" xfId="28769"/>
    <cellStyle name="Input 4 2 2 7" xfId="28770"/>
    <cellStyle name="Input 4 2 2 7 2" xfId="28771"/>
    <cellStyle name="Input 4 2 2 7 3" xfId="28772"/>
    <cellStyle name="Input 4 2 2 8" xfId="28773"/>
    <cellStyle name="Input 4 2 2 9" xfId="28774"/>
    <cellStyle name="Input 4 2 3" xfId="28775"/>
    <cellStyle name="Input 4 2 3 2" xfId="28776"/>
    <cellStyle name="Input 4 2 3 2 2" xfId="28777"/>
    <cellStyle name="Input 4 2 3 2 3" xfId="28778"/>
    <cellStyle name="Input 4 2 3 3" xfId="28779"/>
    <cellStyle name="Input 4 2 3 3 2" xfId="28780"/>
    <cellStyle name="Input 4 2 3 3 3" xfId="28781"/>
    <cellStyle name="Input 4 2 3 4" xfId="28782"/>
    <cellStyle name="Input 4 2 3 4 2" xfId="28783"/>
    <cellStyle name="Input 4 2 3 4 3" xfId="28784"/>
    <cellStyle name="Input 4 2 3 5" xfId="28785"/>
    <cellStyle name="Input 4 2 3 5 2" xfId="28786"/>
    <cellStyle name="Input 4 2 3 5 3" xfId="28787"/>
    <cellStyle name="Input 4 2 3 6" xfId="28788"/>
    <cellStyle name="Input 4 2 3 6 2" xfId="28789"/>
    <cellStyle name="Input 4 2 3 6 3" xfId="28790"/>
    <cellStyle name="Input 4 2 3 7" xfId="28791"/>
    <cellStyle name="Input 4 2 3 8" xfId="28792"/>
    <cellStyle name="Input 4 2 4" xfId="28793"/>
    <cellStyle name="Input 4 2 4 2" xfId="28794"/>
    <cellStyle name="Input 4 2 4 3" xfId="28795"/>
    <cellStyle name="Input 4 2 5" xfId="28796"/>
    <cellStyle name="Input 4 2 5 2" xfId="28797"/>
    <cellStyle name="Input 4 2 5 3" xfId="28798"/>
    <cellStyle name="Input 4 2 6" xfId="28799"/>
    <cellStyle name="Input 4 2 6 2" xfId="28800"/>
    <cellStyle name="Input 4 2 6 3" xfId="28801"/>
    <cellStyle name="Input 4 2 7" xfId="28802"/>
    <cellStyle name="Input 4 2 8" xfId="28803"/>
    <cellStyle name="Input 4 3" xfId="28804"/>
    <cellStyle name="Input 4 3 2" xfId="28805"/>
    <cellStyle name="Input 4 3 3" xfId="28806"/>
    <cellStyle name="Input 4 4" xfId="28807"/>
    <cellStyle name="Input 4 4 2" xfId="28808"/>
    <cellStyle name="Input 4 4 2 2" xfId="28809"/>
    <cellStyle name="Input 4 4 2 2 2" xfId="28810"/>
    <cellStyle name="Input 4 4 2 2 2 2" xfId="28811"/>
    <cellStyle name="Input 4 4 2 2 2 3" xfId="28812"/>
    <cellStyle name="Input 4 4 2 2 3" xfId="28813"/>
    <cellStyle name="Input 4 4 2 2 3 2" xfId="28814"/>
    <cellStyle name="Input 4 4 2 2 3 3" xfId="28815"/>
    <cellStyle name="Input 4 4 2 2 4" xfId="28816"/>
    <cellStyle name="Input 4 4 2 2 4 2" xfId="28817"/>
    <cellStyle name="Input 4 4 2 2 4 3" xfId="28818"/>
    <cellStyle name="Input 4 4 2 2 5" xfId="28819"/>
    <cellStyle name="Input 4 4 2 2 5 2" xfId="28820"/>
    <cellStyle name="Input 4 4 2 2 5 3" xfId="28821"/>
    <cellStyle name="Input 4 4 2 2 6" xfId="28822"/>
    <cellStyle name="Input 4 4 2 2 6 2" xfId="28823"/>
    <cellStyle name="Input 4 4 2 2 6 3" xfId="28824"/>
    <cellStyle name="Input 4 4 2 2 7" xfId="28825"/>
    <cellStyle name="Input 4 4 2 2 8" xfId="28826"/>
    <cellStyle name="Input 4 4 2 3" xfId="28827"/>
    <cellStyle name="Input 4 4 2 3 2" xfId="28828"/>
    <cellStyle name="Input 4 4 2 3 3" xfId="28829"/>
    <cellStyle name="Input 4 4 2 4" xfId="28830"/>
    <cellStyle name="Input 4 4 2 4 2" xfId="28831"/>
    <cellStyle name="Input 4 4 2 4 3" xfId="28832"/>
    <cellStyle name="Input 4 4 2 5" xfId="28833"/>
    <cellStyle name="Input 4 4 2 5 2" xfId="28834"/>
    <cellStyle name="Input 4 4 2 5 3" xfId="28835"/>
    <cellStyle name="Input 4 4 2 6" xfId="28836"/>
    <cellStyle name="Input 4 4 2 6 2" xfId="28837"/>
    <cellStyle name="Input 4 4 2 6 3" xfId="28838"/>
    <cellStyle name="Input 4 4 2 7" xfId="28839"/>
    <cellStyle name="Input 4 4 2 7 2" xfId="28840"/>
    <cellStyle name="Input 4 4 2 7 3" xfId="28841"/>
    <cellStyle name="Input 4 4 2 8" xfId="28842"/>
    <cellStyle name="Input 4 4 2 9" xfId="28843"/>
    <cellStyle name="Input 4 4 3" xfId="28844"/>
    <cellStyle name="Input 4 4 3 2" xfId="28845"/>
    <cellStyle name="Input 4 4 3 2 2" xfId="28846"/>
    <cellStyle name="Input 4 4 3 2 3" xfId="28847"/>
    <cellStyle name="Input 4 4 3 3" xfId="28848"/>
    <cellStyle name="Input 4 4 3 3 2" xfId="28849"/>
    <cellStyle name="Input 4 4 3 3 3" xfId="28850"/>
    <cellStyle name="Input 4 4 3 4" xfId="28851"/>
    <cellStyle name="Input 4 4 3 4 2" xfId="28852"/>
    <cellStyle name="Input 4 4 3 4 3" xfId="28853"/>
    <cellStyle name="Input 4 4 3 5" xfId="28854"/>
    <cellStyle name="Input 4 4 3 5 2" xfId="28855"/>
    <cellStyle name="Input 4 4 3 5 3" xfId="28856"/>
    <cellStyle name="Input 4 4 3 6" xfId="28857"/>
    <cellStyle name="Input 4 4 3 6 2" xfId="28858"/>
    <cellStyle name="Input 4 4 3 6 3" xfId="28859"/>
    <cellStyle name="Input 4 4 3 7" xfId="28860"/>
    <cellStyle name="Input 4 4 3 8" xfId="28861"/>
    <cellStyle name="Input 4 4 4" xfId="28862"/>
    <cellStyle name="Input 4 4 4 2" xfId="28863"/>
    <cellStyle name="Input 4 4 4 3" xfId="28864"/>
    <cellStyle name="Input 4 4 5" xfId="28865"/>
    <cellStyle name="Input 4 4 5 2" xfId="28866"/>
    <cellStyle name="Input 4 4 5 3" xfId="28867"/>
    <cellStyle name="Input 4 4 6" xfId="28868"/>
    <cellStyle name="Input 4 4 6 2" xfId="28869"/>
    <cellStyle name="Input 4 4 6 3" xfId="28870"/>
    <cellStyle name="Input 4 4 7" xfId="28871"/>
    <cellStyle name="Input 4 4 8" xfId="28872"/>
    <cellStyle name="Input 4 5" xfId="28873"/>
    <cellStyle name="Input 4 5 2" xfId="28874"/>
    <cellStyle name="Input 4 6" xfId="28875"/>
    <cellStyle name="Input 4 7" xfId="28876"/>
    <cellStyle name="Input 4 8" xfId="28877"/>
    <cellStyle name="Input 4_1-10 BHU IS" xfId="28878"/>
    <cellStyle name="Input 40" xfId="28879"/>
    <cellStyle name="Input 40 2" xfId="28880"/>
    <cellStyle name="Input 40 2 2" xfId="28881"/>
    <cellStyle name="Input 40 2 2 2" xfId="28882"/>
    <cellStyle name="Input 40 2 3" xfId="28883"/>
    <cellStyle name="Input 40 3" xfId="28884"/>
    <cellStyle name="Input 40 3 2" xfId="28885"/>
    <cellStyle name="Input 40 4" xfId="28886"/>
    <cellStyle name="Input 40_Dakota Panel" xfId="28887"/>
    <cellStyle name="Input 41" xfId="28888"/>
    <cellStyle name="Input 41 2" xfId="28889"/>
    <cellStyle name="Input 41 2 2" xfId="28890"/>
    <cellStyle name="Input 41 2 2 2" xfId="28891"/>
    <cellStyle name="Input 41 2 3" xfId="28892"/>
    <cellStyle name="Input 41 3" xfId="28893"/>
    <cellStyle name="Input 41 3 2" xfId="28894"/>
    <cellStyle name="Input 41 4" xfId="28895"/>
    <cellStyle name="Input 41_Dakota Panel" xfId="28896"/>
    <cellStyle name="Input 42" xfId="28897"/>
    <cellStyle name="Input 42 2" xfId="28898"/>
    <cellStyle name="Input 42 2 2" xfId="28899"/>
    <cellStyle name="Input 42 2 2 2" xfId="28900"/>
    <cellStyle name="Input 42 2 3" xfId="28901"/>
    <cellStyle name="Input 42 3" xfId="28902"/>
    <cellStyle name="Input 42 3 2" xfId="28903"/>
    <cellStyle name="Input 42 4" xfId="28904"/>
    <cellStyle name="Input 42_Dakota Panel" xfId="28905"/>
    <cellStyle name="Input 43" xfId="28906"/>
    <cellStyle name="Input 43 2" xfId="28907"/>
    <cellStyle name="Input 43 2 2" xfId="28908"/>
    <cellStyle name="Input 43 2 2 2" xfId="28909"/>
    <cellStyle name="Input 43 2 3" xfId="28910"/>
    <cellStyle name="Input 43 3" xfId="28911"/>
    <cellStyle name="Input 43 3 2" xfId="28912"/>
    <cellStyle name="Input 43 4" xfId="28913"/>
    <cellStyle name="Input 43_Dakota Panel" xfId="28914"/>
    <cellStyle name="Input 44" xfId="28915"/>
    <cellStyle name="Input 44 2" xfId="28916"/>
    <cellStyle name="Input 44 2 2" xfId="28917"/>
    <cellStyle name="Input 44 2 2 2" xfId="28918"/>
    <cellStyle name="Input 44 2 3" xfId="28919"/>
    <cellStyle name="Input 44 3" xfId="28920"/>
    <cellStyle name="Input 44 3 2" xfId="28921"/>
    <cellStyle name="Input 44 4" xfId="28922"/>
    <cellStyle name="Input 44_Dakota Panel" xfId="28923"/>
    <cellStyle name="Input 45" xfId="28924"/>
    <cellStyle name="Input 45 2" xfId="28925"/>
    <cellStyle name="Input 45 2 2" xfId="28926"/>
    <cellStyle name="Input 45 2 2 2" xfId="28927"/>
    <cellStyle name="Input 45 2 3" xfId="28928"/>
    <cellStyle name="Input 45 3" xfId="28929"/>
    <cellStyle name="Input 45 3 2" xfId="28930"/>
    <cellStyle name="Input 45 4" xfId="28931"/>
    <cellStyle name="Input 45_Dakota Panel" xfId="28932"/>
    <cellStyle name="Input 46" xfId="28933"/>
    <cellStyle name="Input 46 2" xfId="28934"/>
    <cellStyle name="Input 46 2 2" xfId="28935"/>
    <cellStyle name="Input 46 2 2 2" xfId="28936"/>
    <cellStyle name="Input 46 2 3" xfId="28937"/>
    <cellStyle name="Input 46 3" xfId="28938"/>
    <cellStyle name="Input 46 3 2" xfId="28939"/>
    <cellStyle name="Input 46 4" xfId="28940"/>
    <cellStyle name="Input 46_Dakota Panel" xfId="28941"/>
    <cellStyle name="Input 47" xfId="28942"/>
    <cellStyle name="Input 47 2" xfId="28943"/>
    <cellStyle name="Input 47 2 2" xfId="28944"/>
    <cellStyle name="Input 47 2 2 2" xfId="28945"/>
    <cellStyle name="Input 47 2 3" xfId="28946"/>
    <cellStyle name="Input 47 3" xfId="28947"/>
    <cellStyle name="Input 47 3 2" xfId="28948"/>
    <cellStyle name="Input 47 4" xfId="28949"/>
    <cellStyle name="Input 47_Dakota Panel" xfId="28950"/>
    <cellStyle name="Input 48" xfId="28951"/>
    <cellStyle name="Input 48 2" xfId="28952"/>
    <cellStyle name="Input 48 2 2" xfId="28953"/>
    <cellStyle name="Input 48 3" xfId="28954"/>
    <cellStyle name="Input 48_Dakota Panel" xfId="28955"/>
    <cellStyle name="Input 49" xfId="28956"/>
    <cellStyle name="Input 49 2" xfId="28957"/>
    <cellStyle name="Input 49 2 2" xfId="28958"/>
    <cellStyle name="Input 49 3" xfId="28959"/>
    <cellStyle name="Input 49_Dakota Panel" xfId="28960"/>
    <cellStyle name="Input 5" xfId="28961"/>
    <cellStyle name="Input 5 2" xfId="28962"/>
    <cellStyle name="Input 5 2 2" xfId="28963"/>
    <cellStyle name="Input 5 2 2 2" xfId="28964"/>
    <cellStyle name="Input 5 2 2 3" xfId="28965"/>
    <cellStyle name="Input 5 2 3" xfId="28966"/>
    <cellStyle name="Input 5 2 3 2" xfId="28967"/>
    <cellStyle name="Input 5 2 4" xfId="28968"/>
    <cellStyle name="Input 5 2 4 2" xfId="28969"/>
    <cellStyle name="Input 5 2 5" xfId="28970"/>
    <cellStyle name="Input 5 2 6" xfId="28971"/>
    <cellStyle name="Input 5 3" xfId="28972"/>
    <cellStyle name="Input 5 3 2" xfId="28973"/>
    <cellStyle name="Input 5 3 2 2" xfId="28974"/>
    <cellStyle name="Input 5 3 2 2 2" xfId="28975"/>
    <cellStyle name="Input 5 3 2 2 2 2" xfId="28976"/>
    <cellStyle name="Input 5 3 2 2 2 3" xfId="28977"/>
    <cellStyle name="Input 5 3 2 2 3" xfId="28978"/>
    <cellStyle name="Input 5 3 2 2 3 2" xfId="28979"/>
    <cellStyle name="Input 5 3 2 2 3 3" xfId="28980"/>
    <cellStyle name="Input 5 3 2 2 4" xfId="28981"/>
    <cellStyle name="Input 5 3 2 2 4 2" xfId="28982"/>
    <cellStyle name="Input 5 3 2 2 4 3" xfId="28983"/>
    <cellStyle name="Input 5 3 2 2 5" xfId="28984"/>
    <cellStyle name="Input 5 3 2 2 5 2" xfId="28985"/>
    <cellStyle name="Input 5 3 2 2 5 3" xfId="28986"/>
    <cellStyle name="Input 5 3 2 2 6" xfId="28987"/>
    <cellStyle name="Input 5 3 2 2 6 2" xfId="28988"/>
    <cellStyle name="Input 5 3 2 2 6 3" xfId="28989"/>
    <cellStyle name="Input 5 3 2 2 7" xfId="28990"/>
    <cellStyle name="Input 5 3 2 2 8" xfId="28991"/>
    <cellStyle name="Input 5 3 2 3" xfId="28992"/>
    <cellStyle name="Input 5 3 2 3 2" xfId="28993"/>
    <cellStyle name="Input 5 3 2 3 3" xfId="28994"/>
    <cellStyle name="Input 5 3 2 4" xfId="28995"/>
    <cellStyle name="Input 5 3 2 4 2" xfId="28996"/>
    <cellStyle name="Input 5 3 2 4 3" xfId="28997"/>
    <cellStyle name="Input 5 3 2 5" xfId="28998"/>
    <cellStyle name="Input 5 3 2 5 2" xfId="28999"/>
    <cellStyle name="Input 5 3 2 5 3" xfId="29000"/>
    <cellStyle name="Input 5 3 2 6" xfId="29001"/>
    <cellStyle name="Input 5 3 2 6 2" xfId="29002"/>
    <cellStyle name="Input 5 3 2 6 3" xfId="29003"/>
    <cellStyle name="Input 5 3 2 7" xfId="29004"/>
    <cellStyle name="Input 5 3 2 7 2" xfId="29005"/>
    <cellStyle name="Input 5 3 2 7 3" xfId="29006"/>
    <cellStyle name="Input 5 3 2 8" xfId="29007"/>
    <cellStyle name="Input 5 3 2 9" xfId="29008"/>
    <cellStyle name="Input 5 3 3" xfId="29009"/>
    <cellStyle name="Input 5 3 3 2" xfId="29010"/>
    <cellStyle name="Input 5 3 3 2 2" xfId="29011"/>
    <cellStyle name="Input 5 3 3 2 3" xfId="29012"/>
    <cellStyle name="Input 5 3 3 3" xfId="29013"/>
    <cellStyle name="Input 5 3 3 3 2" xfId="29014"/>
    <cellStyle name="Input 5 3 3 3 3" xfId="29015"/>
    <cellStyle name="Input 5 3 3 4" xfId="29016"/>
    <cellStyle name="Input 5 3 3 4 2" xfId="29017"/>
    <cellStyle name="Input 5 3 3 4 3" xfId="29018"/>
    <cellStyle name="Input 5 3 3 5" xfId="29019"/>
    <cellStyle name="Input 5 3 3 5 2" xfId="29020"/>
    <cellStyle name="Input 5 3 3 5 3" xfId="29021"/>
    <cellStyle name="Input 5 3 3 6" xfId="29022"/>
    <cellStyle name="Input 5 3 3 6 2" xfId="29023"/>
    <cellStyle name="Input 5 3 3 6 3" xfId="29024"/>
    <cellStyle name="Input 5 3 3 7" xfId="29025"/>
    <cellStyle name="Input 5 3 3 8" xfId="29026"/>
    <cellStyle name="Input 5 3 4" xfId="29027"/>
    <cellStyle name="Input 5 3 4 2" xfId="29028"/>
    <cellStyle name="Input 5 3 4 3" xfId="29029"/>
    <cellStyle name="Input 5 3 5" xfId="29030"/>
    <cellStyle name="Input 5 3 5 2" xfId="29031"/>
    <cellStyle name="Input 5 3 5 3" xfId="29032"/>
    <cellStyle name="Input 5 3 6" xfId="29033"/>
    <cellStyle name="Input 5 3 6 2" xfId="29034"/>
    <cellStyle name="Input 5 3 6 3" xfId="29035"/>
    <cellStyle name="Input 5 3 7" xfId="29036"/>
    <cellStyle name="Input 5 3 8" xfId="29037"/>
    <cellStyle name="Input 5 4" xfId="29038"/>
    <cellStyle name="Input 5 4 2" xfId="29039"/>
    <cellStyle name="Input 5 5" xfId="29040"/>
    <cellStyle name="Input 5 5 2" xfId="29041"/>
    <cellStyle name="Input 5 6" xfId="29042"/>
    <cellStyle name="Input 5 7" xfId="29043"/>
    <cellStyle name="Input 5 8" xfId="29044"/>
    <cellStyle name="Input 5_1-10 BHU IS" xfId="29045"/>
    <cellStyle name="Input 50" xfId="29046"/>
    <cellStyle name="Input 50 2" xfId="29047"/>
    <cellStyle name="Input 50 2 2" xfId="29048"/>
    <cellStyle name="Input 50 3" xfId="29049"/>
    <cellStyle name="Input 50_Dakota Panel" xfId="29050"/>
    <cellStyle name="Input 51" xfId="29051"/>
    <cellStyle name="Input 51 2" xfId="29052"/>
    <cellStyle name="Input 51 2 2" xfId="29053"/>
    <cellStyle name="Input 51 3" xfId="29054"/>
    <cellStyle name="Input 51_Dakota Panel" xfId="29055"/>
    <cellStyle name="Input 52" xfId="29056"/>
    <cellStyle name="Input 52 2" xfId="29057"/>
    <cellStyle name="Input 52 2 2" xfId="29058"/>
    <cellStyle name="Input 52 3" xfId="29059"/>
    <cellStyle name="Input 52_Dakota Panel" xfId="29060"/>
    <cellStyle name="Input 53" xfId="29061"/>
    <cellStyle name="Input 53 2" xfId="29062"/>
    <cellStyle name="Input 53 2 2" xfId="29063"/>
    <cellStyle name="Input 53 3" xfId="29064"/>
    <cellStyle name="Input 53_Dakota Panel" xfId="29065"/>
    <cellStyle name="Input 54" xfId="29066"/>
    <cellStyle name="Input 54 2" xfId="29067"/>
    <cellStyle name="Input 54 2 2" xfId="29068"/>
    <cellStyle name="Input 54 3" xfId="29069"/>
    <cellStyle name="Input 54_Dakota Panel" xfId="29070"/>
    <cellStyle name="Input 55" xfId="29071"/>
    <cellStyle name="Input 55 2" xfId="29072"/>
    <cellStyle name="Input 55 2 2" xfId="29073"/>
    <cellStyle name="Input 55 3" xfId="29074"/>
    <cellStyle name="Input 55_Dakota Panel" xfId="29075"/>
    <cellStyle name="Input 56" xfId="29076"/>
    <cellStyle name="Input 56 2" xfId="29077"/>
    <cellStyle name="Input 56 2 2" xfId="29078"/>
    <cellStyle name="Input 56 3" xfId="29079"/>
    <cellStyle name="Input 56_Dakota Panel" xfId="29080"/>
    <cellStyle name="Input 57" xfId="29081"/>
    <cellStyle name="Input 57 2" xfId="29082"/>
    <cellStyle name="Input 57 2 2" xfId="29083"/>
    <cellStyle name="Input 57 3" xfId="29084"/>
    <cellStyle name="Input 57_Dakota Panel" xfId="29085"/>
    <cellStyle name="Input 58" xfId="29086"/>
    <cellStyle name="Input 58 2" xfId="29087"/>
    <cellStyle name="Input 58 2 2" xfId="29088"/>
    <cellStyle name="Input 58 3" xfId="29089"/>
    <cellStyle name="Input 58_Dakota Panel" xfId="29090"/>
    <cellStyle name="Input 59" xfId="29091"/>
    <cellStyle name="Input 59 2" xfId="29092"/>
    <cellStyle name="Input 59 2 2" xfId="29093"/>
    <cellStyle name="Input 59 3" xfId="29094"/>
    <cellStyle name="Input 59_Dakota Panel" xfId="29095"/>
    <cellStyle name="Input 6" xfId="29096"/>
    <cellStyle name="Input 6 2" xfId="29097"/>
    <cellStyle name="Input 6 2 2" xfId="29098"/>
    <cellStyle name="Input 6 2 2 2" xfId="29099"/>
    <cellStyle name="Input 6 2 2 2 2" xfId="29100"/>
    <cellStyle name="Input 6 2 2 2 2 2" xfId="29101"/>
    <cellStyle name="Input 6 2 2 2 2 3" xfId="29102"/>
    <cellStyle name="Input 6 2 2 2 3" xfId="29103"/>
    <cellStyle name="Input 6 2 2 2 3 2" xfId="29104"/>
    <cellStyle name="Input 6 2 2 2 3 3" xfId="29105"/>
    <cellStyle name="Input 6 2 2 2 4" xfId="29106"/>
    <cellStyle name="Input 6 2 2 2 4 2" xfId="29107"/>
    <cellStyle name="Input 6 2 2 2 4 3" xfId="29108"/>
    <cellStyle name="Input 6 2 2 2 5" xfId="29109"/>
    <cellStyle name="Input 6 2 2 2 5 2" xfId="29110"/>
    <cellStyle name="Input 6 2 2 2 5 3" xfId="29111"/>
    <cellStyle name="Input 6 2 2 2 6" xfId="29112"/>
    <cellStyle name="Input 6 2 2 2 6 2" xfId="29113"/>
    <cellStyle name="Input 6 2 2 2 6 3" xfId="29114"/>
    <cellStyle name="Input 6 2 2 2 7" xfId="29115"/>
    <cellStyle name="Input 6 2 2 2 8" xfId="29116"/>
    <cellStyle name="Input 6 2 2 3" xfId="29117"/>
    <cellStyle name="Input 6 2 2 3 2" xfId="29118"/>
    <cellStyle name="Input 6 2 2 3 3" xfId="29119"/>
    <cellStyle name="Input 6 2 2 4" xfId="29120"/>
    <cellStyle name="Input 6 2 2 4 2" xfId="29121"/>
    <cellStyle name="Input 6 2 2 4 3" xfId="29122"/>
    <cellStyle name="Input 6 2 2 5" xfId="29123"/>
    <cellStyle name="Input 6 2 2 5 2" xfId="29124"/>
    <cellStyle name="Input 6 2 2 5 3" xfId="29125"/>
    <cellStyle name="Input 6 2 2 6" xfId="29126"/>
    <cellStyle name="Input 6 2 2 6 2" xfId="29127"/>
    <cellStyle name="Input 6 2 2 6 3" xfId="29128"/>
    <cellStyle name="Input 6 2 2 7" xfId="29129"/>
    <cellStyle name="Input 6 2 2 7 2" xfId="29130"/>
    <cellStyle name="Input 6 2 2 7 3" xfId="29131"/>
    <cellStyle name="Input 6 2 2 8" xfId="29132"/>
    <cellStyle name="Input 6 2 2 9" xfId="29133"/>
    <cellStyle name="Input 6 2 3" xfId="29134"/>
    <cellStyle name="Input 6 2 3 2" xfId="29135"/>
    <cellStyle name="Input 6 2 3 2 2" xfId="29136"/>
    <cellStyle name="Input 6 2 3 2 3" xfId="29137"/>
    <cellStyle name="Input 6 2 3 3" xfId="29138"/>
    <cellStyle name="Input 6 2 3 3 2" xfId="29139"/>
    <cellStyle name="Input 6 2 3 3 3" xfId="29140"/>
    <cellStyle name="Input 6 2 3 4" xfId="29141"/>
    <cellStyle name="Input 6 2 3 4 2" xfId="29142"/>
    <cellStyle name="Input 6 2 3 4 3" xfId="29143"/>
    <cellStyle name="Input 6 2 3 5" xfId="29144"/>
    <cellStyle name="Input 6 2 3 5 2" xfId="29145"/>
    <cellStyle name="Input 6 2 3 5 3" xfId="29146"/>
    <cellStyle name="Input 6 2 3 6" xfId="29147"/>
    <cellStyle name="Input 6 2 3 6 2" xfId="29148"/>
    <cellStyle name="Input 6 2 3 6 3" xfId="29149"/>
    <cellStyle name="Input 6 2 3 7" xfId="29150"/>
    <cellStyle name="Input 6 2 3 8" xfId="29151"/>
    <cellStyle name="Input 6 2 4" xfId="29152"/>
    <cellStyle name="Input 6 2 4 2" xfId="29153"/>
    <cellStyle name="Input 6 2 4 3" xfId="29154"/>
    <cellStyle name="Input 6 2 5" xfId="29155"/>
    <cellStyle name="Input 6 2 5 2" xfId="29156"/>
    <cellStyle name="Input 6 2 5 3" xfId="29157"/>
    <cellStyle name="Input 6 2 6" xfId="29158"/>
    <cellStyle name="Input 6 2 6 2" xfId="29159"/>
    <cellStyle name="Input 6 2 6 3" xfId="29160"/>
    <cellStyle name="Input 6 2 7" xfId="29161"/>
    <cellStyle name="Input 6 2 8" xfId="29162"/>
    <cellStyle name="Input 6 3" xfId="29163"/>
    <cellStyle name="Input 6 3 2" xfId="29164"/>
    <cellStyle name="Input 6 3 3" xfId="29165"/>
    <cellStyle name="Input 6 4" xfId="29166"/>
    <cellStyle name="Input 6 4 2" xfId="29167"/>
    <cellStyle name="Input 6 5" xfId="29168"/>
    <cellStyle name="Input 6 5 2" xfId="29169"/>
    <cellStyle name="Input 6 6" xfId="29170"/>
    <cellStyle name="Input 6 7" xfId="29171"/>
    <cellStyle name="Input 6 8" xfId="29172"/>
    <cellStyle name="Input 6_Dakota Panel" xfId="29173"/>
    <cellStyle name="Input 60" xfId="29174"/>
    <cellStyle name="Input 60 2" xfId="29175"/>
    <cellStyle name="Input 60 2 2" xfId="29176"/>
    <cellStyle name="Input 60 3" xfId="29177"/>
    <cellStyle name="Input 60_Dakota Panel" xfId="29178"/>
    <cellStyle name="Input 61" xfId="29179"/>
    <cellStyle name="Input 61 2" xfId="29180"/>
    <cellStyle name="Input 61 2 2" xfId="29181"/>
    <cellStyle name="Input 61 3" xfId="29182"/>
    <cellStyle name="Input 61_Dakota Panel" xfId="29183"/>
    <cellStyle name="Input 62" xfId="29184"/>
    <cellStyle name="Input 62 2" xfId="29185"/>
    <cellStyle name="Input 62 2 2" xfId="29186"/>
    <cellStyle name="Input 62 3" xfId="29187"/>
    <cellStyle name="Input 62_Dakota Panel" xfId="29188"/>
    <cellStyle name="Input 63" xfId="29189"/>
    <cellStyle name="Input 63 2" xfId="29190"/>
    <cellStyle name="Input 63 2 2" xfId="29191"/>
    <cellStyle name="Input 63 3" xfId="29192"/>
    <cellStyle name="Input 63_Dakota Panel" xfId="29193"/>
    <cellStyle name="Input 64" xfId="29194"/>
    <cellStyle name="Input 64 2" xfId="29195"/>
    <cellStyle name="Input 64 2 2" xfId="29196"/>
    <cellStyle name="Input 64 3" xfId="29197"/>
    <cellStyle name="Input 64_Dakota Panel" xfId="29198"/>
    <cellStyle name="Input 65" xfId="29199"/>
    <cellStyle name="Input 65 2" xfId="29200"/>
    <cellStyle name="Input 65 2 2" xfId="29201"/>
    <cellStyle name="Input 65 3" xfId="29202"/>
    <cellStyle name="Input 65_Dakota Panel" xfId="29203"/>
    <cellStyle name="Input 66" xfId="29204"/>
    <cellStyle name="Input 66 2" xfId="29205"/>
    <cellStyle name="Input 66 2 2" xfId="29206"/>
    <cellStyle name="Input 66 3" xfId="29207"/>
    <cellStyle name="Input 66_Dakota Panel" xfId="29208"/>
    <cellStyle name="Input 67" xfId="29209"/>
    <cellStyle name="Input 67 2" xfId="29210"/>
    <cellStyle name="Input 67 2 2" xfId="29211"/>
    <cellStyle name="Input 67 3" xfId="29212"/>
    <cellStyle name="Input 67_Dakota Panel" xfId="29213"/>
    <cellStyle name="Input 68" xfId="29214"/>
    <cellStyle name="Input 68 2" xfId="29215"/>
    <cellStyle name="Input 68 2 2" xfId="29216"/>
    <cellStyle name="Input 68 3" xfId="29217"/>
    <cellStyle name="Input 68_Dakota Panel" xfId="29218"/>
    <cellStyle name="Input 69" xfId="29219"/>
    <cellStyle name="Input 69 2" xfId="29220"/>
    <cellStyle name="Input 69 2 2" xfId="29221"/>
    <cellStyle name="Input 69 3" xfId="29222"/>
    <cellStyle name="Input 69_Dakota Panel" xfId="29223"/>
    <cellStyle name="Input 7" xfId="29224"/>
    <cellStyle name="Input 7 2" xfId="29225"/>
    <cellStyle name="Input 7 2 2" xfId="29226"/>
    <cellStyle name="Input 7 2 2 2" xfId="29227"/>
    <cellStyle name="Input 7 2 2 2 2" xfId="29228"/>
    <cellStyle name="Input 7 2 2 2 2 2" xfId="29229"/>
    <cellStyle name="Input 7 2 2 2 2 3" xfId="29230"/>
    <cellStyle name="Input 7 2 2 2 3" xfId="29231"/>
    <cellStyle name="Input 7 2 2 2 3 2" xfId="29232"/>
    <cellStyle name="Input 7 2 2 2 3 3" xfId="29233"/>
    <cellStyle name="Input 7 2 2 2 4" xfId="29234"/>
    <cellStyle name="Input 7 2 2 2 4 2" xfId="29235"/>
    <cellStyle name="Input 7 2 2 2 4 3" xfId="29236"/>
    <cellStyle name="Input 7 2 2 2 5" xfId="29237"/>
    <cellStyle name="Input 7 2 2 2 5 2" xfId="29238"/>
    <cellStyle name="Input 7 2 2 2 5 3" xfId="29239"/>
    <cellStyle name="Input 7 2 2 2 6" xfId="29240"/>
    <cellStyle name="Input 7 2 2 2 6 2" xfId="29241"/>
    <cellStyle name="Input 7 2 2 2 6 3" xfId="29242"/>
    <cellStyle name="Input 7 2 2 2 7" xfId="29243"/>
    <cellStyle name="Input 7 2 2 2 8" xfId="29244"/>
    <cellStyle name="Input 7 2 2 3" xfId="29245"/>
    <cellStyle name="Input 7 2 2 3 2" xfId="29246"/>
    <cellStyle name="Input 7 2 2 3 3" xfId="29247"/>
    <cellStyle name="Input 7 2 2 4" xfId="29248"/>
    <cellStyle name="Input 7 2 2 4 2" xfId="29249"/>
    <cellStyle name="Input 7 2 2 4 3" xfId="29250"/>
    <cellStyle name="Input 7 2 2 5" xfId="29251"/>
    <cellStyle name="Input 7 2 2 5 2" xfId="29252"/>
    <cellStyle name="Input 7 2 2 5 3" xfId="29253"/>
    <cellStyle name="Input 7 2 2 6" xfId="29254"/>
    <cellStyle name="Input 7 2 2 6 2" xfId="29255"/>
    <cellStyle name="Input 7 2 2 6 3" xfId="29256"/>
    <cellStyle name="Input 7 2 2 7" xfId="29257"/>
    <cellStyle name="Input 7 2 2 7 2" xfId="29258"/>
    <cellStyle name="Input 7 2 2 7 3" xfId="29259"/>
    <cellStyle name="Input 7 2 2 8" xfId="29260"/>
    <cellStyle name="Input 7 2 2 9" xfId="29261"/>
    <cellStyle name="Input 7 2 3" xfId="29262"/>
    <cellStyle name="Input 7 2 3 2" xfId="29263"/>
    <cellStyle name="Input 7 2 3 2 2" xfId="29264"/>
    <cellStyle name="Input 7 2 3 2 3" xfId="29265"/>
    <cellStyle name="Input 7 2 3 3" xfId="29266"/>
    <cellStyle name="Input 7 2 3 3 2" xfId="29267"/>
    <cellStyle name="Input 7 2 3 3 3" xfId="29268"/>
    <cellStyle name="Input 7 2 3 4" xfId="29269"/>
    <cellStyle name="Input 7 2 3 4 2" xfId="29270"/>
    <cellStyle name="Input 7 2 3 4 3" xfId="29271"/>
    <cellStyle name="Input 7 2 3 5" xfId="29272"/>
    <cellStyle name="Input 7 2 3 5 2" xfId="29273"/>
    <cellStyle name="Input 7 2 3 5 3" xfId="29274"/>
    <cellStyle name="Input 7 2 3 6" xfId="29275"/>
    <cellStyle name="Input 7 2 3 6 2" xfId="29276"/>
    <cellStyle name="Input 7 2 3 6 3" xfId="29277"/>
    <cellStyle name="Input 7 2 3 7" xfId="29278"/>
    <cellStyle name="Input 7 2 3 8" xfId="29279"/>
    <cellStyle name="Input 7 2 4" xfId="29280"/>
    <cellStyle name="Input 7 2 4 2" xfId="29281"/>
    <cellStyle name="Input 7 2 4 3" xfId="29282"/>
    <cellStyle name="Input 7 2 5" xfId="29283"/>
    <cellStyle name="Input 7 2 5 2" xfId="29284"/>
    <cellStyle name="Input 7 2 5 3" xfId="29285"/>
    <cellStyle name="Input 7 2 6" xfId="29286"/>
    <cellStyle name="Input 7 2 6 2" xfId="29287"/>
    <cellStyle name="Input 7 2 6 3" xfId="29288"/>
    <cellStyle name="Input 7 2 7" xfId="29289"/>
    <cellStyle name="Input 7 2 8" xfId="29290"/>
    <cellStyle name="Input 7 3" xfId="29291"/>
    <cellStyle name="Input 7 3 2" xfId="29292"/>
    <cellStyle name="Input 7 3 3" xfId="29293"/>
    <cellStyle name="Input 7 4" xfId="29294"/>
    <cellStyle name="Input 7 4 2" xfId="29295"/>
    <cellStyle name="Input 7 5" xfId="29296"/>
    <cellStyle name="Input 7 5 2" xfId="29297"/>
    <cellStyle name="Input 7 6" xfId="29298"/>
    <cellStyle name="Input 7 7" xfId="29299"/>
    <cellStyle name="Input 7 8" xfId="29300"/>
    <cellStyle name="Input 7_Dakota Panel" xfId="29301"/>
    <cellStyle name="Input 70" xfId="29302"/>
    <cellStyle name="Input 70 2" xfId="29303"/>
    <cellStyle name="Input 70 2 2" xfId="29304"/>
    <cellStyle name="Input 70 3" xfId="29305"/>
    <cellStyle name="Input 70_Dakota Panel" xfId="29306"/>
    <cellStyle name="Input 71" xfId="29307"/>
    <cellStyle name="Input 71 2" xfId="29308"/>
    <cellStyle name="Input 71 2 2" xfId="29309"/>
    <cellStyle name="Input 71 3" xfId="29310"/>
    <cellStyle name="Input 71_Dakota Panel" xfId="29311"/>
    <cellStyle name="Input 72" xfId="29312"/>
    <cellStyle name="Input 72 2" xfId="29313"/>
    <cellStyle name="Input 72 2 2" xfId="29314"/>
    <cellStyle name="Input 72 3" xfId="29315"/>
    <cellStyle name="Input 72_Dakota Panel" xfId="29316"/>
    <cellStyle name="Input 73" xfId="29317"/>
    <cellStyle name="Input 73 2" xfId="29318"/>
    <cellStyle name="Input 73 2 2" xfId="29319"/>
    <cellStyle name="Input 73 3" xfId="29320"/>
    <cellStyle name="Input 73_Dakota Panel" xfId="29321"/>
    <cellStyle name="Input 74" xfId="29322"/>
    <cellStyle name="Input 74 2" xfId="29323"/>
    <cellStyle name="Input 74 2 2" xfId="29324"/>
    <cellStyle name="Input 74 3" xfId="29325"/>
    <cellStyle name="Input 74_Dakota Panel" xfId="29326"/>
    <cellStyle name="Input 75" xfId="29327"/>
    <cellStyle name="Input 75 2" xfId="29328"/>
    <cellStyle name="Input 75 2 2" xfId="29329"/>
    <cellStyle name="Input 75 3" xfId="29330"/>
    <cellStyle name="Input 75_Dakota Panel" xfId="29331"/>
    <cellStyle name="Input 76" xfId="29332"/>
    <cellStyle name="Input 76 2" xfId="29333"/>
    <cellStyle name="Input 76 2 2" xfId="29334"/>
    <cellStyle name="Input 76 3" xfId="29335"/>
    <cellStyle name="Input 76_Dakota Panel" xfId="29336"/>
    <cellStyle name="Input 77" xfId="29337"/>
    <cellStyle name="Input 77 2" xfId="29338"/>
    <cellStyle name="Input 77 2 2" xfId="29339"/>
    <cellStyle name="Input 77 3" xfId="29340"/>
    <cellStyle name="Input 77_Dakota Panel" xfId="29341"/>
    <cellStyle name="Input 78" xfId="29342"/>
    <cellStyle name="Input 78 2" xfId="29343"/>
    <cellStyle name="Input 78 2 2" xfId="29344"/>
    <cellStyle name="Input 78 3" xfId="29345"/>
    <cellStyle name="Input 78_Dakota Panel" xfId="29346"/>
    <cellStyle name="Input 79" xfId="29347"/>
    <cellStyle name="Input 79 2" xfId="29348"/>
    <cellStyle name="Input 79 2 2" xfId="29349"/>
    <cellStyle name="Input 79 3" xfId="29350"/>
    <cellStyle name="Input 79_Dakota Panel" xfId="29351"/>
    <cellStyle name="Input 8" xfId="29352"/>
    <cellStyle name="Input 8 2" xfId="29353"/>
    <cellStyle name="Input 8 2 2" xfId="29354"/>
    <cellStyle name="Input 8 2 2 2" xfId="29355"/>
    <cellStyle name="Input 8 2 2 2 2" xfId="29356"/>
    <cellStyle name="Input 8 2 2 2 2 2" xfId="29357"/>
    <cellStyle name="Input 8 2 2 2 2 3" xfId="29358"/>
    <cellStyle name="Input 8 2 2 2 3" xfId="29359"/>
    <cellStyle name="Input 8 2 2 2 3 2" xfId="29360"/>
    <cellStyle name="Input 8 2 2 2 3 3" xfId="29361"/>
    <cellStyle name="Input 8 2 2 2 4" xfId="29362"/>
    <cellStyle name="Input 8 2 2 2 4 2" xfId="29363"/>
    <cellStyle name="Input 8 2 2 2 4 3" xfId="29364"/>
    <cellStyle name="Input 8 2 2 2 5" xfId="29365"/>
    <cellStyle name="Input 8 2 2 2 5 2" xfId="29366"/>
    <cellStyle name="Input 8 2 2 2 5 3" xfId="29367"/>
    <cellStyle name="Input 8 2 2 2 6" xfId="29368"/>
    <cellStyle name="Input 8 2 2 2 6 2" xfId="29369"/>
    <cellStyle name="Input 8 2 2 2 6 3" xfId="29370"/>
    <cellStyle name="Input 8 2 2 2 7" xfId="29371"/>
    <cellStyle name="Input 8 2 2 2 8" xfId="29372"/>
    <cellStyle name="Input 8 2 2 3" xfId="29373"/>
    <cellStyle name="Input 8 2 2 3 2" xfId="29374"/>
    <cellStyle name="Input 8 2 2 3 3" xfId="29375"/>
    <cellStyle name="Input 8 2 2 4" xfId="29376"/>
    <cellStyle name="Input 8 2 2 4 2" xfId="29377"/>
    <cellStyle name="Input 8 2 2 4 3" xfId="29378"/>
    <cellStyle name="Input 8 2 2 5" xfId="29379"/>
    <cellStyle name="Input 8 2 2 5 2" xfId="29380"/>
    <cellStyle name="Input 8 2 2 5 3" xfId="29381"/>
    <cellStyle name="Input 8 2 2 6" xfId="29382"/>
    <cellStyle name="Input 8 2 2 6 2" xfId="29383"/>
    <cellStyle name="Input 8 2 2 6 3" xfId="29384"/>
    <cellStyle name="Input 8 2 2 7" xfId="29385"/>
    <cellStyle name="Input 8 2 2 7 2" xfId="29386"/>
    <cellStyle name="Input 8 2 2 7 3" xfId="29387"/>
    <cellStyle name="Input 8 2 2 8" xfId="29388"/>
    <cellStyle name="Input 8 2 2 9" xfId="29389"/>
    <cellStyle name="Input 8 2 3" xfId="29390"/>
    <cellStyle name="Input 8 2 3 2" xfId="29391"/>
    <cellStyle name="Input 8 2 3 2 2" xfId="29392"/>
    <cellStyle name="Input 8 2 3 2 3" xfId="29393"/>
    <cellStyle name="Input 8 2 3 3" xfId="29394"/>
    <cellStyle name="Input 8 2 3 3 2" xfId="29395"/>
    <cellStyle name="Input 8 2 3 3 3" xfId="29396"/>
    <cellStyle name="Input 8 2 3 4" xfId="29397"/>
    <cellStyle name="Input 8 2 3 4 2" xfId="29398"/>
    <cellStyle name="Input 8 2 3 4 3" xfId="29399"/>
    <cellStyle name="Input 8 2 3 5" xfId="29400"/>
    <cellStyle name="Input 8 2 3 5 2" xfId="29401"/>
    <cellStyle name="Input 8 2 3 5 3" xfId="29402"/>
    <cellStyle name="Input 8 2 3 6" xfId="29403"/>
    <cellStyle name="Input 8 2 3 6 2" xfId="29404"/>
    <cellStyle name="Input 8 2 3 6 3" xfId="29405"/>
    <cellStyle name="Input 8 2 3 7" xfId="29406"/>
    <cellStyle name="Input 8 2 3 8" xfId="29407"/>
    <cellStyle name="Input 8 2 4" xfId="29408"/>
    <cellStyle name="Input 8 2 4 2" xfId="29409"/>
    <cellStyle name="Input 8 2 4 3" xfId="29410"/>
    <cellStyle name="Input 8 2 5" xfId="29411"/>
    <cellStyle name="Input 8 2 5 2" xfId="29412"/>
    <cellStyle name="Input 8 2 5 3" xfId="29413"/>
    <cellStyle name="Input 8 2 6" xfId="29414"/>
    <cellStyle name="Input 8 2 6 2" xfId="29415"/>
    <cellStyle name="Input 8 2 6 3" xfId="29416"/>
    <cellStyle name="Input 8 2 7" xfId="29417"/>
    <cellStyle name="Input 8 2 8" xfId="29418"/>
    <cellStyle name="Input 8 3" xfId="29419"/>
    <cellStyle name="Input 8 3 2" xfId="29420"/>
    <cellStyle name="Input 8 3 3" xfId="29421"/>
    <cellStyle name="Input 8 4" xfId="29422"/>
    <cellStyle name="Input 8 4 2" xfId="29423"/>
    <cellStyle name="Input 8 5" xfId="29424"/>
    <cellStyle name="Input 8 5 2" xfId="29425"/>
    <cellStyle name="Input 8 6" xfId="29426"/>
    <cellStyle name="Input 8 7" xfId="29427"/>
    <cellStyle name="Input 8 8" xfId="29428"/>
    <cellStyle name="Input 8_Dakota Panel" xfId="29429"/>
    <cellStyle name="Input 80" xfId="29430"/>
    <cellStyle name="Input 80 2" xfId="29431"/>
    <cellStyle name="Input 80 2 2" xfId="29432"/>
    <cellStyle name="Input 80 3" xfId="29433"/>
    <cellStyle name="Input 80_Dakota Panel" xfId="29434"/>
    <cellStyle name="Input 81" xfId="29435"/>
    <cellStyle name="Input 81 2" xfId="29436"/>
    <cellStyle name="Input 81 2 2" xfId="29437"/>
    <cellStyle name="Input 81 3" xfId="29438"/>
    <cellStyle name="Input 81_Dakota Panel" xfId="29439"/>
    <cellStyle name="Input 82" xfId="29440"/>
    <cellStyle name="Input 82 2" xfId="29441"/>
    <cellStyle name="Input 82 2 2" xfId="29442"/>
    <cellStyle name="Input 82 3" xfId="29443"/>
    <cellStyle name="Input 82_Dakota Panel" xfId="29444"/>
    <cellStyle name="Input 83" xfId="29445"/>
    <cellStyle name="Input 83 2" xfId="29446"/>
    <cellStyle name="Input 83 2 2" xfId="29447"/>
    <cellStyle name="Input 83 3" xfId="29448"/>
    <cellStyle name="Input 83_Dakota Panel" xfId="29449"/>
    <cellStyle name="Input 84" xfId="29450"/>
    <cellStyle name="Input 84 2" xfId="29451"/>
    <cellStyle name="Input 84 2 2" xfId="29452"/>
    <cellStyle name="Input 84 3" xfId="29453"/>
    <cellStyle name="Input 84_Dakota Panel" xfId="29454"/>
    <cellStyle name="Input 85" xfId="29455"/>
    <cellStyle name="Input 85 2" xfId="29456"/>
    <cellStyle name="Input 85 2 2" xfId="29457"/>
    <cellStyle name="Input 85 3" xfId="29458"/>
    <cellStyle name="Input 85_Dakota Panel" xfId="29459"/>
    <cellStyle name="Input 86" xfId="29460"/>
    <cellStyle name="Input 86 2" xfId="29461"/>
    <cellStyle name="Input 86 2 2" xfId="29462"/>
    <cellStyle name="Input 86 3" xfId="29463"/>
    <cellStyle name="Input 86_Dakota Panel" xfId="29464"/>
    <cellStyle name="Input 87" xfId="29465"/>
    <cellStyle name="Input 87 2" xfId="29466"/>
    <cellStyle name="Input 87 2 2" xfId="29467"/>
    <cellStyle name="Input 87 3" xfId="29468"/>
    <cellStyle name="Input 87_Dakota Panel" xfId="29469"/>
    <cellStyle name="Input 88" xfId="29470"/>
    <cellStyle name="Input 88 2" xfId="29471"/>
    <cellStyle name="Input 88 2 2" xfId="29472"/>
    <cellStyle name="Input 88 3" xfId="29473"/>
    <cellStyle name="Input 88_Dakota Panel" xfId="29474"/>
    <cellStyle name="Input 89" xfId="29475"/>
    <cellStyle name="Input 89 2" xfId="29476"/>
    <cellStyle name="Input 89 2 2" xfId="29477"/>
    <cellStyle name="Input 89 3" xfId="29478"/>
    <cellStyle name="Input 89_Dakota Panel" xfId="29479"/>
    <cellStyle name="Input 9" xfId="29480"/>
    <cellStyle name="Input 9 2" xfId="29481"/>
    <cellStyle name="Input 9 2 2" xfId="29482"/>
    <cellStyle name="Input 9 2 2 2" xfId="29483"/>
    <cellStyle name="Input 9 2 2 2 2" xfId="29484"/>
    <cellStyle name="Input 9 2 2 2 3" xfId="29485"/>
    <cellStyle name="Input 9 2 2 3" xfId="29486"/>
    <cellStyle name="Input 9 2 2 3 2" xfId="29487"/>
    <cellStyle name="Input 9 2 2 3 3" xfId="29488"/>
    <cellStyle name="Input 9 2 2 4" xfId="29489"/>
    <cellStyle name="Input 9 2 2 4 2" xfId="29490"/>
    <cellStyle name="Input 9 2 2 4 3" xfId="29491"/>
    <cellStyle name="Input 9 2 2 5" xfId="29492"/>
    <cellStyle name="Input 9 2 2 5 2" xfId="29493"/>
    <cellStyle name="Input 9 2 2 5 3" xfId="29494"/>
    <cellStyle name="Input 9 2 2 6" xfId="29495"/>
    <cellStyle name="Input 9 2 2 6 2" xfId="29496"/>
    <cellStyle name="Input 9 2 2 6 3" xfId="29497"/>
    <cellStyle name="Input 9 2 2 7" xfId="29498"/>
    <cellStyle name="Input 9 2 2 8" xfId="29499"/>
    <cellStyle name="Input 9 2 3" xfId="29500"/>
    <cellStyle name="Input 9 2 3 2" xfId="29501"/>
    <cellStyle name="Input 9 2 3 3" xfId="29502"/>
    <cellStyle name="Input 9 2 4" xfId="29503"/>
    <cellStyle name="Input 9 2 4 2" xfId="29504"/>
    <cellStyle name="Input 9 2 4 3" xfId="29505"/>
    <cellStyle name="Input 9 2 5" xfId="29506"/>
    <cellStyle name="Input 9 2 5 2" xfId="29507"/>
    <cellStyle name="Input 9 2 5 3" xfId="29508"/>
    <cellStyle name="Input 9 2 6" xfId="29509"/>
    <cellStyle name="Input 9 2 6 2" xfId="29510"/>
    <cellStyle name="Input 9 2 6 3" xfId="29511"/>
    <cellStyle name="Input 9 2 7" xfId="29512"/>
    <cellStyle name="Input 9 2 7 2" xfId="29513"/>
    <cellStyle name="Input 9 2 7 3" xfId="29514"/>
    <cellStyle name="Input 9 2 8" xfId="29515"/>
    <cellStyle name="Input 9 2 9" xfId="29516"/>
    <cellStyle name="Input 9 3" xfId="29517"/>
    <cellStyle name="Input 9 3 2" xfId="29518"/>
    <cellStyle name="Input 9 3 2 2" xfId="29519"/>
    <cellStyle name="Input 9 3 2 3" xfId="29520"/>
    <cellStyle name="Input 9 3 3" xfId="29521"/>
    <cellStyle name="Input 9 3 3 2" xfId="29522"/>
    <cellStyle name="Input 9 3 3 3" xfId="29523"/>
    <cellStyle name="Input 9 3 4" xfId="29524"/>
    <cellStyle name="Input 9 3 4 2" xfId="29525"/>
    <cellStyle name="Input 9 3 4 3" xfId="29526"/>
    <cellStyle name="Input 9 3 5" xfId="29527"/>
    <cellStyle name="Input 9 3 5 2" xfId="29528"/>
    <cellStyle name="Input 9 3 5 3" xfId="29529"/>
    <cellStyle name="Input 9 3 6" xfId="29530"/>
    <cellStyle name="Input 9 3 6 2" xfId="29531"/>
    <cellStyle name="Input 9 3 6 3" xfId="29532"/>
    <cellStyle name="Input 9 3 7" xfId="29533"/>
    <cellStyle name="Input 9 3 8" xfId="29534"/>
    <cellStyle name="Input 9 4" xfId="29535"/>
    <cellStyle name="Input 9 4 2" xfId="29536"/>
    <cellStyle name="Input 9 4 3" xfId="29537"/>
    <cellStyle name="Input 9 5" xfId="29538"/>
    <cellStyle name="Input 9 5 2" xfId="29539"/>
    <cellStyle name="Input 9 5 3" xfId="29540"/>
    <cellStyle name="Input 9 6" xfId="29541"/>
    <cellStyle name="Input 9 6 2" xfId="29542"/>
    <cellStyle name="Input 9 6 3" xfId="29543"/>
    <cellStyle name="Input 9 7" xfId="29544"/>
    <cellStyle name="Input 9 8" xfId="29545"/>
    <cellStyle name="Input 9_Dakota Panel" xfId="29546"/>
    <cellStyle name="Input 90" xfId="29547"/>
    <cellStyle name="Input 90 2" xfId="29548"/>
    <cellStyle name="Input 90 2 2" xfId="29549"/>
    <cellStyle name="Input 90 3" xfId="29550"/>
    <cellStyle name="Input 90_Dakota Panel" xfId="29551"/>
    <cellStyle name="Input 91" xfId="29552"/>
    <cellStyle name="Input 91 2" xfId="29553"/>
    <cellStyle name="Input 91 2 2" xfId="29554"/>
    <cellStyle name="Input 91 3" xfId="29555"/>
    <cellStyle name="Input 91_Dakota Panel" xfId="29556"/>
    <cellStyle name="Input 92" xfId="29557"/>
    <cellStyle name="Input 92 2" xfId="29558"/>
    <cellStyle name="Input 92 2 2" xfId="29559"/>
    <cellStyle name="Input 92 3" xfId="29560"/>
    <cellStyle name="Input 92_Dakota Panel" xfId="29561"/>
    <cellStyle name="Input 93" xfId="29562"/>
    <cellStyle name="Input 93 2" xfId="29563"/>
    <cellStyle name="Input 93 2 2" xfId="29564"/>
    <cellStyle name="Input 93 3" xfId="29565"/>
    <cellStyle name="Input 93_Dakota Panel" xfId="29566"/>
    <cellStyle name="Input 94" xfId="29567"/>
    <cellStyle name="Input 94 2" xfId="29568"/>
    <cellStyle name="Input 94 2 2" xfId="29569"/>
    <cellStyle name="Input 94 3" xfId="29570"/>
    <cellStyle name="Input 94_Dakota Panel" xfId="29571"/>
    <cellStyle name="Input 95" xfId="29572"/>
    <cellStyle name="Input 95 2" xfId="29573"/>
    <cellStyle name="Input 95 2 2" xfId="29574"/>
    <cellStyle name="Input 95 3" xfId="29575"/>
    <cellStyle name="Input 95_Dakota Panel" xfId="29576"/>
    <cellStyle name="Input 96" xfId="29577"/>
    <cellStyle name="Input 96 2" xfId="29578"/>
    <cellStyle name="Input 96 2 2" xfId="29579"/>
    <cellStyle name="Input 96 3" xfId="29580"/>
    <cellStyle name="Input 96_Dakota Panel" xfId="29581"/>
    <cellStyle name="Input 97" xfId="29582"/>
    <cellStyle name="Input 97 2" xfId="29583"/>
    <cellStyle name="Input 97 2 2" xfId="29584"/>
    <cellStyle name="Input 97 3" xfId="29585"/>
    <cellStyle name="Input 97_Dakota Panel" xfId="29586"/>
    <cellStyle name="Input 98" xfId="29587"/>
    <cellStyle name="Input 98 2" xfId="29588"/>
    <cellStyle name="Input 98 2 2" xfId="29589"/>
    <cellStyle name="Input 98 3" xfId="29590"/>
    <cellStyle name="Input 98_Dakota Panel" xfId="29591"/>
    <cellStyle name="Input 99" xfId="29592"/>
    <cellStyle name="Input 99 2" xfId="29593"/>
    <cellStyle name="Input 99 2 2" xfId="29594"/>
    <cellStyle name="Input 99 3" xfId="29595"/>
    <cellStyle name="Input 99_Dakota Panel" xfId="29596"/>
    <cellStyle name="InputCell" xfId="29597"/>
    <cellStyle name="InputCell 2" xfId="29598"/>
    <cellStyle name="Jim" xfId="29599"/>
    <cellStyle name="Label" xfId="29600"/>
    <cellStyle name="Label 2" xfId="29601"/>
    <cellStyle name="Lines" xfId="29602"/>
    <cellStyle name="Lines 2" xfId="29603"/>
    <cellStyle name="Lines 2 2" xfId="29604"/>
    <cellStyle name="Lines 2 3" xfId="29605"/>
    <cellStyle name="Lines 2 4" xfId="29606"/>
    <cellStyle name="Lines 3" xfId="29607"/>
    <cellStyle name="Lines 3 2" xfId="29608"/>
    <cellStyle name="Lines 4" xfId="29609"/>
    <cellStyle name="Lines 5" xfId="29610"/>
    <cellStyle name="Link Currency (0)" xfId="29611"/>
    <cellStyle name="Link Currency (2)" xfId="29612"/>
    <cellStyle name="Link Units (0)" xfId="29613"/>
    <cellStyle name="Link Units (1)" xfId="29614"/>
    <cellStyle name="Link Units (2)" xfId="29615"/>
    <cellStyle name="Linked Cell 10" xfId="29616"/>
    <cellStyle name="Linked Cell 10 2" xfId="29617"/>
    <cellStyle name="Linked Cell 10 2 2" xfId="29618"/>
    <cellStyle name="Linked Cell 10 2 3" xfId="29619"/>
    <cellStyle name="Linked Cell 10 3" xfId="29620"/>
    <cellStyle name="Linked Cell 10 3 2" xfId="29621"/>
    <cellStyle name="Linked Cell 10 4" xfId="29622"/>
    <cellStyle name="Linked Cell 11" xfId="29623"/>
    <cellStyle name="Linked Cell 11 2" xfId="29624"/>
    <cellStyle name="Linked Cell 11 2 2" xfId="29625"/>
    <cellStyle name="Linked Cell 11 2 3" xfId="29626"/>
    <cellStyle name="Linked Cell 11 3" xfId="29627"/>
    <cellStyle name="Linked Cell 11 3 2" xfId="29628"/>
    <cellStyle name="Linked Cell 11 4" xfId="29629"/>
    <cellStyle name="Linked Cell 12" xfId="29630"/>
    <cellStyle name="Linked Cell 12 2" xfId="29631"/>
    <cellStyle name="Linked Cell 12 2 2" xfId="29632"/>
    <cellStyle name="Linked Cell 12 3" xfId="29633"/>
    <cellStyle name="Linked Cell 13" xfId="29634"/>
    <cellStyle name="Linked Cell 13 2" xfId="29635"/>
    <cellStyle name="Linked Cell 13 2 2" xfId="29636"/>
    <cellStyle name="Linked Cell 13 3" xfId="29637"/>
    <cellStyle name="Linked Cell 14" xfId="29638"/>
    <cellStyle name="Linked Cell 14 2" xfId="29639"/>
    <cellStyle name="Linked Cell 14 2 2" xfId="29640"/>
    <cellStyle name="Linked Cell 14 3" xfId="29641"/>
    <cellStyle name="Linked Cell 15" xfId="29642"/>
    <cellStyle name="Linked Cell 15 2" xfId="29643"/>
    <cellStyle name="Linked Cell 15 2 2" xfId="29644"/>
    <cellStyle name="Linked Cell 15 3" xfId="29645"/>
    <cellStyle name="Linked Cell 16" xfId="29646"/>
    <cellStyle name="Linked Cell 16 2" xfId="29647"/>
    <cellStyle name="Linked Cell 16 3" xfId="29648"/>
    <cellStyle name="Linked Cell 17" xfId="29649"/>
    <cellStyle name="Linked Cell 18" xfId="29650"/>
    <cellStyle name="Linked Cell 2" xfId="29651"/>
    <cellStyle name="Linked Cell 2 10" xfId="29652"/>
    <cellStyle name="Linked Cell 2 10 2" xfId="29653"/>
    <cellStyle name="Linked Cell 2 10 3" xfId="29654"/>
    <cellStyle name="Linked Cell 2 11" xfId="29655"/>
    <cellStyle name="Linked Cell 2 11 2" xfId="29656"/>
    <cellStyle name="Linked Cell 2 11 3" xfId="29657"/>
    <cellStyle name="Linked Cell 2 12" xfId="29658"/>
    <cellStyle name="Linked Cell 2 12 2" xfId="29659"/>
    <cellStyle name="Linked Cell 2 12 3" xfId="29660"/>
    <cellStyle name="Linked Cell 2 13" xfId="29661"/>
    <cellStyle name="Linked Cell 2 13 2" xfId="29662"/>
    <cellStyle name="Linked Cell 2 14" xfId="29663"/>
    <cellStyle name="Linked Cell 2 14 2" xfId="29664"/>
    <cellStyle name="Linked Cell 2 15" xfId="29665"/>
    <cellStyle name="Linked Cell 2 16" xfId="29666"/>
    <cellStyle name="Linked Cell 2 2" xfId="29667"/>
    <cellStyle name="Linked Cell 2 2 10" xfId="29668"/>
    <cellStyle name="Linked Cell 2 2 10 2" xfId="29669"/>
    <cellStyle name="Linked Cell 2 2 10 3" xfId="29670"/>
    <cellStyle name="Linked Cell 2 2 11" xfId="29671"/>
    <cellStyle name="Linked Cell 2 2 11 2" xfId="29672"/>
    <cellStyle name="Linked Cell 2 2 12" xfId="29673"/>
    <cellStyle name="Linked Cell 2 2 13" xfId="29674"/>
    <cellStyle name="Linked Cell 2 2 2" xfId="29675"/>
    <cellStyle name="Linked Cell 2 2 2 10" xfId="29676"/>
    <cellStyle name="Linked Cell 2 2 2 10 2" xfId="29677"/>
    <cellStyle name="Linked Cell 2 2 2 10 3" xfId="29678"/>
    <cellStyle name="Linked Cell 2 2 2 11" xfId="29679"/>
    <cellStyle name="Linked Cell 2 2 2 12" xfId="29680"/>
    <cellStyle name="Linked Cell 2 2 2 2" xfId="29681"/>
    <cellStyle name="Linked Cell 2 2 2 2 2" xfId="29682"/>
    <cellStyle name="Linked Cell 2 2 2 2 3" xfId="29683"/>
    <cellStyle name="Linked Cell 2 2 2 3" xfId="29684"/>
    <cellStyle name="Linked Cell 2 2 2 3 2" xfId="29685"/>
    <cellStyle name="Linked Cell 2 2 2 3 3" xfId="29686"/>
    <cellStyle name="Linked Cell 2 2 2 4" xfId="29687"/>
    <cellStyle name="Linked Cell 2 2 2 4 2" xfId="29688"/>
    <cellStyle name="Linked Cell 2 2 2 4 3" xfId="29689"/>
    <cellStyle name="Linked Cell 2 2 2 5" xfId="29690"/>
    <cellStyle name="Linked Cell 2 2 2 5 2" xfId="29691"/>
    <cellStyle name="Linked Cell 2 2 2 5 3" xfId="29692"/>
    <cellStyle name="Linked Cell 2 2 2 6" xfId="29693"/>
    <cellStyle name="Linked Cell 2 2 2 6 2" xfId="29694"/>
    <cellStyle name="Linked Cell 2 2 2 6 3" xfId="29695"/>
    <cellStyle name="Linked Cell 2 2 2 7" xfId="29696"/>
    <cellStyle name="Linked Cell 2 2 2 7 2" xfId="29697"/>
    <cellStyle name="Linked Cell 2 2 2 7 3" xfId="29698"/>
    <cellStyle name="Linked Cell 2 2 2 8" xfId="29699"/>
    <cellStyle name="Linked Cell 2 2 2 8 2" xfId="29700"/>
    <cellStyle name="Linked Cell 2 2 2 8 3" xfId="29701"/>
    <cellStyle name="Linked Cell 2 2 2 9" xfId="29702"/>
    <cellStyle name="Linked Cell 2 2 2 9 2" xfId="29703"/>
    <cellStyle name="Linked Cell 2 2 2 9 3" xfId="29704"/>
    <cellStyle name="Linked Cell 2 2 3" xfId="29705"/>
    <cellStyle name="Linked Cell 2 2 3 2" xfId="29706"/>
    <cellStyle name="Linked Cell 2 2 3 3" xfId="29707"/>
    <cellStyle name="Linked Cell 2 2 4" xfId="29708"/>
    <cellStyle name="Linked Cell 2 2 4 2" xfId="29709"/>
    <cellStyle name="Linked Cell 2 2 4 3" xfId="29710"/>
    <cellStyle name="Linked Cell 2 2 5" xfId="29711"/>
    <cellStyle name="Linked Cell 2 2 5 2" xfId="29712"/>
    <cellStyle name="Linked Cell 2 2 5 3" xfId="29713"/>
    <cellStyle name="Linked Cell 2 2 6" xfId="29714"/>
    <cellStyle name="Linked Cell 2 2 6 2" xfId="29715"/>
    <cellStyle name="Linked Cell 2 2 6 3" xfId="29716"/>
    <cellStyle name="Linked Cell 2 2 7" xfId="29717"/>
    <cellStyle name="Linked Cell 2 2 7 2" xfId="29718"/>
    <cellStyle name="Linked Cell 2 2 7 3" xfId="29719"/>
    <cellStyle name="Linked Cell 2 2 8" xfId="29720"/>
    <cellStyle name="Linked Cell 2 2 8 2" xfId="29721"/>
    <cellStyle name="Linked Cell 2 2 8 3" xfId="29722"/>
    <cellStyle name="Linked Cell 2 2 9" xfId="29723"/>
    <cellStyle name="Linked Cell 2 2 9 2" xfId="29724"/>
    <cellStyle name="Linked Cell 2 2 9 3" xfId="29725"/>
    <cellStyle name="Linked Cell 2 2_BHP 4Q 2010 Ops Review Senior Managment " xfId="16"/>
    <cellStyle name="Linked Cell 2 3" xfId="29726"/>
    <cellStyle name="Linked Cell 2 3 2" xfId="29727"/>
    <cellStyle name="Linked Cell 2 3 2 2" xfId="29728"/>
    <cellStyle name="Linked Cell 2 3 3" xfId="29729"/>
    <cellStyle name="Linked Cell 2 4" xfId="29730"/>
    <cellStyle name="Linked Cell 2 4 2" xfId="29731"/>
    <cellStyle name="Linked Cell 2 4 2 2" xfId="29732"/>
    <cellStyle name="Linked Cell 2 4 3" xfId="29733"/>
    <cellStyle name="Linked Cell 2 5" xfId="29734"/>
    <cellStyle name="Linked Cell 2 5 2" xfId="29735"/>
    <cellStyle name="Linked Cell 2 5 2 2" xfId="29736"/>
    <cellStyle name="Linked Cell 2 5 3" xfId="29737"/>
    <cellStyle name="Linked Cell 2 6" xfId="29738"/>
    <cellStyle name="Linked Cell 2 6 2" xfId="29739"/>
    <cellStyle name="Linked Cell 2 6 2 2" xfId="29740"/>
    <cellStyle name="Linked Cell 2 6 3" xfId="29741"/>
    <cellStyle name="Linked Cell 2 7" xfId="29742"/>
    <cellStyle name="Linked Cell 2 7 2" xfId="29743"/>
    <cellStyle name="Linked Cell 2 7 2 2" xfId="29744"/>
    <cellStyle name="Linked Cell 2 7 3" xfId="29745"/>
    <cellStyle name="Linked Cell 2 8" xfId="29746"/>
    <cellStyle name="Linked Cell 2 8 2" xfId="29747"/>
    <cellStyle name="Linked Cell 2 8 3" xfId="29748"/>
    <cellStyle name="Linked Cell 2 9" xfId="29749"/>
    <cellStyle name="Linked Cell 2 9 2" xfId="29750"/>
    <cellStyle name="Linked Cell 2 9 3" xfId="29751"/>
    <cellStyle name="Linked Cell 2_1-10 BHU IS" xfId="29752"/>
    <cellStyle name="Linked Cell 3" xfId="29753"/>
    <cellStyle name="Linked Cell 3 2" xfId="29754"/>
    <cellStyle name="Linked Cell 3 2 2" xfId="29755"/>
    <cellStyle name="Linked Cell 3 2 2 2" xfId="29756"/>
    <cellStyle name="Linked Cell 3 2 2 3" xfId="29757"/>
    <cellStyle name="Linked Cell 3 2 3" xfId="29758"/>
    <cellStyle name="Linked Cell 3 2 4" xfId="29759"/>
    <cellStyle name="Linked Cell 3 3" xfId="29760"/>
    <cellStyle name="Linked Cell 3 3 2" xfId="29761"/>
    <cellStyle name="Linked Cell 3 3 2 2" xfId="29762"/>
    <cellStyle name="Linked Cell 3 3 2 3" xfId="29763"/>
    <cellStyle name="Linked Cell 3 3 3" xfId="29764"/>
    <cellStyle name="Linked Cell 3 3 4" xfId="29765"/>
    <cellStyle name="Linked Cell 3 3 5" xfId="29766"/>
    <cellStyle name="Linked Cell 3 4" xfId="29767"/>
    <cellStyle name="Linked Cell 3 4 2" xfId="29768"/>
    <cellStyle name="Linked Cell 3 5" xfId="29769"/>
    <cellStyle name="Linked Cell 3_1-10 BHU IS" xfId="29770"/>
    <cellStyle name="Linked Cell 4" xfId="29771"/>
    <cellStyle name="Linked Cell 4 2" xfId="29772"/>
    <cellStyle name="Linked Cell 4 2 2" xfId="29773"/>
    <cellStyle name="Linked Cell 4 2 2 2" xfId="29774"/>
    <cellStyle name="Linked Cell 4 2 3" xfId="29775"/>
    <cellStyle name="Linked Cell 4 3" xfId="29776"/>
    <cellStyle name="Linked Cell 4 3 2" xfId="29777"/>
    <cellStyle name="Linked Cell 4 4" xfId="29778"/>
    <cellStyle name="Linked Cell 4_1-10 BHU IS" xfId="29779"/>
    <cellStyle name="Linked Cell 5" xfId="29780"/>
    <cellStyle name="Linked Cell 5 2" xfId="29781"/>
    <cellStyle name="Linked Cell 5 2 2" xfId="29782"/>
    <cellStyle name="Linked Cell 5 2 2 2" xfId="29783"/>
    <cellStyle name="Linked Cell 5 2 3" xfId="29784"/>
    <cellStyle name="Linked Cell 5 3" xfId="29785"/>
    <cellStyle name="Linked Cell 5 3 2" xfId="29786"/>
    <cellStyle name="Linked Cell 5 4" xfId="29787"/>
    <cellStyle name="Linked Cell 5_1-10 BHU IS" xfId="29788"/>
    <cellStyle name="Linked Cell 6" xfId="29789"/>
    <cellStyle name="Linked Cell 6 2" xfId="29790"/>
    <cellStyle name="Linked Cell 6 2 2" xfId="29791"/>
    <cellStyle name="Linked Cell 6 2 3" xfId="29792"/>
    <cellStyle name="Linked Cell 6 3" xfId="29793"/>
    <cellStyle name="Linked Cell 6 3 2" xfId="29794"/>
    <cellStyle name="Linked Cell 6 4" xfId="29795"/>
    <cellStyle name="Linked Cell 7" xfId="29796"/>
    <cellStyle name="Linked Cell 7 2" xfId="29797"/>
    <cellStyle name="Linked Cell 7 2 2" xfId="29798"/>
    <cellStyle name="Linked Cell 7 2 3" xfId="29799"/>
    <cellStyle name="Linked Cell 7 3" xfId="29800"/>
    <cellStyle name="Linked Cell 7 3 2" xfId="29801"/>
    <cellStyle name="Linked Cell 7 4" xfId="29802"/>
    <cellStyle name="Linked Cell 8" xfId="29803"/>
    <cellStyle name="Linked Cell 8 2" xfId="29804"/>
    <cellStyle name="Linked Cell 8 2 2" xfId="29805"/>
    <cellStyle name="Linked Cell 8 2 3" xfId="29806"/>
    <cellStyle name="Linked Cell 8 3" xfId="29807"/>
    <cellStyle name="Linked Cell 8 3 2" xfId="29808"/>
    <cellStyle name="Linked Cell 8 4" xfId="29809"/>
    <cellStyle name="Linked Cell 9" xfId="29810"/>
    <cellStyle name="Linked Cell 9 2" xfId="29811"/>
    <cellStyle name="Linked Cell 9 2 2" xfId="29812"/>
    <cellStyle name="Linked Cell 9 2 3" xfId="29813"/>
    <cellStyle name="Linked Cell 9 3" xfId="29814"/>
    <cellStyle name="Linked Cell 9 3 2" xfId="29815"/>
    <cellStyle name="Linked Cell 9 4" xfId="29816"/>
    <cellStyle name="Locked" xfId="29817"/>
    <cellStyle name="Logical" xfId="29818"/>
    <cellStyle name="Logical 2" xfId="29819"/>
    <cellStyle name="Logical 2 2" xfId="29820"/>
    <cellStyle name="Logical 2 2 2" xfId="29821"/>
    <cellStyle name="Logical 2 2 2 2" xfId="29822"/>
    <cellStyle name="Logical 2 2 2 3" xfId="29823"/>
    <cellStyle name="Logical 2 2 3" xfId="29824"/>
    <cellStyle name="Logical 2 2 3 2" xfId="29825"/>
    <cellStyle name="Logical 2 2 3 3" xfId="29826"/>
    <cellStyle name="Logical 2 2 4" xfId="29827"/>
    <cellStyle name="Logical 2 2 4 2" xfId="29828"/>
    <cellStyle name="Logical 2 2 4 3" xfId="29829"/>
    <cellStyle name="Logical 2 2 5" xfId="29830"/>
    <cellStyle name="Logical 2 2 5 2" xfId="29831"/>
    <cellStyle name="Logical 2 2 5 3" xfId="29832"/>
    <cellStyle name="Logical 2 2 6" xfId="29833"/>
    <cellStyle name="Logical 2 2 6 2" xfId="29834"/>
    <cellStyle name="Logical 2 2 6 3" xfId="29835"/>
    <cellStyle name="Logical 2 2 7" xfId="29836"/>
    <cellStyle name="Logical 2 2 8" xfId="29837"/>
    <cellStyle name="Logical 2 3" xfId="29838"/>
    <cellStyle name="Logical 2 3 2" xfId="29839"/>
    <cellStyle name="Logical 2 3 3" xfId="29840"/>
    <cellStyle name="Logical 2 4" xfId="29841"/>
    <cellStyle name="Logical 2 4 2" xfId="29842"/>
    <cellStyle name="Logical 2 4 3" xfId="29843"/>
    <cellStyle name="Logical 2 5" xfId="29844"/>
    <cellStyle name="Logical 2 5 2" xfId="29845"/>
    <cellStyle name="Logical 2 5 3" xfId="29846"/>
    <cellStyle name="Logical 2 6" xfId="29847"/>
    <cellStyle name="Logical 2 6 2" xfId="29848"/>
    <cellStyle name="Logical 2 6 3" xfId="29849"/>
    <cellStyle name="Logical 2 7" xfId="29850"/>
    <cellStyle name="Logical 2 7 2" xfId="29851"/>
    <cellStyle name="Logical 2 7 3" xfId="29852"/>
    <cellStyle name="Logical 2 8" xfId="29853"/>
    <cellStyle name="Logical 2 9" xfId="29854"/>
    <cellStyle name="Logical 3" xfId="29855"/>
    <cellStyle name="Logical 3 2" xfId="29856"/>
    <cellStyle name="Logical 3 2 2" xfId="29857"/>
    <cellStyle name="Logical 3 2 3" xfId="29858"/>
    <cellStyle name="Logical 3 3" xfId="29859"/>
    <cellStyle name="Logical 3 3 2" xfId="29860"/>
    <cellStyle name="Logical 3 3 3" xfId="29861"/>
    <cellStyle name="Logical 3 4" xfId="29862"/>
    <cellStyle name="Logical 3 4 2" xfId="29863"/>
    <cellStyle name="Logical 3 4 3" xfId="29864"/>
    <cellStyle name="Logical 3 5" xfId="29865"/>
    <cellStyle name="Logical 3 5 2" xfId="29866"/>
    <cellStyle name="Logical 3 5 3" xfId="29867"/>
    <cellStyle name="Logical 3 6" xfId="29868"/>
    <cellStyle name="Logical 3 6 2" xfId="29869"/>
    <cellStyle name="Logical 3 6 3" xfId="29870"/>
    <cellStyle name="Logical 3 7" xfId="29871"/>
    <cellStyle name="Logical 3 8" xfId="29872"/>
    <cellStyle name="Logical 4" xfId="29873"/>
    <cellStyle name="Logical 4 2" xfId="29874"/>
    <cellStyle name="Logical 4 3" xfId="29875"/>
    <cellStyle name="Logical 5" xfId="29876"/>
    <cellStyle name="Logical 5 2" xfId="29877"/>
    <cellStyle name="Logical 5 3" xfId="29878"/>
    <cellStyle name="Logical 6" xfId="29879"/>
    <cellStyle name="Logical 6 2" xfId="29880"/>
    <cellStyle name="Logical 6 3" xfId="29881"/>
    <cellStyle name="Logical 7" xfId="29882"/>
    <cellStyle name="Logical 8" xfId="29883"/>
    <cellStyle name="Map Labels" xfId="29884"/>
    <cellStyle name="Map Labels 2" xfId="29885"/>
    <cellStyle name="Map Labels 2 2" xfId="29886"/>
    <cellStyle name="Map Labels 3" xfId="29887"/>
    <cellStyle name="Map Labels 4" xfId="29888"/>
    <cellStyle name="Map Labels 5" xfId="29889"/>
    <cellStyle name="Map Labels 6" xfId="29890"/>
    <cellStyle name="Map Legend" xfId="29891"/>
    <cellStyle name="Map Legend 2" xfId="29892"/>
    <cellStyle name="Map Legend 2 2" xfId="29893"/>
    <cellStyle name="Map Legend 3" xfId="29894"/>
    <cellStyle name="Map Legend 4" xfId="29895"/>
    <cellStyle name="Map Legend 5" xfId="29896"/>
    <cellStyle name="Map Legend 6" xfId="29897"/>
    <cellStyle name="Map Title" xfId="29898"/>
    <cellStyle name="Map Title 2" xfId="29899"/>
    <cellStyle name="Map Title 2 2" xfId="29900"/>
    <cellStyle name="Map Title 3" xfId="29901"/>
    <cellStyle name="Map Title 4" xfId="29902"/>
    <cellStyle name="Map Title 5" xfId="29903"/>
    <cellStyle name="Map Title 6" xfId="29904"/>
    <cellStyle name="Millares [0]_ARE" xfId="29905"/>
    <cellStyle name="Millares_ARE" xfId="29906"/>
    <cellStyle name="Milliers [0]_PERSONAL" xfId="29907"/>
    <cellStyle name="Milliers_PERSONAL" xfId="29908"/>
    <cellStyle name="mmm-yy" xfId="29909"/>
    <cellStyle name="mmm-yy 2" xfId="29910"/>
    <cellStyle name="mmm-yy 2 2" xfId="29911"/>
    <cellStyle name="mmm-yy 3" xfId="29912"/>
    <cellStyle name="Moneda [0]_ARE" xfId="29913"/>
    <cellStyle name="Moneda_ARE" xfId="29914"/>
    <cellStyle name="Monétaire [0]_PERSONAL" xfId="29915"/>
    <cellStyle name="Monétaire_PERSONAL" xfId="29916"/>
    <cellStyle name="Month" xfId="29917"/>
    <cellStyle name="N,NNN (blank 0)" xfId="29918"/>
    <cellStyle name="Neutral 10" xfId="29919"/>
    <cellStyle name="Neutral 10 2" xfId="29920"/>
    <cellStyle name="Neutral 10 2 2" xfId="29921"/>
    <cellStyle name="Neutral 10 2 3" xfId="29922"/>
    <cellStyle name="Neutral 10 3" xfId="29923"/>
    <cellStyle name="Neutral 10 3 2" xfId="29924"/>
    <cellStyle name="Neutral 10 4" xfId="29925"/>
    <cellStyle name="Neutral 11" xfId="29926"/>
    <cellStyle name="Neutral 11 2" xfId="29927"/>
    <cellStyle name="Neutral 11 2 2" xfId="29928"/>
    <cellStyle name="Neutral 11 2 3" xfId="29929"/>
    <cellStyle name="Neutral 11 3" xfId="29930"/>
    <cellStyle name="Neutral 11 3 2" xfId="29931"/>
    <cellStyle name="Neutral 11 4" xfId="29932"/>
    <cellStyle name="Neutral 12" xfId="29933"/>
    <cellStyle name="Neutral 12 2" xfId="29934"/>
    <cellStyle name="Neutral 12 2 2" xfId="29935"/>
    <cellStyle name="Neutral 12 3" xfId="29936"/>
    <cellStyle name="Neutral 13" xfId="29937"/>
    <cellStyle name="Neutral 13 2" xfId="29938"/>
    <cellStyle name="Neutral 13 2 2" xfId="29939"/>
    <cellStyle name="Neutral 13 3" xfId="29940"/>
    <cellStyle name="Neutral 14" xfId="29941"/>
    <cellStyle name="Neutral 14 2" xfId="29942"/>
    <cellStyle name="Neutral 14 2 2" xfId="29943"/>
    <cellStyle name="Neutral 14 3" xfId="29944"/>
    <cellStyle name="Neutral 15" xfId="29945"/>
    <cellStyle name="Neutral 15 2" xfId="29946"/>
    <cellStyle name="Neutral 15 2 2" xfId="29947"/>
    <cellStyle name="Neutral 15 3" xfId="29948"/>
    <cellStyle name="Neutral 16" xfId="29949"/>
    <cellStyle name="Neutral 16 2" xfId="29950"/>
    <cellStyle name="Neutral 16 3" xfId="29951"/>
    <cellStyle name="Neutral 17" xfId="29952"/>
    <cellStyle name="Neutral 18" xfId="29953"/>
    <cellStyle name="Neutral 2" xfId="29954"/>
    <cellStyle name="Neutral 2 10" xfId="29955"/>
    <cellStyle name="Neutral 2 10 2" xfId="29956"/>
    <cellStyle name="Neutral 2 10 3" xfId="29957"/>
    <cellStyle name="Neutral 2 11" xfId="29958"/>
    <cellStyle name="Neutral 2 11 2" xfId="29959"/>
    <cellStyle name="Neutral 2 11 3" xfId="29960"/>
    <cellStyle name="Neutral 2 12" xfId="29961"/>
    <cellStyle name="Neutral 2 12 2" xfId="29962"/>
    <cellStyle name="Neutral 2 12 3" xfId="29963"/>
    <cellStyle name="Neutral 2 13" xfId="29964"/>
    <cellStyle name="Neutral 2 13 2" xfId="29965"/>
    <cellStyle name="Neutral 2 14" xfId="29966"/>
    <cellStyle name="Neutral 2 14 2" xfId="29967"/>
    <cellStyle name="Neutral 2 15" xfId="29968"/>
    <cellStyle name="Neutral 2 16" xfId="29969"/>
    <cellStyle name="Neutral 2 17" xfId="29970"/>
    <cellStyle name="Neutral 2 2" xfId="29971"/>
    <cellStyle name="Neutral 2 2 10" xfId="29972"/>
    <cellStyle name="Neutral 2 2 10 2" xfId="29973"/>
    <cellStyle name="Neutral 2 2 10 3" xfId="29974"/>
    <cellStyle name="Neutral 2 2 11" xfId="29975"/>
    <cellStyle name="Neutral 2 2 11 2" xfId="29976"/>
    <cellStyle name="Neutral 2 2 12" xfId="29977"/>
    <cellStyle name="Neutral 2 2 13" xfId="29978"/>
    <cellStyle name="Neutral 2 2 2" xfId="29979"/>
    <cellStyle name="Neutral 2 2 2 10" xfId="29980"/>
    <cellStyle name="Neutral 2 2 2 10 2" xfId="29981"/>
    <cellStyle name="Neutral 2 2 2 10 3" xfId="29982"/>
    <cellStyle name="Neutral 2 2 2 11" xfId="29983"/>
    <cellStyle name="Neutral 2 2 2 12" xfId="29984"/>
    <cellStyle name="Neutral 2 2 2 13" xfId="29985"/>
    <cellStyle name="Neutral 2 2 2 2" xfId="29986"/>
    <cellStyle name="Neutral 2 2 2 2 2" xfId="29987"/>
    <cellStyle name="Neutral 2 2 2 2 3" xfId="29988"/>
    <cellStyle name="Neutral 2 2 2 3" xfId="29989"/>
    <cellStyle name="Neutral 2 2 2 3 2" xfId="29990"/>
    <cellStyle name="Neutral 2 2 2 3 3" xfId="29991"/>
    <cellStyle name="Neutral 2 2 2 4" xfId="29992"/>
    <cellStyle name="Neutral 2 2 2 4 2" xfId="29993"/>
    <cellStyle name="Neutral 2 2 2 4 3" xfId="29994"/>
    <cellStyle name="Neutral 2 2 2 5" xfId="29995"/>
    <cellStyle name="Neutral 2 2 2 5 2" xfId="29996"/>
    <cellStyle name="Neutral 2 2 2 5 3" xfId="29997"/>
    <cellStyle name="Neutral 2 2 2 6" xfId="29998"/>
    <cellStyle name="Neutral 2 2 2 6 2" xfId="29999"/>
    <cellStyle name="Neutral 2 2 2 6 3" xfId="30000"/>
    <cellStyle name="Neutral 2 2 2 7" xfId="30001"/>
    <cellStyle name="Neutral 2 2 2 7 2" xfId="30002"/>
    <cellStyle name="Neutral 2 2 2 7 3" xfId="30003"/>
    <cellStyle name="Neutral 2 2 2 8" xfId="30004"/>
    <cellStyle name="Neutral 2 2 2 8 2" xfId="30005"/>
    <cellStyle name="Neutral 2 2 2 8 3" xfId="30006"/>
    <cellStyle name="Neutral 2 2 2 9" xfId="30007"/>
    <cellStyle name="Neutral 2 2 2 9 2" xfId="30008"/>
    <cellStyle name="Neutral 2 2 2 9 3" xfId="30009"/>
    <cellStyle name="Neutral 2 2 3" xfId="30010"/>
    <cellStyle name="Neutral 2 2 3 2" xfId="30011"/>
    <cellStyle name="Neutral 2 2 3 3" xfId="30012"/>
    <cellStyle name="Neutral 2 2 4" xfId="30013"/>
    <cellStyle name="Neutral 2 2 4 2" xfId="30014"/>
    <cellStyle name="Neutral 2 2 4 3" xfId="30015"/>
    <cellStyle name="Neutral 2 2 5" xfId="30016"/>
    <cellStyle name="Neutral 2 2 5 2" xfId="30017"/>
    <cellStyle name="Neutral 2 2 5 3" xfId="30018"/>
    <cellStyle name="Neutral 2 2 6" xfId="30019"/>
    <cellStyle name="Neutral 2 2 6 2" xfId="30020"/>
    <cellStyle name="Neutral 2 2 6 3" xfId="30021"/>
    <cellStyle name="Neutral 2 2 7" xfId="30022"/>
    <cellStyle name="Neutral 2 2 7 2" xfId="30023"/>
    <cellStyle name="Neutral 2 2 7 3" xfId="30024"/>
    <cellStyle name="Neutral 2 2 8" xfId="30025"/>
    <cellStyle name="Neutral 2 2 8 2" xfId="30026"/>
    <cellStyle name="Neutral 2 2 8 3" xfId="30027"/>
    <cellStyle name="Neutral 2 2 9" xfId="30028"/>
    <cellStyle name="Neutral 2 2 9 2" xfId="30029"/>
    <cellStyle name="Neutral 2 2 9 3" xfId="30030"/>
    <cellStyle name="Neutral 2 3" xfId="30031"/>
    <cellStyle name="Neutral 2 3 2" xfId="30032"/>
    <cellStyle name="Neutral 2 3 2 2" xfId="30033"/>
    <cellStyle name="Neutral 2 3 3" xfId="30034"/>
    <cellStyle name="Neutral 2 3 4" xfId="30035"/>
    <cellStyle name="Neutral 2 4" xfId="30036"/>
    <cellStyle name="Neutral 2 4 2" xfId="30037"/>
    <cellStyle name="Neutral 2 4 2 2" xfId="30038"/>
    <cellStyle name="Neutral 2 4 3" xfId="30039"/>
    <cellStyle name="Neutral 2 5" xfId="30040"/>
    <cellStyle name="Neutral 2 5 2" xfId="30041"/>
    <cellStyle name="Neutral 2 5 2 2" xfId="30042"/>
    <cellStyle name="Neutral 2 5 3" xfId="30043"/>
    <cellStyle name="Neutral 2 6" xfId="30044"/>
    <cellStyle name="Neutral 2 6 2" xfId="30045"/>
    <cellStyle name="Neutral 2 6 2 2" xfId="30046"/>
    <cellStyle name="Neutral 2 6 3" xfId="30047"/>
    <cellStyle name="Neutral 2 7" xfId="30048"/>
    <cellStyle name="Neutral 2 7 2" xfId="30049"/>
    <cellStyle name="Neutral 2 7 2 2" xfId="30050"/>
    <cellStyle name="Neutral 2 7 3" xfId="30051"/>
    <cellStyle name="Neutral 2 8" xfId="30052"/>
    <cellStyle name="Neutral 2 8 2" xfId="30053"/>
    <cellStyle name="Neutral 2 8 3" xfId="30054"/>
    <cellStyle name="Neutral 2 9" xfId="30055"/>
    <cellStyle name="Neutral 2 9 2" xfId="30056"/>
    <cellStyle name="Neutral 2 9 3" xfId="30057"/>
    <cellStyle name="Neutral 2_1-10 BHU IS" xfId="30058"/>
    <cellStyle name="Neutral 3" xfId="30059"/>
    <cellStyle name="Neutral 3 2" xfId="30060"/>
    <cellStyle name="Neutral 3 2 2" xfId="30061"/>
    <cellStyle name="Neutral 3 2 2 2" xfId="30062"/>
    <cellStyle name="Neutral 3 2 2 3" xfId="30063"/>
    <cellStyle name="Neutral 3 2 3" xfId="30064"/>
    <cellStyle name="Neutral 3 2 3 2" xfId="30065"/>
    <cellStyle name="Neutral 3 2 4" xfId="30066"/>
    <cellStyle name="Neutral 3 2 5" xfId="30067"/>
    <cellStyle name="Neutral 3 2 6" xfId="30068"/>
    <cellStyle name="Neutral 3 3" xfId="30069"/>
    <cellStyle name="Neutral 3 3 2" xfId="30070"/>
    <cellStyle name="Neutral 3 3 3" xfId="30071"/>
    <cellStyle name="Neutral 3 4" xfId="30072"/>
    <cellStyle name="Neutral 3 5" xfId="30073"/>
    <cellStyle name="Neutral 4" xfId="30074"/>
    <cellStyle name="Neutral 4 2" xfId="30075"/>
    <cellStyle name="Neutral 4 2 2" xfId="30076"/>
    <cellStyle name="Neutral 4 2 2 2" xfId="30077"/>
    <cellStyle name="Neutral 4 2 3" xfId="30078"/>
    <cellStyle name="Neutral 4 3" xfId="30079"/>
    <cellStyle name="Neutral 4 3 2" xfId="30080"/>
    <cellStyle name="Neutral 4 4" xfId="30081"/>
    <cellStyle name="Neutral 5" xfId="30082"/>
    <cellStyle name="Neutral 5 2" xfId="30083"/>
    <cellStyle name="Neutral 5 2 2" xfId="30084"/>
    <cellStyle name="Neutral 5 2 2 2" xfId="30085"/>
    <cellStyle name="Neutral 5 2 3" xfId="30086"/>
    <cellStyle name="Neutral 5 3" xfId="30087"/>
    <cellStyle name="Neutral 5 3 2" xfId="30088"/>
    <cellStyle name="Neutral 5 4" xfId="30089"/>
    <cellStyle name="Neutral 6" xfId="30090"/>
    <cellStyle name="Neutral 6 2" xfId="30091"/>
    <cellStyle name="Neutral 6 2 2" xfId="30092"/>
    <cellStyle name="Neutral 6 2 3" xfId="30093"/>
    <cellStyle name="Neutral 6 3" xfId="30094"/>
    <cellStyle name="Neutral 6 3 2" xfId="30095"/>
    <cellStyle name="Neutral 6 4" xfId="30096"/>
    <cellStyle name="Neutral 7" xfId="30097"/>
    <cellStyle name="Neutral 7 2" xfId="30098"/>
    <cellStyle name="Neutral 7 2 2" xfId="30099"/>
    <cellStyle name="Neutral 7 2 3" xfId="30100"/>
    <cellStyle name="Neutral 7 3" xfId="30101"/>
    <cellStyle name="Neutral 7 3 2" xfId="30102"/>
    <cellStyle name="Neutral 7 4" xfId="30103"/>
    <cellStyle name="Neutral 8" xfId="30104"/>
    <cellStyle name="Neutral 8 2" xfId="30105"/>
    <cellStyle name="Neutral 8 2 2" xfId="30106"/>
    <cellStyle name="Neutral 8 2 3" xfId="30107"/>
    <cellStyle name="Neutral 8 3" xfId="30108"/>
    <cellStyle name="Neutral 8 3 2" xfId="30109"/>
    <cellStyle name="Neutral 8 4" xfId="30110"/>
    <cellStyle name="Neutral 9" xfId="30111"/>
    <cellStyle name="Neutral 9 2" xfId="30112"/>
    <cellStyle name="Neutral 9 2 2" xfId="30113"/>
    <cellStyle name="Neutral 9 2 3" xfId="30114"/>
    <cellStyle name="Neutral 9 3" xfId="30115"/>
    <cellStyle name="Neutral 9 3 2" xfId="30116"/>
    <cellStyle name="Neutral 9 4" xfId="30117"/>
    <cellStyle name="New" xfId="30118"/>
    <cellStyle name="New 2" xfId="30119"/>
    <cellStyle name="New 2 2" xfId="30120"/>
    <cellStyle name="New 3" xfId="30121"/>
    <cellStyle name="no dec" xfId="30122"/>
    <cellStyle name="no dec 2" xfId="30123"/>
    <cellStyle name="no dec 2 2" xfId="30124"/>
    <cellStyle name="no dec 2 2 2" xfId="30125"/>
    <cellStyle name="no dec 2 2 3" xfId="30126"/>
    <cellStyle name="no dec 2 3" xfId="30127"/>
    <cellStyle name="no dec 2 4" xfId="30128"/>
    <cellStyle name="no dec 2 5" xfId="30129"/>
    <cellStyle name="no dec 3" xfId="30130"/>
    <cellStyle name="no dec 4" xfId="30131"/>
    <cellStyle name="No-Action" xfId="30132"/>
    <cellStyle name="No-definido" xfId="30133"/>
    <cellStyle name="NoEntry" xfId="30134"/>
    <cellStyle name="NoEntry 2" xfId="30135"/>
    <cellStyle name="Normal" xfId="0" builtinId="0"/>
    <cellStyle name="Normal - Style1" xfId="30136"/>
    <cellStyle name="Normal - Style1 2" xfId="30137"/>
    <cellStyle name="Normal - Style1 2 2" xfId="30138"/>
    <cellStyle name="Normal - Style1 3" xfId="30139"/>
    <cellStyle name="Normal - Style1 4" xfId="30140"/>
    <cellStyle name="Normal 10" xfId="30141"/>
    <cellStyle name="Normal 10 10" xfId="30142"/>
    <cellStyle name="Normal 10 10 2" xfId="30143"/>
    <cellStyle name="Normal 10 11" xfId="30144"/>
    <cellStyle name="Normal 10 11 2" xfId="30145"/>
    <cellStyle name="Normal 10 12" xfId="30146"/>
    <cellStyle name="Normal 10 2" xfId="30147"/>
    <cellStyle name="Normal 10 2 2" xfId="30148"/>
    <cellStyle name="Normal 10 2 2 2" xfId="30149"/>
    <cellStyle name="Normal 10 2 2 3" xfId="30150"/>
    <cellStyle name="Normal 10 2 3" xfId="30151"/>
    <cellStyle name="Normal 10 2 4" xfId="30152"/>
    <cellStyle name="Normal 10 2 4 2" xfId="30153"/>
    <cellStyle name="Normal 10 2 4 2 2" xfId="30154"/>
    <cellStyle name="Normal 10 2 4 2 2 2" xfId="30155"/>
    <cellStyle name="Normal 10 2 4 2 3" xfId="30156"/>
    <cellStyle name="Normal 10 2 4 3" xfId="30157"/>
    <cellStyle name="Normal 10 2 4 3 2" xfId="30158"/>
    <cellStyle name="Normal 10 2 4 4" xfId="30159"/>
    <cellStyle name="Normal 10 2 5" xfId="30160"/>
    <cellStyle name="Normal 10 2 5 2" xfId="30161"/>
    <cellStyle name="Normal 10 2 5 2 2" xfId="30162"/>
    <cellStyle name="Normal 10 2 5 3" xfId="30163"/>
    <cellStyle name="Normal 10 2 6" xfId="30164"/>
    <cellStyle name="Normal 10 2 6 2" xfId="30165"/>
    <cellStyle name="Normal 10 2 7" xfId="30166"/>
    <cellStyle name="Normal 10 3" xfId="30167"/>
    <cellStyle name="Normal 10 3 2" xfId="30168"/>
    <cellStyle name="Normal 10 3 2 2" xfId="30169"/>
    <cellStyle name="Normal 10 3 2 3" xfId="30170"/>
    <cellStyle name="Normal 10 3 2 3 2" xfId="30171"/>
    <cellStyle name="Normal 10 3 3" xfId="30172"/>
    <cellStyle name="Normal 10 3 3 2" xfId="30173"/>
    <cellStyle name="Normal 10 3 3 2 2" xfId="30174"/>
    <cellStyle name="Normal 10 3 4" xfId="30175"/>
    <cellStyle name="Normal 10 3 4 2" xfId="30176"/>
    <cellStyle name="Normal 10 3 4 2 2" xfId="30177"/>
    <cellStyle name="Normal 10 3 5" xfId="30178"/>
    <cellStyle name="Normal 10 3 5 2" xfId="30179"/>
    <cellStyle name="Normal 10 3 6" xfId="30180"/>
    <cellStyle name="Normal 10 3 6 2" xfId="30181"/>
    <cellStyle name="Normal 10 3 7" xfId="30182"/>
    <cellStyle name="Normal 10 3 7 2" xfId="30183"/>
    <cellStyle name="Normal 10 3 8" xfId="30184"/>
    <cellStyle name="Normal 10 3 8 2" xfId="30185"/>
    <cellStyle name="Normal 10 3 9" xfId="30186"/>
    <cellStyle name="Normal 10 3 9 2" xfId="30187"/>
    <cellStyle name="Normal 10 3_Dakota Panel" xfId="30188"/>
    <cellStyle name="Normal 10 4" xfId="30189"/>
    <cellStyle name="Normal 10 4 2" xfId="30190"/>
    <cellStyle name="Normal 10 4 2 2" xfId="30191"/>
    <cellStyle name="Normal 10 5" xfId="30192"/>
    <cellStyle name="Normal 10 5 2" xfId="30193"/>
    <cellStyle name="Normal 10 5 2 2" xfId="30194"/>
    <cellStyle name="Normal 10 6" xfId="30195"/>
    <cellStyle name="Normal 10 6 2" xfId="30196"/>
    <cellStyle name="Normal 10 6 2 2" xfId="30197"/>
    <cellStyle name="Normal 10 6 3" xfId="30198"/>
    <cellStyle name="Normal 10 6 4" xfId="30199"/>
    <cellStyle name="Normal 10 7" xfId="30200"/>
    <cellStyle name="Normal 10 7 2" xfId="30201"/>
    <cellStyle name="Normal 10 8" xfId="30202"/>
    <cellStyle name="Normal 10 8 2" xfId="30203"/>
    <cellStyle name="Normal 10 9" xfId="30204"/>
    <cellStyle name="Normal 10 9 2" xfId="30205"/>
    <cellStyle name="Normal 10_Dakota Panel" xfId="30206"/>
    <cellStyle name="Normal 100" xfId="30207"/>
    <cellStyle name="Normal 100 10" xfId="30208"/>
    <cellStyle name="Normal 100 10 2" xfId="30209"/>
    <cellStyle name="Normal 100 11" xfId="30210"/>
    <cellStyle name="Normal 100 11 2" xfId="30211"/>
    <cellStyle name="Normal 100 12" xfId="30212"/>
    <cellStyle name="Normal 100 2" xfId="30213"/>
    <cellStyle name="Normal 100 2 2" xfId="30214"/>
    <cellStyle name="Normal 100 2 2 2" xfId="30215"/>
    <cellStyle name="Normal 100 2 3" xfId="30216"/>
    <cellStyle name="Normal 100 2 3 2" xfId="30217"/>
    <cellStyle name="Normal 100 2 4" xfId="30218"/>
    <cellStyle name="Normal 100 2 4 2" xfId="30219"/>
    <cellStyle name="Normal 100 2 5" xfId="30220"/>
    <cellStyle name="Normal 100 2 5 2" xfId="30221"/>
    <cellStyle name="Normal 100 2 6" xfId="30222"/>
    <cellStyle name="Normal 100 2 6 2" xfId="30223"/>
    <cellStyle name="Normal 100 2 7" xfId="30224"/>
    <cellStyle name="Normal 100 2 7 2" xfId="30225"/>
    <cellStyle name="Normal 100 2 8" xfId="30226"/>
    <cellStyle name="Normal 100 2 8 2" xfId="30227"/>
    <cellStyle name="Normal 100 2 9" xfId="30228"/>
    <cellStyle name="Normal 100 2 9 2" xfId="30229"/>
    <cellStyle name="Normal 100 2_Dakota Panel" xfId="30230"/>
    <cellStyle name="Normal 100 3" xfId="30231"/>
    <cellStyle name="Normal 100 3 2" xfId="30232"/>
    <cellStyle name="Normal 100 3 2 2" xfId="30233"/>
    <cellStyle name="Normal 100 3 3" xfId="30234"/>
    <cellStyle name="Normal 100 3 3 2" xfId="30235"/>
    <cellStyle name="Normal 100 3 4" xfId="30236"/>
    <cellStyle name="Normal 100 3 5" xfId="30237"/>
    <cellStyle name="Normal 100 4" xfId="30238"/>
    <cellStyle name="Normal 100 4 2" xfId="30239"/>
    <cellStyle name="Normal 100 5" xfId="30240"/>
    <cellStyle name="Normal 100 5 2" xfId="30241"/>
    <cellStyle name="Normal 100 6" xfId="30242"/>
    <cellStyle name="Normal 100 6 2" xfId="30243"/>
    <cellStyle name="Normal 100 7" xfId="30244"/>
    <cellStyle name="Normal 100 7 2" xfId="30245"/>
    <cellStyle name="Normal 100 8" xfId="30246"/>
    <cellStyle name="Normal 100 8 2" xfId="30247"/>
    <cellStyle name="Normal 100 9" xfId="30248"/>
    <cellStyle name="Normal 100 9 2" xfId="30249"/>
    <cellStyle name="Normal 100_Dakota Panel" xfId="30250"/>
    <cellStyle name="Normal 101" xfId="30251"/>
    <cellStyle name="Normal 101 10" xfId="30252"/>
    <cellStyle name="Normal 101 10 2" xfId="30253"/>
    <cellStyle name="Normal 101 11" xfId="30254"/>
    <cellStyle name="Normal 101 11 2" xfId="30255"/>
    <cellStyle name="Normal 101 12" xfId="30256"/>
    <cellStyle name="Normal 101 2" xfId="30257"/>
    <cellStyle name="Normal 101 2 2" xfId="30258"/>
    <cellStyle name="Normal 101 2 2 2" xfId="30259"/>
    <cellStyle name="Normal 101 2 3" xfId="30260"/>
    <cellStyle name="Normal 101 2 3 2" xfId="30261"/>
    <cellStyle name="Normal 101 2 4" xfId="30262"/>
    <cellStyle name="Normal 101 2 4 2" xfId="30263"/>
    <cellStyle name="Normal 101 2 5" xfId="30264"/>
    <cellStyle name="Normal 101 2 5 2" xfId="30265"/>
    <cellStyle name="Normal 101 2 6" xfId="30266"/>
    <cellStyle name="Normal 101 2 6 2" xfId="30267"/>
    <cellStyle name="Normal 101 2 7" xfId="30268"/>
    <cellStyle name="Normal 101 2 7 2" xfId="30269"/>
    <cellStyle name="Normal 101 2 8" xfId="30270"/>
    <cellStyle name="Normal 101 2 8 2" xfId="30271"/>
    <cellStyle name="Normal 101 2 9" xfId="30272"/>
    <cellStyle name="Normal 101 2 9 2" xfId="30273"/>
    <cellStyle name="Normal 101 2_Dakota Panel" xfId="30274"/>
    <cellStyle name="Normal 101 3" xfId="30275"/>
    <cellStyle name="Normal 101 3 2" xfId="30276"/>
    <cellStyle name="Normal 101 3 2 2" xfId="30277"/>
    <cellStyle name="Normal 101 3 3" xfId="30278"/>
    <cellStyle name="Normal 101 3 3 2" xfId="30279"/>
    <cellStyle name="Normal 101 3 4" xfId="30280"/>
    <cellStyle name="Normal 101 3 5" xfId="30281"/>
    <cellStyle name="Normal 101 4" xfId="30282"/>
    <cellStyle name="Normal 101 4 2" xfId="30283"/>
    <cellStyle name="Normal 101 5" xfId="30284"/>
    <cellStyle name="Normal 101 5 2" xfId="30285"/>
    <cellStyle name="Normal 101 6" xfId="30286"/>
    <cellStyle name="Normal 101 6 2" xfId="30287"/>
    <cellStyle name="Normal 101 7" xfId="30288"/>
    <cellStyle name="Normal 101 7 2" xfId="30289"/>
    <cellStyle name="Normal 101 8" xfId="30290"/>
    <cellStyle name="Normal 101 8 2" xfId="30291"/>
    <cellStyle name="Normal 101 9" xfId="30292"/>
    <cellStyle name="Normal 101 9 2" xfId="30293"/>
    <cellStyle name="Normal 101_Dakota Panel" xfId="30294"/>
    <cellStyle name="Normal 102" xfId="30295"/>
    <cellStyle name="Normal 102 10" xfId="30296"/>
    <cellStyle name="Normal 102 10 2" xfId="30297"/>
    <cellStyle name="Normal 102 11" xfId="30298"/>
    <cellStyle name="Normal 102 11 2" xfId="30299"/>
    <cellStyle name="Normal 102 12" xfId="30300"/>
    <cellStyle name="Normal 102 2" xfId="30301"/>
    <cellStyle name="Normal 102 2 2" xfId="30302"/>
    <cellStyle name="Normal 102 2 2 2" xfId="30303"/>
    <cellStyle name="Normal 102 2 3" xfId="30304"/>
    <cellStyle name="Normal 102 2 3 2" xfId="30305"/>
    <cellStyle name="Normal 102 2 4" xfId="30306"/>
    <cellStyle name="Normal 102 2 4 2" xfId="30307"/>
    <cellStyle name="Normal 102 2 5" xfId="30308"/>
    <cellStyle name="Normal 102 2 5 2" xfId="30309"/>
    <cellStyle name="Normal 102 2 6" xfId="30310"/>
    <cellStyle name="Normal 102 2 6 2" xfId="30311"/>
    <cellStyle name="Normal 102 2 7" xfId="30312"/>
    <cellStyle name="Normal 102 2 7 2" xfId="30313"/>
    <cellStyle name="Normal 102 2 8" xfId="30314"/>
    <cellStyle name="Normal 102 2 8 2" xfId="30315"/>
    <cellStyle name="Normal 102 2 9" xfId="30316"/>
    <cellStyle name="Normal 102 2 9 2" xfId="30317"/>
    <cellStyle name="Normal 102 2_Dakota Panel" xfId="30318"/>
    <cellStyle name="Normal 102 3" xfId="30319"/>
    <cellStyle name="Normal 102 3 2" xfId="30320"/>
    <cellStyle name="Normal 102 3 2 2" xfId="30321"/>
    <cellStyle name="Normal 102 3 3" xfId="30322"/>
    <cellStyle name="Normal 102 3 3 2" xfId="30323"/>
    <cellStyle name="Normal 102 3 4" xfId="30324"/>
    <cellStyle name="Normal 102 3 5" xfId="30325"/>
    <cellStyle name="Normal 102 4" xfId="30326"/>
    <cellStyle name="Normal 102 4 2" xfId="30327"/>
    <cellStyle name="Normal 102 5" xfId="30328"/>
    <cellStyle name="Normal 102 5 2" xfId="30329"/>
    <cellStyle name="Normal 102 6" xfId="30330"/>
    <cellStyle name="Normal 102 6 2" xfId="30331"/>
    <cellStyle name="Normal 102 7" xfId="30332"/>
    <cellStyle name="Normal 102 7 2" xfId="30333"/>
    <cellStyle name="Normal 102 8" xfId="30334"/>
    <cellStyle name="Normal 102 8 2" xfId="30335"/>
    <cellStyle name="Normal 102 9" xfId="30336"/>
    <cellStyle name="Normal 102 9 2" xfId="30337"/>
    <cellStyle name="Normal 102_Dakota Panel" xfId="30338"/>
    <cellStyle name="Normal 103" xfId="30339"/>
    <cellStyle name="Normal 103 10" xfId="30340"/>
    <cellStyle name="Normal 103 10 2" xfId="30341"/>
    <cellStyle name="Normal 103 11" xfId="30342"/>
    <cellStyle name="Normal 103 11 2" xfId="30343"/>
    <cellStyle name="Normal 103 12" xfId="30344"/>
    <cellStyle name="Normal 103 2" xfId="30345"/>
    <cellStyle name="Normal 103 2 2" xfId="30346"/>
    <cellStyle name="Normal 103 2 2 2" xfId="30347"/>
    <cellStyle name="Normal 103 2 2 2 2" xfId="30348"/>
    <cellStyle name="Normal 103 2 2 2 2 2" xfId="30349"/>
    <cellStyle name="Normal 103 2 2 2 3" xfId="30350"/>
    <cellStyle name="Normal 103 2 2 3" xfId="30351"/>
    <cellStyle name="Normal 103 2 2 3 2" xfId="30352"/>
    <cellStyle name="Normal 103 2 2 4" xfId="30353"/>
    <cellStyle name="Normal 103 2 3" xfId="30354"/>
    <cellStyle name="Normal 103 2 3 2" xfId="30355"/>
    <cellStyle name="Normal 103 2 3 2 2" xfId="30356"/>
    <cellStyle name="Normal 103 2 3 3" xfId="30357"/>
    <cellStyle name="Normal 103 2 4" xfId="30358"/>
    <cellStyle name="Normal 103 2 4 2" xfId="30359"/>
    <cellStyle name="Normal 103 2 5" xfId="30360"/>
    <cellStyle name="Normal 103 2 5 2" xfId="30361"/>
    <cellStyle name="Normal 103 2 6" xfId="30362"/>
    <cellStyle name="Normal 103 2 6 2" xfId="30363"/>
    <cellStyle name="Normal 103 2 7" xfId="30364"/>
    <cellStyle name="Normal 103 2 7 2" xfId="30365"/>
    <cellStyle name="Normal 103 2 8" xfId="30366"/>
    <cellStyle name="Normal 103 2 8 2" xfId="30367"/>
    <cellStyle name="Normal 103 2 9" xfId="30368"/>
    <cellStyle name="Normal 103 2 9 2" xfId="30369"/>
    <cellStyle name="Normal 103 2_Dakota Panel" xfId="30370"/>
    <cellStyle name="Normal 103 3" xfId="30371"/>
    <cellStyle name="Normal 103 3 2" xfId="30372"/>
    <cellStyle name="Normal 103 3 2 2" xfId="30373"/>
    <cellStyle name="Normal 103 3 3" xfId="30374"/>
    <cellStyle name="Normal 103 3 3 2" xfId="30375"/>
    <cellStyle name="Normal 103 3 4" xfId="30376"/>
    <cellStyle name="Normal 103 3 5" xfId="30377"/>
    <cellStyle name="Normal 103 4" xfId="30378"/>
    <cellStyle name="Normal 103 4 2" xfId="30379"/>
    <cellStyle name="Normal 103 5" xfId="30380"/>
    <cellStyle name="Normal 103 5 2" xfId="30381"/>
    <cellStyle name="Normal 103 6" xfId="30382"/>
    <cellStyle name="Normal 103 6 2" xfId="30383"/>
    <cellStyle name="Normal 103 7" xfId="30384"/>
    <cellStyle name="Normal 103 7 2" xfId="30385"/>
    <cellStyle name="Normal 103 8" xfId="30386"/>
    <cellStyle name="Normal 103 8 2" xfId="30387"/>
    <cellStyle name="Normal 103 9" xfId="30388"/>
    <cellStyle name="Normal 103 9 2" xfId="30389"/>
    <cellStyle name="Normal 103_Dakota Panel" xfId="30390"/>
    <cellStyle name="Normal 104" xfId="30391"/>
    <cellStyle name="Normal 104 10" xfId="30392"/>
    <cellStyle name="Normal 104 10 2" xfId="30393"/>
    <cellStyle name="Normal 104 11" xfId="30394"/>
    <cellStyle name="Normal 104 11 2" xfId="30395"/>
    <cellStyle name="Normal 104 12" xfId="30396"/>
    <cellStyle name="Normal 104 2" xfId="30397"/>
    <cellStyle name="Normal 104 2 2" xfId="30398"/>
    <cellStyle name="Normal 104 2 2 2" xfId="30399"/>
    <cellStyle name="Normal 104 2 3" xfId="30400"/>
    <cellStyle name="Normal 104 2 3 2" xfId="30401"/>
    <cellStyle name="Normal 104 2 4" xfId="30402"/>
    <cellStyle name="Normal 104 2 4 2" xfId="30403"/>
    <cellStyle name="Normal 104 2 5" xfId="30404"/>
    <cellStyle name="Normal 104 2 5 2" xfId="30405"/>
    <cellStyle name="Normal 104 2 6" xfId="30406"/>
    <cellStyle name="Normal 104 2 6 2" xfId="30407"/>
    <cellStyle name="Normal 104 2 7" xfId="30408"/>
    <cellStyle name="Normal 104 2 7 2" xfId="30409"/>
    <cellStyle name="Normal 104 2 8" xfId="30410"/>
    <cellStyle name="Normal 104 2 8 2" xfId="30411"/>
    <cellStyle name="Normal 104 2 9" xfId="30412"/>
    <cellStyle name="Normal 104 2 9 2" xfId="30413"/>
    <cellStyle name="Normal 104 2_Dakota Panel" xfId="30414"/>
    <cellStyle name="Normal 104 3" xfId="30415"/>
    <cellStyle name="Normal 104 3 2" xfId="30416"/>
    <cellStyle name="Normal 104 3 2 2" xfId="30417"/>
    <cellStyle name="Normal 104 3 3" xfId="30418"/>
    <cellStyle name="Normal 104 3 3 2" xfId="30419"/>
    <cellStyle name="Normal 104 3 4" xfId="30420"/>
    <cellStyle name="Normal 104 3 5" xfId="30421"/>
    <cellStyle name="Normal 104 4" xfId="30422"/>
    <cellStyle name="Normal 104 4 2" xfId="30423"/>
    <cellStyle name="Normal 104 5" xfId="30424"/>
    <cellStyle name="Normal 104 5 2" xfId="30425"/>
    <cellStyle name="Normal 104 6" xfId="30426"/>
    <cellStyle name="Normal 104 6 2" xfId="30427"/>
    <cellStyle name="Normal 104 7" xfId="30428"/>
    <cellStyle name="Normal 104 7 2" xfId="30429"/>
    <cellStyle name="Normal 104 8" xfId="30430"/>
    <cellStyle name="Normal 104 8 2" xfId="30431"/>
    <cellStyle name="Normal 104 9" xfId="30432"/>
    <cellStyle name="Normal 104 9 2" xfId="30433"/>
    <cellStyle name="Normal 104_Dakota Panel" xfId="30434"/>
    <cellStyle name="Normal 105" xfId="30435"/>
    <cellStyle name="Normal 105 10" xfId="30436"/>
    <cellStyle name="Normal 105 10 2" xfId="30437"/>
    <cellStyle name="Normal 105 11" xfId="30438"/>
    <cellStyle name="Normal 105 11 2" xfId="30439"/>
    <cellStyle name="Normal 105 12" xfId="30440"/>
    <cellStyle name="Normal 105 2" xfId="30441"/>
    <cellStyle name="Normal 105 2 2" xfId="30442"/>
    <cellStyle name="Normal 105 2 2 2" xfId="30443"/>
    <cellStyle name="Normal 105 2 3" xfId="30444"/>
    <cellStyle name="Normal 105 2 3 2" xfId="30445"/>
    <cellStyle name="Normal 105 2 4" xfId="30446"/>
    <cellStyle name="Normal 105 2 4 2" xfId="30447"/>
    <cellStyle name="Normal 105 2 5" xfId="30448"/>
    <cellStyle name="Normal 105 2 5 2" xfId="30449"/>
    <cellStyle name="Normal 105 2 6" xfId="30450"/>
    <cellStyle name="Normal 105 2 6 2" xfId="30451"/>
    <cellStyle name="Normal 105 2 7" xfId="30452"/>
    <cellStyle name="Normal 105 2 7 2" xfId="30453"/>
    <cellStyle name="Normal 105 2 8" xfId="30454"/>
    <cellStyle name="Normal 105 2 8 2" xfId="30455"/>
    <cellStyle name="Normal 105 2 9" xfId="30456"/>
    <cellStyle name="Normal 105 2 9 2" xfId="30457"/>
    <cellStyle name="Normal 105 2_Dakota Panel" xfId="30458"/>
    <cellStyle name="Normal 105 3" xfId="30459"/>
    <cellStyle name="Normal 105 3 2" xfId="30460"/>
    <cellStyle name="Normal 105 3 2 2" xfId="30461"/>
    <cellStyle name="Normal 105 3 3" xfId="30462"/>
    <cellStyle name="Normal 105 3 3 2" xfId="30463"/>
    <cellStyle name="Normal 105 3 4" xfId="30464"/>
    <cellStyle name="Normal 105 3 5" xfId="30465"/>
    <cellStyle name="Normal 105 4" xfId="30466"/>
    <cellStyle name="Normal 105 4 2" xfId="30467"/>
    <cellStyle name="Normal 105 5" xfId="30468"/>
    <cellStyle name="Normal 105 5 2" xfId="30469"/>
    <cellStyle name="Normal 105 6" xfId="30470"/>
    <cellStyle name="Normal 105 6 2" xfId="30471"/>
    <cellStyle name="Normal 105 7" xfId="30472"/>
    <cellStyle name="Normal 105 7 2" xfId="30473"/>
    <cellStyle name="Normal 105 8" xfId="30474"/>
    <cellStyle name="Normal 105 8 2" xfId="30475"/>
    <cellStyle name="Normal 105 9" xfId="30476"/>
    <cellStyle name="Normal 105 9 2" xfId="30477"/>
    <cellStyle name="Normal 105_Dakota Panel" xfId="30478"/>
    <cellStyle name="Normal 106" xfId="30479"/>
    <cellStyle name="Normal 106 10" xfId="30480"/>
    <cellStyle name="Normal 106 10 2" xfId="30481"/>
    <cellStyle name="Normal 106 11" xfId="30482"/>
    <cellStyle name="Normal 106 11 2" xfId="30483"/>
    <cellStyle name="Normal 106 12" xfId="30484"/>
    <cellStyle name="Normal 106 2" xfId="30485"/>
    <cellStyle name="Normal 106 2 2" xfId="30486"/>
    <cellStyle name="Normal 106 2 2 2" xfId="30487"/>
    <cellStyle name="Normal 106 2 3" xfId="30488"/>
    <cellStyle name="Normal 106 2 3 2" xfId="30489"/>
    <cellStyle name="Normal 106 2 4" xfId="30490"/>
    <cellStyle name="Normal 106 2 4 2" xfId="30491"/>
    <cellStyle name="Normal 106 2 5" xfId="30492"/>
    <cellStyle name="Normal 106 2 5 2" xfId="30493"/>
    <cellStyle name="Normal 106 2 6" xfId="30494"/>
    <cellStyle name="Normal 106 2 6 2" xfId="30495"/>
    <cellStyle name="Normal 106 2 7" xfId="30496"/>
    <cellStyle name="Normal 106 2 7 2" xfId="30497"/>
    <cellStyle name="Normal 106 2 8" xfId="30498"/>
    <cellStyle name="Normal 106 2 8 2" xfId="30499"/>
    <cellStyle name="Normal 106 2 9" xfId="30500"/>
    <cellStyle name="Normal 106 2 9 2" xfId="30501"/>
    <cellStyle name="Normal 106 2_Dakota Panel" xfId="30502"/>
    <cellStyle name="Normal 106 3" xfId="30503"/>
    <cellStyle name="Normal 106 3 2" xfId="30504"/>
    <cellStyle name="Normal 106 3 2 2" xfId="30505"/>
    <cellStyle name="Normal 106 3 3" xfId="30506"/>
    <cellStyle name="Normal 106 3 3 2" xfId="30507"/>
    <cellStyle name="Normal 106 3 4" xfId="30508"/>
    <cellStyle name="Normal 106 3 5" xfId="30509"/>
    <cellStyle name="Normal 106 4" xfId="30510"/>
    <cellStyle name="Normal 106 4 2" xfId="30511"/>
    <cellStyle name="Normal 106 5" xfId="30512"/>
    <cellStyle name="Normal 106 5 2" xfId="30513"/>
    <cellStyle name="Normal 106 6" xfId="30514"/>
    <cellStyle name="Normal 106 6 2" xfId="30515"/>
    <cellStyle name="Normal 106 7" xfId="30516"/>
    <cellStyle name="Normal 106 7 2" xfId="30517"/>
    <cellStyle name="Normal 106 8" xfId="30518"/>
    <cellStyle name="Normal 106 8 2" xfId="30519"/>
    <cellStyle name="Normal 106 9" xfId="30520"/>
    <cellStyle name="Normal 106 9 2" xfId="30521"/>
    <cellStyle name="Normal 106_Dakota Panel" xfId="30522"/>
    <cellStyle name="Normal 107" xfId="30523"/>
    <cellStyle name="Normal 107 10" xfId="30524"/>
    <cellStyle name="Normal 107 10 2" xfId="30525"/>
    <cellStyle name="Normal 107 11" xfId="30526"/>
    <cellStyle name="Normal 107 11 2" xfId="30527"/>
    <cellStyle name="Normal 107 12" xfId="30528"/>
    <cellStyle name="Normal 107 2" xfId="30529"/>
    <cellStyle name="Normal 107 2 2" xfId="30530"/>
    <cellStyle name="Normal 107 2 2 2" xfId="30531"/>
    <cellStyle name="Normal 107 2 3" xfId="30532"/>
    <cellStyle name="Normal 107 2 3 2" xfId="30533"/>
    <cellStyle name="Normal 107 2 4" xfId="30534"/>
    <cellStyle name="Normal 107 2 4 2" xfId="30535"/>
    <cellStyle name="Normal 107 2 5" xfId="30536"/>
    <cellStyle name="Normal 107 2 5 2" xfId="30537"/>
    <cellStyle name="Normal 107 2 6" xfId="30538"/>
    <cellStyle name="Normal 107 2 6 2" xfId="30539"/>
    <cellStyle name="Normal 107 2 7" xfId="30540"/>
    <cellStyle name="Normal 107 2 7 2" xfId="30541"/>
    <cellStyle name="Normal 107 2 8" xfId="30542"/>
    <cellStyle name="Normal 107 2 8 2" xfId="30543"/>
    <cellStyle name="Normal 107 2 9" xfId="30544"/>
    <cellStyle name="Normal 107 2 9 2" xfId="30545"/>
    <cellStyle name="Normal 107 2_Dakota Panel" xfId="30546"/>
    <cellStyle name="Normal 107 3" xfId="30547"/>
    <cellStyle name="Normal 107 3 2" xfId="30548"/>
    <cellStyle name="Normal 107 3 2 2" xfId="30549"/>
    <cellStyle name="Normal 107 3 3" xfId="30550"/>
    <cellStyle name="Normal 107 3 3 2" xfId="30551"/>
    <cellStyle name="Normal 107 3 4" xfId="30552"/>
    <cellStyle name="Normal 107 3 5" xfId="30553"/>
    <cellStyle name="Normal 107 4" xfId="30554"/>
    <cellStyle name="Normal 107 4 2" xfId="30555"/>
    <cellStyle name="Normal 107 5" xfId="30556"/>
    <cellStyle name="Normal 107 5 2" xfId="30557"/>
    <cellStyle name="Normal 107 6" xfId="30558"/>
    <cellStyle name="Normal 107 6 2" xfId="30559"/>
    <cellStyle name="Normal 107 7" xfId="30560"/>
    <cellStyle name="Normal 107 7 2" xfId="30561"/>
    <cellStyle name="Normal 107 8" xfId="30562"/>
    <cellStyle name="Normal 107 8 2" xfId="30563"/>
    <cellStyle name="Normal 107 9" xfId="30564"/>
    <cellStyle name="Normal 107 9 2" xfId="30565"/>
    <cellStyle name="Normal 107_Dakota Panel" xfId="30566"/>
    <cellStyle name="Normal 108" xfId="30567"/>
    <cellStyle name="Normal 108 10" xfId="30568"/>
    <cellStyle name="Normal 108 10 2" xfId="30569"/>
    <cellStyle name="Normal 108 11" xfId="30570"/>
    <cellStyle name="Normal 108 11 2" xfId="30571"/>
    <cellStyle name="Normal 108 12" xfId="30572"/>
    <cellStyle name="Normal 108 2" xfId="30573"/>
    <cellStyle name="Normal 108 2 2" xfId="30574"/>
    <cellStyle name="Normal 108 2 2 2" xfId="30575"/>
    <cellStyle name="Normal 108 2 3" xfId="30576"/>
    <cellStyle name="Normal 108 2 3 2" xfId="30577"/>
    <cellStyle name="Normal 108 2 4" xfId="30578"/>
    <cellStyle name="Normal 108 2 4 2" xfId="30579"/>
    <cellStyle name="Normal 108 2 5" xfId="30580"/>
    <cellStyle name="Normal 108 2 5 2" xfId="30581"/>
    <cellStyle name="Normal 108 2 6" xfId="30582"/>
    <cellStyle name="Normal 108 2 6 2" xfId="30583"/>
    <cellStyle name="Normal 108 2 7" xfId="30584"/>
    <cellStyle name="Normal 108 2 7 2" xfId="30585"/>
    <cellStyle name="Normal 108 2 8" xfId="30586"/>
    <cellStyle name="Normal 108 2 8 2" xfId="30587"/>
    <cellStyle name="Normal 108 2 9" xfId="30588"/>
    <cellStyle name="Normal 108 2 9 2" xfId="30589"/>
    <cellStyle name="Normal 108 2_Dakota Panel" xfId="30590"/>
    <cellStyle name="Normal 108 3" xfId="30591"/>
    <cellStyle name="Normal 108 3 2" xfId="30592"/>
    <cellStyle name="Normal 108 3 2 2" xfId="30593"/>
    <cellStyle name="Normal 108 3 2 2 2" xfId="30594"/>
    <cellStyle name="Normal 108 3 2 2 3" xfId="30595"/>
    <cellStyle name="Normal 108 3 2 3" xfId="30596"/>
    <cellStyle name="Normal 108 3 3" xfId="30597"/>
    <cellStyle name="Normal 108 3 3 2" xfId="30598"/>
    <cellStyle name="Normal 108 3 4" xfId="30599"/>
    <cellStyle name="Normal 108 3 5" xfId="30600"/>
    <cellStyle name="Normal 108 4" xfId="30601"/>
    <cellStyle name="Normal 108 4 2" xfId="30602"/>
    <cellStyle name="Normal 108 5" xfId="30603"/>
    <cellStyle name="Normal 108 5 2" xfId="30604"/>
    <cellStyle name="Normal 108 6" xfId="30605"/>
    <cellStyle name="Normal 108 6 2" xfId="30606"/>
    <cellStyle name="Normal 108 7" xfId="30607"/>
    <cellStyle name="Normal 108 7 2" xfId="30608"/>
    <cellStyle name="Normal 108 8" xfId="30609"/>
    <cellStyle name="Normal 108 8 2" xfId="30610"/>
    <cellStyle name="Normal 108 9" xfId="30611"/>
    <cellStyle name="Normal 108 9 2" xfId="30612"/>
    <cellStyle name="Normal 108_Dakota Panel" xfId="30613"/>
    <cellStyle name="Normal 109" xfId="30614"/>
    <cellStyle name="Normal 109 10" xfId="30615"/>
    <cellStyle name="Normal 109 10 2" xfId="30616"/>
    <cellStyle name="Normal 109 11" xfId="30617"/>
    <cellStyle name="Normal 109 11 2" xfId="30618"/>
    <cellStyle name="Normal 109 12" xfId="30619"/>
    <cellStyle name="Normal 109 2" xfId="30620"/>
    <cellStyle name="Normal 109 2 2" xfId="30621"/>
    <cellStyle name="Normal 109 2 2 2" xfId="30622"/>
    <cellStyle name="Normal 109 2 3" xfId="30623"/>
    <cellStyle name="Normal 109 2 3 2" xfId="30624"/>
    <cellStyle name="Normal 109 2 4" xfId="30625"/>
    <cellStyle name="Normal 109 2 4 2" xfId="30626"/>
    <cellStyle name="Normal 109 2 5" xfId="30627"/>
    <cellStyle name="Normal 109 2 5 2" xfId="30628"/>
    <cellStyle name="Normal 109 2 6" xfId="30629"/>
    <cellStyle name="Normal 109 2 6 2" xfId="30630"/>
    <cellStyle name="Normal 109 2 7" xfId="30631"/>
    <cellStyle name="Normal 109 2 7 2" xfId="30632"/>
    <cellStyle name="Normal 109 2 8" xfId="30633"/>
    <cellStyle name="Normal 109 2 8 2" xfId="30634"/>
    <cellStyle name="Normal 109 2 9" xfId="30635"/>
    <cellStyle name="Normal 109 2 9 2" xfId="30636"/>
    <cellStyle name="Normal 109 2_Dakota Panel" xfId="30637"/>
    <cellStyle name="Normal 109 3" xfId="30638"/>
    <cellStyle name="Normal 109 3 2" xfId="30639"/>
    <cellStyle name="Normal 109 3 2 2" xfId="30640"/>
    <cellStyle name="Normal 109 3 3" xfId="30641"/>
    <cellStyle name="Normal 109 3 3 2" xfId="30642"/>
    <cellStyle name="Normal 109 3 4" xfId="30643"/>
    <cellStyle name="Normal 109 3 5" xfId="30644"/>
    <cellStyle name="Normal 109 4" xfId="30645"/>
    <cellStyle name="Normal 109 4 2" xfId="30646"/>
    <cellStyle name="Normal 109 5" xfId="30647"/>
    <cellStyle name="Normal 109 5 2" xfId="30648"/>
    <cellStyle name="Normal 109 6" xfId="30649"/>
    <cellStyle name="Normal 109 6 2" xfId="30650"/>
    <cellStyle name="Normal 109 7" xfId="30651"/>
    <cellStyle name="Normal 109 7 2" xfId="30652"/>
    <cellStyle name="Normal 109 8" xfId="30653"/>
    <cellStyle name="Normal 109 8 2" xfId="30654"/>
    <cellStyle name="Normal 109 9" xfId="30655"/>
    <cellStyle name="Normal 109 9 2" xfId="30656"/>
    <cellStyle name="Normal 109_Dakota Panel" xfId="30657"/>
    <cellStyle name="Normal 11" xfId="30658"/>
    <cellStyle name="Normal 11 10" xfId="30659"/>
    <cellStyle name="Normal 11 10 2" xfId="30660"/>
    <cellStyle name="Normal 11 11" xfId="30661"/>
    <cellStyle name="Normal 11 11 2" xfId="30662"/>
    <cellStyle name="Normal 11 12" xfId="30663"/>
    <cellStyle name="Normal 11 2" xfId="30664"/>
    <cellStyle name="Normal 11 2 2" xfId="30665"/>
    <cellStyle name="Normal 11 2 2 2" xfId="30666"/>
    <cellStyle name="Normal 11 2 2 2 2" xfId="30667"/>
    <cellStyle name="Normal 11 2 2 3" xfId="30668"/>
    <cellStyle name="Normal 11 2 2 3 2" xfId="30669"/>
    <cellStyle name="Normal 11 2 2 3 2 2" xfId="30670"/>
    <cellStyle name="Normal 11 2 2 3 2 2 2" xfId="30671"/>
    <cellStyle name="Normal 11 2 2 3 2 2 3" xfId="30672"/>
    <cellStyle name="Normal 11 2 2 3 2 3" xfId="30673"/>
    <cellStyle name="Normal 11 2 2 3 2 3 2" xfId="30674"/>
    <cellStyle name="Normal 11 2 2 3 2 4" xfId="30675"/>
    <cellStyle name="Normal 11 2 2 3 2 5" xfId="30676"/>
    <cellStyle name="Normal 11 2 2 3 3" xfId="30677"/>
    <cellStyle name="Normal 11 2 2 3 3 2" xfId="30678"/>
    <cellStyle name="Normal 11 2 2 3 3 2 2" xfId="30679"/>
    <cellStyle name="Normal 11 2 2 3 3 3" xfId="30680"/>
    <cellStyle name="Normal 11 2 2 3 3 4" xfId="30681"/>
    <cellStyle name="Normal 11 2 2 3 4" xfId="30682"/>
    <cellStyle name="Normal 11 2 2 3 4 2" xfId="30683"/>
    <cellStyle name="Normal 11 2 2 3 4 2 2" xfId="30684"/>
    <cellStyle name="Normal 11 2 2 3 4 3" xfId="30685"/>
    <cellStyle name="Normal 11 2 2 3 4 4" xfId="30686"/>
    <cellStyle name="Normal 11 2 2 3 5" xfId="30687"/>
    <cellStyle name="Normal 11 2 2 3 5 2" xfId="30688"/>
    <cellStyle name="Normal 11 2 2 3 6" xfId="30689"/>
    <cellStyle name="Normal 11 2 2 3 7" xfId="30690"/>
    <cellStyle name="Normal 11 2 2 3 8" xfId="30691"/>
    <cellStyle name="Normal 11 2 2 4" xfId="30692"/>
    <cellStyle name="Normal 11 2 2 4 2" xfId="30693"/>
    <cellStyle name="Normal 11 2 2 4 2 2" xfId="30694"/>
    <cellStyle name="Normal 11 2 2 4 2 2 2" xfId="30695"/>
    <cellStyle name="Normal 11 2 2 4 2 2 3" xfId="30696"/>
    <cellStyle name="Normal 11 2 2 4 2 3" xfId="30697"/>
    <cellStyle name="Normal 11 2 2 4 2 3 2" xfId="30698"/>
    <cellStyle name="Normal 11 2 2 4 2 4" xfId="30699"/>
    <cellStyle name="Normal 11 2 2 4 2 5" xfId="30700"/>
    <cellStyle name="Normal 11 2 2 4 3" xfId="30701"/>
    <cellStyle name="Normal 11 2 2 4 3 2" xfId="30702"/>
    <cellStyle name="Normal 11 2 2 4 3 2 2" xfId="30703"/>
    <cellStyle name="Normal 11 2 2 4 3 3" xfId="30704"/>
    <cellStyle name="Normal 11 2 2 4 3 4" xfId="30705"/>
    <cellStyle name="Normal 11 2 2 4 4" xfId="30706"/>
    <cellStyle name="Normal 11 2 2 4 4 2" xfId="30707"/>
    <cellStyle name="Normal 11 2 2 4 4 2 2" xfId="30708"/>
    <cellStyle name="Normal 11 2 2 4 4 3" xfId="30709"/>
    <cellStyle name="Normal 11 2 2 4 4 4" xfId="30710"/>
    <cellStyle name="Normal 11 2 2 4 5" xfId="30711"/>
    <cellStyle name="Normal 11 2 2 4 5 2" xfId="30712"/>
    <cellStyle name="Normal 11 2 2 4 6" xfId="30713"/>
    <cellStyle name="Normal 11 2 2 4 7" xfId="30714"/>
    <cellStyle name="Normal 11 2 2 4 8" xfId="30715"/>
    <cellStyle name="Normal 11 2 2 5" xfId="30716"/>
    <cellStyle name="Normal 11 2 2 5 2" xfId="30717"/>
    <cellStyle name="Normal 11 2 2 5 2 2" xfId="30718"/>
    <cellStyle name="Normal 11 2 2 5 2 2 2" xfId="30719"/>
    <cellStyle name="Normal 11 2 2 5 2 2 3" xfId="30720"/>
    <cellStyle name="Normal 11 2 2 5 2 3" xfId="30721"/>
    <cellStyle name="Normal 11 2 2 5 2 3 2" xfId="30722"/>
    <cellStyle name="Normal 11 2 2 5 2 4" xfId="30723"/>
    <cellStyle name="Normal 11 2 2 5 2 5" xfId="30724"/>
    <cellStyle name="Normal 11 2 2 5 3" xfId="30725"/>
    <cellStyle name="Normal 11 2 2 5 3 2" xfId="30726"/>
    <cellStyle name="Normal 11 2 2 5 3 2 2" xfId="30727"/>
    <cellStyle name="Normal 11 2 2 5 3 3" xfId="30728"/>
    <cellStyle name="Normal 11 2 2 5 3 4" xfId="30729"/>
    <cellStyle name="Normal 11 2 2 5 4" xfId="30730"/>
    <cellStyle name="Normal 11 2 2 5 4 2" xfId="30731"/>
    <cellStyle name="Normal 11 2 2 5 4 2 2" xfId="30732"/>
    <cellStyle name="Normal 11 2 2 5 4 3" xfId="30733"/>
    <cellStyle name="Normal 11 2 2 5 4 4" xfId="30734"/>
    <cellStyle name="Normal 11 2 2 5 5" xfId="30735"/>
    <cellStyle name="Normal 11 2 2 5 5 2" xfId="30736"/>
    <cellStyle name="Normal 11 2 2 5 6" xfId="30737"/>
    <cellStyle name="Normal 11 2 2 5 7" xfId="30738"/>
    <cellStyle name="Normal 11 2 2 5 8" xfId="30739"/>
    <cellStyle name="Normal 11 2 2 6" xfId="30740"/>
    <cellStyle name="Normal 11 2 2 7" xfId="30741"/>
    <cellStyle name="Normal 11 2 3" xfId="30742"/>
    <cellStyle name="Normal 11 2 4" xfId="30743"/>
    <cellStyle name="Normal 11 2 5" xfId="30744"/>
    <cellStyle name="Normal 11 3" xfId="30745"/>
    <cellStyle name="Normal 11 3 2" xfId="30746"/>
    <cellStyle name="Normal 11 3 2 2" xfId="30747"/>
    <cellStyle name="Normal 11 3 2 2 2" xfId="30748"/>
    <cellStyle name="Normal 11 3 3" xfId="30749"/>
    <cellStyle name="Normal 11 3 3 2" xfId="30750"/>
    <cellStyle name="Normal 11 3 4" xfId="30751"/>
    <cellStyle name="Normal 11 3 4 2" xfId="30752"/>
    <cellStyle name="Normal 11 3 5" xfId="30753"/>
    <cellStyle name="Normal 11 3 5 2" xfId="30754"/>
    <cellStyle name="Normal 11 3 6" xfId="30755"/>
    <cellStyle name="Normal 11 3 6 2" xfId="30756"/>
    <cellStyle name="Normal 11 3 7" xfId="30757"/>
    <cellStyle name="Normal 11 3 7 2" xfId="30758"/>
    <cellStyle name="Normal 11 3 8" xfId="30759"/>
    <cellStyle name="Normal 11 3 8 2" xfId="30760"/>
    <cellStyle name="Normal 11 3 9" xfId="30761"/>
    <cellStyle name="Normal 11 3 9 2" xfId="30762"/>
    <cellStyle name="Normal 11 3_Dakota Panel" xfId="30763"/>
    <cellStyle name="Normal 11 4" xfId="30764"/>
    <cellStyle name="Normal 11 4 2" xfId="30765"/>
    <cellStyle name="Normal 11 4 2 2" xfId="30766"/>
    <cellStyle name="Normal 11 4 2 2 2" xfId="30767"/>
    <cellStyle name="Normal 11 4 2 2 2 2" xfId="30768"/>
    <cellStyle name="Normal 11 4 2 2 2 3" xfId="30769"/>
    <cellStyle name="Normal 11 4 2 2 3" xfId="30770"/>
    <cellStyle name="Normal 11 4 2 2 3 2" xfId="30771"/>
    <cellStyle name="Normal 11 4 2 2 4" xfId="30772"/>
    <cellStyle name="Normal 11 4 2 2 5" xfId="30773"/>
    <cellStyle name="Normal 11 4 2 3" xfId="30774"/>
    <cellStyle name="Normal 11 4 2 3 2" xfId="30775"/>
    <cellStyle name="Normal 11 4 2 3 2 2" xfId="30776"/>
    <cellStyle name="Normal 11 4 2 3 3" xfId="30777"/>
    <cellStyle name="Normal 11 4 2 3 4" xfId="30778"/>
    <cellStyle name="Normal 11 4 2 4" xfId="30779"/>
    <cellStyle name="Normal 11 4 2 4 2" xfId="30780"/>
    <cellStyle name="Normal 11 4 2 4 2 2" xfId="30781"/>
    <cellStyle name="Normal 11 4 2 4 3" xfId="30782"/>
    <cellStyle name="Normal 11 4 2 4 4" xfId="30783"/>
    <cellStyle name="Normal 11 4 2 5" xfId="30784"/>
    <cellStyle name="Normal 11 4 2 5 2" xfId="30785"/>
    <cellStyle name="Normal 11 4 2 6" xfId="30786"/>
    <cellStyle name="Normal 11 4 2 7" xfId="30787"/>
    <cellStyle name="Normal 11 4 2 8" xfId="30788"/>
    <cellStyle name="Normal 11 4 3" xfId="30789"/>
    <cellStyle name="Normal 11 4 3 2" xfId="30790"/>
    <cellStyle name="Normal 11 4 3 2 2" xfId="30791"/>
    <cellStyle name="Normal 11 4 3 2 2 2" xfId="30792"/>
    <cellStyle name="Normal 11 4 3 2 2 3" xfId="30793"/>
    <cellStyle name="Normal 11 4 3 2 3" xfId="30794"/>
    <cellStyle name="Normal 11 4 3 2 3 2" xfId="30795"/>
    <cellStyle name="Normal 11 4 3 2 4" xfId="30796"/>
    <cellStyle name="Normal 11 4 3 2 5" xfId="30797"/>
    <cellStyle name="Normal 11 4 3 3" xfId="30798"/>
    <cellStyle name="Normal 11 4 3 3 2" xfId="30799"/>
    <cellStyle name="Normal 11 4 3 3 2 2" xfId="30800"/>
    <cellStyle name="Normal 11 4 3 3 3" xfId="30801"/>
    <cellStyle name="Normal 11 4 3 3 4" xfId="30802"/>
    <cellStyle name="Normal 11 4 3 4" xfId="30803"/>
    <cellStyle name="Normal 11 4 3 4 2" xfId="30804"/>
    <cellStyle name="Normal 11 4 3 4 2 2" xfId="30805"/>
    <cellStyle name="Normal 11 4 3 4 3" xfId="30806"/>
    <cellStyle name="Normal 11 4 3 4 4" xfId="30807"/>
    <cellStyle name="Normal 11 4 3 5" xfId="30808"/>
    <cellStyle name="Normal 11 4 3 5 2" xfId="30809"/>
    <cellStyle name="Normal 11 4 3 6" xfId="30810"/>
    <cellStyle name="Normal 11 4 3 7" xfId="30811"/>
    <cellStyle name="Normal 11 4 3 8" xfId="30812"/>
    <cellStyle name="Normal 11 4 4" xfId="30813"/>
    <cellStyle name="Normal 11 4 4 2" xfId="30814"/>
    <cellStyle name="Normal 11 4 4 2 2" xfId="30815"/>
    <cellStyle name="Normal 11 4 4 2 2 2" xfId="30816"/>
    <cellStyle name="Normal 11 4 4 2 2 3" xfId="30817"/>
    <cellStyle name="Normal 11 4 4 2 3" xfId="30818"/>
    <cellStyle name="Normal 11 4 4 2 3 2" xfId="30819"/>
    <cellStyle name="Normal 11 4 4 2 4" xfId="30820"/>
    <cellStyle name="Normal 11 4 4 2 5" xfId="30821"/>
    <cellStyle name="Normal 11 4 4 3" xfId="30822"/>
    <cellStyle name="Normal 11 4 4 3 2" xfId="30823"/>
    <cellStyle name="Normal 11 4 4 3 2 2" xfId="30824"/>
    <cellStyle name="Normal 11 4 4 3 3" xfId="30825"/>
    <cellStyle name="Normal 11 4 4 3 4" xfId="30826"/>
    <cellStyle name="Normal 11 4 4 4" xfId="30827"/>
    <cellStyle name="Normal 11 4 4 4 2" xfId="30828"/>
    <cellStyle name="Normal 11 4 4 4 2 2" xfId="30829"/>
    <cellStyle name="Normal 11 4 4 4 3" xfId="30830"/>
    <cellStyle name="Normal 11 4 4 4 4" xfId="30831"/>
    <cellStyle name="Normal 11 4 4 5" xfId="30832"/>
    <cellStyle name="Normal 11 4 4 5 2" xfId="30833"/>
    <cellStyle name="Normal 11 4 4 6" xfId="30834"/>
    <cellStyle name="Normal 11 4 4 7" xfId="30835"/>
    <cellStyle name="Normal 11 4 4 8" xfId="30836"/>
    <cellStyle name="Normal 11 4 5" xfId="30837"/>
    <cellStyle name="Normal 11 4 6" xfId="30838"/>
    <cellStyle name="Normal 11 4 6 2" xfId="30839"/>
    <cellStyle name="Normal 11 5" xfId="30840"/>
    <cellStyle name="Normal 11 5 2" xfId="30841"/>
    <cellStyle name="Normal 11 5 2 2" xfId="30842"/>
    <cellStyle name="Normal 11 5 3" xfId="30843"/>
    <cellStyle name="Normal 11 6" xfId="30844"/>
    <cellStyle name="Normal 11 6 2" xfId="30845"/>
    <cellStyle name="Normal 11 6 2 2" xfId="30846"/>
    <cellStyle name="Normal 11 7" xfId="30847"/>
    <cellStyle name="Normal 11 7 2" xfId="30848"/>
    <cellStyle name="Normal 11 7 2 2" xfId="30849"/>
    <cellStyle name="Normal 11 7 3" xfId="30850"/>
    <cellStyle name="Normal 11 7 4" xfId="30851"/>
    <cellStyle name="Normal 11 8" xfId="30852"/>
    <cellStyle name="Normal 11 8 2" xfId="30853"/>
    <cellStyle name="Normal 11 9" xfId="30854"/>
    <cellStyle name="Normal 11 9 2" xfId="30855"/>
    <cellStyle name="Normal 11_Dakota Panel" xfId="30856"/>
    <cellStyle name="Normal 110" xfId="30857"/>
    <cellStyle name="Normal 110 10" xfId="30858"/>
    <cellStyle name="Normal 110 10 2" xfId="30859"/>
    <cellStyle name="Normal 110 11" xfId="30860"/>
    <cellStyle name="Normal 110 11 2" xfId="30861"/>
    <cellStyle name="Normal 110 12" xfId="30862"/>
    <cellStyle name="Normal 110 2" xfId="30863"/>
    <cellStyle name="Normal 110 2 2" xfId="30864"/>
    <cellStyle name="Normal 110 2 2 2" xfId="30865"/>
    <cellStyle name="Normal 110 2 3" xfId="30866"/>
    <cellStyle name="Normal 110 2 3 2" xfId="30867"/>
    <cellStyle name="Normal 110 2 4" xfId="30868"/>
    <cellStyle name="Normal 110 2 4 2" xfId="30869"/>
    <cellStyle name="Normal 110 2 5" xfId="30870"/>
    <cellStyle name="Normal 110 2 5 2" xfId="30871"/>
    <cellStyle name="Normal 110 2 6" xfId="30872"/>
    <cellStyle name="Normal 110 2 6 2" xfId="30873"/>
    <cellStyle name="Normal 110 2 7" xfId="30874"/>
    <cellStyle name="Normal 110 2 7 2" xfId="30875"/>
    <cellStyle name="Normal 110 2 8" xfId="30876"/>
    <cellStyle name="Normal 110 2 8 2" xfId="30877"/>
    <cellStyle name="Normal 110 2 9" xfId="30878"/>
    <cellStyle name="Normal 110 2 9 2" xfId="30879"/>
    <cellStyle name="Normal 110 2_Dakota Panel" xfId="30880"/>
    <cellStyle name="Normal 110 3" xfId="30881"/>
    <cellStyle name="Normal 110 3 2" xfId="30882"/>
    <cellStyle name="Normal 110 3 2 2" xfId="30883"/>
    <cellStyle name="Normal 110 3 3" xfId="30884"/>
    <cellStyle name="Normal 110 3 3 2" xfId="30885"/>
    <cellStyle name="Normal 110 3 4" xfId="30886"/>
    <cellStyle name="Normal 110 3 5" xfId="30887"/>
    <cellStyle name="Normal 110 4" xfId="30888"/>
    <cellStyle name="Normal 110 4 2" xfId="30889"/>
    <cellStyle name="Normal 110 5" xfId="30890"/>
    <cellStyle name="Normal 110 5 2" xfId="30891"/>
    <cellStyle name="Normal 110 6" xfId="30892"/>
    <cellStyle name="Normal 110 6 2" xfId="30893"/>
    <cellStyle name="Normal 110 7" xfId="30894"/>
    <cellStyle name="Normal 110 7 2" xfId="30895"/>
    <cellStyle name="Normal 110 8" xfId="30896"/>
    <cellStyle name="Normal 110 8 2" xfId="30897"/>
    <cellStyle name="Normal 110 9" xfId="30898"/>
    <cellStyle name="Normal 110 9 2" xfId="30899"/>
    <cellStyle name="Normal 110_Dakota Panel" xfId="30900"/>
    <cellStyle name="Normal 111" xfId="30901"/>
    <cellStyle name="Normal 111 10" xfId="30902"/>
    <cellStyle name="Normal 111 10 2" xfId="30903"/>
    <cellStyle name="Normal 111 11" xfId="30904"/>
    <cellStyle name="Normal 111 11 2" xfId="30905"/>
    <cellStyle name="Normal 111 12" xfId="30906"/>
    <cellStyle name="Normal 111 2" xfId="30907"/>
    <cellStyle name="Normal 111 2 2" xfId="30908"/>
    <cellStyle name="Normal 111 2 2 2" xfId="30909"/>
    <cellStyle name="Normal 111 2 2 2 2" xfId="30910"/>
    <cellStyle name="Normal 111 2 2 2 2 2" xfId="30911"/>
    <cellStyle name="Normal 111 2 2 2 2 3" xfId="30912"/>
    <cellStyle name="Normal 111 2 2 2 3" xfId="30913"/>
    <cellStyle name="Normal 111 2 2 3" xfId="30914"/>
    <cellStyle name="Normal 111 2 3" xfId="30915"/>
    <cellStyle name="Normal 111 2 3 2" xfId="30916"/>
    <cellStyle name="Normal 111 2 3 2 2" xfId="30917"/>
    <cellStyle name="Normal 111 2 3 2 3" xfId="30918"/>
    <cellStyle name="Normal 111 2 3 3" xfId="30919"/>
    <cellStyle name="Normal 111 2 4" xfId="30920"/>
    <cellStyle name="Normal 111 2 4 2" xfId="30921"/>
    <cellStyle name="Normal 111 2 5" xfId="30922"/>
    <cellStyle name="Normal 111 2 5 2" xfId="30923"/>
    <cellStyle name="Normal 111 2 6" xfId="30924"/>
    <cellStyle name="Normal 111 2 6 2" xfId="30925"/>
    <cellStyle name="Normal 111 2 7" xfId="30926"/>
    <cellStyle name="Normal 111 2 7 2" xfId="30927"/>
    <cellStyle name="Normal 111 2 8" xfId="30928"/>
    <cellStyle name="Normal 111 2 8 2" xfId="30929"/>
    <cellStyle name="Normal 111 2 9" xfId="30930"/>
    <cellStyle name="Normal 111 2 9 2" xfId="30931"/>
    <cellStyle name="Normal 111 2_Dakota Panel" xfId="30932"/>
    <cellStyle name="Normal 111 3" xfId="30933"/>
    <cellStyle name="Normal 111 3 2" xfId="30934"/>
    <cellStyle name="Normal 111 3 2 2" xfId="30935"/>
    <cellStyle name="Normal 111 3 3" xfId="30936"/>
    <cellStyle name="Normal 111 3 3 2" xfId="30937"/>
    <cellStyle name="Normal 111 3 4" xfId="30938"/>
    <cellStyle name="Normal 111 3 5" xfId="30939"/>
    <cellStyle name="Normal 111 4" xfId="30940"/>
    <cellStyle name="Normal 111 4 2" xfId="30941"/>
    <cellStyle name="Normal 111 5" xfId="30942"/>
    <cellStyle name="Normal 111 5 2" xfId="30943"/>
    <cellStyle name="Normal 111 6" xfId="30944"/>
    <cellStyle name="Normal 111 6 2" xfId="30945"/>
    <cellStyle name="Normal 111 7" xfId="30946"/>
    <cellStyle name="Normal 111 7 2" xfId="30947"/>
    <cellStyle name="Normal 111 8" xfId="30948"/>
    <cellStyle name="Normal 111 8 2" xfId="30949"/>
    <cellStyle name="Normal 111 9" xfId="30950"/>
    <cellStyle name="Normal 111 9 2" xfId="30951"/>
    <cellStyle name="Normal 111_Dakota Panel" xfId="30952"/>
    <cellStyle name="Normal 112" xfId="30953"/>
    <cellStyle name="Normal 112 10" xfId="30954"/>
    <cellStyle name="Normal 112 10 2" xfId="30955"/>
    <cellStyle name="Normal 112 11" xfId="30956"/>
    <cellStyle name="Normal 112 11 2" xfId="30957"/>
    <cellStyle name="Normal 112 12" xfId="30958"/>
    <cellStyle name="Normal 112 2" xfId="30959"/>
    <cellStyle name="Normal 112 2 2" xfId="30960"/>
    <cellStyle name="Normal 112 2 2 2" xfId="30961"/>
    <cellStyle name="Normal 112 2 3" xfId="30962"/>
    <cellStyle name="Normal 112 2 3 2" xfId="30963"/>
    <cellStyle name="Normal 112 2 4" xfId="30964"/>
    <cellStyle name="Normal 112 2 4 2" xfId="30965"/>
    <cellStyle name="Normal 112 2 5" xfId="30966"/>
    <cellStyle name="Normal 112 2 5 2" xfId="30967"/>
    <cellStyle name="Normal 112 2 6" xfId="30968"/>
    <cellStyle name="Normal 112 2 6 2" xfId="30969"/>
    <cellStyle name="Normal 112 2 7" xfId="30970"/>
    <cellStyle name="Normal 112 2 7 2" xfId="30971"/>
    <cellStyle name="Normal 112 2 8" xfId="30972"/>
    <cellStyle name="Normal 112 2 8 2" xfId="30973"/>
    <cellStyle name="Normal 112 2 9" xfId="30974"/>
    <cellStyle name="Normal 112 2 9 2" xfId="30975"/>
    <cellStyle name="Normal 112 2_Dakota Panel" xfId="30976"/>
    <cellStyle name="Normal 112 3" xfId="30977"/>
    <cellStyle name="Normal 112 3 2" xfId="30978"/>
    <cellStyle name="Normal 112 3 2 2" xfId="30979"/>
    <cellStyle name="Normal 112 3 3" xfId="30980"/>
    <cellStyle name="Normal 112 3 3 2" xfId="30981"/>
    <cellStyle name="Normal 112 3 4" xfId="30982"/>
    <cellStyle name="Normal 112 3 5" xfId="30983"/>
    <cellStyle name="Normal 112 4" xfId="30984"/>
    <cellStyle name="Normal 112 4 2" xfId="30985"/>
    <cellStyle name="Normal 112 5" xfId="30986"/>
    <cellStyle name="Normal 112 5 2" xfId="30987"/>
    <cellStyle name="Normal 112 6" xfId="30988"/>
    <cellStyle name="Normal 112 6 2" xfId="30989"/>
    <cellStyle name="Normal 112 7" xfId="30990"/>
    <cellStyle name="Normal 112 7 2" xfId="30991"/>
    <cellStyle name="Normal 112 8" xfId="30992"/>
    <cellStyle name="Normal 112 8 2" xfId="30993"/>
    <cellStyle name="Normal 112 9" xfId="30994"/>
    <cellStyle name="Normal 112 9 2" xfId="30995"/>
    <cellStyle name="Normal 112_Dakota Panel" xfId="30996"/>
    <cellStyle name="Normal 113" xfId="30997"/>
    <cellStyle name="Normal 113 10" xfId="30998"/>
    <cellStyle name="Normal 113 10 2" xfId="30999"/>
    <cellStyle name="Normal 113 11" xfId="31000"/>
    <cellStyle name="Normal 113 11 2" xfId="31001"/>
    <cellStyle name="Normal 113 12" xfId="31002"/>
    <cellStyle name="Normal 113 2" xfId="31003"/>
    <cellStyle name="Normal 113 2 2" xfId="31004"/>
    <cellStyle name="Normal 113 2 2 2" xfId="31005"/>
    <cellStyle name="Normal 113 2 2 2 2" xfId="31006"/>
    <cellStyle name="Normal 113 2 2 2 2 2" xfId="31007"/>
    <cellStyle name="Normal 113 2 2 2 3" xfId="31008"/>
    <cellStyle name="Normal 113 2 2 3" xfId="31009"/>
    <cellStyle name="Normal 113 2 2 3 2" xfId="31010"/>
    <cellStyle name="Normal 113 2 2 4" xfId="31011"/>
    <cellStyle name="Normal 113 2 3" xfId="31012"/>
    <cellStyle name="Normal 113 2 3 2" xfId="31013"/>
    <cellStyle name="Normal 113 2 3 2 2" xfId="31014"/>
    <cellStyle name="Normal 113 2 3 3" xfId="31015"/>
    <cellStyle name="Normal 113 2 4" xfId="31016"/>
    <cellStyle name="Normal 113 2 4 2" xfId="31017"/>
    <cellStyle name="Normal 113 2 5" xfId="31018"/>
    <cellStyle name="Normal 113 2 5 2" xfId="31019"/>
    <cellStyle name="Normal 113 2 6" xfId="31020"/>
    <cellStyle name="Normal 113 2 6 2" xfId="31021"/>
    <cellStyle name="Normal 113 2 7" xfId="31022"/>
    <cellStyle name="Normal 113 2 7 2" xfId="31023"/>
    <cellStyle name="Normal 113 2 8" xfId="31024"/>
    <cellStyle name="Normal 113 2 8 2" xfId="31025"/>
    <cellStyle name="Normal 113 2 9" xfId="31026"/>
    <cellStyle name="Normal 113 2 9 2" xfId="31027"/>
    <cellStyle name="Normal 113 2_Dakota Panel" xfId="31028"/>
    <cellStyle name="Normal 113 3" xfId="31029"/>
    <cellStyle name="Normal 113 3 2" xfId="31030"/>
    <cellStyle name="Normal 113 3 2 2" xfId="31031"/>
    <cellStyle name="Normal 113 3 2 2 2" xfId="31032"/>
    <cellStyle name="Normal 113 3 2 3" xfId="31033"/>
    <cellStyle name="Normal 113 3 3" xfId="31034"/>
    <cellStyle name="Normal 113 3 3 2" xfId="31035"/>
    <cellStyle name="Normal 113 3 4" xfId="31036"/>
    <cellStyle name="Normal 113 3 5" xfId="31037"/>
    <cellStyle name="Normal 113 4" xfId="31038"/>
    <cellStyle name="Normal 113 4 2" xfId="31039"/>
    <cellStyle name="Normal 113 4 2 2" xfId="31040"/>
    <cellStyle name="Normal 113 4 3" xfId="31041"/>
    <cellStyle name="Normal 113 5" xfId="31042"/>
    <cellStyle name="Normal 113 5 2" xfId="31043"/>
    <cellStyle name="Normal 113 6" xfId="31044"/>
    <cellStyle name="Normal 113 6 2" xfId="31045"/>
    <cellStyle name="Normal 113 7" xfId="31046"/>
    <cellStyle name="Normal 113 7 2" xfId="31047"/>
    <cellStyle name="Normal 113 8" xfId="31048"/>
    <cellStyle name="Normal 113 8 2" xfId="31049"/>
    <cellStyle name="Normal 113 9" xfId="31050"/>
    <cellStyle name="Normal 113 9 2" xfId="31051"/>
    <cellStyle name="Normal 113_Dakota Panel" xfId="31052"/>
    <cellStyle name="Normal 114" xfId="31053"/>
    <cellStyle name="Normal 114 10" xfId="31054"/>
    <cellStyle name="Normal 114 10 2" xfId="31055"/>
    <cellStyle name="Normal 114 11" xfId="31056"/>
    <cellStyle name="Normal 114 11 2" xfId="31057"/>
    <cellStyle name="Normal 114 12" xfId="31058"/>
    <cellStyle name="Normal 114 2" xfId="31059"/>
    <cellStyle name="Normal 114 2 2" xfId="31060"/>
    <cellStyle name="Normal 114 2 2 2" xfId="31061"/>
    <cellStyle name="Normal 114 2 3" xfId="31062"/>
    <cellStyle name="Normal 114 2 3 2" xfId="31063"/>
    <cellStyle name="Normal 114 2 4" xfId="31064"/>
    <cellStyle name="Normal 114 2 4 2" xfId="31065"/>
    <cellStyle name="Normal 114 2 5" xfId="31066"/>
    <cellStyle name="Normal 114 2 5 2" xfId="31067"/>
    <cellStyle name="Normal 114 2 6" xfId="31068"/>
    <cellStyle name="Normal 114 2 6 2" xfId="31069"/>
    <cellStyle name="Normal 114 2 7" xfId="31070"/>
    <cellStyle name="Normal 114 2 7 2" xfId="31071"/>
    <cellStyle name="Normal 114 2 8" xfId="31072"/>
    <cellStyle name="Normal 114 2 8 2" xfId="31073"/>
    <cellStyle name="Normal 114 2 9" xfId="31074"/>
    <cellStyle name="Normal 114 2 9 2" xfId="31075"/>
    <cellStyle name="Normal 114 2_Dakota Panel" xfId="31076"/>
    <cellStyle name="Normal 114 3" xfId="31077"/>
    <cellStyle name="Normal 114 3 2" xfId="31078"/>
    <cellStyle name="Normal 114 3 2 2" xfId="31079"/>
    <cellStyle name="Normal 114 3 3" xfId="31080"/>
    <cellStyle name="Normal 114 3 3 2" xfId="31081"/>
    <cellStyle name="Normal 114 3 4" xfId="31082"/>
    <cellStyle name="Normal 114 3 5" xfId="31083"/>
    <cellStyle name="Normal 114 4" xfId="31084"/>
    <cellStyle name="Normal 114 4 2" xfId="31085"/>
    <cellStyle name="Normal 114 5" xfId="31086"/>
    <cellStyle name="Normal 114 5 2" xfId="31087"/>
    <cellStyle name="Normal 114 6" xfId="31088"/>
    <cellStyle name="Normal 114 6 2" xfId="31089"/>
    <cellStyle name="Normal 114 7" xfId="31090"/>
    <cellStyle name="Normal 114 7 2" xfId="31091"/>
    <cellStyle name="Normal 114 8" xfId="31092"/>
    <cellStyle name="Normal 114 8 2" xfId="31093"/>
    <cellStyle name="Normal 114 9" xfId="31094"/>
    <cellStyle name="Normal 114 9 2" xfId="31095"/>
    <cellStyle name="Normal 114_Dakota Panel" xfId="31096"/>
    <cellStyle name="Normal 115" xfId="31097"/>
    <cellStyle name="Normal 115 10" xfId="31098"/>
    <cellStyle name="Normal 115 10 2" xfId="31099"/>
    <cellStyle name="Normal 115 11" xfId="31100"/>
    <cellStyle name="Normal 115 11 2" xfId="31101"/>
    <cellStyle name="Normal 115 12" xfId="31102"/>
    <cellStyle name="Normal 115 2" xfId="31103"/>
    <cellStyle name="Normal 115 2 2" xfId="31104"/>
    <cellStyle name="Normal 115 2 2 2" xfId="31105"/>
    <cellStyle name="Normal 115 2 3" xfId="31106"/>
    <cellStyle name="Normal 115 2 3 2" xfId="31107"/>
    <cellStyle name="Normal 115 2 4" xfId="31108"/>
    <cellStyle name="Normal 115 2 4 2" xfId="31109"/>
    <cellStyle name="Normal 115 2 5" xfId="31110"/>
    <cellStyle name="Normal 115 2 5 2" xfId="31111"/>
    <cellStyle name="Normal 115 2 6" xfId="31112"/>
    <cellStyle name="Normal 115 2 6 2" xfId="31113"/>
    <cellStyle name="Normal 115 2 7" xfId="31114"/>
    <cellStyle name="Normal 115 2 7 2" xfId="31115"/>
    <cellStyle name="Normal 115 2 8" xfId="31116"/>
    <cellStyle name="Normal 115 2 8 2" xfId="31117"/>
    <cellStyle name="Normal 115 2 9" xfId="31118"/>
    <cellStyle name="Normal 115 2 9 2" xfId="31119"/>
    <cellStyle name="Normal 115 2_Dakota Panel" xfId="31120"/>
    <cellStyle name="Normal 115 3" xfId="31121"/>
    <cellStyle name="Normal 115 3 2" xfId="31122"/>
    <cellStyle name="Normal 115 3 2 2" xfId="31123"/>
    <cellStyle name="Normal 115 3 3" xfId="31124"/>
    <cellStyle name="Normal 115 3 3 2" xfId="31125"/>
    <cellStyle name="Normal 115 3 4" xfId="31126"/>
    <cellStyle name="Normal 115 3 5" xfId="31127"/>
    <cellStyle name="Normal 115 4" xfId="31128"/>
    <cellStyle name="Normal 115 4 2" xfId="31129"/>
    <cellStyle name="Normal 115 5" xfId="31130"/>
    <cellStyle name="Normal 115 5 2" xfId="31131"/>
    <cellStyle name="Normal 115 6" xfId="31132"/>
    <cellStyle name="Normal 115 6 2" xfId="31133"/>
    <cellStyle name="Normal 115 7" xfId="31134"/>
    <cellStyle name="Normal 115 7 2" xfId="31135"/>
    <cellStyle name="Normal 115 8" xfId="31136"/>
    <cellStyle name="Normal 115 8 2" xfId="31137"/>
    <cellStyle name="Normal 115 9" xfId="31138"/>
    <cellStyle name="Normal 115 9 2" xfId="31139"/>
    <cellStyle name="Normal 115_Dakota Panel" xfId="31140"/>
    <cellStyle name="Normal 116" xfId="31141"/>
    <cellStyle name="Normal 116 10" xfId="31142"/>
    <cellStyle name="Normal 116 10 2" xfId="31143"/>
    <cellStyle name="Normal 116 11" xfId="31144"/>
    <cellStyle name="Normal 116 11 2" xfId="31145"/>
    <cellStyle name="Normal 116 12" xfId="31146"/>
    <cellStyle name="Normal 116 2" xfId="31147"/>
    <cellStyle name="Normal 116 2 2" xfId="31148"/>
    <cellStyle name="Normal 116 2 2 2" xfId="31149"/>
    <cellStyle name="Normal 116 2 3" xfId="31150"/>
    <cellStyle name="Normal 116 2 3 2" xfId="31151"/>
    <cellStyle name="Normal 116 2 4" xfId="31152"/>
    <cellStyle name="Normal 116 2 4 2" xfId="31153"/>
    <cellStyle name="Normal 116 2 5" xfId="31154"/>
    <cellStyle name="Normal 116 2 5 2" xfId="31155"/>
    <cellStyle name="Normal 116 2 6" xfId="31156"/>
    <cellStyle name="Normal 116 2 6 2" xfId="31157"/>
    <cellStyle name="Normal 116 2 7" xfId="31158"/>
    <cellStyle name="Normal 116 2 7 2" xfId="31159"/>
    <cellStyle name="Normal 116 2 8" xfId="31160"/>
    <cellStyle name="Normal 116 2 8 2" xfId="31161"/>
    <cellStyle name="Normal 116 2 9" xfId="31162"/>
    <cellStyle name="Normal 116 2 9 2" xfId="31163"/>
    <cellStyle name="Normal 116 2_Dakota Panel" xfId="31164"/>
    <cellStyle name="Normal 116 3" xfId="31165"/>
    <cellStyle name="Normal 116 3 2" xfId="31166"/>
    <cellStyle name="Normal 116 3 2 2" xfId="31167"/>
    <cellStyle name="Normal 116 3 3" xfId="31168"/>
    <cellStyle name="Normal 116 3 3 2" xfId="31169"/>
    <cellStyle name="Normal 116 3 4" xfId="31170"/>
    <cellStyle name="Normal 116 3 5" xfId="31171"/>
    <cellStyle name="Normal 116 4" xfId="31172"/>
    <cellStyle name="Normal 116 4 2" xfId="31173"/>
    <cellStyle name="Normal 116 5" xfId="31174"/>
    <cellStyle name="Normal 116 5 2" xfId="31175"/>
    <cellStyle name="Normal 116 6" xfId="31176"/>
    <cellStyle name="Normal 116 6 2" xfId="31177"/>
    <cellStyle name="Normal 116 7" xfId="31178"/>
    <cellStyle name="Normal 116 7 2" xfId="31179"/>
    <cellStyle name="Normal 116 8" xfId="31180"/>
    <cellStyle name="Normal 116 8 2" xfId="31181"/>
    <cellStyle name="Normal 116 9" xfId="31182"/>
    <cellStyle name="Normal 116 9 2" xfId="31183"/>
    <cellStyle name="Normal 116_Dakota Panel" xfId="31184"/>
    <cellStyle name="Normal 117" xfId="31185"/>
    <cellStyle name="Normal 117 10" xfId="31186"/>
    <cellStyle name="Normal 117 10 2" xfId="31187"/>
    <cellStyle name="Normal 117 11" xfId="31188"/>
    <cellStyle name="Normal 117 11 2" xfId="31189"/>
    <cellStyle name="Normal 117 12" xfId="31190"/>
    <cellStyle name="Normal 117 2" xfId="31191"/>
    <cellStyle name="Normal 117 2 2" xfId="31192"/>
    <cellStyle name="Normal 117 2 2 2" xfId="31193"/>
    <cellStyle name="Normal 117 2 3" xfId="31194"/>
    <cellStyle name="Normal 117 2 3 2" xfId="31195"/>
    <cellStyle name="Normal 117 2 4" xfId="31196"/>
    <cellStyle name="Normal 117 2 4 2" xfId="31197"/>
    <cellStyle name="Normal 117 2 5" xfId="31198"/>
    <cellStyle name="Normal 117 2 5 2" xfId="31199"/>
    <cellStyle name="Normal 117 2 6" xfId="31200"/>
    <cellStyle name="Normal 117 2 6 2" xfId="31201"/>
    <cellStyle name="Normal 117 2 7" xfId="31202"/>
    <cellStyle name="Normal 117 2 7 2" xfId="31203"/>
    <cellStyle name="Normal 117 2 8" xfId="31204"/>
    <cellStyle name="Normal 117 2 8 2" xfId="31205"/>
    <cellStyle name="Normal 117 2 9" xfId="31206"/>
    <cellStyle name="Normal 117 2 9 2" xfId="31207"/>
    <cellStyle name="Normal 117 2_Dakota Panel" xfId="31208"/>
    <cellStyle name="Normal 117 3" xfId="31209"/>
    <cellStyle name="Normal 117 3 2" xfId="31210"/>
    <cellStyle name="Normal 117 3 2 2" xfId="31211"/>
    <cellStyle name="Normal 117 3 3" xfId="31212"/>
    <cellStyle name="Normal 117 3 3 2" xfId="31213"/>
    <cellStyle name="Normal 117 3 4" xfId="31214"/>
    <cellStyle name="Normal 117 3 5" xfId="31215"/>
    <cellStyle name="Normal 117 4" xfId="31216"/>
    <cellStyle name="Normal 117 4 2" xfId="31217"/>
    <cellStyle name="Normal 117 5" xfId="31218"/>
    <cellStyle name="Normal 117 5 2" xfId="31219"/>
    <cellStyle name="Normal 117 6" xfId="31220"/>
    <cellStyle name="Normal 117 6 2" xfId="31221"/>
    <cellStyle name="Normal 117 7" xfId="31222"/>
    <cellStyle name="Normal 117 7 2" xfId="31223"/>
    <cellStyle name="Normal 117 8" xfId="31224"/>
    <cellStyle name="Normal 117 8 2" xfId="31225"/>
    <cellStyle name="Normal 117 9" xfId="31226"/>
    <cellStyle name="Normal 117 9 2" xfId="31227"/>
    <cellStyle name="Normal 117_Dakota Panel" xfId="31228"/>
    <cellStyle name="Normal 118" xfId="31229"/>
    <cellStyle name="Normal 118 10" xfId="31230"/>
    <cellStyle name="Normal 118 10 2" xfId="31231"/>
    <cellStyle name="Normal 118 11" xfId="31232"/>
    <cellStyle name="Normal 118 11 2" xfId="31233"/>
    <cellStyle name="Normal 118 12" xfId="31234"/>
    <cellStyle name="Normal 118 2" xfId="31235"/>
    <cellStyle name="Normal 118 2 2" xfId="31236"/>
    <cellStyle name="Normal 118 2 2 2" xfId="31237"/>
    <cellStyle name="Normal 118 2 3" xfId="31238"/>
    <cellStyle name="Normal 118 2 3 2" xfId="31239"/>
    <cellStyle name="Normal 118 2 4" xfId="31240"/>
    <cellStyle name="Normal 118 2 4 2" xfId="31241"/>
    <cellStyle name="Normal 118 2 5" xfId="31242"/>
    <cellStyle name="Normal 118 2 5 2" xfId="31243"/>
    <cellStyle name="Normal 118 2 6" xfId="31244"/>
    <cellStyle name="Normal 118 2 6 2" xfId="31245"/>
    <cellStyle name="Normal 118 2 7" xfId="31246"/>
    <cellStyle name="Normal 118 2 7 2" xfId="31247"/>
    <cellStyle name="Normal 118 2 8" xfId="31248"/>
    <cellStyle name="Normal 118 2 8 2" xfId="31249"/>
    <cellStyle name="Normal 118 2 9" xfId="31250"/>
    <cellStyle name="Normal 118 2 9 2" xfId="31251"/>
    <cellStyle name="Normal 118 2_Dakota Panel" xfId="31252"/>
    <cellStyle name="Normal 118 3" xfId="31253"/>
    <cellStyle name="Normal 118 3 2" xfId="31254"/>
    <cellStyle name="Normal 118 3 2 2" xfId="31255"/>
    <cellStyle name="Normal 118 3 3" xfId="31256"/>
    <cellStyle name="Normal 118 3 3 2" xfId="31257"/>
    <cellStyle name="Normal 118 3 4" xfId="31258"/>
    <cellStyle name="Normal 118 3 5" xfId="31259"/>
    <cellStyle name="Normal 118 4" xfId="31260"/>
    <cellStyle name="Normal 118 4 2" xfId="31261"/>
    <cellStyle name="Normal 118 5" xfId="31262"/>
    <cellStyle name="Normal 118 5 2" xfId="31263"/>
    <cellStyle name="Normal 118 6" xfId="31264"/>
    <cellStyle name="Normal 118 6 2" xfId="31265"/>
    <cellStyle name="Normal 118 7" xfId="31266"/>
    <cellStyle name="Normal 118 7 2" xfId="31267"/>
    <cellStyle name="Normal 118 8" xfId="31268"/>
    <cellStyle name="Normal 118 8 2" xfId="31269"/>
    <cellStyle name="Normal 118 9" xfId="31270"/>
    <cellStyle name="Normal 118 9 2" xfId="31271"/>
    <cellStyle name="Normal 118_Dakota Panel" xfId="31272"/>
    <cellStyle name="Normal 119" xfId="31273"/>
    <cellStyle name="Normal 119 10" xfId="31274"/>
    <cellStyle name="Normal 119 10 2" xfId="31275"/>
    <cellStyle name="Normal 119 11" xfId="31276"/>
    <cellStyle name="Normal 119 11 2" xfId="31277"/>
    <cellStyle name="Normal 119 12" xfId="31278"/>
    <cellStyle name="Normal 119 2" xfId="31279"/>
    <cellStyle name="Normal 119 2 2" xfId="31280"/>
    <cellStyle name="Normal 119 2 2 2" xfId="31281"/>
    <cellStyle name="Normal 119 2 3" xfId="31282"/>
    <cellStyle name="Normal 119 2 3 2" xfId="31283"/>
    <cellStyle name="Normal 119 2 4" xfId="31284"/>
    <cellStyle name="Normal 119 2 4 2" xfId="31285"/>
    <cellStyle name="Normal 119 2 5" xfId="31286"/>
    <cellStyle name="Normal 119 2 5 2" xfId="31287"/>
    <cellStyle name="Normal 119 2 6" xfId="31288"/>
    <cellStyle name="Normal 119 2 6 2" xfId="31289"/>
    <cellStyle name="Normal 119 2 7" xfId="31290"/>
    <cellStyle name="Normal 119 2 7 2" xfId="31291"/>
    <cellStyle name="Normal 119 2 8" xfId="31292"/>
    <cellStyle name="Normal 119 2 8 2" xfId="31293"/>
    <cellStyle name="Normal 119 2 9" xfId="31294"/>
    <cellStyle name="Normal 119 2 9 2" xfId="31295"/>
    <cellStyle name="Normal 119 2_Dakota Panel" xfId="31296"/>
    <cellStyle name="Normal 119 3" xfId="31297"/>
    <cellStyle name="Normal 119 3 2" xfId="31298"/>
    <cellStyle name="Normal 119 3 2 2" xfId="31299"/>
    <cellStyle name="Normal 119 3 3" xfId="31300"/>
    <cellStyle name="Normal 119 3 3 2" xfId="31301"/>
    <cellStyle name="Normal 119 3 4" xfId="31302"/>
    <cellStyle name="Normal 119 3 5" xfId="31303"/>
    <cellStyle name="Normal 119 4" xfId="31304"/>
    <cellStyle name="Normal 119 4 2" xfId="31305"/>
    <cellStyle name="Normal 119 5" xfId="31306"/>
    <cellStyle name="Normal 119 5 2" xfId="31307"/>
    <cellStyle name="Normal 119 6" xfId="31308"/>
    <cellStyle name="Normal 119 6 2" xfId="31309"/>
    <cellStyle name="Normal 119 7" xfId="31310"/>
    <cellStyle name="Normal 119 7 2" xfId="31311"/>
    <cellStyle name="Normal 119 8" xfId="31312"/>
    <cellStyle name="Normal 119 8 2" xfId="31313"/>
    <cellStyle name="Normal 119 9" xfId="31314"/>
    <cellStyle name="Normal 119 9 2" xfId="31315"/>
    <cellStyle name="Normal 119_Dakota Panel" xfId="31316"/>
    <cellStyle name="Normal 12" xfId="31317"/>
    <cellStyle name="Normal 12 10" xfId="31318"/>
    <cellStyle name="Normal 12 10 2" xfId="31319"/>
    <cellStyle name="Normal 12 11" xfId="31320"/>
    <cellStyle name="Normal 12 11 2" xfId="31321"/>
    <cellStyle name="Normal 12 12" xfId="31322"/>
    <cellStyle name="Normal 12 2" xfId="31323"/>
    <cellStyle name="Normal 12 2 2" xfId="31324"/>
    <cellStyle name="Normal 12 2 2 2" xfId="31325"/>
    <cellStyle name="Normal 12 2 2 3" xfId="31326"/>
    <cellStyle name="Normal 12 2 3" xfId="31327"/>
    <cellStyle name="Normal 12 2 4" xfId="31328"/>
    <cellStyle name="Normal 12 2 5" xfId="31329"/>
    <cellStyle name="Normal 12 3" xfId="31330"/>
    <cellStyle name="Normal 12 3 2" xfId="31331"/>
    <cellStyle name="Normal 12 3 2 2" xfId="31332"/>
    <cellStyle name="Normal 12 3 2 2 2" xfId="31333"/>
    <cellStyle name="Normal 12 3 2 3" xfId="31334"/>
    <cellStyle name="Normal 12 3 3" xfId="31335"/>
    <cellStyle name="Normal 12 3 3 2" xfId="31336"/>
    <cellStyle name="Normal 12 3 4" xfId="31337"/>
    <cellStyle name="Normal 12 3 4 2" xfId="31338"/>
    <cellStyle name="Normal 12 3 5" xfId="31339"/>
    <cellStyle name="Normal 12 3 5 2" xfId="31340"/>
    <cellStyle name="Normal 12 3 6" xfId="31341"/>
    <cellStyle name="Normal 12 3 6 2" xfId="31342"/>
    <cellStyle name="Normal 12 3 7" xfId="31343"/>
    <cellStyle name="Normal 12 3 7 2" xfId="31344"/>
    <cellStyle name="Normal 12 3 8" xfId="31345"/>
    <cellStyle name="Normal 12 3 8 2" xfId="31346"/>
    <cellStyle name="Normal 12 3 9" xfId="31347"/>
    <cellStyle name="Normal 12 3 9 2" xfId="31348"/>
    <cellStyle name="Normal 12 3_Dakota Panel" xfId="31349"/>
    <cellStyle name="Normal 12 4" xfId="31350"/>
    <cellStyle name="Normal 12 4 2" xfId="31351"/>
    <cellStyle name="Normal 12 4 2 2" xfId="31352"/>
    <cellStyle name="Normal 12 4 3" xfId="31353"/>
    <cellStyle name="Normal 12 5" xfId="31354"/>
    <cellStyle name="Normal 12 5 2" xfId="31355"/>
    <cellStyle name="Normal 12 5 2 2" xfId="31356"/>
    <cellStyle name="Normal 12 6" xfId="31357"/>
    <cellStyle name="Normal 12 6 2" xfId="31358"/>
    <cellStyle name="Normal 12 6 2 2" xfId="31359"/>
    <cellStyle name="Normal 12 6 3" xfId="31360"/>
    <cellStyle name="Normal 12 6 4" xfId="31361"/>
    <cellStyle name="Normal 12 7" xfId="31362"/>
    <cellStyle name="Normal 12 7 2" xfId="31363"/>
    <cellStyle name="Normal 12 8" xfId="31364"/>
    <cellStyle name="Normal 12 8 2" xfId="31365"/>
    <cellStyle name="Normal 12 9" xfId="31366"/>
    <cellStyle name="Normal 12 9 2" xfId="31367"/>
    <cellStyle name="Normal 12_Dakota Panel" xfId="31368"/>
    <cellStyle name="Normal 120" xfId="31369"/>
    <cellStyle name="Normal 120 10" xfId="31370"/>
    <cellStyle name="Normal 120 10 2" xfId="31371"/>
    <cellStyle name="Normal 120 11" xfId="31372"/>
    <cellStyle name="Normal 120 11 2" xfId="31373"/>
    <cellStyle name="Normal 120 12" xfId="31374"/>
    <cellStyle name="Normal 120 2" xfId="31375"/>
    <cellStyle name="Normal 120 2 2" xfId="31376"/>
    <cellStyle name="Normal 120 2 2 2" xfId="31377"/>
    <cellStyle name="Normal 120 2 3" xfId="31378"/>
    <cellStyle name="Normal 120 2 3 2" xfId="31379"/>
    <cellStyle name="Normal 120 2 4" xfId="31380"/>
    <cellStyle name="Normal 120 2 4 2" xfId="31381"/>
    <cellStyle name="Normal 120 2 5" xfId="31382"/>
    <cellStyle name="Normal 120 2 5 2" xfId="31383"/>
    <cellStyle name="Normal 120 2 6" xfId="31384"/>
    <cellStyle name="Normal 120 2 6 2" xfId="31385"/>
    <cellStyle name="Normal 120 2 7" xfId="31386"/>
    <cellStyle name="Normal 120 2 7 2" xfId="31387"/>
    <cellStyle name="Normal 120 2 8" xfId="31388"/>
    <cellStyle name="Normal 120 2 8 2" xfId="31389"/>
    <cellStyle name="Normal 120 2 9" xfId="31390"/>
    <cellStyle name="Normal 120 2 9 2" xfId="31391"/>
    <cellStyle name="Normal 120 2_Dakota Panel" xfId="31392"/>
    <cellStyle name="Normal 120 3" xfId="31393"/>
    <cellStyle name="Normal 120 3 2" xfId="31394"/>
    <cellStyle name="Normal 120 3 2 2" xfId="31395"/>
    <cellStyle name="Normal 120 3 3" xfId="31396"/>
    <cellStyle name="Normal 120 3 3 2" xfId="31397"/>
    <cellStyle name="Normal 120 3 4" xfId="31398"/>
    <cellStyle name="Normal 120 3 5" xfId="31399"/>
    <cellStyle name="Normal 120 4" xfId="31400"/>
    <cellStyle name="Normal 120 4 2" xfId="31401"/>
    <cellStyle name="Normal 120 5" xfId="31402"/>
    <cellStyle name="Normal 120 5 2" xfId="31403"/>
    <cellStyle name="Normal 120 6" xfId="31404"/>
    <cellStyle name="Normal 120 6 2" xfId="31405"/>
    <cellStyle name="Normal 120 7" xfId="31406"/>
    <cellStyle name="Normal 120 7 2" xfId="31407"/>
    <cellStyle name="Normal 120 8" xfId="31408"/>
    <cellStyle name="Normal 120 8 2" xfId="31409"/>
    <cellStyle name="Normal 120 9" xfId="31410"/>
    <cellStyle name="Normal 120 9 2" xfId="31411"/>
    <cellStyle name="Normal 120_Dakota Panel" xfId="31412"/>
    <cellStyle name="Normal 121" xfId="31413"/>
    <cellStyle name="Normal 121 10" xfId="31414"/>
    <cellStyle name="Normal 121 10 2" xfId="31415"/>
    <cellStyle name="Normal 121 11" xfId="31416"/>
    <cellStyle name="Normal 121 11 2" xfId="31417"/>
    <cellStyle name="Normal 121 12" xfId="31418"/>
    <cellStyle name="Normal 121 2" xfId="31419"/>
    <cellStyle name="Normal 121 2 2" xfId="31420"/>
    <cellStyle name="Normal 121 2 2 2" xfId="31421"/>
    <cellStyle name="Normal 121 2 2 3" xfId="31422"/>
    <cellStyle name="Normal 121 2 3" xfId="31423"/>
    <cellStyle name="Normal 121 2 3 2" xfId="31424"/>
    <cellStyle name="Normal 121 2 4" xfId="31425"/>
    <cellStyle name="Normal 121 2 4 2" xfId="31426"/>
    <cellStyle name="Normal 121 2 5" xfId="31427"/>
    <cellStyle name="Normal 121 2 5 2" xfId="31428"/>
    <cellStyle name="Normal 121 2 6" xfId="31429"/>
    <cellStyle name="Normal 121 2 6 2" xfId="31430"/>
    <cellStyle name="Normal 121 2 7" xfId="31431"/>
    <cellStyle name="Normal 121 2 7 2" xfId="31432"/>
    <cellStyle name="Normal 121 2 8" xfId="31433"/>
    <cellStyle name="Normal 121 2 8 2" xfId="31434"/>
    <cellStyle name="Normal 121 2 9" xfId="31435"/>
    <cellStyle name="Normal 121 2 9 2" xfId="31436"/>
    <cellStyle name="Normal 121 2_Dakota Panel" xfId="31437"/>
    <cellStyle name="Normal 121 3" xfId="31438"/>
    <cellStyle name="Normal 121 3 2" xfId="31439"/>
    <cellStyle name="Normal 121 3 2 2" xfId="31440"/>
    <cellStyle name="Normal 121 3 3" xfId="31441"/>
    <cellStyle name="Normal 121 3 3 2" xfId="31442"/>
    <cellStyle name="Normal 121 3 4" xfId="31443"/>
    <cellStyle name="Normal 121 3 5" xfId="31444"/>
    <cellStyle name="Normal 121 4" xfId="31445"/>
    <cellStyle name="Normal 121 4 2" xfId="31446"/>
    <cellStyle name="Normal 121 5" xfId="31447"/>
    <cellStyle name="Normal 121 5 2" xfId="31448"/>
    <cellStyle name="Normal 121 6" xfId="31449"/>
    <cellStyle name="Normal 121 6 2" xfId="31450"/>
    <cellStyle name="Normal 121 7" xfId="31451"/>
    <cellStyle name="Normal 121 7 2" xfId="31452"/>
    <cellStyle name="Normal 121 8" xfId="31453"/>
    <cellStyle name="Normal 121 8 2" xfId="31454"/>
    <cellStyle name="Normal 121 9" xfId="31455"/>
    <cellStyle name="Normal 121 9 2" xfId="31456"/>
    <cellStyle name="Normal 121_Dakota Panel" xfId="31457"/>
    <cellStyle name="Normal 122" xfId="31458"/>
    <cellStyle name="Normal 122 10" xfId="31459"/>
    <cellStyle name="Normal 122 10 2" xfId="31460"/>
    <cellStyle name="Normal 122 11" xfId="31461"/>
    <cellStyle name="Normal 122 11 2" xfId="31462"/>
    <cellStyle name="Normal 122 12" xfId="31463"/>
    <cellStyle name="Normal 122 2" xfId="31464"/>
    <cellStyle name="Normal 122 2 2" xfId="31465"/>
    <cellStyle name="Normal 122 2 2 2" xfId="31466"/>
    <cellStyle name="Normal 122 2 3" xfId="31467"/>
    <cellStyle name="Normal 122 2 3 2" xfId="31468"/>
    <cellStyle name="Normal 122 2 4" xfId="31469"/>
    <cellStyle name="Normal 122 2 4 2" xfId="31470"/>
    <cellStyle name="Normal 122 2 5" xfId="31471"/>
    <cellStyle name="Normal 122 2 5 2" xfId="31472"/>
    <cellStyle name="Normal 122 2 6" xfId="31473"/>
    <cellStyle name="Normal 122 2 6 2" xfId="31474"/>
    <cellStyle name="Normal 122 2 7" xfId="31475"/>
    <cellStyle name="Normal 122 2 7 2" xfId="31476"/>
    <cellStyle name="Normal 122 2 8" xfId="31477"/>
    <cellStyle name="Normal 122 2 8 2" xfId="31478"/>
    <cellStyle name="Normal 122 2 9" xfId="31479"/>
    <cellStyle name="Normal 122 2 9 2" xfId="31480"/>
    <cellStyle name="Normal 122 2_Dakota Panel" xfId="31481"/>
    <cellStyle name="Normal 122 3" xfId="31482"/>
    <cellStyle name="Normal 122 3 2" xfId="31483"/>
    <cellStyle name="Normal 122 3 2 2" xfId="31484"/>
    <cellStyle name="Normal 122 3 3" xfId="31485"/>
    <cellStyle name="Normal 122 3 3 2" xfId="31486"/>
    <cellStyle name="Normal 122 3 4" xfId="31487"/>
    <cellStyle name="Normal 122 3 5" xfId="31488"/>
    <cellStyle name="Normal 122 4" xfId="31489"/>
    <cellStyle name="Normal 122 4 2" xfId="31490"/>
    <cellStyle name="Normal 122 5" xfId="31491"/>
    <cellStyle name="Normal 122 5 2" xfId="31492"/>
    <cellStyle name="Normal 122 6" xfId="31493"/>
    <cellStyle name="Normal 122 6 2" xfId="31494"/>
    <cellStyle name="Normal 122 7" xfId="31495"/>
    <cellStyle name="Normal 122 7 2" xfId="31496"/>
    <cellStyle name="Normal 122 8" xfId="31497"/>
    <cellStyle name="Normal 122 8 2" xfId="31498"/>
    <cellStyle name="Normal 122 9" xfId="31499"/>
    <cellStyle name="Normal 122 9 2" xfId="31500"/>
    <cellStyle name="Normal 122_Dakota Panel" xfId="31501"/>
    <cellStyle name="Normal 123" xfId="31502"/>
    <cellStyle name="Normal 123 10" xfId="31503"/>
    <cellStyle name="Normal 123 10 2" xfId="31504"/>
    <cellStyle name="Normal 123 11" xfId="31505"/>
    <cellStyle name="Normal 123 11 2" xfId="31506"/>
    <cellStyle name="Normal 123 12" xfId="31507"/>
    <cellStyle name="Normal 123 2" xfId="31508"/>
    <cellStyle name="Normal 123 2 2" xfId="31509"/>
    <cellStyle name="Normal 123 2 2 2" xfId="31510"/>
    <cellStyle name="Normal 123 2 3" xfId="31511"/>
    <cellStyle name="Normal 123 2 3 2" xfId="31512"/>
    <cellStyle name="Normal 123 2 4" xfId="31513"/>
    <cellStyle name="Normal 123 2 4 2" xfId="31514"/>
    <cellStyle name="Normal 123 2 5" xfId="31515"/>
    <cellStyle name="Normal 123 2 5 2" xfId="31516"/>
    <cellStyle name="Normal 123 2 6" xfId="31517"/>
    <cellStyle name="Normal 123 2 6 2" xfId="31518"/>
    <cellStyle name="Normal 123 2 7" xfId="31519"/>
    <cellStyle name="Normal 123 2 7 2" xfId="31520"/>
    <cellStyle name="Normal 123 2 8" xfId="31521"/>
    <cellStyle name="Normal 123 2 8 2" xfId="31522"/>
    <cellStyle name="Normal 123 2 9" xfId="31523"/>
    <cellStyle name="Normal 123 2 9 2" xfId="31524"/>
    <cellStyle name="Normal 123 2_Dakota Panel" xfId="31525"/>
    <cellStyle name="Normal 123 3" xfId="31526"/>
    <cellStyle name="Normal 123 3 2" xfId="31527"/>
    <cellStyle name="Normal 123 3 2 2" xfId="31528"/>
    <cellStyle name="Normal 123 3 3" xfId="31529"/>
    <cellStyle name="Normal 123 3 3 2" xfId="31530"/>
    <cellStyle name="Normal 123 3 4" xfId="31531"/>
    <cellStyle name="Normal 123 3 5" xfId="31532"/>
    <cellStyle name="Normal 123 4" xfId="31533"/>
    <cellStyle name="Normal 123 4 2" xfId="31534"/>
    <cellStyle name="Normal 123 5" xfId="31535"/>
    <cellStyle name="Normal 123 5 2" xfId="31536"/>
    <cellStyle name="Normal 123 6" xfId="31537"/>
    <cellStyle name="Normal 123 6 2" xfId="31538"/>
    <cellStyle name="Normal 123 7" xfId="31539"/>
    <cellStyle name="Normal 123 7 2" xfId="31540"/>
    <cellStyle name="Normal 123 8" xfId="31541"/>
    <cellStyle name="Normal 123 8 2" xfId="31542"/>
    <cellStyle name="Normal 123 9" xfId="31543"/>
    <cellStyle name="Normal 123 9 2" xfId="31544"/>
    <cellStyle name="Normal 123_Dakota Panel" xfId="31545"/>
    <cellStyle name="Normal 124" xfId="31546"/>
    <cellStyle name="Normal 124 10" xfId="31547"/>
    <cellStyle name="Normal 124 10 2" xfId="31548"/>
    <cellStyle name="Normal 124 11" xfId="31549"/>
    <cellStyle name="Normal 124 11 2" xfId="31550"/>
    <cellStyle name="Normal 124 12" xfId="31551"/>
    <cellStyle name="Normal 124 2" xfId="31552"/>
    <cellStyle name="Normal 124 2 2" xfId="31553"/>
    <cellStyle name="Normal 124 2 2 2" xfId="31554"/>
    <cellStyle name="Normal 124 2 3" xfId="31555"/>
    <cellStyle name="Normal 124 2 3 2" xfId="31556"/>
    <cellStyle name="Normal 124 2 4" xfId="31557"/>
    <cellStyle name="Normal 124 2 4 2" xfId="31558"/>
    <cellStyle name="Normal 124 2 5" xfId="31559"/>
    <cellStyle name="Normal 124 2 5 2" xfId="31560"/>
    <cellStyle name="Normal 124 2 6" xfId="31561"/>
    <cellStyle name="Normal 124 2 6 2" xfId="31562"/>
    <cellStyle name="Normal 124 2 7" xfId="31563"/>
    <cellStyle name="Normal 124 2 7 2" xfId="31564"/>
    <cellStyle name="Normal 124 2 8" xfId="31565"/>
    <cellStyle name="Normal 124 2 8 2" xfId="31566"/>
    <cellStyle name="Normal 124 2 9" xfId="31567"/>
    <cellStyle name="Normal 124 2 9 2" xfId="31568"/>
    <cellStyle name="Normal 124 2_Dakota Panel" xfId="31569"/>
    <cellStyle name="Normal 124 3" xfId="31570"/>
    <cellStyle name="Normal 124 3 2" xfId="31571"/>
    <cellStyle name="Normal 124 3 2 2" xfId="31572"/>
    <cellStyle name="Normal 124 3 3" xfId="31573"/>
    <cellStyle name="Normal 124 3 3 2" xfId="31574"/>
    <cellStyle name="Normal 124 3 4" xfId="31575"/>
    <cellStyle name="Normal 124 3 5" xfId="31576"/>
    <cellStyle name="Normal 124 4" xfId="31577"/>
    <cellStyle name="Normal 124 4 2" xfId="31578"/>
    <cellStyle name="Normal 124 5" xfId="31579"/>
    <cellStyle name="Normal 124 5 2" xfId="31580"/>
    <cellStyle name="Normal 124 6" xfId="31581"/>
    <cellStyle name="Normal 124 6 2" xfId="31582"/>
    <cellStyle name="Normal 124 7" xfId="31583"/>
    <cellStyle name="Normal 124 7 2" xfId="31584"/>
    <cellStyle name="Normal 124 8" xfId="31585"/>
    <cellStyle name="Normal 124 8 2" xfId="31586"/>
    <cellStyle name="Normal 124 9" xfId="31587"/>
    <cellStyle name="Normal 124 9 2" xfId="31588"/>
    <cellStyle name="Normal 124_Dakota Panel" xfId="31589"/>
    <cellStyle name="Normal 125" xfId="31590"/>
    <cellStyle name="Normal 125 10" xfId="31591"/>
    <cellStyle name="Normal 125 10 2" xfId="31592"/>
    <cellStyle name="Normal 125 11" xfId="31593"/>
    <cellStyle name="Normal 125 11 2" xfId="31594"/>
    <cellStyle name="Normal 125 12" xfId="31595"/>
    <cellStyle name="Normal 125 2" xfId="31596"/>
    <cellStyle name="Normal 125 2 2" xfId="31597"/>
    <cellStyle name="Normal 125 2 2 2" xfId="31598"/>
    <cellStyle name="Normal 125 2 3" xfId="31599"/>
    <cellStyle name="Normal 125 2 3 2" xfId="31600"/>
    <cellStyle name="Normal 125 2 4" xfId="31601"/>
    <cellStyle name="Normal 125 2 4 2" xfId="31602"/>
    <cellStyle name="Normal 125 2 5" xfId="31603"/>
    <cellStyle name="Normal 125 2 5 2" xfId="31604"/>
    <cellStyle name="Normal 125 2 6" xfId="31605"/>
    <cellStyle name="Normal 125 2 6 2" xfId="31606"/>
    <cellStyle name="Normal 125 2 7" xfId="31607"/>
    <cellStyle name="Normal 125 2 7 2" xfId="31608"/>
    <cellStyle name="Normal 125 2 8" xfId="31609"/>
    <cellStyle name="Normal 125 2 8 2" xfId="31610"/>
    <cellStyle name="Normal 125 2 9" xfId="31611"/>
    <cellStyle name="Normal 125 2 9 2" xfId="31612"/>
    <cellStyle name="Normal 125 2_Dakota Panel" xfId="31613"/>
    <cellStyle name="Normal 125 3" xfId="31614"/>
    <cellStyle name="Normal 125 3 2" xfId="31615"/>
    <cellStyle name="Normal 125 3 2 2" xfId="31616"/>
    <cellStyle name="Normal 125 3 3" xfId="31617"/>
    <cellStyle name="Normal 125 3 3 2" xfId="31618"/>
    <cellStyle name="Normal 125 3 4" xfId="31619"/>
    <cellStyle name="Normal 125 3 5" xfId="31620"/>
    <cellStyle name="Normal 125 4" xfId="31621"/>
    <cellStyle name="Normal 125 4 2" xfId="31622"/>
    <cellStyle name="Normal 125 5" xfId="31623"/>
    <cellStyle name="Normal 125 5 2" xfId="31624"/>
    <cellStyle name="Normal 125 6" xfId="31625"/>
    <cellStyle name="Normal 125 6 2" xfId="31626"/>
    <cellStyle name="Normal 125 7" xfId="31627"/>
    <cellStyle name="Normal 125 7 2" xfId="31628"/>
    <cellStyle name="Normal 125 8" xfId="31629"/>
    <cellStyle name="Normal 125 8 2" xfId="31630"/>
    <cellStyle name="Normal 125 9" xfId="31631"/>
    <cellStyle name="Normal 125 9 2" xfId="31632"/>
    <cellStyle name="Normal 125_Dakota Panel" xfId="31633"/>
    <cellStyle name="Normal 126" xfId="31634"/>
    <cellStyle name="Normal 126 10" xfId="31635"/>
    <cellStyle name="Normal 126 10 2" xfId="31636"/>
    <cellStyle name="Normal 126 11" xfId="31637"/>
    <cellStyle name="Normal 126 11 2" xfId="31638"/>
    <cellStyle name="Normal 126 12" xfId="31639"/>
    <cellStyle name="Normal 126 2" xfId="31640"/>
    <cellStyle name="Normal 126 2 2" xfId="31641"/>
    <cellStyle name="Normal 126 2 2 2" xfId="31642"/>
    <cellStyle name="Normal 126 2 3" xfId="31643"/>
    <cellStyle name="Normal 126 2 3 2" xfId="31644"/>
    <cellStyle name="Normal 126 2 4" xfId="31645"/>
    <cellStyle name="Normal 126 2 4 2" xfId="31646"/>
    <cellStyle name="Normal 126 2 5" xfId="31647"/>
    <cellStyle name="Normal 126 2 5 2" xfId="31648"/>
    <cellStyle name="Normal 126 2 6" xfId="31649"/>
    <cellStyle name="Normal 126 2 6 2" xfId="31650"/>
    <cellStyle name="Normal 126 2 7" xfId="31651"/>
    <cellStyle name="Normal 126 2 7 2" xfId="31652"/>
    <cellStyle name="Normal 126 2 8" xfId="31653"/>
    <cellStyle name="Normal 126 2 8 2" xfId="31654"/>
    <cellStyle name="Normal 126 2 9" xfId="31655"/>
    <cellStyle name="Normal 126 2 9 2" xfId="31656"/>
    <cellStyle name="Normal 126 2_Dakota Panel" xfId="31657"/>
    <cellStyle name="Normal 126 3" xfId="31658"/>
    <cellStyle name="Normal 126 3 2" xfId="31659"/>
    <cellStyle name="Normal 126 3 2 2" xfId="31660"/>
    <cellStyle name="Normal 126 3 3" xfId="31661"/>
    <cellStyle name="Normal 126 3 3 2" xfId="31662"/>
    <cellStyle name="Normal 126 3 4" xfId="31663"/>
    <cellStyle name="Normal 126 3 5" xfId="31664"/>
    <cellStyle name="Normal 126 4" xfId="31665"/>
    <cellStyle name="Normal 126 4 2" xfId="31666"/>
    <cellStyle name="Normal 126 5" xfId="31667"/>
    <cellStyle name="Normal 126 5 2" xfId="31668"/>
    <cellStyle name="Normal 126 6" xfId="31669"/>
    <cellStyle name="Normal 126 6 2" xfId="31670"/>
    <cellStyle name="Normal 126 7" xfId="31671"/>
    <cellStyle name="Normal 126 7 2" xfId="31672"/>
    <cellStyle name="Normal 126 8" xfId="31673"/>
    <cellStyle name="Normal 126 8 2" xfId="31674"/>
    <cellStyle name="Normal 126 9" xfId="31675"/>
    <cellStyle name="Normal 126 9 2" xfId="31676"/>
    <cellStyle name="Normal 126_Dakota Panel" xfId="31677"/>
    <cellStyle name="Normal 127" xfId="31678"/>
    <cellStyle name="Normal 127 10" xfId="31679"/>
    <cellStyle name="Normal 127 10 2" xfId="31680"/>
    <cellStyle name="Normal 127 11" xfId="31681"/>
    <cellStyle name="Normal 127 11 2" xfId="31682"/>
    <cellStyle name="Normal 127 12" xfId="31683"/>
    <cellStyle name="Normal 127 2" xfId="31684"/>
    <cellStyle name="Normal 127 2 2" xfId="31685"/>
    <cellStyle name="Normal 127 2 2 2" xfId="31686"/>
    <cellStyle name="Normal 127 2 3" xfId="31687"/>
    <cellStyle name="Normal 127 2 3 2" xfId="31688"/>
    <cellStyle name="Normal 127 2 4" xfId="31689"/>
    <cellStyle name="Normal 127 2 4 2" xfId="31690"/>
    <cellStyle name="Normal 127 2 5" xfId="31691"/>
    <cellStyle name="Normal 127 2 5 2" xfId="31692"/>
    <cellStyle name="Normal 127 2 6" xfId="31693"/>
    <cellStyle name="Normal 127 2 6 2" xfId="31694"/>
    <cellStyle name="Normal 127 2 7" xfId="31695"/>
    <cellStyle name="Normal 127 2 7 2" xfId="31696"/>
    <cellStyle name="Normal 127 2 8" xfId="31697"/>
    <cellStyle name="Normal 127 2 8 2" xfId="31698"/>
    <cellStyle name="Normal 127 2 9" xfId="31699"/>
    <cellStyle name="Normal 127 2 9 2" xfId="31700"/>
    <cellStyle name="Normal 127 2_Dakota Panel" xfId="31701"/>
    <cellStyle name="Normal 127 3" xfId="31702"/>
    <cellStyle name="Normal 127 3 2" xfId="31703"/>
    <cellStyle name="Normal 127 3 2 2" xfId="31704"/>
    <cellStyle name="Normal 127 3 3" xfId="31705"/>
    <cellStyle name="Normal 127 3 3 2" xfId="31706"/>
    <cellStyle name="Normal 127 3 4" xfId="31707"/>
    <cellStyle name="Normal 127 3 5" xfId="31708"/>
    <cellStyle name="Normal 127 4" xfId="31709"/>
    <cellStyle name="Normal 127 4 2" xfId="31710"/>
    <cellStyle name="Normal 127 5" xfId="31711"/>
    <cellStyle name="Normal 127 5 2" xfId="31712"/>
    <cellStyle name="Normal 127 6" xfId="31713"/>
    <cellStyle name="Normal 127 6 2" xfId="31714"/>
    <cellStyle name="Normal 127 7" xfId="31715"/>
    <cellStyle name="Normal 127 7 2" xfId="31716"/>
    <cellStyle name="Normal 127 8" xfId="31717"/>
    <cellStyle name="Normal 127 8 2" xfId="31718"/>
    <cellStyle name="Normal 127 9" xfId="31719"/>
    <cellStyle name="Normal 127 9 2" xfId="31720"/>
    <cellStyle name="Normal 127_Dakota Panel" xfId="31721"/>
    <cellStyle name="Normal 128" xfId="31722"/>
    <cellStyle name="Normal 128 10" xfId="31723"/>
    <cellStyle name="Normal 128 10 2" xfId="31724"/>
    <cellStyle name="Normal 128 11" xfId="31725"/>
    <cellStyle name="Normal 128 11 2" xfId="31726"/>
    <cellStyle name="Normal 128 12" xfId="31727"/>
    <cellStyle name="Normal 128 2" xfId="31728"/>
    <cellStyle name="Normal 128 2 2" xfId="31729"/>
    <cellStyle name="Normal 128 2 2 2" xfId="31730"/>
    <cellStyle name="Normal 128 2 3" xfId="31731"/>
    <cellStyle name="Normal 128 2 3 2" xfId="31732"/>
    <cellStyle name="Normal 128 2 4" xfId="31733"/>
    <cellStyle name="Normal 128 2 4 2" xfId="31734"/>
    <cellStyle name="Normal 128 2 5" xfId="31735"/>
    <cellStyle name="Normal 128 2 5 2" xfId="31736"/>
    <cellStyle name="Normal 128 2 6" xfId="31737"/>
    <cellStyle name="Normal 128 2 6 2" xfId="31738"/>
    <cellStyle name="Normal 128 2 7" xfId="31739"/>
    <cellStyle name="Normal 128 2 7 2" xfId="31740"/>
    <cellStyle name="Normal 128 2 8" xfId="31741"/>
    <cellStyle name="Normal 128 2 8 2" xfId="31742"/>
    <cellStyle name="Normal 128 2 9" xfId="31743"/>
    <cellStyle name="Normal 128 2 9 2" xfId="31744"/>
    <cellStyle name="Normal 128 2_Dakota Panel" xfId="31745"/>
    <cellStyle name="Normal 128 3" xfId="31746"/>
    <cellStyle name="Normal 128 3 2" xfId="31747"/>
    <cellStyle name="Normal 128 3 2 2" xfId="31748"/>
    <cellStyle name="Normal 128 3 3" xfId="31749"/>
    <cellStyle name="Normal 128 3 3 2" xfId="31750"/>
    <cellStyle name="Normal 128 3 4" xfId="31751"/>
    <cellStyle name="Normal 128 3 5" xfId="31752"/>
    <cellStyle name="Normal 128 4" xfId="31753"/>
    <cellStyle name="Normal 128 4 2" xfId="31754"/>
    <cellStyle name="Normal 128 5" xfId="31755"/>
    <cellStyle name="Normal 128 5 2" xfId="31756"/>
    <cellStyle name="Normal 128 6" xfId="31757"/>
    <cellStyle name="Normal 128 6 2" xfId="31758"/>
    <cellStyle name="Normal 128 7" xfId="31759"/>
    <cellStyle name="Normal 128 7 2" xfId="31760"/>
    <cellStyle name="Normal 128 8" xfId="31761"/>
    <cellStyle name="Normal 128 8 2" xfId="31762"/>
    <cellStyle name="Normal 128 9" xfId="31763"/>
    <cellStyle name="Normal 128 9 2" xfId="31764"/>
    <cellStyle name="Normal 128_Dakota Panel" xfId="31765"/>
    <cellStyle name="Normal 129" xfId="31766"/>
    <cellStyle name="Normal 129 10" xfId="31767"/>
    <cellStyle name="Normal 129 10 2" xfId="31768"/>
    <cellStyle name="Normal 129 11" xfId="31769"/>
    <cellStyle name="Normal 129 11 2" xfId="31770"/>
    <cellStyle name="Normal 129 12" xfId="31771"/>
    <cellStyle name="Normal 129 2" xfId="31772"/>
    <cellStyle name="Normal 129 2 2" xfId="31773"/>
    <cellStyle name="Normal 129 2 2 2" xfId="31774"/>
    <cellStyle name="Normal 129 2 3" xfId="31775"/>
    <cellStyle name="Normal 129 2 3 2" xfId="31776"/>
    <cellStyle name="Normal 129 2 4" xfId="31777"/>
    <cellStyle name="Normal 129 2 4 2" xfId="31778"/>
    <cellStyle name="Normal 129 2 5" xfId="31779"/>
    <cellStyle name="Normal 129 2 5 2" xfId="31780"/>
    <cellStyle name="Normal 129 2 6" xfId="31781"/>
    <cellStyle name="Normal 129 2 6 2" xfId="31782"/>
    <cellStyle name="Normal 129 2 7" xfId="31783"/>
    <cellStyle name="Normal 129 2 7 2" xfId="31784"/>
    <cellStyle name="Normal 129 2 8" xfId="31785"/>
    <cellStyle name="Normal 129 2 8 2" xfId="31786"/>
    <cellStyle name="Normal 129 2 9" xfId="31787"/>
    <cellStyle name="Normal 129 2 9 2" xfId="31788"/>
    <cellStyle name="Normal 129 2_Dakota Panel" xfId="31789"/>
    <cellStyle name="Normal 129 3" xfId="31790"/>
    <cellStyle name="Normal 129 3 2" xfId="31791"/>
    <cellStyle name="Normal 129 3 2 2" xfId="31792"/>
    <cellStyle name="Normal 129 3 3" xfId="31793"/>
    <cellStyle name="Normal 129 3 3 2" xfId="31794"/>
    <cellStyle name="Normal 129 3 4" xfId="31795"/>
    <cellStyle name="Normal 129 3 5" xfId="31796"/>
    <cellStyle name="Normal 129 4" xfId="31797"/>
    <cellStyle name="Normal 129 4 2" xfId="31798"/>
    <cellStyle name="Normal 129 5" xfId="31799"/>
    <cellStyle name="Normal 129 5 2" xfId="31800"/>
    <cellStyle name="Normal 129 6" xfId="31801"/>
    <cellStyle name="Normal 129 6 2" xfId="31802"/>
    <cellStyle name="Normal 129 7" xfId="31803"/>
    <cellStyle name="Normal 129 7 2" xfId="31804"/>
    <cellStyle name="Normal 129 8" xfId="31805"/>
    <cellStyle name="Normal 129 8 2" xfId="31806"/>
    <cellStyle name="Normal 129 9" xfId="31807"/>
    <cellStyle name="Normal 129 9 2" xfId="31808"/>
    <cellStyle name="Normal 129_Dakota Panel" xfId="31809"/>
    <cellStyle name="Normal 13" xfId="31810"/>
    <cellStyle name="Normal 13 10" xfId="31811"/>
    <cellStyle name="Normal 13 10 2" xfId="31812"/>
    <cellStyle name="Normal 13 11" xfId="31813"/>
    <cellStyle name="Normal 13 11 2" xfId="31814"/>
    <cellStyle name="Normal 13 12" xfId="31815"/>
    <cellStyle name="Normal 13 2" xfId="31816"/>
    <cellStyle name="Normal 13 2 2" xfId="35"/>
    <cellStyle name="Normal 13 2 2 2" xfId="31817"/>
    <cellStyle name="Normal 13 2 3" xfId="31818"/>
    <cellStyle name="Normal 13 3" xfId="31819"/>
    <cellStyle name="Normal 13 3 10" xfId="31820"/>
    <cellStyle name="Normal 13 3 11" xfId="31821"/>
    <cellStyle name="Normal 13 3 12" xfId="31822"/>
    <cellStyle name="Normal 13 3 2" xfId="31823"/>
    <cellStyle name="Normal 13 3 2 2" xfId="31824"/>
    <cellStyle name="Normal 13 3 2 2 2" xfId="31825"/>
    <cellStyle name="Normal 13 3 2 2 2 2" xfId="31826"/>
    <cellStyle name="Normal 13 3 2 2 3" xfId="31827"/>
    <cellStyle name="Normal 13 3 2 2 4" xfId="31828"/>
    <cellStyle name="Normal 13 3 2 3" xfId="31829"/>
    <cellStyle name="Normal 13 3 2 3 2" xfId="31830"/>
    <cellStyle name="Normal 13 3 2 4" xfId="31831"/>
    <cellStyle name="Normal 13 3 2 5" xfId="31832"/>
    <cellStyle name="Normal 13 3 3" xfId="31833"/>
    <cellStyle name="Normal 13 3 3 2" xfId="31834"/>
    <cellStyle name="Normal 13 3 3 2 2" xfId="31835"/>
    <cellStyle name="Normal 13 3 3 3" xfId="31836"/>
    <cellStyle name="Normal 13 3 3 4" xfId="31837"/>
    <cellStyle name="Normal 13 3 4" xfId="31838"/>
    <cellStyle name="Normal 13 3 4 2" xfId="31839"/>
    <cellStyle name="Normal 13 3 4 2 2" xfId="31840"/>
    <cellStyle name="Normal 13 3 4 3" xfId="31841"/>
    <cellStyle name="Normal 13 3 4 4" xfId="31842"/>
    <cellStyle name="Normal 13 3 5" xfId="31843"/>
    <cellStyle name="Normal 13 3 5 2" xfId="31844"/>
    <cellStyle name="Normal 13 3 6" xfId="31845"/>
    <cellStyle name="Normal 13 3 6 2" xfId="31846"/>
    <cellStyle name="Normal 13 3 7" xfId="31847"/>
    <cellStyle name="Normal 13 3 7 2" xfId="31848"/>
    <cellStyle name="Normal 13 3 8" xfId="31849"/>
    <cellStyle name="Normal 13 3 8 2" xfId="31850"/>
    <cellStyle name="Normal 13 3 9" xfId="31851"/>
    <cellStyle name="Normal 13 3 9 2" xfId="31852"/>
    <cellStyle name="Normal 13 3_Dakota Panel" xfId="31853"/>
    <cellStyle name="Normal 13 4" xfId="31854"/>
    <cellStyle name="Normal 13 4 2" xfId="31855"/>
    <cellStyle name="Normal 13 4 2 2" xfId="31856"/>
    <cellStyle name="Normal 13 4 2 2 2" xfId="31857"/>
    <cellStyle name="Normal 13 4 2 2 3" xfId="31858"/>
    <cellStyle name="Normal 13 4 2 3" xfId="31859"/>
    <cellStyle name="Normal 13 4 2 3 2" xfId="31860"/>
    <cellStyle name="Normal 13 4 2 4" xfId="31861"/>
    <cellStyle name="Normal 13 4 2 5" xfId="31862"/>
    <cellStyle name="Normal 13 4 3" xfId="31863"/>
    <cellStyle name="Normal 13 4 3 2" xfId="31864"/>
    <cellStyle name="Normal 13 4 3 2 2" xfId="31865"/>
    <cellStyle name="Normal 13 4 3 3" xfId="31866"/>
    <cellStyle name="Normal 13 4 3 4" xfId="31867"/>
    <cellStyle name="Normal 13 4 4" xfId="31868"/>
    <cellStyle name="Normal 13 4 4 2" xfId="31869"/>
    <cellStyle name="Normal 13 4 4 2 2" xfId="31870"/>
    <cellStyle name="Normal 13 4 4 3" xfId="31871"/>
    <cellStyle name="Normal 13 4 4 4" xfId="31872"/>
    <cellStyle name="Normal 13 4 5" xfId="31873"/>
    <cellStyle name="Normal 13 4 5 2" xfId="31874"/>
    <cellStyle name="Normal 13 4 6" xfId="31875"/>
    <cellStyle name="Normal 13 4 6 2" xfId="31876"/>
    <cellStyle name="Normal 13 4 7" xfId="31877"/>
    <cellStyle name="Normal 13 4 8" xfId="31878"/>
    <cellStyle name="Normal 13 4 9" xfId="31879"/>
    <cellStyle name="Normal 13 5" xfId="31880"/>
    <cellStyle name="Normal 13 5 2" xfId="31881"/>
    <cellStyle name="Normal 13 5 2 2" xfId="31882"/>
    <cellStyle name="Normal 13 5 2 2 2" xfId="31883"/>
    <cellStyle name="Normal 13 5 2 2 3" xfId="31884"/>
    <cellStyle name="Normal 13 5 2 3" xfId="31885"/>
    <cellStyle name="Normal 13 5 2 3 2" xfId="31886"/>
    <cellStyle name="Normal 13 5 2 4" xfId="31887"/>
    <cellStyle name="Normal 13 5 2 5" xfId="31888"/>
    <cellStyle name="Normal 13 5 3" xfId="31889"/>
    <cellStyle name="Normal 13 5 3 2" xfId="31890"/>
    <cellStyle name="Normal 13 5 3 2 2" xfId="31891"/>
    <cellStyle name="Normal 13 5 3 3" xfId="31892"/>
    <cellStyle name="Normal 13 5 3 4" xfId="31893"/>
    <cellStyle name="Normal 13 5 4" xfId="31894"/>
    <cellStyle name="Normal 13 5 4 2" xfId="31895"/>
    <cellStyle name="Normal 13 5 4 2 2" xfId="31896"/>
    <cellStyle name="Normal 13 5 4 3" xfId="31897"/>
    <cellStyle name="Normal 13 5 4 4" xfId="31898"/>
    <cellStyle name="Normal 13 5 5" xfId="31899"/>
    <cellStyle name="Normal 13 5 5 2" xfId="31900"/>
    <cellStyle name="Normal 13 5 6" xfId="31901"/>
    <cellStyle name="Normal 13 5 7" xfId="31902"/>
    <cellStyle name="Normal 13 5 8" xfId="31903"/>
    <cellStyle name="Normal 13 6" xfId="31904"/>
    <cellStyle name="Normal 13 6 2" xfId="31905"/>
    <cellStyle name="Normal 13 6 2 2" xfId="31906"/>
    <cellStyle name="Normal 13 7" xfId="31907"/>
    <cellStyle name="Normal 13 7 2" xfId="31908"/>
    <cellStyle name="Normal 13 7 2 2" xfId="31909"/>
    <cellStyle name="Normal 13 7 3" xfId="31910"/>
    <cellStyle name="Normal 13 7 4" xfId="31911"/>
    <cellStyle name="Normal 13 8" xfId="31912"/>
    <cellStyle name="Normal 13 8 2" xfId="31913"/>
    <cellStyle name="Normal 13 9" xfId="31914"/>
    <cellStyle name="Normal 13 9 2" xfId="31915"/>
    <cellStyle name="Normal 13_Dakota Panel" xfId="31916"/>
    <cellStyle name="Normal 130" xfId="31917"/>
    <cellStyle name="Normal 130 10" xfId="31918"/>
    <cellStyle name="Normal 130 10 2" xfId="31919"/>
    <cellStyle name="Normal 130 11" xfId="31920"/>
    <cellStyle name="Normal 130 11 2" xfId="31921"/>
    <cellStyle name="Normal 130 12" xfId="31922"/>
    <cellStyle name="Normal 130 2" xfId="31923"/>
    <cellStyle name="Normal 130 2 2" xfId="31924"/>
    <cellStyle name="Normal 130 2 2 2" xfId="31925"/>
    <cellStyle name="Normal 130 2 3" xfId="31926"/>
    <cellStyle name="Normal 130 2 3 2" xfId="31927"/>
    <cellStyle name="Normal 130 2 4" xfId="31928"/>
    <cellStyle name="Normal 130 2 4 2" xfId="31929"/>
    <cellStyle name="Normal 130 2 5" xfId="31930"/>
    <cellStyle name="Normal 130 2 5 2" xfId="31931"/>
    <cellStyle name="Normal 130 2 6" xfId="31932"/>
    <cellStyle name="Normal 130 2 6 2" xfId="31933"/>
    <cellStyle name="Normal 130 2 7" xfId="31934"/>
    <cellStyle name="Normal 130 2 7 2" xfId="31935"/>
    <cellStyle name="Normal 130 2 8" xfId="31936"/>
    <cellStyle name="Normal 130 2 8 2" xfId="31937"/>
    <cellStyle name="Normal 130 2 9" xfId="31938"/>
    <cellStyle name="Normal 130 2 9 2" xfId="31939"/>
    <cellStyle name="Normal 130 2_Dakota Panel" xfId="31940"/>
    <cellStyle name="Normal 130 3" xfId="31941"/>
    <cellStyle name="Normal 130 3 2" xfId="31942"/>
    <cellStyle name="Normal 130 3 2 2" xfId="31943"/>
    <cellStyle name="Normal 130 3 3" xfId="31944"/>
    <cellStyle name="Normal 130 3 3 2" xfId="31945"/>
    <cellStyle name="Normal 130 3 4" xfId="31946"/>
    <cellStyle name="Normal 130 3 5" xfId="31947"/>
    <cellStyle name="Normal 130 4" xfId="31948"/>
    <cellStyle name="Normal 130 4 2" xfId="31949"/>
    <cellStyle name="Normal 130 5" xfId="31950"/>
    <cellStyle name="Normal 130 5 2" xfId="31951"/>
    <cellStyle name="Normal 130 6" xfId="31952"/>
    <cellStyle name="Normal 130 6 2" xfId="31953"/>
    <cellStyle name="Normal 130 7" xfId="31954"/>
    <cellStyle name="Normal 130 7 2" xfId="31955"/>
    <cellStyle name="Normal 130 8" xfId="31956"/>
    <cellStyle name="Normal 130 8 2" xfId="31957"/>
    <cellStyle name="Normal 130 9" xfId="31958"/>
    <cellStyle name="Normal 130 9 2" xfId="31959"/>
    <cellStyle name="Normal 130_Dakota Panel" xfId="31960"/>
    <cellStyle name="Normal 131" xfId="31961"/>
    <cellStyle name="Normal 131 10" xfId="31962"/>
    <cellStyle name="Normal 131 10 2" xfId="31963"/>
    <cellStyle name="Normal 131 11" xfId="31964"/>
    <cellStyle name="Normal 131 11 2" xfId="31965"/>
    <cellStyle name="Normal 131 12" xfId="31966"/>
    <cellStyle name="Normal 131 2" xfId="31967"/>
    <cellStyle name="Normal 131 2 2" xfId="31968"/>
    <cellStyle name="Normal 131 2 2 2" xfId="31969"/>
    <cellStyle name="Normal 131 2 3" xfId="31970"/>
    <cellStyle name="Normal 131 2 3 2" xfId="31971"/>
    <cellStyle name="Normal 131 2 4" xfId="31972"/>
    <cellStyle name="Normal 131 2 4 2" xfId="31973"/>
    <cellStyle name="Normal 131 2 5" xfId="31974"/>
    <cellStyle name="Normal 131 2 5 2" xfId="31975"/>
    <cellStyle name="Normal 131 2 6" xfId="31976"/>
    <cellStyle name="Normal 131 2 6 2" xfId="31977"/>
    <cellStyle name="Normal 131 2 7" xfId="31978"/>
    <cellStyle name="Normal 131 2 7 2" xfId="31979"/>
    <cellStyle name="Normal 131 2 8" xfId="31980"/>
    <cellStyle name="Normal 131 2 8 2" xfId="31981"/>
    <cellStyle name="Normal 131 2 9" xfId="31982"/>
    <cellStyle name="Normal 131 2 9 2" xfId="31983"/>
    <cellStyle name="Normal 131 2_Dakota Panel" xfId="31984"/>
    <cellStyle name="Normal 131 3" xfId="31985"/>
    <cellStyle name="Normal 131 3 2" xfId="31986"/>
    <cellStyle name="Normal 131 3 2 2" xfId="31987"/>
    <cellStyle name="Normal 131 3 3" xfId="31988"/>
    <cellStyle name="Normal 131 3 3 2" xfId="31989"/>
    <cellStyle name="Normal 131 3 4" xfId="31990"/>
    <cellStyle name="Normal 131 3 5" xfId="31991"/>
    <cellStyle name="Normal 131 4" xfId="31992"/>
    <cellStyle name="Normal 131 4 2" xfId="31993"/>
    <cellStyle name="Normal 131 5" xfId="31994"/>
    <cellStyle name="Normal 131 5 2" xfId="31995"/>
    <cellStyle name="Normal 131 6" xfId="31996"/>
    <cellStyle name="Normal 131 6 2" xfId="31997"/>
    <cellStyle name="Normal 131 7" xfId="31998"/>
    <cellStyle name="Normal 131 7 2" xfId="31999"/>
    <cellStyle name="Normal 131 8" xfId="32000"/>
    <cellStyle name="Normal 131 8 2" xfId="32001"/>
    <cellStyle name="Normal 131 9" xfId="32002"/>
    <cellStyle name="Normal 131 9 2" xfId="32003"/>
    <cellStyle name="Normal 131_Dakota Panel" xfId="32004"/>
    <cellStyle name="Normal 132" xfId="32005"/>
    <cellStyle name="Normal 132 10" xfId="32006"/>
    <cellStyle name="Normal 132 10 2" xfId="32007"/>
    <cellStyle name="Normal 132 11" xfId="32008"/>
    <cellStyle name="Normal 132 11 2" xfId="32009"/>
    <cellStyle name="Normal 132 12" xfId="32010"/>
    <cellStyle name="Normal 132 2" xfId="32011"/>
    <cellStyle name="Normal 132 2 2" xfId="32012"/>
    <cellStyle name="Normal 132 2 2 2" xfId="32013"/>
    <cellStyle name="Normal 132 2 3" xfId="32014"/>
    <cellStyle name="Normal 132 2 3 2" xfId="32015"/>
    <cellStyle name="Normal 132 2 4" xfId="32016"/>
    <cellStyle name="Normal 132 2 4 2" xfId="32017"/>
    <cellStyle name="Normal 132 2 5" xfId="32018"/>
    <cellStyle name="Normal 132 2 5 2" xfId="32019"/>
    <cellStyle name="Normal 132 2 6" xfId="32020"/>
    <cellStyle name="Normal 132 2 6 2" xfId="32021"/>
    <cellStyle name="Normal 132 2 7" xfId="32022"/>
    <cellStyle name="Normal 132 2 7 2" xfId="32023"/>
    <cellStyle name="Normal 132 2 8" xfId="32024"/>
    <cellStyle name="Normal 132 2 8 2" xfId="32025"/>
    <cellStyle name="Normal 132 2 9" xfId="32026"/>
    <cellStyle name="Normal 132 2 9 2" xfId="32027"/>
    <cellStyle name="Normal 132 2_Dakota Panel" xfId="32028"/>
    <cellStyle name="Normal 132 3" xfId="32029"/>
    <cellStyle name="Normal 132 3 2" xfId="32030"/>
    <cellStyle name="Normal 132 3 2 2" xfId="32031"/>
    <cellStyle name="Normal 132 3 3" xfId="32032"/>
    <cellStyle name="Normal 132 3 3 2" xfId="32033"/>
    <cellStyle name="Normal 132 3 4" xfId="32034"/>
    <cellStyle name="Normal 132 3 5" xfId="32035"/>
    <cellStyle name="Normal 132 4" xfId="32036"/>
    <cellStyle name="Normal 132 4 2" xfId="32037"/>
    <cellStyle name="Normal 132 5" xfId="32038"/>
    <cellStyle name="Normal 132 5 2" xfId="32039"/>
    <cellStyle name="Normal 132 6" xfId="32040"/>
    <cellStyle name="Normal 132 6 2" xfId="32041"/>
    <cellStyle name="Normal 132 7" xfId="32042"/>
    <cellStyle name="Normal 132 7 2" xfId="32043"/>
    <cellStyle name="Normal 132 8" xfId="32044"/>
    <cellStyle name="Normal 132 8 2" xfId="32045"/>
    <cellStyle name="Normal 132 9" xfId="32046"/>
    <cellStyle name="Normal 132 9 2" xfId="32047"/>
    <cellStyle name="Normal 132_Dakota Panel" xfId="32048"/>
    <cellStyle name="Normal 133" xfId="32049"/>
    <cellStyle name="Normal 133 10" xfId="32050"/>
    <cellStyle name="Normal 133 10 2" xfId="32051"/>
    <cellStyle name="Normal 133 11" xfId="32052"/>
    <cellStyle name="Normal 133 11 2" xfId="32053"/>
    <cellStyle name="Normal 133 12" xfId="32054"/>
    <cellStyle name="Normal 133 2" xfId="32055"/>
    <cellStyle name="Normal 133 2 2" xfId="32056"/>
    <cellStyle name="Normal 133 2 2 2" xfId="32057"/>
    <cellStyle name="Normal 133 2 3" xfId="32058"/>
    <cellStyle name="Normal 133 2 3 2" xfId="32059"/>
    <cellStyle name="Normal 133 2 4" xfId="32060"/>
    <cellStyle name="Normal 133 2 4 2" xfId="32061"/>
    <cellStyle name="Normal 133 2 5" xfId="32062"/>
    <cellStyle name="Normal 133 2 5 2" xfId="32063"/>
    <cellStyle name="Normal 133 2 6" xfId="32064"/>
    <cellStyle name="Normal 133 2 6 2" xfId="32065"/>
    <cellStyle name="Normal 133 2 7" xfId="32066"/>
    <cellStyle name="Normal 133 2 7 2" xfId="32067"/>
    <cellStyle name="Normal 133 2 8" xfId="32068"/>
    <cellStyle name="Normal 133 2 8 2" xfId="32069"/>
    <cellStyle name="Normal 133 2 9" xfId="32070"/>
    <cellStyle name="Normal 133 2 9 2" xfId="32071"/>
    <cellStyle name="Normal 133 2_Dakota Panel" xfId="32072"/>
    <cellStyle name="Normal 133 3" xfId="32073"/>
    <cellStyle name="Normal 133 3 2" xfId="32074"/>
    <cellStyle name="Normal 133 3 2 2" xfId="32075"/>
    <cellStyle name="Normal 133 3 3" xfId="32076"/>
    <cellStyle name="Normal 133 3 3 2" xfId="32077"/>
    <cellStyle name="Normal 133 3 4" xfId="32078"/>
    <cellStyle name="Normal 133 3 5" xfId="32079"/>
    <cellStyle name="Normal 133 4" xfId="32080"/>
    <cellStyle name="Normal 133 4 2" xfId="32081"/>
    <cellStyle name="Normal 133 5" xfId="32082"/>
    <cellStyle name="Normal 133 5 2" xfId="32083"/>
    <cellStyle name="Normal 133 6" xfId="32084"/>
    <cellStyle name="Normal 133 6 2" xfId="32085"/>
    <cellStyle name="Normal 133 7" xfId="32086"/>
    <cellStyle name="Normal 133 7 2" xfId="32087"/>
    <cellStyle name="Normal 133 8" xfId="32088"/>
    <cellStyle name="Normal 133 8 2" xfId="32089"/>
    <cellStyle name="Normal 133 9" xfId="32090"/>
    <cellStyle name="Normal 133 9 2" xfId="32091"/>
    <cellStyle name="Normal 133_Dakota Panel" xfId="32092"/>
    <cellStyle name="Normal 134" xfId="32093"/>
    <cellStyle name="Normal 134 10" xfId="32094"/>
    <cellStyle name="Normal 134 10 2" xfId="32095"/>
    <cellStyle name="Normal 134 11" xfId="32096"/>
    <cellStyle name="Normal 134 11 2" xfId="32097"/>
    <cellStyle name="Normal 134 12" xfId="32098"/>
    <cellStyle name="Normal 134 2" xfId="32099"/>
    <cellStyle name="Normal 134 2 2" xfId="32100"/>
    <cellStyle name="Normal 134 2 2 2" xfId="32101"/>
    <cellStyle name="Normal 134 2 3" xfId="32102"/>
    <cellStyle name="Normal 134 2 3 2" xfId="32103"/>
    <cellStyle name="Normal 134 2 4" xfId="32104"/>
    <cellStyle name="Normal 134 2 4 2" xfId="32105"/>
    <cellStyle name="Normal 134 2 5" xfId="32106"/>
    <cellStyle name="Normal 134 2 5 2" xfId="32107"/>
    <cellStyle name="Normal 134 2 6" xfId="32108"/>
    <cellStyle name="Normal 134 2 6 2" xfId="32109"/>
    <cellStyle name="Normal 134 2 7" xfId="32110"/>
    <cellStyle name="Normal 134 2 7 2" xfId="32111"/>
    <cellStyle name="Normal 134 2 8" xfId="32112"/>
    <cellStyle name="Normal 134 2 8 2" xfId="32113"/>
    <cellStyle name="Normal 134 2 9" xfId="32114"/>
    <cellStyle name="Normal 134 2 9 2" xfId="32115"/>
    <cellStyle name="Normal 134 2_Dakota Panel" xfId="32116"/>
    <cellStyle name="Normal 134 3" xfId="32117"/>
    <cellStyle name="Normal 134 3 2" xfId="32118"/>
    <cellStyle name="Normal 134 3 2 2" xfId="32119"/>
    <cellStyle name="Normal 134 3 3" xfId="32120"/>
    <cellStyle name="Normal 134 3 3 2" xfId="32121"/>
    <cellStyle name="Normal 134 3 4" xfId="32122"/>
    <cellStyle name="Normal 134 3 5" xfId="32123"/>
    <cellStyle name="Normal 134 4" xfId="32124"/>
    <cellStyle name="Normal 134 4 2" xfId="32125"/>
    <cellStyle name="Normal 134 5" xfId="32126"/>
    <cellStyle name="Normal 134 5 2" xfId="32127"/>
    <cellStyle name="Normal 134 6" xfId="32128"/>
    <cellStyle name="Normal 134 6 2" xfId="32129"/>
    <cellStyle name="Normal 134 7" xfId="32130"/>
    <cellStyle name="Normal 134 7 2" xfId="32131"/>
    <cellStyle name="Normal 134 8" xfId="32132"/>
    <cellStyle name="Normal 134 8 2" xfId="32133"/>
    <cellStyle name="Normal 134 9" xfId="32134"/>
    <cellStyle name="Normal 134 9 2" xfId="32135"/>
    <cellStyle name="Normal 134_Dakota Panel" xfId="32136"/>
    <cellStyle name="Normal 135" xfId="32137"/>
    <cellStyle name="Normal 135 10" xfId="32138"/>
    <cellStyle name="Normal 135 10 2" xfId="32139"/>
    <cellStyle name="Normal 135 11" xfId="32140"/>
    <cellStyle name="Normal 135 11 2" xfId="32141"/>
    <cellStyle name="Normal 135 12" xfId="32142"/>
    <cellStyle name="Normal 135 2" xfId="32143"/>
    <cellStyle name="Normal 135 2 2" xfId="32144"/>
    <cellStyle name="Normal 135 2 2 2" xfId="32145"/>
    <cellStyle name="Normal 135 2 3" xfId="32146"/>
    <cellStyle name="Normal 135 2 3 2" xfId="32147"/>
    <cellStyle name="Normal 135 2 4" xfId="32148"/>
    <cellStyle name="Normal 135 2 4 2" xfId="32149"/>
    <cellStyle name="Normal 135 2 5" xfId="32150"/>
    <cellStyle name="Normal 135 2 5 2" xfId="32151"/>
    <cellStyle name="Normal 135 2 6" xfId="32152"/>
    <cellStyle name="Normal 135 2 6 2" xfId="32153"/>
    <cellStyle name="Normal 135 2 7" xfId="32154"/>
    <cellStyle name="Normal 135 2 7 2" xfId="32155"/>
    <cellStyle name="Normal 135 2 8" xfId="32156"/>
    <cellStyle name="Normal 135 2 8 2" xfId="32157"/>
    <cellStyle name="Normal 135 2 9" xfId="32158"/>
    <cellStyle name="Normal 135 2 9 2" xfId="32159"/>
    <cellStyle name="Normal 135 2_Dakota Panel" xfId="32160"/>
    <cellStyle name="Normal 135 3" xfId="32161"/>
    <cellStyle name="Normal 135 3 2" xfId="32162"/>
    <cellStyle name="Normal 135 3 2 2" xfId="32163"/>
    <cellStyle name="Normal 135 3 3" xfId="32164"/>
    <cellStyle name="Normal 135 3 3 2" xfId="32165"/>
    <cellStyle name="Normal 135 3 4" xfId="32166"/>
    <cellStyle name="Normal 135 3 5" xfId="32167"/>
    <cellStyle name="Normal 135 4" xfId="32168"/>
    <cellStyle name="Normal 135 4 2" xfId="32169"/>
    <cellStyle name="Normal 135 5" xfId="32170"/>
    <cellStyle name="Normal 135 5 2" xfId="32171"/>
    <cellStyle name="Normal 135 6" xfId="32172"/>
    <cellStyle name="Normal 135 6 2" xfId="32173"/>
    <cellStyle name="Normal 135 7" xfId="32174"/>
    <cellStyle name="Normal 135 7 2" xfId="32175"/>
    <cellStyle name="Normal 135 8" xfId="32176"/>
    <cellStyle name="Normal 135 8 2" xfId="32177"/>
    <cellStyle name="Normal 135 9" xfId="32178"/>
    <cellStyle name="Normal 135 9 2" xfId="32179"/>
    <cellStyle name="Normal 135_Dakota Panel" xfId="32180"/>
    <cellStyle name="Normal 136" xfId="32181"/>
    <cellStyle name="Normal 136 10" xfId="32182"/>
    <cellStyle name="Normal 136 10 2" xfId="32183"/>
    <cellStyle name="Normal 136 11" xfId="32184"/>
    <cellStyle name="Normal 136 11 2" xfId="32185"/>
    <cellStyle name="Normal 136 12" xfId="32186"/>
    <cellStyle name="Normal 136 2" xfId="32187"/>
    <cellStyle name="Normal 136 2 2" xfId="32188"/>
    <cellStyle name="Normal 136 2 2 2" xfId="32189"/>
    <cellStyle name="Normal 136 2 3" xfId="32190"/>
    <cellStyle name="Normal 136 2 3 2" xfId="32191"/>
    <cellStyle name="Normal 136 2 4" xfId="32192"/>
    <cellStyle name="Normal 136 2 4 2" xfId="32193"/>
    <cellStyle name="Normal 136 2 5" xfId="32194"/>
    <cellStyle name="Normal 136 2 5 2" xfId="32195"/>
    <cellStyle name="Normal 136 2 6" xfId="32196"/>
    <cellStyle name="Normal 136 2 6 2" xfId="32197"/>
    <cellStyle name="Normal 136 2 7" xfId="32198"/>
    <cellStyle name="Normal 136 2 7 2" xfId="32199"/>
    <cellStyle name="Normal 136 2 8" xfId="32200"/>
    <cellStyle name="Normal 136 2 8 2" xfId="32201"/>
    <cellStyle name="Normal 136 2 9" xfId="32202"/>
    <cellStyle name="Normal 136 2 9 2" xfId="32203"/>
    <cellStyle name="Normal 136 2_Dakota Panel" xfId="32204"/>
    <cellStyle name="Normal 136 3" xfId="32205"/>
    <cellStyle name="Normal 136 3 2" xfId="32206"/>
    <cellStyle name="Normal 136 3 2 2" xfId="32207"/>
    <cellStyle name="Normal 136 3 3" xfId="32208"/>
    <cellStyle name="Normal 136 3 3 2" xfId="32209"/>
    <cellStyle name="Normal 136 3 4" xfId="32210"/>
    <cellStyle name="Normal 136 3 5" xfId="32211"/>
    <cellStyle name="Normal 136 4" xfId="32212"/>
    <cellStyle name="Normal 136 4 2" xfId="32213"/>
    <cellStyle name="Normal 136 5" xfId="32214"/>
    <cellStyle name="Normal 136 5 2" xfId="32215"/>
    <cellStyle name="Normal 136 6" xfId="32216"/>
    <cellStyle name="Normal 136 6 2" xfId="32217"/>
    <cellStyle name="Normal 136 7" xfId="32218"/>
    <cellStyle name="Normal 136 7 2" xfId="32219"/>
    <cellStyle name="Normal 136 8" xfId="32220"/>
    <cellStyle name="Normal 136 8 2" xfId="32221"/>
    <cellStyle name="Normal 136 9" xfId="32222"/>
    <cellStyle name="Normal 136 9 2" xfId="32223"/>
    <cellStyle name="Normal 136_Dakota Panel" xfId="32224"/>
    <cellStyle name="Normal 137" xfId="32225"/>
    <cellStyle name="Normal 137 10" xfId="32226"/>
    <cellStyle name="Normal 137 10 2" xfId="32227"/>
    <cellStyle name="Normal 137 11" xfId="32228"/>
    <cellStyle name="Normal 137 11 2" xfId="32229"/>
    <cellStyle name="Normal 137 12" xfId="32230"/>
    <cellStyle name="Normal 137 2" xfId="32231"/>
    <cellStyle name="Normal 137 2 2" xfId="32232"/>
    <cellStyle name="Normal 137 2 2 2" xfId="32233"/>
    <cellStyle name="Normal 137 2 3" xfId="32234"/>
    <cellStyle name="Normal 137 2 3 2" xfId="32235"/>
    <cellStyle name="Normal 137 2 4" xfId="32236"/>
    <cellStyle name="Normal 137 2 4 2" xfId="32237"/>
    <cellStyle name="Normal 137 2 5" xfId="32238"/>
    <cellStyle name="Normal 137 2 5 2" xfId="32239"/>
    <cellStyle name="Normal 137 2 6" xfId="32240"/>
    <cellStyle name="Normal 137 2 6 2" xfId="32241"/>
    <cellStyle name="Normal 137 2 7" xfId="32242"/>
    <cellStyle name="Normal 137 2 7 2" xfId="32243"/>
    <cellStyle name="Normal 137 2 8" xfId="32244"/>
    <cellStyle name="Normal 137 2 8 2" xfId="32245"/>
    <cellStyle name="Normal 137 2 9" xfId="32246"/>
    <cellStyle name="Normal 137 2 9 2" xfId="32247"/>
    <cellStyle name="Normal 137 2_Dakota Panel" xfId="32248"/>
    <cellStyle name="Normal 137 3" xfId="32249"/>
    <cellStyle name="Normal 137 3 2" xfId="32250"/>
    <cellStyle name="Normal 137 3 2 2" xfId="32251"/>
    <cellStyle name="Normal 137 3 3" xfId="32252"/>
    <cellStyle name="Normal 137 3 3 2" xfId="32253"/>
    <cellStyle name="Normal 137 3 4" xfId="32254"/>
    <cellStyle name="Normal 137 3 5" xfId="32255"/>
    <cellStyle name="Normal 137 4" xfId="32256"/>
    <cellStyle name="Normal 137 4 2" xfId="32257"/>
    <cellStyle name="Normal 137 5" xfId="32258"/>
    <cellStyle name="Normal 137 5 2" xfId="32259"/>
    <cellStyle name="Normal 137 6" xfId="32260"/>
    <cellStyle name="Normal 137 6 2" xfId="32261"/>
    <cellStyle name="Normal 137 7" xfId="32262"/>
    <cellStyle name="Normal 137 7 2" xfId="32263"/>
    <cellStyle name="Normal 137 8" xfId="32264"/>
    <cellStyle name="Normal 137 8 2" xfId="32265"/>
    <cellStyle name="Normal 137 9" xfId="32266"/>
    <cellStyle name="Normal 137 9 2" xfId="32267"/>
    <cellStyle name="Normal 137_Dakota Panel" xfId="32268"/>
    <cellStyle name="Normal 138" xfId="32269"/>
    <cellStyle name="Normal 138 10" xfId="32270"/>
    <cellStyle name="Normal 138 10 2" xfId="32271"/>
    <cellStyle name="Normal 138 11" xfId="32272"/>
    <cellStyle name="Normal 138 11 2" xfId="32273"/>
    <cellStyle name="Normal 138 12" xfId="32274"/>
    <cellStyle name="Normal 138 2" xfId="32275"/>
    <cellStyle name="Normal 138 2 2" xfId="32276"/>
    <cellStyle name="Normal 138 2 2 2" xfId="32277"/>
    <cellStyle name="Normal 138 2 3" xfId="32278"/>
    <cellStyle name="Normal 138 2 3 2" xfId="32279"/>
    <cellStyle name="Normal 138 2 4" xfId="32280"/>
    <cellStyle name="Normal 138 2 4 2" xfId="32281"/>
    <cellStyle name="Normal 138 2 5" xfId="32282"/>
    <cellStyle name="Normal 138 2 5 2" xfId="32283"/>
    <cellStyle name="Normal 138 2 6" xfId="32284"/>
    <cellStyle name="Normal 138 2 6 2" xfId="32285"/>
    <cellStyle name="Normal 138 2 7" xfId="32286"/>
    <cellStyle name="Normal 138 2 7 2" xfId="32287"/>
    <cellStyle name="Normal 138 2 8" xfId="32288"/>
    <cellStyle name="Normal 138 2 8 2" xfId="32289"/>
    <cellStyle name="Normal 138 2 9" xfId="32290"/>
    <cellStyle name="Normal 138 2 9 2" xfId="32291"/>
    <cellStyle name="Normal 138 2_Dakota Panel" xfId="32292"/>
    <cellStyle name="Normal 138 3" xfId="32293"/>
    <cellStyle name="Normal 138 3 2" xfId="32294"/>
    <cellStyle name="Normal 138 3 2 2" xfId="32295"/>
    <cellStyle name="Normal 138 3 3" xfId="32296"/>
    <cellStyle name="Normal 138 3 3 2" xfId="32297"/>
    <cellStyle name="Normal 138 3 4" xfId="32298"/>
    <cellStyle name="Normal 138 3 5" xfId="32299"/>
    <cellStyle name="Normal 138 4" xfId="32300"/>
    <cellStyle name="Normal 138 4 2" xfId="32301"/>
    <cellStyle name="Normal 138 5" xfId="32302"/>
    <cellStyle name="Normal 138 5 2" xfId="32303"/>
    <cellStyle name="Normal 138 6" xfId="32304"/>
    <cellStyle name="Normal 138 6 2" xfId="32305"/>
    <cellStyle name="Normal 138 7" xfId="32306"/>
    <cellStyle name="Normal 138 7 2" xfId="32307"/>
    <cellStyle name="Normal 138 8" xfId="32308"/>
    <cellStyle name="Normal 138 8 2" xfId="32309"/>
    <cellStyle name="Normal 138 9" xfId="32310"/>
    <cellStyle name="Normal 138 9 2" xfId="32311"/>
    <cellStyle name="Normal 138_Dakota Panel" xfId="32312"/>
    <cellStyle name="Normal 139" xfId="32313"/>
    <cellStyle name="Normal 139 10" xfId="32314"/>
    <cellStyle name="Normal 139 10 2" xfId="32315"/>
    <cellStyle name="Normal 139 11" xfId="32316"/>
    <cellStyle name="Normal 139 11 2" xfId="32317"/>
    <cellStyle name="Normal 139 12" xfId="32318"/>
    <cellStyle name="Normal 139 2" xfId="32319"/>
    <cellStyle name="Normal 139 2 2" xfId="32320"/>
    <cellStyle name="Normal 139 2 2 2" xfId="32321"/>
    <cellStyle name="Normal 139 2 3" xfId="32322"/>
    <cellStyle name="Normal 139 2 3 2" xfId="32323"/>
    <cellStyle name="Normal 139 2 4" xfId="32324"/>
    <cellStyle name="Normal 139 2 4 2" xfId="32325"/>
    <cellStyle name="Normal 139 2 5" xfId="32326"/>
    <cellStyle name="Normal 139 2 5 2" xfId="32327"/>
    <cellStyle name="Normal 139 2 6" xfId="32328"/>
    <cellStyle name="Normal 139 2 6 2" xfId="32329"/>
    <cellStyle name="Normal 139 2 7" xfId="32330"/>
    <cellStyle name="Normal 139 2 7 2" xfId="32331"/>
    <cellStyle name="Normal 139 2 8" xfId="32332"/>
    <cellStyle name="Normal 139 2 8 2" xfId="32333"/>
    <cellStyle name="Normal 139 2 9" xfId="32334"/>
    <cellStyle name="Normal 139 2 9 2" xfId="32335"/>
    <cellStyle name="Normal 139 2_Dakota Panel" xfId="32336"/>
    <cellStyle name="Normal 139 3" xfId="32337"/>
    <cellStyle name="Normal 139 3 2" xfId="32338"/>
    <cellStyle name="Normal 139 3 2 2" xfId="32339"/>
    <cellStyle name="Normal 139 3 3" xfId="32340"/>
    <cellStyle name="Normal 139 3 3 2" xfId="32341"/>
    <cellStyle name="Normal 139 3 4" xfId="32342"/>
    <cellStyle name="Normal 139 3 5" xfId="32343"/>
    <cellStyle name="Normal 139 4" xfId="32344"/>
    <cellStyle name="Normal 139 4 2" xfId="32345"/>
    <cellStyle name="Normal 139 5" xfId="32346"/>
    <cellStyle name="Normal 139 5 2" xfId="32347"/>
    <cellStyle name="Normal 139 6" xfId="32348"/>
    <cellStyle name="Normal 139 6 2" xfId="32349"/>
    <cellStyle name="Normal 139 7" xfId="32350"/>
    <cellStyle name="Normal 139 7 2" xfId="32351"/>
    <cellStyle name="Normal 139 8" xfId="32352"/>
    <cellStyle name="Normal 139 8 2" xfId="32353"/>
    <cellStyle name="Normal 139 9" xfId="32354"/>
    <cellStyle name="Normal 139 9 2" xfId="32355"/>
    <cellStyle name="Normal 139_Dakota Panel" xfId="32356"/>
    <cellStyle name="Normal 14" xfId="32357"/>
    <cellStyle name="Normal 14 10" xfId="32358"/>
    <cellStyle name="Normal 14 10 2" xfId="32359"/>
    <cellStyle name="Normal 14 11" xfId="32360"/>
    <cellStyle name="Normal 14 11 2" xfId="32361"/>
    <cellStyle name="Normal 14 12" xfId="32362"/>
    <cellStyle name="Normal 14 2" xfId="32363"/>
    <cellStyle name="Normal 14 2 2" xfId="32364"/>
    <cellStyle name="Normal 14 2 2 2" xfId="32365"/>
    <cellStyle name="Normal 14 2 2 3" xfId="32366"/>
    <cellStyle name="Normal 14 2 3" xfId="32367"/>
    <cellStyle name="Normal 14 2 4" xfId="32368"/>
    <cellStyle name="Normal 14 2 5" xfId="32369"/>
    <cellStyle name="Normal 14 3" xfId="32370"/>
    <cellStyle name="Normal 14 3 2" xfId="32371"/>
    <cellStyle name="Normal 14 3 2 2" xfId="32372"/>
    <cellStyle name="Normal 14 3 3" xfId="32373"/>
    <cellStyle name="Normal 14 4" xfId="32374"/>
    <cellStyle name="Normal 14 4 2" xfId="32375"/>
    <cellStyle name="Normal 14 4 2 2" xfId="32376"/>
    <cellStyle name="Normal 14 4 2 2 2" xfId="32377"/>
    <cellStyle name="Normal 14 4 3" xfId="32378"/>
    <cellStyle name="Normal 14 4 3 2" xfId="32379"/>
    <cellStyle name="Normal 14 4 4" xfId="32380"/>
    <cellStyle name="Normal 14 4 4 2" xfId="32381"/>
    <cellStyle name="Normal 14 4 5" xfId="32382"/>
    <cellStyle name="Normal 14 4 5 2" xfId="32383"/>
    <cellStyle name="Normal 14 4 6" xfId="32384"/>
    <cellStyle name="Normal 14 4 6 2" xfId="32385"/>
    <cellStyle name="Normal 14 4 7" xfId="32386"/>
    <cellStyle name="Normal 14 4 7 2" xfId="32387"/>
    <cellStyle name="Normal 14 4 8" xfId="32388"/>
    <cellStyle name="Normal 14 4 8 2" xfId="32389"/>
    <cellStyle name="Normal 14 4 9" xfId="32390"/>
    <cellStyle name="Normal 14 4 9 2" xfId="32391"/>
    <cellStyle name="Normal 14 4_Dakota Panel" xfId="32392"/>
    <cellStyle name="Normal 14 5" xfId="32393"/>
    <cellStyle name="Normal 14 5 2" xfId="32394"/>
    <cellStyle name="Normal 14 5 2 2" xfId="32395"/>
    <cellStyle name="Normal 14 6" xfId="32396"/>
    <cellStyle name="Normal 14 6 2" xfId="32397"/>
    <cellStyle name="Normal 14 6 2 2" xfId="32398"/>
    <cellStyle name="Normal 14 7" xfId="32399"/>
    <cellStyle name="Normal 14 7 2" xfId="32400"/>
    <cellStyle name="Normal 14 7 2 2" xfId="32401"/>
    <cellStyle name="Normal 14 7 3" xfId="32402"/>
    <cellStyle name="Normal 14 7 4" xfId="32403"/>
    <cellStyle name="Normal 14 8" xfId="32404"/>
    <cellStyle name="Normal 14 8 2" xfId="32405"/>
    <cellStyle name="Normal 14 9" xfId="32406"/>
    <cellStyle name="Normal 14 9 2" xfId="32407"/>
    <cellStyle name="Normal 14_Dakota Panel" xfId="32408"/>
    <cellStyle name="Normal 140" xfId="32409"/>
    <cellStyle name="Normal 140 10" xfId="32410"/>
    <cellStyle name="Normal 140 10 2" xfId="32411"/>
    <cellStyle name="Normal 140 11" xfId="32412"/>
    <cellStyle name="Normal 140 11 2" xfId="32413"/>
    <cellStyle name="Normal 140 12" xfId="32414"/>
    <cellStyle name="Normal 140 2" xfId="32415"/>
    <cellStyle name="Normal 140 2 2" xfId="32416"/>
    <cellStyle name="Normal 140 2 2 2" xfId="32417"/>
    <cellStyle name="Normal 140 2 3" xfId="32418"/>
    <cellStyle name="Normal 140 2 3 2" xfId="32419"/>
    <cellStyle name="Normal 140 2 4" xfId="32420"/>
    <cellStyle name="Normal 140 2 4 2" xfId="32421"/>
    <cellStyle name="Normal 140 2 5" xfId="32422"/>
    <cellStyle name="Normal 140 2 5 2" xfId="32423"/>
    <cellStyle name="Normal 140 2 6" xfId="32424"/>
    <cellStyle name="Normal 140 2 6 2" xfId="32425"/>
    <cellStyle name="Normal 140 2 7" xfId="32426"/>
    <cellStyle name="Normal 140 2 7 2" xfId="32427"/>
    <cellStyle name="Normal 140 2 8" xfId="32428"/>
    <cellStyle name="Normal 140 2 8 2" xfId="32429"/>
    <cellStyle name="Normal 140 2 9" xfId="32430"/>
    <cellStyle name="Normal 140 2 9 2" xfId="32431"/>
    <cellStyle name="Normal 140 2_Dakota Panel" xfId="32432"/>
    <cellStyle name="Normal 140 3" xfId="32433"/>
    <cellStyle name="Normal 140 3 2" xfId="32434"/>
    <cellStyle name="Normal 140 3 2 2" xfId="32435"/>
    <cellStyle name="Normal 140 3 3" xfId="32436"/>
    <cellStyle name="Normal 140 3 3 2" xfId="32437"/>
    <cellStyle name="Normal 140 3 4" xfId="32438"/>
    <cellStyle name="Normal 140 3 5" xfId="32439"/>
    <cellStyle name="Normal 140 4" xfId="32440"/>
    <cellStyle name="Normal 140 4 2" xfId="32441"/>
    <cellStyle name="Normal 140 5" xfId="32442"/>
    <cellStyle name="Normal 140 5 2" xfId="32443"/>
    <cellStyle name="Normal 140 6" xfId="32444"/>
    <cellStyle name="Normal 140 6 2" xfId="32445"/>
    <cellStyle name="Normal 140 7" xfId="32446"/>
    <cellStyle name="Normal 140 7 2" xfId="32447"/>
    <cellStyle name="Normal 140 8" xfId="32448"/>
    <cellStyle name="Normal 140 8 2" xfId="32449"/>
    <cellStyle name="Normal 140 9" xfId="32450"/>
    <cellStyle name="Normal 140 9 2" xfId="32451"/>
    <cellStyle name="Normal 140_Dakota Panel" xfId="32452"/>
    <cellStyle name="Normal 141" xfId="32453"/>
    <cellStyle name="Normal 141 10" xfId="32454"/>
    <cellStyle name="Normal 141 10 2" xfId="32455"/>
    <cellStyle name="Normal 141 11" xfId="32456"/>
    <cellStyle name="Normal 141 11 2" xfId="32457"/>
    <cellStyle name="Normal 141 12" xfId="32458"/>
    <cellStyle name="Normal 141 2" xfId="32459"/>
    <cellStyle name="Normal 141 2 2" xfId="32460"/>
    <cellStyle name="Normal 141 2 2 2" xfId="32461"/>
    <cellStyle name="Normal 141 2 3" xfId="32462"/>
    <cellStyle name="Normal 141 2 3 2" xfId="32463"/>
    <cellStyle name="Normal 141 2 4" xfId="32464"/>
    <cellStyle name="Normal 141 2 4 2" xfId="32465"/>
    <cellStyle name="Normal 141 2 5" xfId="32466"/>
    <cellStyle name="Normal 141 2 5 2" xfId="32467"/>
    <cellStyle name="Normal 141 2 6" xfId="32468"/>
    <cellStyle name="Normal 141 2 6 2" xfId="32469"/>
    <cellStyle name="Normal 141 2 7" xfId="32470"/>
    <cellStyle name="Normal 141 2 7 2" xfId="32471"/>
    <cellStyle name="Normal 141 2 8" xfId="32472"/>
    <cellStyle name="Normal 141 2 8 2" xfId="32473"/>
    <cellStyle name="Normal 141 2 9" xfId="32474"/>
    <cellStyle name="Normal 141 2 9 2" xfId="32475"/>
    <cellStyle name="Normal 141 2_Dakota Panel" xfId="32476"/>
    <cellStyle name="Normal 141 3" xfId="32477"/>
    <cellStyle name="Normal 141 3 2" xfId="32478"/>
    <cellStyle name="Normal 141 3 2 2" xfId="32479"/>
    <cellStyle name="Normal 141 3 3" xfId="32480"/>
    <cellStyle name="Normal 141 3 3 2" xfId="32481"/>
    <cellStyle name="Normal 141 3 4" xfId="32482"/>
    <cellStyle name="Normal 141 3 5" xfId="32483"/>
    <cellStyle name="Normal 141 4" xfId="32484"/>
    <cellStyle name="Normal 141 4 2" xfId="32485"/>
    <cellStyle name="Normal 141 5" xfId="32486"/>
    <cellStyle name="Normal 141 5 2" xfId="32487"/>
    <cellStyle name="Normal 141 6" xfId="32488"/>
    <cellStyle name="Normal 141 6 2" xfId="32489"/>
    <cellStyle name="Normal 141 7" xfId="32490"/>
    <cellStyle name="Normal 141 7 2" xfId="32491"/>
    <cellStyle name="Normal 141 8" xfId="32492"/>
    <cellStyle name="Normal 141 8 2" xfId="32493"/>
    <cellStyle name="Normal 141 9" xfId="32494"/>
    <cellStyle name="Normal 141 9 2" xfId="32495"/>
    <cellStyle name="Normal 141_Dakota Panel" xfId="32496"/>
    <cellStyle name="Normal 142" xfId="32497"/>
    <cellStyle name="Normal 142 10" xfId="32498"/>
    <cellStyle name="Normal 142 10 2" xfId="32499"/>
    <cellStyle name="Normal 142 11" xfId="32500"/>
    <cellStyle name="Normal 142 11 2" xfId="32501"/>
    <cellStyle name="Normal 142 12" xfId="32502"/>
    <cellStyle name="Normal 142 2" xfId="32503"/>
    <cellStyle name="Normal 142 2 2" xfId="32504"/>
    <cellStyle name="Normal 142 2 2 2" xfId="32505"/>
    <cellStyle name="Normal 142 2 3" xfId="32506"/>
    <cellStyle name="Normal 142 2 3 2" xfId="32507"/>
    <cellStyle name="Normal 142 2 4" xfId="32508"/>
    <cellStyle name="Normal 142 2 4 2" xfId="32509"/>
    <cellStyle name="Normal 142 2 5" xfId="32510"/>
    <cellStyle name="Normal 142 2 5 2" xfId="32511"/>
    <cellStyle name="Normal 142 2 6" xfId="32512"/>
    <cellStyle name="Normal 142 2 6 2" xfId="32513"/>
    <cellStyle name="Normal 142 2 7" xfId="32514"/>
    <cellStyle name="Normal 142 2 7 2" xfId="32515"/>
    <cellStyle name="Normal 142 2 8" xfId="32516"/>
    <cellStyle name="Normal 142 2 8 2" xfId="32517"/>
    <cellStyle name="Normal 142 2 9" xfId="32518"/>
    <cellStyle name="Normal 142 2 9 2" xfId="32519"/>
    <cellStyle name="Normal 142 2_Dakota Panel" xfId="32520"/>
    <cellStyle name="Normal 142 3" xfId="32521"/>
    <cellStyle name="Normal 142 3 2" xfId="32522"/>
    <cellStyle name="Normal 142 3 2 2" xfId="32523"/>
    <cellStyle name="Normal 142 3 3" xfId="32524"/>
    <cellStyle name="Normal 142 3 3 2" xfId="32525"/>
    <cellStyle name="Normal 142 3 4" xfId="32526"/>
    <cellStyle name="Normal 142 3 5" xfId="32527"/>
    <cellStyle name="Normal 142 4" xfId="32528"/>
    <cellStyle name="Normal 142 4 2" xfId="32529"/>
    <cellStyle name="Normal 142 5" xfId="32530"/>
    <cellStyle name="Normal 142 5 2" xfId="32531"/>
    <cellStyle name="Normal 142 6" xfId="32532"/>
    <cellStyle name="Normal 142 6 2" xfId="32533"/>
    <cellStyle name="Normal 142 7" xfId="32534"/>
    <cellStyle name="Normal 142 7 2" xfId="32535"/>
    <cellStyle name="Normal 142 8" xfId="32536"/>
    <cellStyle name="Normal 142 8 2" xfId="32537"/>
    <cellStyle name="Normal 142 9" xfId="32538"/>
    <cellStyle name="Normal 142 9 2" xfId="32539"/>
    <cellStyle name="Normal 142_Dakota Panel" xfId="32540"/>
    <cellStyle name="Normal 143" xfId="32541"/>
    <cellStyle name="Normal 143 10" xfId="32542"/>
    <cellStyle name="Normal 143 10 2" xfId="32543"/>
    <cellStyle name="Normal 143 11" xfId="32544"/>
    <cellStyle name="Normal 143 11 2" xfId="32545"/>
    <cellStyle name="Normal 143 12" xfId="32546"/>
    <cellStyle name="Normal 143 2" xfId="32547"/>
    <cellStyle name="Normal 143 2 2" xfId="32548"/>
    <cellStyle name="Normal 143 2 2 2" xfId="32549"/>
    <cellStyle name="Normal 143 2 3" xfId="32550"/>
    <cellStyle name="Normal 143 2 3 2" xfId="32551"/>
    <cellStyle name="Normal 143 2 4" xfId="32552"/>
    <cellStyle name="Normal 143 2 4 2" xfId="32553"/>
    <cellStyle name="Normal 143 2 5" xfId="32554"/>
    <cellStyle name="Normal 143 2 5 2" xfId="32555"/>
    <cellStyle name="Normal 143 2 6" xfId="32556"/>
    <cellStyle name="Normal 143 2 6 2" xfId="32557"/>
    <cellStyle name="Normal 143 2 7" xfId="32558"/>
    <cellStyle name="Normal 143 2 7 2" xfId="32559"/>
    <cellStyle name="Normal 143 2 8" xfId="32560"/>
    <cellStyle name="Normal 143 2 8 2" xfId="32561"/>
    <cellStyle name="Normal 143 2 9" xfId="32562"/>
    <cellStyle name="Normal 143 2 9 2" xfId="32563"/>
    <cellStyle name="Normal 143 2_Dakota Panel" xfId="32564"/>
    <cellStyle name="Normal 143 3" xfId="32565"/>
    <cellStyle name="Normal 143 3 2" xfId="32566"/>
    <cellStyle name="Normal 143 3 2 2" xfId="32567"/>
    <cellStyle name="Normal 143 3 3" xfId="32568"/>
    <cellStyle name="Normal 143 3 3 2" xfId="32569"/>
    <cellStyle name="Normal 143 3 4" xfId="32570"/>
    <cellStyle name="Normal 143 3 5" xfId="32571"/>
    <cellStyle name="Normal 143 4" xfId="32572"/>
    <cellStyle name="Normal 143 4 2" xfId="32573"/>
    <cellStyle name="Normal 143 5" xfId="32574"/>
    <cellStyle name="Normal 143 5 2" xfId="32575"/>
    <cellStyle name="Normal 143 6" xfId="32576"/>
    <cellStyle name="Normal 143 6 2" xfId="32577"/>
    <cellStyle name="Normal 143 7" xfId="32578"/>
    <cellStyle name="Normal 143 7 2" xfId="32579"/>
    <cellStyle name="Normal 143 8" xfId="32580"/>
    <cellStyle name="Normal 143 8 2" xfId="32581"/>
    <cellStyle name="Normal 143 9" xfId="32582"/>
    <cellStyle name="Normal 143 9 2" xfId="32583"/>
    <cellStyle name="Normal 143_Dakota Panel" xfId="32584"/>
    <cellStyle name="Normal 144" xfId="32585"/>
    <cellStyle name="Normal 144 10" xfId="32586"/>
    <cellStyle name="Normal 144 10 2" xfId="32587"/>
    <cellStyle name="Normal 144 11" xfId="32588"/>
    <cellStyle name="Normal 144 11 2" xfId="32589"/>
    <cellStyle name="Normal 144 12" xfId="32590"/>
    <cellStyle name="Normal 144 2" xfId="32591"/>
    <cellStyle name="Normal 144 2 2" xfId="32592"/>
    <cellStyle name="Normal 144 2 2 2" xfId="32593"/>
    <cellStyle name="Normal 144 2 3" xfId="32594"/>
    <cellStyle name="Normal 144 2 3 2" xfId="32595"/>
    <cellStyle name="Normal 144 2 4" xfId="32596"/>
    <cellStyle name="Normal 144 2 4 2" xfId="32597"/>
    <cellStyle name="Normal 144 2 5" xfId="32598"/>
    <cellStyle name="Normal 144 2 5 2" xfId="32599"/>
    <cellStyle name="Normal 144 2 6" xfId="32600"/>
    <cellStyle name="Normal 144 2 6 2" xfId="32601"/>
    <cellStyle name="Normal 144 2 7" xfId="32602"/>
    <cellStyle name="Normal 144 2 7 2" xfId="32603"/>
    <cellStyle name="Normal 144 2 8" xfId="32604"/>
    <cellStyle name="Normal 144 2 8 2" xfId="32605"/>
    <cellStyle name="Normal 144 2 9" xfId="32606"/>
    <cellStyle name="Normal 144 2 9 2" xfId="32607"/>
    <cellStyle name="Normal 144 2_Dakota Panel" xfId="32608"/>
    <cellStyle name="Normal 144 3" xfId="32609"/>
    <cellStyle name="Normal 144 3 2" xfId="32610"/>
    <cellStyle name="Normal 144 3 2 2" xfId="32611"/>
    <cellStyle name="Normal 144 3 3" xfId="32612"/>
    <cellStyle name="Normal 144 3 3 2" xfId="32613"/>
    <cellStyle name="Normal 144 3 4" xfId="32614"/>
    <cellStyle name="Normal 144 3 5" xfId="32615"/>
    <cellStyle name="Normal 144 4" xfId="32616"/>
    <cellStyle name="Normal 144 4 2" xfId="32617"/>
    <cellStyle name="Normal 144 5" xfId="32618"/>
    <cellStyle name="Normal 144 5 2" xfId="32619"/>
    <cellStyle name="Normal 144 6" xfId="32620"/>
    <cellStyle name="Normal 144 6 2" xfId="32621"/>
    <cellStyle name="Normal 144 7" xfId="32622"/>
    <cellStyle name="Normal 144 7 2" xfId="32623"/>
    <cellStyle name="Normal 144 8" xfId="32624"/>
    <cellStyle name="Normal 144 8 2" xfId="32625"/>
    <cellStyle name="Normal 144 9" xfId="32626"/>
    <cellStyle name="Normal 144 9 2" xfId="32627"/>
    <cellStyle name="Normal 144_Dakota Panel" xfId="32628"/>
    <cellStyle name="Normal 145" xfId="32629"/>
    <cellStyle name="Normal 145 10" xfId="32630"/>
    <cellStyle name="Normal 145 10 2" xfId="32631"/>
    <cellStyle name="Normal 145 11" xfId="32632"/>
    <cellStyle name="Normal 145 11 2" xfId="32633"/>
    <cellStyle name="Normal 145 12" xfId="32634"/>
    <cellStyle name="Normal 145 2" xfId="32635"/>
    <cellStyle name="Normal 145 2 2" xfId="32636"/>
    <cellStyle name="Normal 145 2 2 2" xfId="32637"/>
    <cellStyle name="Normal 145 2 3" xfId="32638"/>
    <cellStyle name="Normal 145 2 3 2" xfId="32639"/>
    <cellStyle name="Normal 145 2 4" xfId="32640"/>
    <cellStyle name="Normal 145 2 4 2" xfId="32641"/>
    <cellStyle name="Normal 145 2 5" xfId="32642"/>
    <cellStyle name="Normal 145 2 5 2" xfId="32643"/>
    <cellStyle name="Normal 145 2 6" xfId="32644"/>
    <cellStyle name="Normal 145 2 6 2" xfId="32645"/>
    <cellStyle name="Normal 145 2 7" xfId="32646"/>
    <cellStyle name="Normal 145 2 7 2" xfId="32647"/>
    <cellStyle name="Normal 145 2 8" xfId="32648"/>
    <cellStyle name="Normal 145 2 8 2" xfId="32649"/>
    <cellStyle name="Normal 145 2 9" xfId="32650"/>
    <cellStyle name="Normal 145 2 9 2" xfId="32651"/>
    <cellStyle name="Normal 145 2_Dakota Panel" xfId="32652"/>
    <cellStyle name="Normal 145 3" xfId="32653"/>
    <cellStyle name="Normal 145 3 2" xfId="32654"/>
    <cellStyle name="Normal 145 3 2 2" xfId="32655"/>
    <cellStyle name="Normal 145 3 3" xfId="32656"/>
    <cellStyle name="Normal 145 3 3 2" xfId="32657"/>
    <cellStyle name="Normal 145 3 4" xfId="32658"/>
    <cellStyle name="Normal 145 3 5" xfId="32659"/>
    <cellStyle name="Normal 145 4" xfId="32660"/>
    <cellStyle name="Normal 145 4 2" xfId="32661"/>
    <cellStyle name="Normal 145 5" xfId="32662"/>
    <cellStyle name="Normal 145 5 2" xfId="32663"/>
    <cellStyle name="Normal 145 6" xfId="32664"/>
    <cellStyle name="Normal 145 6 2" xfId="32665"/>
    <cellStyle name="Normal 145 7" xfId="32666"/>
    <cellStyle name="Normal 145 7 2" xfId="32667"/>
    <cellStyle name="Normal 145 8" xfId="32668"/>
    <cellStyle name="Normal 145 8 2" xfId="32669"/>
    <cellStyle name="Normal 145 9" xfId="32670"/>
    <cellStyle name="Normal 145 9 2" xfId="32671"/>
    <cellStyle name="Normal 145_Dakota Panel" xfId="32672"/>
    <cellStyle name="Normal 146" xfId="32673"/>
    <cellStyle name="Normal 146 10" xfId="32674"/>
    <cellStyle name="Normal 146 10 2" xfId="32675"/>
    <cellStyle name="Normal 146 11" xfId="32676"/>
    <cellStyle name="Normal 146 11 2" xfId="32677"/>
    <cellStyle name="Normal 146 12" xfId="32678"/>
    <cellStyle name="Normal 146 2" xfId="32679"/>
    <cellStyle name="Normal 146 2 2" xfId="32680"/>
    <cellStyle name="Normal 146 2 2 2" xfId="32681"/>
    <cellStyle name="Normal 146 2 3" xfId="32682"/>
    <cellStyle name="Normal 146 2 3 2" xfId="32683"/>
    <cellStyle name="Normal 146 2 4" xfId="32684"/>
    <cellStyle name="Normal 146 2 4 2" xfId="32685"/>
    <cellStyle name="Normal 146 2 5" xfId="32686"/>
    <cellStyle name="Normal 146 2 5 2" xfId="32687"/>
    <cellStyle name="Normal 146 2 6" xfId="32688"/>
    <cellStyle name="Normal 146 2 6 2" xfId="32689"/>
    <cellStyle name="Normal 146 2 7" xfId="32690"/>
    <cellStyle name="Normal 146 2 7 2" xfId="32691"/>
    <cellStyle name="Normal 146 2 8" xfId="32692"/>
    <cellStyle name="Normal 146 2 8 2" xfId="32693"/>
    <cellStyle name="Normal 146 2 9" xfId="32694"/>
    <cellStyle name="Normal 146 2 9 2" xfId="32695"/>
    <cellStyle name="Normal 146 2_Dakota Panel" xfId="32696"/>
    <cellStyle name="Normal 146 3" xfId="32697"/>
    <cellStyle name="Normal 146 3 2" xfId="32698"/>
    <cellStyle name="Normal 146 3 2 2" xfId="32699"/>
    <cellStyle name="Normal 146 3 3" xfId="32700"/>
    <cellStyle name="Normal 146 3 3 2" xfId="32701"/>
    <cellStyle name="Normal 146 3 4" xfId="32702"/>
    <cellStyle name="Normal 146 3 5" xfId="32703"/>
    <cellStyle name="Normal 146 4" xfId="32704"/>
    <cellStyle name="Normal 146 4 2" xfId="32705"/>
    <cellStyle name="Normal 146 5" xfId="32706"/>
    <cellStyle name="Normal 146 5 2" xfId="32707"/>
    <cellStyle name="Normal 146 6" xfId="32708"/>
    <cellStyle name="Normal 146 6 2" xfId="32709"/>
    <cellStyle name="Normal 146 7" xfId="32710"/>
    <cellStyle name="Normal 146 7 2" xfId="32711"/>
    <cellStyle name="Normal 146 8" xfId="32712"/>
    <cellStyle name="Normal 146 8 2" xfId="32713"/>
    <cellStyle name="Normal 146 9" xfId="32714"/>
    <cellStyle name="Normal 146 9 2" xfId="32715"/>
    <cellStyle name="Normal 146_Dakota Panel" xfId="32716"/>
    <cellStyle name="Normal 147" xfId="32717"/>
    <cellStyle name="Normal 147 10" xfId="32718"/>
    <cellStyle name="Normal 147 10 2" xfId="32719"/>
    <cellStyle name="Normal 147 11" xfId="32720"/>
    <cellStyle name="Normal 147 11 2" xfId="32721"/>
    <cellStyle name="Normal 147 12" xfId="32722"/>
    <cellStyle name="Normal 147 2" xfId="32723"/>
    <cellStyle name="Normal 147 2 2" xfId="32724"/>
    <cellStyle name="Normal 147 2 2 2" xfId="32725"/>
    <cellStyle name="Normal 147 2 3" xfId="32726"/>
    <cellStyle name="Normal 147 2 3 2" xfId="32727"/>
    <cellStyle name="Normal 147 2 4" xfId="32728"/>
    <cellStyle name="Normal 147 2 4 2" xfId="32729"/>
    <cellStyle name="Normal 147 2 5" xfId="32730"/>
    <cellStyle name="Normal 147 2 5 2" xfId="32731"/>
    <cellStyle name="Normal 147 2 6" xfId="32732"/>
    <cellStyle name="Normal 147 2 6 2" xfId="32733"/>
    <cellStyle name="Normal 147 2 7" xfId="32734"/>
    <cellStyle name="Normal 147 2 7 2" xfId="32735"/>
    <cellStyle name="Normal 147 2 8" xfId="32736"/>
    <cellStyle name="Normal 147 2 8 2" xfId="32737"/>
    <cellStyle name="Normal 147 2 9" xfId="32738"/>
    <cellStyle name="Normal 147 2 9 2" xfId="32739"/>
    <cellStyle name="Normal 147 2_Dakota Panel" xfId="32740"/>
    <cellStyle name="Normal 147 3" xfId="32741"/>
    <cellStyle name="Normal 147 3 2" xfId="32742"/>
    <cellStyle name="Normal 147 3 2 2" xfId="32743"/>
    <cellStyle name="Normal 147 3 3" xfId="32744"/>
    <cellStyle name="Normal 147 3 3 2" xfId="32745"/>
    <cellStyle name="Normal 147 3 4" xfId="32746"/>
    <cellStyle name="Normal 147 3 5" xfId="32747"/>
    <cellStyle name="Normal 147 4" xfId="32748"/>
    <cellStyle name="Normal 147 4 2" xfId="32749"/>
    <cellStyle name="Normal 147 5" xfId="32750"/>
    <cellStyle name="Normal 147 5 2" xfId="32751"/>
    <cellStyle name="Normal 147 6" xfId="32752"/>
    <cellStyle name="Normal 147 6 2" xfId="32753"/>
    <cellStyle name="Normal 147 7" xfId="32754"/>
    <cellStyle name="Normal 147 7 2" xfId="32755"/>
    <cellStyle name="Normal 147 8" xfId="32756"/>
    <cellStyle name="Normal 147 8 2" xfId="32757"/>
    <cellStyle name="Normal 147 9" xfId="32758"/>
    <cellStyle name="Normal 147 9 2" xfId="32759"/>
    <cellStyle name="Normal 147_Dakota Panel" xfId="32760"/>
    <cellStyle name="Normal 148" xfId="32761"/>
    <cellStyle name="Normal 148 10" xfId="32762"/>
    <cellStyle name="Normal 148 10 2" xfId="32763"/>
    <cellStyle name="Normal 148 11" xfId="32764"/>
    <cellStyle name="Normal 148 11 2" xfId="32765"/>
    <cellStyle name="Normal 148 12" xfId="32766"/>
    <cellStyle name="Normal 148 2" xfId="32767"/>
    <cellStyle name="Normal 148 2 2" xfId="32768"/>
    <cellStyle name="Normal 148 2 2 2" xfId="32769"/>
    <cellStyle name="Normal 148 2 3" xfId="32770"/>
    <cellStyle name="Normal 148 2 3 2" xfId="32771"/>
    <cellStyle name="Normal 148 2 4" xfId="32772"/>
    <cellStyle name="Normal 148 2 4 2" xfId="32773"/>
    <cellStyle name="Normal 148 2 5" xfId="32774"/>
    <cellStyle name="Normal 148 2 5 2" xfId="32775"/>
    <cellStyle name="Normal 148 2 6" xfId="32776"/>
    <cellStyle name="Normal 148 2 6 2" xfId="32777"/>
    <cellStyle name="Normal 148 2 7" xfId="32778"/>
    <cellStyle name="Normal 148 2 7 2" xfId="32779"/>
    <cellStyle name="Normal 148 2 8" xfId="32780"/>
    <cellStyle name="Normal 148 2 8 2" xfId="32781"/>
    <cellStyle name="Normal 148 2 9" xfId="32782"/>
    <cellStyle name="Normal 148 2 9 2" xfId="32783"/>
    <cellStyle name="Normal 148 2_Dakota Panel" xfId="32784"/>
    <cellStyle name="Normal 148 3" xfId="32785"/>
    <cellStyle name="Normal 148 3 2" xfId="32786"/>
    <cellStyle name="Normal 148 3 2 2" xfId="32787"/>
    <cellStyle name="Normal 148 3 3" xfId="32788"/>
    <cellStyle name="Normal 148 3 3 2" xfId="32789"/>
    <cellStyle name="Normal 148 3 4" xfId="32790"/>
    <cellStyle name="Normal 148 3 5" xfId="32791"/>
    <cellStyle name="Normal 148 4" xfId="32792"/>
    <cellStyle name="Normal 148 4 2" xfId="32793"/>
    <cellStyle name="Normal 148 5" xfId="32794"/>
    <cellStyle name="Normal 148 5 2" xfId="32795"/>
    <cellStyle name="Normal 148 6" xfId="32796"/>
    <cellStyle name="Normal 148 6 2" xfId="32797"/>
    <cellStyle name="Normal 148 7" xfId="32798"/>
    <cellStyle name="Normal 148 7 2" xfId="32799"/>
    <cellStyle name="Normal 148 8" xfId="32800"/>
    <cellStyle name="Normal 148 8 2" xfId="32801"/>
    <cellStyle name="Normal 148 9" xfId="32802"/>
    <cellStyle name="Normal 148 9 2" xfId="32803"/>
    <cellStyle name="Normal 148_Dakota Panel" xfId="32804"/>
    <cellStyle name="Normal 149" xfId="32805"/>
    <cellStyle name="Normal 149 10" xfId="32806"/>
    <cellStyle name="Normal 149 10 2" xfId="32807"/>
    <cellStyle name="Normal 149 11" xfId="32808"/>
    <cellStyle name="Normal 149 11 2" xfId="32809"/>
    <cellStyle name="Normal 149 12" xfId="32810"/>
    <cellStyle name="Normal 149 2" xfId="32811"/>
    <cellStyle name="Normal 149 2 2" xfId="32812"/>
    <cellStyle name="Normal 149 2 2 2" xfId="32813"/>
    <cellStyle name="Normal 149 2 3" xfId="32814"/>
    <cellStyle name="Normal 149 2 3 2" xfId="32815"/>
    <cellStyle name="Normal 149 2 4" xfId="32816"/>
    <cellStyle name="Normal 149 2 4 2" xfId="32817"/>
    <cellStyle name="Normal 149 2 5" xfId="32818"/>
    <cellStyle name="Normal 149 2 5 2" xfId="32819"/>
    <cellStyle name="Normal 149 2 6" xfId="32820"/>
    <cellStyle name="Normal 149 2 6 2" xfId="32821"/>
    <cellStyle name="Normal 149 2 7" xfId="32822"/>
    <cellStyle name="Normal 149 2 7 2" xfId="32823"/>
    <cellStyle name="Normal 149 2 8" xfId="32824"/>
    <cellStyle name="Normal 149 2 8 2" xfId="32825"/>
    <cellStyle name="Normal 149 2 9" xfId="32826"/>
    <cellStyle name="Normal 149 2 9 2" xfId="32827"/>
    <cellStyle name="Normal 149 2_Dakota Panel" xfId="32828"/>
    <cellStyle name="Normal 149 3" xfId="32829"/>
    <cellStyle name="Normal 149 3 2" xfId="32830"/>
    <cellStyle name="Normal 149 3 2 2" xfId="32831"/>
    <cellStyle name="Normal 149 3 3" xfId="32832"/>
    <cellStyle name="Normal 149 3 3 2" xfId="32833"/>
    <cellStyle name="Normal 149 3 4" xfId="32834"/>
    <cellStyle name="Normal 149 3 5" xfId="32835"/>
    <cellStyle name="Normal 149 4" xfId="32836"/>
    <cellStyle name="Normal 149 4 2" xfId="32837"/>
    <cellStyle name="Normal 149 5" xfId="32838"/>
    <cellStyle name="Normal 149 5 2" xfId="32839"/>
    <cellStyle name="Normal 149 6" xfId="32840"/>
    <cellStyle name="Normal 149 6 2" xfId="32841"/>
    <cellStyle name="Normal 149 7" xfId="32842"/>
    <cellStyle name="Normal 149 7 2" xfId="32843"/>
    <cellStyle name="Normal 149 8" xfId="32844"/>
    <cellStyle name="Normal 149 8 2" xfId="32845"/>
    <cellStyle name="Normal 149 9" xfId="32846"/>
    <cellStyle name="Normal 149 9 2" xfId="32847"/>
    <cellStyle name="Normal 149_Dakota Panel" xfId="32848"/>
    <cellStyle name="Normal 15" xfId="32849"/>
    <cellStyle name="Normal 15 10" xfId="32850"/>
    <cellStyle name="Normal 15 10 2" xfId="32851"/>
    <cellStyle name="Normal 15 11" xfId="32852"/>
    <cellStyle name="Normal 15 11 2" xfId="32853"/>
    <cellStyle name="Normal 15 12" xfId="32854"/>
    <cellStyle name="Normal 15 2" xfId="32855"/>
    <cellStyle name="Normal 15 2 2" xfId="32856"/>
    <cellStyle name="Normal 15 2 2 2" xfId="32857"/>
    <cellStyle name="Normal 15 2 2 3" xfId="32858"/>
    <cellStyle name="Normal 15 2 3" xfId="32859"/>
    <cellStyle name="Normal 15 2 4" xfId="32860"/>
    <cellStyle name="Normal 15 2 5" xfId="32861"/>
    <cellStyle name="Normal 15 3" xfId="32862"/>
    <cellStyle name="Normal 15 3 2" xfId="32863"/>
    <cellStyle name="Normal 15 3 2 2" xfId="32864"/>
    <cellStyle name="Normal 15 3 2 2 2" xfId="32865"/>
    <cellStyle name="Normal 15 3 2 3" xfId="32866"/>
    <cellStyle name="Normal 15 3 3" xfId="32867"/>
    <cellStyle name="Normal 15 3 3 2" xfId="32868"/>
    <cellStyle name="Normal 15 3 4" xfId="32869"/>
    <cellStyle name="Normal 15 4" xfId="32870"/>
    <cellStyle name="Normal 15 4 2" xfId="32871"/>
    <cellStyle name="Normal 15 4 2 2" xfId="32872"/>
    <cellStyle name="Normal 15 4 2 2 2" xfId="32873"/>
    <cellStyle name="Normal 15 4 3" xfId="32874"/>
    <cellStyle name="Normal 15 4 3 2" xfId="32875"/>
    <cellStyle name="Normal 15 4 4" xfId="32876"/>
    <cellStyle name="Normal 15 4 4 2" xfId="32877"/>
    <cellStyle name="Normal 15 4 5" xfId="32878"/>
    <cellStyle name="Normal 15 4 5 2" xfId="32879"/>
    <cellStyle name="Normal 15 4 6" xfId="32880"/>
    <cellStyle name="Normal 15 4 6 2" xfId="32881"/>
    <cellStyle name="Normal 15 4 7" xfId="32882"/>
    <cellStyle name="Normal 15 4 7 2" xfId="32883"/>
    <cellStyle name="Normal 15 4 8" xfId="32884"/>
    <cellStyle name="Normal 15 4 8 2" xfId="32885"/>
    <cellStyle name="Normal 15 4 9" xfId="32886"/>
    <cellStyle name="Normal 15 4 9 2" xfId="32887"/>
    <cellStyle name="Normal 15 4_Dakota Panel" xfId="32888"/>
    <cellStyle name="Normal 15 5" xfId="32889"/>
    <cellStyle name="Normal 15 5 2" xfId="32890"/>
    <cellStyle name="Normal 15 5 2 2" xfId="32891"/>
    <cellStyle name="Normal 15 6" xfId="32892"/>
    <cellStyle name="Normal 15 6 2" xfId="32893"/>
    <cellStyle name="Normal 15 6 2 2" xfId="32894"/>
    <cellStyle name="Normal 15 7" xfId="32895"/>
    <cellStyle name="Normal 15 7 2" xfId="32896"/>
    <cellStyle name="Normal 15 7 2 2" xfId="32897"/>
    <cellStyle name="Normal 15 7 3" xfId="32898"/>
    <cellStyle name="Normal 15 7 4" xfId="32899"/>
    <cellStyle name="Normal 15 8" xfId="32900"/>
    <cellStyle name="Normal 15 8 2" xfId="32901"/>
    <cellStyle name="Normal 15 9" xfId="32902"/>
    <cellStyle name="Normal 15 9 2" xfId="32903"/>
    <cellStyle name="Normal 15_Dakota Panel" xfId="32904"/>
    <cellStyle name="Normal 150" xfId="32905"/>
    <cellStyle name="Normal 150 10" xfId="32906"/>
    <cellStyle name="Normal 150 10 2" xfId="32907"/>
    <cellStyle name="Normal 150 11" xfId="32908"/>
    <cellStyle name="Normal 150 11 2" xfId="32909"/>
    <cellStyle name="Normal 150 12" xfId="32910"/>
    <cellStyle name="Normal 150 2" xfId="32911"/>
    <cellStyle name="Normal 150 2 2" xfId="32912"/>
    <cellStyle name="Normal 150 2 2 2" xfId="32913"/>
    <cellStyle name="Normal 150 2 3" xfId="32914"/>
    <cellStyle name="Normal 150 2 3 2" xfId="32915"/>
    <cellStyle name="Normal 150 2 4" xfId="32916"/>
    <cellStyle name="Normal 150 2 4 2" xfId="32917"/>
    <cellStyle name="Normal 150 2 5" xfId="32918"/>
    <cellStyle name="Normal 150 2 5 2" xfId="32919"/>
    <cellStyle name="Normal 150 2 6" xfId="32920"/>
    <cellStyle name="Normal 150 2 6 2" xfId="32921"/>
    <cellStyle name="Normal 150 2 7" xfId="32922"/>
    <cellStyle name="Normal 150 2 7 2" xfId="32923"/>
    <cellStyle name="Normal 150 2 8" xfId="32924"/>
    <cellStyle name="Normal 150 2 8 2" xfId="32925"/>
    <cellStyle name="Normal 150 2 9" xfId="32926"/>
    <cellStyle name="Normal 150 2 9 2" xfId="32927"/>
    <cellStyle name="Normal 150 2_Dakota Panel" xfId="32928"/>
    <cellStyle name="Normal 150 3" xfId="32929"/>
    <cellStyle name="Normal 150 3 2" xfId="32930"/>
    <cellStyle name="Normal 150 3 2 2" xfId="32931"/>
    <cellStyle name="Normal 150 3 3" xfId="32932"/>
    <cellStyle name="Normal 150 3 3 2" xfId="32933"/>
    <cellStyle name="Normal 150 3 4" xfId="32934"/>
    <cellStyle name="Normal 150 3 5" xfId="32935"/>
    <cellStyle name="Normal 150 4" xfId="32936"/>
    <cellStyle name="Normal 150 4 2" xfId="32937"/>
    <cellStyle name="Normal 150 5" xfId="32938"/>
    <cellStyle name="Normal 150 5 2" xfId="32939"/>
    <cellStyle name="Normal 150 6" xfId="32940"/>
    <cellStyle name="Normal 150 6 2" xfId="32941"/>
    <cellStyle name="Normal 150 7" xfId="32942"/>
    <cellStyle name="Normal 150 7 2" xfId="32943"/>
    <cellStyle name="Normal 150 8" xfId="32944"/>
    <cellStyle name="Normal 150 8 2" xfId="32945"/>
    <cellStyle name="Normal 150 9" xfId="32946"/>
    <cellStyle name="Normal 150 9 2" xfId="32947"/>
    <cellStyle name="Normal 150_Dakota Panel" xfId="32948"/>
    <cellStyle name="Normal 151" xfId="32949"/>
    <cellStyle name="Normal 151 10" xfId="32950"/>
    <cellStyle name="Normal 151 10 2" xfId="32951"/>
    <cellStyle name="Normal 151 11" xfId="32952"/>
    <cellStyle name="Normal 151 11 2" xfId="32953"/>
    <cellStyle name="Normal 151 12" xfId="32954"/>
    <cellStyle name="Normal 151 2" xfId="32955"/>
    <cellStyle name="Normal 151 2 2" xfId="32956"/>
    <cellStyle name="Normal 151 2 2 2" xfId="32957"/>
    <cellStyle name="Normal 151 2 3" xfId="32958"/>
    <cellStyle name="Normal 151 2 3 2" xfId="32959"/>
    <cellStyle name="Normal 151 2 4" xfId="32960"/>
    <cellStyle name="Normal 151 2 4 2" xfId="32961"/>
    <cellStyle name="Normal 151 2 5" xfId="32962"/>
    <cellStyle name="Normal 151 2 5 2" xfId="32963"/>
    <cellStyle name="Normal 151 2 6" xfId="32964"/>
    <cellStyle name="Normal 151 2 6 2" xfId="32965"/>
    <cellStyle name="Normal 151 2 7" xfId="32966"/>
    <cellStyle name="Normal 151 2 7 2" xfId="32967"/>
    <cellStyle name="Normal 151 2 8" xfId="32968"/>
    <cellStyle name="Normal 151 2 8 2" xfId="32969"/>
    <cellStyle name="Normal 151 2 9" xfId="32970"/>
    <cellStyle name="Normal 151 2 9 2" xfId="32971"/>
    <cellStyle name="Normal 151 2_Dakota Panel" xfId="32972"/>
    <cellStyle name="Normal 151 3" xfId="32973"/>
    <cellStyle name="Normal 151 3 2" xfId="32974"/>
    <cellStyle name="Normal 151 3 2 2" xfId="32975"/>
    <cellStyle name="Normal 151 3 3" xfId="32976"/>
    <cellStyle name="Normal 151 3 3 2" xfId="32977"/>
    <cellStyle name="Normal 151 3 4" xfId="32978"/>
    <cellStyle name="Normal 151 3 5" xfId="32979"/>
    <cellStyle name="Normal 151 4" xfId="32980"/>
    <cellStyle name="Normal 151 4 2" xfId="32981"/>
    <cellStyle name="Normal 151 5" xfId="32982"/>
    <cellStyle name="Normal 151 5 2" xfId="32983"/>
    <cellStyle name="Normal 151 6" xfId="32984"/>
    <cellStyle name="Normal 151 6 2" xfId="32985"/>
    <cellStyle name="Normal 151 7" xfId="32986"/>
    <cellStyle name="Normal 151 7 2" xfId="32987"/>
    <cellStyle name="Normal 151 8" xfId="32988"/>
    <cellStyle name="Normal 151 8 2" xfId="32989"/>
    <cellStyle name="Normal 151 9" xfId="32990"/>
    <cellStyle name="Normal 151 9 2" xfId="32991"/>
    <cellStyle name="Normal 151_Dakota Panel" xfId="32992"/>
    <cellStyle name="Normal 152" xfId="32993"/>
    <cellStyle name="Normal 152 10" xfId="32994"/>
    <cellStyle name="Normal 152 10 2" xfId="32995"/>
    <cellStyle name="Normal 152 11" xfId="32996"/>
    <cellStyle name="Normal 152 11 2" xfId="32997"/>
    <cellStyle name="Normal 152 12" xfId="32998"/>
    <cellStyle name="Normal 152 2" xfId="32999"/>
    <cellStyle name="Normal 152 2 2" xfId="33000"/>
    <cellStyle name="Normal 152 2 2 2" xfId="33001"/>
    <cellStyle name="Normal 152 2 3" xfId="33002"/>
    <cellStyle name="Normal 152 2 3 2" xfId="33003"/>
    <cellStyle name="Normal 152 2 4" xfId="33004"/>
    <cellStyle name="Normal 152 2 4 2" xfId="33005"/>
    <cellStyle name="Normal 152 2 5" xfId="33006"/>
    <cellStyle name="Normal 152 2 5 2" xfId="33007"/>
    <cellStyle name="Normal 152 2 6" xfId="33008"/>
    <cellStyle name="Normal 152 2 6 2" xfId="33009"/>
    <cellStyle name="Normal 152 2 7" xfId="33010"/>
    <cellStyle name="Normal 152 2 7 2" xfId="33011"/>
    <cellStyle name="Normal 152 2 8" xfId="33012"/>
    <cellStyle name="Normal 152 2 8 2" xfId="33013"/>
    <cellStyle name="Normal 152 2 9" xfId="33014"/>
    <cellStyle name="Normal 152 2 9 2" xfId="33015"/>
    <cellStyle name="Normal 152 2_Dakota Panel" xfId="33016"/>
    <cellStyle name="Normal 152 3" xfId="33017"/>
    <cellStyle name="Normal 152 3 2" xfId="33018"/>
    <cellStyle name="Normal 152 3 2 2" xfId="33019"/>
    <cellStyle name="Normal 152 3 3" xfId="33020"/>
    <cellStyle name="Normal 152 3 3 2" xfId="33021"/>
    <cellStyle name="Normal 152 3 4" xfId="33022"/>
    <cellStyle name="Normal 152 3 5" xfId="33023"/>
    <cellStyle name="Normal 152 4" xfId="33024"/>
    <cellStyle name="Normal 152 4 2" xfId="33025"/>
    <cellStyle name="Normal 152 5" xfId="33026"/>
    <cellStyle name="Normal 152 5 2" xfId="33027"/>
    <cellStyle name="Normal 152 6" xfId="33028"/>
    <cellStyle name="Normal 152 6 2" xfId="33029"/>
    <cellStyle name="Normal 152 7" xfId="33030"/>
    <cellStyle name="Normal 152 7 2" xfId="33031"/>
    <cellStyle name="Normal 152 8" xfId="33032"/>
    <cellStyle name="Normal 152 8 2" xfId="33033"/>
    <cellStyle name="Normal 152 9" xfId="33034"/>
    <cellStyle name="Normal 152 9 2" xfId="33035"/>
    <cellStyle name="Normal 152_Dakota Panel" xfId="33036"/>
    <cellStyle name="Normal 153" xfId="33037"/>
    <cellStyle name="Normal 153 10" xfId="33038"/>
    <cellStyle name="Normal 153 10 2" xfId="33039"/>
    <cellStyle name="Normal 153 11" xfId="33040"/>
    <cellStyle name="Normal 153 11 2" xfId="33041"/>
    <cellStyle name="Normal 153 12" xfId="33042"/>
    <cellStyle name="Normal 153 2" xfId="33043"/>
    <cellStyle name="Normal 153 2 2" xfId="33044"/>
    <cellStyle name="Normal 153 2 2 2" xfId="33045"/>
    <cellStyle name="Normal 153 2 3" xfId="33046"/>
    <cellStyle name="Normal 153 2 3 2" xfId="33047"/>
    <cellStyle name="Normal 153 2 4" xfId="33048"/>
    <cellStyle name="Normal 153 2 4 2" xfId="33049"/>
    <cellStyle name="Normal 153 2 5" xfId="33050"/>
    <cellStyle name="Normal 153 2 5 2" xfId="33051"/>
    <cellStyle name="Normal 153 2 6" xfId="33052"/>
    <cellStyle name="Normal 153 2 6 2" xfId="33053"/>
    <cellStyle name="Normal 153 2 7" xfId="33054"/>
    <cellStyle name="Normal 153 2 7 2" xfId="33055"/>
    <cellStyle name="Normal 153 2 8" xfId="33056"/>
    <cellStyle name="Normal 153 2 8 2" xfId="33057"/>
    <cellStyle name="Normal 153 2 9" xfId="33058"/>
    <cellStyle name="Normal 153 2 9 2" xfId="33059"/>
    <cellStyle name="Normal 153 2_Dakota Panel" xfId="33060"/>
    <cellStyle name="Normal 153 3" xfId="33061"/>
    <cellStyle name="Normal 153 3 2" xfId="33062"/>
    <cellStyle name="Normal 153 3 2 2" xfId="33063"/>
    <cellStyle name="Normal 153 3 3" xfId="33064"/>
    <cellStyle name="Normal 153 3 3 2" xfId="33065"/>
    <cellStyle name="Normal 153 3 4" xfId="33066"/>
    <cellStyle name="Normal 153 3 5" xfId="33067"/>
    <cellStyle name="Normal 153 4" xfId="33068"/>
    <cellStyle name="Normal 153 4 2" xfId="33069"/>
    <cellStyle name="Normal 153 5" xfId="33070"/>
    <cellStyle name="Normal 153 5 2" xfId="33071"/>
    <cellStyle name="Normal 153 6" xfId="33072"/>
    <cellStyle name="Normal 153 6 2" xfId="33073"/>
    <cellStyle name="Normal 153 7" xfId="33074"/>
    <cellStyle name="Normal 153 7 2" xfId="33075"/>
    <cellStyle name="Normal 153 8" xfId="33076"/>
    <cellStyle name="Normal 153 8 2" xfId="33077"/>
    <cellStyle name="Normal 153 9" xfId="33078"/>
    <cellStyle name="Normal 153 9 2" xfId="33079"/>
    <cellStyle name="Normal 153_Dakota Panel" xfId="33080"/>
    <cellStyle name="Normal 154" xfId="33081"/>
    <cellStyle name="Normal 154 10" xfId="33082"/>
    <cellStyle name="Normal 154 10 2" xfId="33083"/>
    <cellStyle name="Normal 154 11" xfId="33084"/>
    <cellStyle name="Normal 154 11 2" xfId="33085"/>
    <cellStyle name="Normal 154 12" xfId="33086"/>
    <cellStyle name="Normal 154 2" xfId="33087"/>
    <cellStyle name="Normal 154 2 2" xfId="33088"/>
    <cellStyle name="Normal 154 2 2 2" xfId="33089"/>
    <cellStyle name="Normal 154 2 3" xfId="33090"/>
    <cellStyle name="Normal 154 2 3 2" xfId="33091"/>
    <cellStyle name="Normal 154 2 4" xfId="33092"/>
    <cellStyle name="Normal 154 2 4 2" xfId="33093"/>
    <cellStyle name="Normal 154 2 5" xfId="33094"/>
    <cellStyle name="Normal 154 2 5 2" xfId="33095"/>
    <cellStyle name="Normal 154 2 6" xfId="33096"/>
    <cellStyle name="Normal 154 2 6 2" xfId="33097"/>
    <cellStyle name="Normal 154 2 7" xfId="33098"/>
    <cellStyle name="Normal 154 2 7 2" xfId="33099"/>
    <cellStyle name="Normal 154 2 8" xfId="33100"/>
    <cellStyle name="Normal 154 2 8 2" xfId="33101"/>
    <cellStyle name="Normal 154 2 9" xfId="33102"/>
    <cellStyle name="Normal 154 2 9 2" xfId="33103"/>
    <cellStyle name="Normal 154 2_Dakota Panel" xfId="33104"/>
    <cellStyle name="Normal 154 3" xfId="33105"/>
    <cellStyle name="Normal 154 3 2" xfId="33106"/>
    <cellStyle name="Normal 154 3 2 2" xfId="33107"/>
    <cellStyle name="Normal 154 3 3" xfId="33108"/>
    <cellStyle name="Normal 154 3 3 2" xfId="33109"/>
    <cellStyle name="Normal 154 3 4" xfId="33110"/>
    <cellStyle name="Normal 154 3 5" xfId="33111"/>
    <cellStyle name="Normal 154 4" xfId="33112"/>
    <cellStyle name="Normal 154 4 2" xfId="33113"/>
    <cellStyle name="Normal 154 5" xfId="33114"/>
    <cellStyle name="Normal 154 5 2" xfId="33115"/>
    <cellStyle name="Normal 154 6" xfId="33116"/>
    <cellStyle name="Normal 154 6 2" xfId="33117"/>
    <cellStyle name="Normal 154 7" xfId="33118"/>
    <cellStyle name="Normal 154 7 2" xfId="33119"/>
    <cellStyle name="Normal 154 8" xfId="33120"/>
    <cellStyle name="Normal 154 8 2" xfId="33121"/>
    <cellStyle name="Normal 154 9" xfId="33122"/>
    <cellStyle name="Normal 154 9 2" xfId="33123"/>
    <cellStyle name="Normal 154_Dakota Panel" xfId="33124"/>
    <cellStyle name="Normal 155" xfId="33125"/>
    <cellStyle name="Normal 155 10" xfId="33126"/>
    <cellStyle name="Normal 155 10 2" xfId="33127"/>
    <cellStyle name="Normal 155 11" xfId="33128"/>
    <cellStyle name="Normal 155 11 2" xfId="33129"/>
    <cellStyle name="Normal 155 12" xfId="33130"/>
    <cellStyle name="Normal 155 2" xfId="33131"/>
    <cellStyle name="Normal 155 2 2" xfId="33132"/>
    <cellStyle name="Normal 155 2 2 2" xfId="33133"/>
    <cellStyle name="Normal 155 2 3" xfId="33134"/>
    <cellStyle name="Normal 155 2 3 2" xfId="33135"/>
    <cellStyle name="Normal 155 2 4" xfId="33136"/>
    <cellStyle name="Normal 155 2 4 2" xfId="33137"/>
    <cellStyle name="Normal 155 2 5" xfId="33138"/>
    <cellStyle name="Normal 155 2 5 2" xfId="33139"/>
    <cellStyle name="Normal 155 2 6" xfId="33140"/>
    <cellStyle name="Normal 155 2 6 2" xfId="33141"/>
    <cellStyle name="Normal 155 2 7" xfId="33142"/>
    <cellStyle name="Normal 155 2 7 2" xfId="33143"/>
    <cellStyle name="Normal 155 2 8" xfId="33144"/>
    <cellStyle name="Normal 155 2 8 2" xfId="33145"/>
    <cellStyle name="Normal 155 2 9" xfId="33146"/>
    <cellStyle name="Normal 155 2 9 2" xfId="33147"/>
    <cellStyle name="Normal 155 2_Dakota Panel" xfId="33148"/>
    <cellStyle name="Normal 155 3" xfId="33149"/>
    <cellStyle name="Normal 155 3 2" xfId="33150"/>
    <cellStyle name="Normal 155 3 2 2" xfId="33151"/>
    <cellStyle name="Normal 155 3 3" xfId="33152"/>
    <cellStyle name="Normal 155 3 3 2" xfId="33153"/>
    <cellStyle name="Normal 155 3 4" xfId="33154"/>
    <cellStyle name="Normal 155 3 5" xfId="33155"/>
    <cellStyle name="Normal 155 4" xfId="33156"/>
    <cellStyle name="Normal 155 4 2" xfId="33157"/>
    <cellStyle name="Normal 155 5" xfId="33158"/>
    <cellStyle name="Normal 155 5 2" xfId="33159"/>
    <cellStyle name="Normal 155 6" xfId="33160"/>
    <cellStyle name="Normal 155 6 2" xfId="33161"/>
    <cellStyle name="Normal 155 7" xfId="33162"/>
    <cellStyle name="Normal 155 7 2" xfId="33163"/>
    <cellStyle name="Normal 155 8" xfId="33164"/>
    <cellStyle name="Normal 155 8 2" xfId="33165"/>
    <cellStyle name="Normal 155 9" xfId="33166"/>
    <cellStyle name="Normal 155 9 2" xfId="33167"/>
    <cellStyle name="Normal 155_Dakota Panel" xfId="33168"/>
    <cellStyle name="Normal 156" xfId="33169"/>
    <cellStyle name="Normal 156 10" xfId="33170"/>
    <cellStyle name="Normal 156 10 2" xfId="33171"/>
    <cellStyle name="Normal 156 11" xfId="33172"/>
    <cellStyle name="Normal 156 11 2" xfId="33173"/>
    <cellStyle name="Normal 156 12" xfId="33174"/>
    <cellStyle name="Normal 156 2" xfId="33175"/>
    <cellStyle name="Normal 156 2 2" xfId="33176"/>
    <cellStyle name="Normal 156 2 2 2" xfId="33177"/>
    <cellStyle name="Normal 156 2 3" xfId="33178"/>
    <cellStyle name="Normal 156 2 3 2" xfId="33179"/>
    <cellStyle name="Normal 156 2 4" xfId="33180"/>
    <cellStyle name="Normal 156 2 4 2" xfId="33181"/>
    <cellStyle name="Normal 156 2 5" xfId="33182"/>
    <cellStyle name="Normal 156 2 5 2" xfId="33183"/>
    <cellStyle name="Normal 156 2 6" xfId="33184"/>
    <cellStyle name="Normal 156 2 6 2" xfId="33185"/>
    <cellStyle name="Normal 156 2 7" xfId="33186"/>
    <cellStyle name="Normal 156 2 7 2" xfId="33187"/>
    <cellStyle name="Normal 156 2 8" xfId="33188"/>
    <cellStyle name="Normal 156 2 8 2" xfId="33189"/>
    <cellStyle name="Normal 156 2 9" xfId="33190"/>
    <cellStyle name="Normal 156 2 9 2" xfId="33191"/>
    <cellStyle name="Normal 156 2_Dakota Panel" xfId="33192"/>
    <cellStyle name="Normal 156 3" xfId="33193"/>
    <cellStyle name="Normal 156 3 2" xfId="33194"/>
    <cellStyle name="Normal 156 3 2 2" xfId="33195"/>
    <cellStyle name="Normal 156 3 3" xfId="33196"/>
    <cellStyle name="Normal 156 3 3 2" xfId="33197"/>
    <cellStyle name="Normal 156 3 4" xfId="33198"/>
    <cellStyle name="Normal 156 3 5" xfId="33199"/>
    <cellStyle name="Normal 156 4" xfId="33200"/>
    <cellStyle name="Normal 156 4 2" xfId="33201"/>
    <cellStyle name="Normal 156 5" xfId="33202"/>
    <cellStyle name="Normal 156 5 2" xfId="33203"/>
    <cellStyle name="Normal 156 6" xfId="33204"/>
    <cellStyle name="Normal 156 6 2" xfId="33205"/>
    <cellStyle name="Normal 156 7" xfId="33206"/>
    <cellStyle name="Normal 156 7 2" xfId="33207"/>
    <cellStyle name="Normal 156 8" xfId="33208"/>
    <cellStyle name="Normal 156 8 2" xfId="33209"/>
    <cellStyle name="Normal 156 9" xfId="33210"/>
    <cellStyle name="Normal 156 9 2" xfId="33211"/>
    <cellStyle name="Normal 156_Dakota Panel" xfId="33212"/>
    <cellStyle name="Normal 157" xfId="33213"/>
    <cellStyle name="Normal 157 10" xfId="33214"/>
    <cellStyle name="Normal 157 10 2" xfId="33215"/>
    <cellStyle name="Normal 157 11" xfId="33216"/>
    <cellStyle name="Normal 157 11 2" xfId="33217"/>
    <cellStyle name="Normal 157 12" xfId="33218"/>
    <cellStyle name="Normal 157 2" xfId="33219"/>
    <cellStyle name="Normal 157 2 2" xfId="33220"/>
    <cellStyle name="Normal 157 2 2 2" xfId="33221"/>
    <cellStyle name="Normal 157 2 3" xfId="33222"/>
    <cellStyle name="Normal 157 2 3 2" xfId="33223"/>
    <cellStyle name="Normal 157 2 4" xfId="33224"/>
    <cellStyle name="Normal 157 2 4 2" xfId="33225"/>
    <cellStyle name="Normal 157 2 5" xfId="33226"/>
    <cellStyle name="Normal 157 2 5 2" xfId="33227"/>
    <cellStyle name="Normal 157 2 6" xfId="33228"/>
    <cellStyle name="Normal 157 2 6 2" xfId="33229"/>
    <cellStyle name="Normal 157 2 7" xfId="33230"/>
    <cellStyle name="Normal 157 2 7 2" xfId="33231"/>
    <cellStyle name="Normal 157 2 8" xfId="33232"/>
    <cellStyle name="Normal 157 2 8 2" xfId="33233"/>
    <cellStyle name="Normal 157 2 9" xfId="33234"/>
    <cellStyle name="Normal 157 2 9 2" xfId="33235"/>
    <cellStyle name="Normal 157 2_Dakota Panel" xfId="33236"/>
    <cellStyle name="Normal 157 3" xfId="33237"/>
    <cellStyle name="Normal 157 3 2" xfId="33238"/>
    <cellStyle name="Normal 157 3 2 2" xfId="33239"/>
    <cellStyle name="Normal 157 3 3" xfId="33240"/>
    <cellStyle name="Normal 157 3 3 2" xfId="33241"/>
    <cellStyle name="Normal 157 3 4" xfId="33242"/>
    <cellStyle name="Normal 157 3 5" xfId="33243"/>
    <cellStyle name="Normal 157 4" xfId="33244"/>
    <cellStyle name="Normal 157 4 2" xfId="33245"/>
    <cellStyle name="Normal 157 5" xfId="33246"/>
    <cellStyle name="Normal 157 5 2" xfId="33247"/>
    <cellStyle name="Normal 157 6" xfId="33248"/>
    <cellStyle name="Normal 157 6 2" xfId="33249"/>
    <cellStyle name="Normal 157 7" xfId="33250"/>
    <cellStyle name="Normal 157 7 2" xfId="33251"/>
    <cellStyle name="Normal 157 8" xfId="33252"/>
    <cellStyle name="Normal 157 8 2" xfId="33253"/>
    <cellStyle name="Normal 157 9" xfId="33254"/>
    <cellStyle name="Normal 157 9 2" xfId="33255"/>
    <cellStyle name="Normal 157_Dakota Panel" xfId="33256"/>
    <cellStyle name="Normal 158" xfId="33257"/>
    <cellStyle name="Normal 158 10" xfId="33258"/>
    <cellStyle name="Normal 158 10 2" xfId="33259"/>
    <cellStyle name="Normal 158 11" xfId="33260"/>
    <cellStyle name="Normal 158 11 2" xfId="33261"/>
    <cellStyle name="Normal 158 12" xfId="33262"/>
    <cellStyle name="Normal 158 2" xfId="33263"/>
    <cellStyle name="Normal 158 2 2" xfId="33264"/>
    <cellStyle name="Normal 158 2 2 2" xfId="33265"/>
    <cellStyle name="Normal 158 2 3" xfId="33266"/>
    <cellStyle name="Normal 158 2 3 2" xfId="33267"/>
    <cellStyle name="Normal 158 2 4" xfId="33268"/>
    <cellStyle name="Normal 158 2 4 2" xfId="33269"/>
    <cellStyle name="Normal 158 2 5" xfId="33270"/>
    <cellStyle name="Normal 158 2 5 2" xfId="33271"/>
    <cellStyle name="Normal 158 2 6" xfId="33272"/>
    <cellStyle name="Normal 158 2 6 2" xfId="33273"/>
    <cellStyle name="Normal 158 2 7" xfId="33274"/>
    <cellStyle name="Normal 158 2 7 2" xfId="33275"/>
    <cellStyle name="Normal 158 2 8" xfId="33276"/>
    <cellStyle name="Normal 158 2 8 2" xfId="33277"/>
    <cellStyle name="Normal 158 2 9" xfId="33278"/>
    <cellStyle name="Normal 158 2 9 2" xfId="33279"/>
    <cellStyle name="Normal 158 2_Dakota Panel" xfId="33280"/>
    <cellStyle name="Normal 158 3" xfId="33281"/>
    <cellStyle name="Normal 158 3 2" xfId="33282"/>
    <cellStyle name="Normal 158 3 2 2" xfId="33283"/>
    <cellStyle name="Normal 158 3 3" xfId="33284"/>
    <cellStyle name="Normal 158 3 3 2" xfId="33285"/>
    <cellStyle name="Normal 158 3 4" xfId="33286"/>
    <cellStyle name="Normal 158 3 5" xfId="33287"/>
    <cellStyle name="Normal 158 4" xfId="33288"/>
    <cellStyle name="Normal 158 4 2" xfId="33289"/>
    <cellStyle name="Normal 158 5" xfId="33290"/>
    <cellStyle name="Normal 158 5 2" xfId="33291"/>
    <cellStyle name="Normal 158 6" xfId="33292"/>
    <cellStyle name="Normal 158 6 2" xfId="33293"/>
    <cellStyle name="Normal 158 7" xfId="33294"/>
    <cellStyle name="Normal 158 7 2" xfId="33295"/>
    <cellStyle name="Normal 158 8" xfId="33296"/>
    <cellStyle name="Normal 158 8 2" xfId="33297"/>
    <cellStyle name="Normal 158 9" xfId="33298"/>
    <cellStyle name="Normal 158 9 2" xfId="33299"/>
    <cellStyle name="Normal 158_Dakota Panel" xfId="33300"/>
    <cellStyle name="Normal 159" xfId="33301"/>
    <cellStyle name="Normal 159 10" xfId="33302"/>
    <cellStyle name="Normal 159 10 2" xfId="33303"/>
    <cellStyle name="Normal 159 11" xfId="33304"/>
    <cellStyle name="Normal 159 11 2" xfId="33305"/>
    <cellStyle name="Normal 159 12" xfId="33306"/>
    <cellStyle name="Normal 159 2" xfId="33307"/>
    <cellStyle name="Normal 159 2 2" xfId="33308"/>
    <cellStyle name="Normal 159 2 2 2" xfId="33309"/>
    <cellStyle name="Normal 159 2 3" xfId="33310"/>
    <cellStyle name="Normal 159 2 3 2" xfId="33311"/>
    <cellStyle name="Normal 159 2 4" xfId="33312"/>
    <cellStyle name="Normal 159 2 4 2" xfId="33313"/>
    <cellStyle name="Normal 159 2 5" xfId="33314"/>
    <cellStyle name="Normal 159 2 5 2" xfId="33315"/>
    <cellStyle name="Normal 159 2 6" xfId="33316"/>
    <cellStyle name="Normal 159 2 6 2" xfId="33317"/>
    <cellStyle name="Normal 159 2 7" xfId="33318"/>
    <cellStyle name="Normal 159 2 7 2" xfId="33319"/>
    <cellStyle name="Normal 159 2 8" xfId="33320"/>
    <cellStyle name="Normal 159 2 8 2" xfId="33321"/>
    <cellStyle name="Normal 159 2 9" xfId="33322"/>
    <cellStyle name="Normal 159 2 9 2" xfId="33323"/>
    <cellStyle name="Normal 159 2_Dakota Panel" xfId="33324"/>
    <cellStyle name="Normal 159 3" xfId="33325"/>
    <cellStyle name="Normal 159 3 2" xfId="33326"/>
    <cellStyle name="Normal 159 3 2 2" xfId="33327"/>
    <cellStyle name="Normal 159 3 3" xfId="33328"/>
    <cellStyle name="Normal 159 3 3 2" xfId="33329"/>
    <cellStyle name="Normal 159 3 4" xfId="33330"/>
    <cellStyle name="Normal 159 3 5" xfId="33331"/>
    <cellStyle name="Normal 159 4" xfId="33332"/>
    <cellStyle name="Normal 159 4 2" xfId="33333"/>
    <cellStyle name="Normal 159 5" xfId="33334"/>
    <cellStyle name="Normal 159 5 2" xfId="33335"/>
    <cellStyle name="Normal 159 6" xfId="33336"/>
    <cellStyle name="Normal 159 6 2" xfId="33337"/>
    <cellStyle name="Normal 159 7" xfId="33338"/>
    <cellStyle name="Normal 159 7 2" xfId="33339"/>
    <cellStyle name="Normal 159 8" xfId="33340"/>
    <cellStyle name="Normal 159 8 2" xfId="33341"/>
    <cellStyle name="Normal 159 9" xfId="33342"/>
    <cellStyle name="Normal 159 9 2" xfId="33343"/>
    <cellStyle name="Normal 159_Dakota Panel" xfId="33344"/>
    <cellStyle name="Normal 16" xfId="33345"/>
    <cellStyle name="Normal 16 10" xfId="33346"/>
    <cellStyle name="Normal 16 10 2" xfId="33347"/>
    <cellStyle name="Normal 16 11" xfId="33348"/>
    <cellStyle name="Normal 16 11 2" xfId="33349"/>
    <cellStyle name="Normal 16 12" xfId="33350"/>
    <cellStyle name="Normal 16 2" xfId="33351"/>
    <cellStyle name="Normal 16 2 2" xfId="33352"/>
    <cellStyle name="Normal 16 2 2 2" xfId="33353"/>
    <cellStyle name="Normal 16 2 2 3" xfId="33354"/>
    <cellStyle name="Normal 16 2 3" xfId="33355"/>
    <cellStyle name="Normal 16 2 4" xfId="33356"/>
    <cellStyle name="Normal 16 2 5" xfId="33357"/>
    <cellStyle name="Normal 16 3" xfId="33358"/>
    <cellStyle name="Normal 16 3 2" xfId="33359"/>
    <cellStyle name="Normal 16 3 2 2" xfId="33360"/>
    <cellStyle name="Normal 16 3 2 2 2" xfId="33361"/>
    <cellStyle name="Normal 16 3 2 3" xfId="33362"/>
    <cellStyle name="Normal 16 3 3" xfId="33363"/>
    <cellStyle name="Normal 16 3 3 2" xfId="33364"/>
    <cellStyle name="Normal 16 3 3 2 2" xfId="33365"/>
    <cellStyle name="Normal 16 3 4" xfId="33366"/>
    <cellStyle name="Normal 16 3 4 2" xfId="33367"/>
    <cellStyle name="Normal 16 3 5" xfId="33368"/>
    <cellStyle name="Normal 16 3 5 2" xfId="33369"/>
    <cellStyle name="Normal 16 3 6" xfId="33370"/>
    <cellStyle name="Normal 16 3 6 2" xfId="33371"/>
    <cellStyle name="Normal 16 3 7" xfId="33372"/>
    <cellStyle name="Normal 16 3 7 2" xfId="33373"/>
    <cellStyle name="Normal 16 3 8" xfId="33374"/>
    <cellStyle name="Normal 16 3 8 2" xfId="33375"/>
    <cellStyle name="Normal 16 3 9" xfId="33376"/>
    <cellStyle name="Normal 16 3 9 2" xfId="33377"/>
    <cellStyle name="Normal 16 3_Dakota Panel" xfId="33378"/>
    <cellStyle name="Normal 16 4" xfId="33379"/>
    <cellStyle name="Normal 16 4 2" xfId="33380"/>
    <cellStyle name="Normal 16 4 2 2" xfId="33381"/>
    <cellStyle name="Normal 16 4 3" xfId="33382"/>
    <cellStyle name="Normal 16 4 4" xfId="33383"/>
    <cellStyle name="Normal 16 4 4 2" xfId="33384"/>
    <cellStyle name="Normal 16 5" xfId="33385"/>
    <cellStyle name="Normal 16 5 2" xfId="33386"/>
    <cellStyle name="Normal 16 5 3" xfId="33387"/>
    <cellStyle name="Normal 16 5 3 2" xfId="33388"/>
    <cellStyle name="Normal 16 6" xfId="33389"/>
    <cellStyle name="Normal 16 6 2" xfId="33390"/>
    <cellStyle name="Normal 16 6 2 2" xfId="33391"/>
    <cellStyle name="Normal 16 7" xfId="33392"/>
    <cellStyle name="Normal 16 7 2" xfId="33393"/>
    <cellStyle name="Normal 16 7 2 2" xfId="33394"/>
    <cellStyle name="Normal 16 8" xfId="33395"/>
    <cellStyle name="Normal 16 8 2" xfId="33396"/>
    <cellStyle name="Normal 16 8 2 2" xfId="33397"/>
    <cellStyle name="Normal 16 8 3" xfId="33398"/>
    <cellStyle name="Normal 16 8 4" xfId="33399"/>
    <cellStyle name="Normal 16 9" xfId="33400"/>
    <cellStyle name="Normal 16 9 2" xfId="33401"/>
    <cellStyle name="Normal 16_Dakota Panel" xfId="33402"/>
    <cellStyle name="Normal 160" xfId="33403"/>
    <cellStyle name="Normal 160 10" xfId="33404"/>
    <cellStyle name="Normal 160 10 2" xfId="33405"/>
    <cellStyle name="Normal 160 11" xfId="33406"/>
    <cellStyle name="Normal 160 11 2" xfId="33407"/>
    <cellStyle name="Normal 160 12" xfId="33408"/>
    <cellStyle name="Normal 160 2" xfId="33409"/>
    <cellStyle name="Normal 160 2 2" xfId="33410"/>
    <cellStyle name="Normal 160 2 2 2" xfId="33411"/>
    <cellStyle name="Normal 160 2 3" xfId="33412"/>
    <cellStyle name="Normal 160 2 3 2" xfId="33413"/>
    <cellStyle name="Normal 160 2 4" xfId="33414"/>
    <cellStyle name="Normal 160 2 4 2" xfId="33415"/>
    <cellStyle name="Normal 160 2 5" xfId="33416"/>
    <cellStyle name="Normal 160 2 5 2" xfId="33417"/>
    <cellStyle name="Normal 160 2 6" xfId="33418"/>
    <cellStyle name="Normal 160 2 6 2" xfId="33419"/>
    <cellStyle name="Normal 160 2 7" xfId="33420"/>
    <cellStyle name="Normal 160 2 7 2" xfId="33421"/>
    <cellStyle name="Normal 160 2 8" xfId="33422"/>
    <cellStyle name="Normal 160 2 8 2" xfId="33423"/>
    <cellStyle name="Normal 160 2 9" xfId="33424"/>
    <cellStyle name="Normal 160 2 9 2" xfId="33425"/>
    <cellStyle name="Normal 160 2_Dakota Panel" xfId="33426"/>
    <cellStyle name="Normal 160 3" xfId="33427"/>
    <cellStyle name="Normal 160 3 2" xfId="33428"/>
    <cellStyle name="Normal 160 3 2 2" xfId="33429"/>
    <cellStyle name="Normal 160 3 3" xfId="33430"/>
    <cellStyle name="Normal 160 3 3 2" xfId="33431"/>
    <cellStyle name="Normal 160 3 4" xfId="33432"/>
    <cellStyle name="Normal 160 3 5" xfId="33433"/>
    <cellStyle name="Normal 160 4" xfId="33434"/>
    <cellStyle name="Normal 160 4 2" xfId="33435"/>
    <cellStyle name="Normal 160 5" xfId="33436"/>
    <cellStyle name="Normal 160 5 2" xfId="33437"/>
    <cellStyle name="Normal 160 6" xfId="33438"/>
    <cellStyle name="Normal 160 6 2" xfId="33439"/>
    <cellStyle name="Normal 160 7" xfId="33440"/>
    <cellStyle name="Normal 160 7 2" xfId="33441"/>
    <cellStyle name="Normal 160 8" xfId="33442"/>
    <cellStyle name="Normal 160 8 2" xfId="33443"/>
    <cellStyle name="Normal 160 9" xfId="33444"/>
    <cellStyle name="Normal 160 9 2" xfId="33445"/>
    <cellStyle name="Normal 160_Dakota Panel" xfId="33446"/>
    <cellStyle name="Normal 161" xfId="33447"/>
    <cellStyle name="Normal 161 10" xfId="33448"/>
    <cellStyle name="Normal 161 10 2" xfId="33449"/>
    <cellStyle name="Normal 161 11" xfId="33450"/>
    <cellStyle name="Normal 161 11 2" xfId="33451"/>
    <cellStyle name="Normal 161 12" xfId="33452"/>
    <cellStyle name="Normal 161 2" xfId="33453"/>
    <cellStyle name="Normal 161 2 2" xfId="33454"/>
    <cellStyle name="Normal 161 2 2 2" xfId="33455"/>
    <cellStyle name="Normal 161 2 3" xfId="33456"/>
    <cellStyle name="Normal 161 2 3 2" xfId="33457"/>
    <cellStyle name="Normal 161 2 4" xfId="33458"/>
    <cellStyle name="Normal 161 2 4 2" xfId="33459"/>
    <cellStyle name="Normal 161 2 5" xfId="33460"/>
    <cellStyle name="Normal 161 2 5 2" xfId="33461"/>
    <cellStyle name="Normal 161 2 6" xfId="33462"/>
    <cellStyle name="Normal 161 2 6 2" xfId="33463"/>
    <cellStyle name="Normal 161 2 7" xfId="33464"/>
    <cellStyle name="Normal 161 2 7 2" xfId="33465"/>
    <cellStyle name="Normal 161 2 8" xfId="33466"/>
    <cellStyle name="Normal 161 2 8 2" xfId="33467"/>
    <cellStyle name="Normal 161 2 9" xfId="33468"/>
    <cellStyle name="Normal 161 2 9 2" xfId="33469"/>
    <cellStyle name="Normal 161 2_Dakota Panel" xfId="33470"/>
    <cellStyle name="Normal 161 3" xfId="33471"/>
    <cellStyle name="Normal 161 3 2" xfId="33472"/>
    <cellStyle name="Normal 161 3 2 2" xfId="33473"/>
    <cellStyle name="Normal 161 3 3" xfId="33474"/>
    <cellStyle name="Normal 161 3 3 2" xfId="33475"/>
    <cellStyle name="Normal 161 3 4" xfId="33476"/>
    <cellStyle name="Normal 161 3 5" xfId="33477"/>
    <cellStyle name="Normal 161 4" xfId="33478"/>
    <cellStyle name="Normal 161 4 2" xfId="33479"/>
    <cellStyle name="Normal 161 5" xfId="33480"/>
    <cellStyle name="Normal 161 5 2" xfId="33481"/>
    <cellStyle name="Normal 161 6" xfId="33482"/>
    <cellStyle name="Normal 161 6 2" xfId="33483"/>
    <cellStyle name="Normal 161 7" xfId="33484"/>
    <cellStyle name="Normal 161 7 2" xfId="33485"/>
    <cellStyle name="Normal 161 8" xfId="33486"/>
    <cellStyle name="Normal 161 8 2" xfId="33487"/>
    <cellStyle name="Normal 161 9" xfId="33488"/>
    <cellStyle name="Normal 161 9 2" xfId="33489"/>
    <cellStyle name="Normal 161_Dakota Panel" xfId="33490"/>
    <cellStyle name="Normal 162" xfId="33491"/>
    <cellStyle name="Normal 162 10" xfId="33492"/>
    <cellStyle name="Normal 162 10 2" xfId="33493"/>
    <cellStyle name="Normal 162 11" xfId="33494"/>
    <cellStyle name="Normal 162 11 2" xfId="33495"/>
    <cellStyle name="Normal 162 12" xfId="33496"/>
    <cellStyle name="Normal 162 2" xfId="33497"/>
    <cellStyle name="Normal 162 2 2" xfId="33498"/>
    <cellStyle name="Normal 162 2 2 2" xfId="33499"/>
    <cellStyle name="Normal 162 2 3" xfId="33500"/>
    <cellStyle name="Normal 162 2 3 2" xfId="33501"/>
    <cellStyle name="Normal 162 2 4" xfId="33502"/>
    <cellStyle name="Normal 162 2 4 2" xfId="33503"/>
    <cellStyle name="Normal 162 2 5" xfId="33504"/>
    <cellStyle name="Normal 162 2 5 2" xfId="33505"/>
    <cellStyle name="Normal 162 2 6" xfId="33506"/>
    <cellStyle name="Normal 162 2 6 2" xfId="33507"/>
    <cellStyle name="Normal 162 2 7" xfId="33508"/>
    <cellStyle name="Normal 162 2 7 2" xfId="33509"/>
    <cellStyle name="Normal 162 2 8" xfId="33510"/>
    <cellStyle name="Normal 162 2 8 2" xfId="33511"/>
    <cellStyle name="Normal 162 2 9" xfId="33512"/>
    <cellStyle name="Normal 162 2 9 2" xfId="33513"/>
    <cellStyle name="Normal 162 2_Dakota Panel" xfId="33514"/>
    <cellStyle name="Normal 162 3" xfId="33515"/>
    <cellStyle name="Normal 162 3 2" xfId="33516"/>
    <cellStyle name="Normal 162 3 2 2" xfId="33517"/>
    <cellStyle name="Normal 162 3 3" xfId="33518"/>
    <cellStyle name="Normal 162 3 3 2" xfId="33519"/>
    <cellStyle name="Normal 162 3 4" xfId="33520"/>
    <cellStyle name="Normal 162 3 5" xfId="33521"/>
    <cellStyle name="Normal 162 4" xfId="33522"/>
    <cellStyle name="Normal 162 4 2" xfId="33523"/>
    <cellStyle name="Normal 162 5" xfId="33524"/>
    <cellStyle name="Normal 162 5 2" xfId="33525"/>
    <cellStyle name="Normal 162 6" xfId="33526"/>
    <cellStyle name="Normal 162 6 2" xfId="33527"/>
    <cellStyle name="Normal 162 7" xfId="33528"/>
    <cellStyle name="Normal 162 7 2" xfId="33529"/>
    <cellStyle name="Normal 162 8" xfId="33530"/>
    <cellStyle name="Normal 162 8 2" xfId="33531"/>
    <cellStyle name="Normal 162 9" xfId="33532"/>
    <cellStyle name="Normal 162 9 2" xfId="33533"/>
    <cellStyle name="Normal 162_Dakota Panel" xfId="33534"/>
    <cellStyle name="Normal 163" xfId="34"/>
    <cellStyle name="Normal 163 10" xfId="33535"/>
    <cellStyle name="Normal 163 10 2" xfId="33536"/>
    <cellStyle name="Normal 163 11" xfId="33537"/>
    <cellStyle name="Normal 163 11 2" xfId="33538"/>
    <cellStyle name="Normal 163 12" xfId="33539"/>
    <cellStyle name="Normal 163 2" xfId="33540"/>
    <cellStyle name="Normal 163 2 2" xfId="33541"/>
    <cellStyle name="Normal 163 2 2 2" xfId="33542"/>
    <cellStyle name="Normal 163 2 3" xfId="33543"/>
    <cellStyle name="Normal 163 2 3 2" xfId="33544"/>
    <cellStyle name="Normal 163 2 4" xfId="33545"/>
    <cellStyle name="Normal 163 2 4 2" xfId="33546"/>
    <cellStyle name="Normal 163 2 5" xfId="33547"/>
    <cellStyle name="Normal 163 2 5 2" xfId="33548"/>
    <cellStyle name="Normal 163 2 6" xfId="33549"/>
    <cellStyle name="Normal 163 2 6 2" xfId="33550"/>
    <cellStyle name="Normal 163 2 7" xfId="33551"/>
    <cellStyle name="Normal 163 2 7 2" xfId="33552"/>
    <cellStyle name="Normal 163 2 8" xfId="33553"/>
    <cellStyle name="Normal 163 2 8 2" xfId="33554"/>
    <cellStyle name="Normal 163 2 9" xfId="33555"/>
    <cellStyle name="Normal 163 2 9 2" xfId="33556"/>
    <cellStyle name="Normal 163 2_Dakota Panel" xfId="33557"/>
    <cellStyle name="Normal 163 3" xfId="33558"/>
    <cellStyle name="Normal 163 3 2" xfId="33559"/>
    <cellStyle name="Normal 163 3 2 2" xfId="33560"/>
    <cellStyle name="Normal 163 3 3" xfId="33561"/>
    <cellStyle name="Normal 163 3 3 2" xfId="33562"/>
    <cellStyle name="Normal 163 3 4" xfId="33563"/>
    <cellStyle name="Normal 163 3 5" xfId="33564"/>
    <cellStyle name="Normal 163 4" xfId="33565"/>
    <cellStyle name="Normal 163 4 2" xfId="33566"/>
    <cellStyle name="Normal 163 5" xfId="33567"/>
    <cellStyle name="Normal 163 5 2" xfId="33568"/>
    <cellStyle name="Normal 163 6" xfId="33569"/>
    <cellStyle name="Normal 163 6 2" xfId="33570"/>
    <cellStyle name="Normal 163 7" xfId="33571"/>
    <cellStyle name="Normal 163 7 2" xfId="33572"/>
    <cellStyle name="Normal 163 8" xfId="33573"/>
    <cellStyle name="Normal 163 8 2" xfId="33574"/>
    <cellStyle name="Normal 163 9" xfId="33575"/>
    <cellStyle name="Normal 163 9 2" xfId="33576"/>
    <cellStyle name="Normal 163_Dakota Panel" xfId="33577"/>
    <cellStyle name="Normal 164" xfId="33578"/>
    <cellStyle name="Normal 164 10" xfId="33579"/>
    <cellStyle name="Normal 164 10 2" xfId="33580"/>
    <cellStyle name="Normal 164 11" xfId="33581"/>
    <cellStyle name="Normal 164 11 2" xfId="33582"/>
    <cellStyle name="Normal 164 12" xfId="33583"/>
    <cellStyle name="Normal 164 2" xfId="33584"/>
    <cellStyle name="Normal 164 2 2" xfId="33585"/>
    <cellStyle name="Normal 164 2 2 2" xfId="33586"/>
    <cellStyle name="Normal 164 2 3" xfId="33587"/>
    <cellStyle name="Normal 164 2 3 2" xfId="33588"/>
    <cellStyle name="Normal 164 2 4" xfId="33589"/>
    <cellStyle name="Normal 164 2 4 2" xfId="33590"/>
    <cellStyle name="Normal 164 2 5" xfId="33591"/>
    <cellStyle name="Normal 164 2 5 2" xfId="33592"/>
    <cellStyle name="Normal 164 2 6" xfId="33593"/>
    <cellStyle name="Normal 164 2 6 2" xfId="33594"/>
    <cellStyle name="Normal 164 2 7" xfId="33595"/>
    <cellStyle name="Normal 164 2 7 2" xfId="33596"/>
    <cellStyle name="Normal 164 2 8" xfId="33597"/>
    <cellStyle name="Normal 164 2 8 2" xfId="33598"/>
    <cellStyle name="Normal 164 2 9" xfId="33599"/>
    <cellStyle name="Normal 164 2 9 2" xfId="33600"/>
    <cellStyle name="Normal 164 2_Dakota Panel" xfId="33601"/>
    <cellStyle name="Normal 164 3" xfId="33602"/>
    <cellStyle name="Normal 164 3 2" xfId="33603"/>
    <cellStyle name="Normal 164 3 2 2" xfId="33604"/>
    <cellStyle name="Normal 164 3 3" xfId="33605"/>
    <cellStyle name="Normal 164 3 3 2" xfId="33606"/>
    <cellStyle name="Normal 164 3 4" xfId="33607"/>
    <cellStyle name="Normal 164 3 5" xfId="33608"/>
    <cellStyle name="Normal 164 4" xfId="33609"/>
    <cellStyle name="Normal 164 4 2" xfId="33610"/>
    <cellStyle name="Normal 164 5" xfId="33611"/>
    <cellStyle name="Normal 164 5 2" xfId="33612"/>
    <cellStyle name="Normal 164 6" xfId="33613"/>
    <cellStyle name="Normal 164 6 2" xfId="33614"/>
    <cellStyle name="Normal 164 7" xfId="33615"/>
    <cellStyle name="Normal 164 7 2" xfId="33616"/>
    <cellStyle name="Normal 164 8" xfId="33617"/>
    <cellStyle name="Normal 164 8 2" xfId="33618"/>
    <cellStyle name="Normal 164 9" xfId="33619"/>
    <cellStyle name="Normal 164 9 2" xfId="33620"/>
    <cellStyle name="Normal 164_Dakota Panel" xfId="33621"/>
    <cellStyle name="Normal 165" xfId="33622"/>
    <cellStyle name="Normal 165 10" xfId="33623"/>
    <cellStyle name="Normal 165 10 2" xfId="33624"/>
    <cellStyle name="Normal 165 11" xfId="33625"/>
    <cellStyle name="Normal 165 11 2" xfId="33626"/>
    <cellStyle name="Normal 165 12" xfId="33627"/>
    <cellStyle name="Normal 165 2" xfId="33628"/>
    <cellStyle name="Normal 165 2 2" xfId="33629"/>
    <cellStyle name="Normal 165 2 2 2" xfId="33630"/>
    <cellStyle name="Normal 165 2 3" xfId="33631"/>
    <cellStyle name="Normal 165 2 3 2" xfId="33632"/>
    <cellStyle name="Normal 165 2 4" xfId="33633"/>
    <cellStyle name="Normal 165 2 4 2" xfId="33634"/>
    <cellStyle name="Normal 165 2 5" xfId="33635"/>
    <cellStyle name="Normal 165 2 5 2" xfId="33636"/>
    <cellStyle name="Normal 165 2 6" xfId="33637"/>
    <cellStyle name="Normal 165 2 6 2" xfId="33638"/>
    <cellStyle name="Normal 165 2 7" xfId="33639"/>
    <cellStyle name="Normal 165 2 7 2" xfId="33640"/>
    <cellStyle name="Normal 165 2 8" xfId="33641"/>
    <cellStyle name="Normal 165 2 8 2" xfId="33642"/>
    <cellStyle name="Normal 165 2 9" xfId="33643"/>
    <cellStyle name="Normal 165 2 9 2" xfId="33644"/>
    <cellStyle name="Normal 165 2_Dakota Panel" xfId="33645"/>
    <cellStyle name="Normal 165 3" xfId="33646"/>
    <cellStyle name="Normal 165 3 2" xfId="33647"/>
    <cellStyle name="Normal 165 3 2 2" xfId="33648"/>
    <cellStyle name="Normal 165 3 3" xfId="33649"/>
    <cellStyle name="Normal 165 3 3 2" xfId="33650"/>
    <cellStyle name="Normal 165 3 4" xfId="33651"/>
    <cellStyle name="Normal 165 3 5" xfId="33652"/>
    <cellStyle name="Normal 165 4" xfId="33653"/>
    <cellStyle name="Normal 165 4 2" xfId="33654"/>
    <cellStyle name="Normal 165 5" xfId="33655"/>
    <cellStyle name="Normal 165 5 2" xfId="33656"/>
    <cellStyle name="Normal 165 6" xfId="33657"/>
    <cellStyle name="Normal 165 6 2" xfId="33658"/>
    <cellStyle name="Normal 165 7" xfId="33659"/>
    <cellStyle name="Normal 165 7 2" xfId="33660"/>
    <cellStyle name="Normal 165 8" xfId="33661"/>
    <cellStyle name="Normal 165 8 2" xfId="33662"/>
    <cellStyle name="Normal 165 9" xfId="33663"/>
    <cellStyle name="Normal 165 9 2" xfId="33664"/>
    <cellStyle name="Normal 165_Dakota Panel" xfId="33665"/>
    <cellStyle name="Normal 166" xfId="33666"/>
    <cellStyle name="Normal 166 10" xfId="33667"/>
    <cellStyle name="Normal 166 10 2" xfId="33668"/>
    <cellStyle name="Normal 166 11" xfId="33669"/>
    <cellStyle name="Normal 166 11 2" xfId="33670"/>
    <cellStyle name="Normal 166 12" xfId="33671"/>
    <cellStyle name="Normal 166 2" xfId="33672"/>
    <cellStyle name="Normal 166 2 2" xfId="33673"/>
    <cellStyle name="Normal 166 2 2 2" xfId="33674"/>
    <cellStyle name="Normal 166 2 3" xfId="33675"/>
    <cellStyle name="Normal 166 2 3 2" xfId="33676"/>
    <cellStyle name="Normal 166 2 4" xfId="33677"/>
    <cellStyle name="Normal 166 2 4 2" xfId="33678"/>
    <cellStyle name="Normal 166 2 5" xfId="33679"/>
    <cellStyle name="Normal 166 2 5 2" xfId="33680"/>
    <cellStyle name="Normal 166 2 6" xfId="33681"/>
    <cellStyle name="Normal 166 2 6 2" xfId="33682"/>
    <cellStyle name="Normal 166 2 7" xfId="33683"/>
    <cellStyle name="Normal 166 2 7 2" xfId="33684"/>
    <cellStyle name="Normal 166 2 8" xfId="33685"/>
    <cellStyle name="Normal 166 2 8 2" xfId="33686"/>
    <cellStyle name="Normal 166 2 9" xfId="33687"/>
    <cellStyle name="Normal 166 2 9 2" xfId="33688"/>
    <cellStyle name="Normal 166 2_Dakota Panel" xfId="33689"/>
    <cellStyle name="Normal 166 3" xfId="33690"/>
    <cellStyle name="Normal 166 3 2" xfId="33691"/>
    <cellStyle name="Normal 166 3 2 2" xfId="33692"/>
    <cellStyle name="Normal 166 3 3" xfId="33693"/>
    <cellStyle name="Normal 166 3 3 2" xfId="33694"/>
    <cellStyle name="Normal 166 3 4" xfId="33695"/>
    <cellStyle name="Normal 166 3 5" xfId="33696"/>
    <cellStyle name="Normal 166 4" xfId="33697"/>
    <cellStyle name="Normal 166 4 2" xfId="33698"/>
    <cellStyle name="Normal 166 5" xfId="33699"/>
    <cellStyle name="Normal 166 5 2" xfId="33700"/>
    <cellStyle name="Normal 166 6" xfId="33701"/>
    <cellStyle name="Normal 166 6 2" xfId="33702"/>
    <cellStyle name="Normal 166 7" xfId="33703"/>
    <cellStyle name="Normal 166 7 2" xfId="33704"/>
    <cellStyle name="Normal 166 8" xfId="33705"/>
    <cellStyle name="Normal 166 8 2" xfId="33706"/>
    <cellStyle name="Normal 166 9" xfId="33707"/>
    <cellStyle name="Normal 166 9 2" xfId="33708"/>
    <cellStyle name="Normal 166_Dakota Panel" xfId="33709"/>
    <cellStyle name="Normal 167" xfId="33710"/>
    <cellStyle name="Normal 167 10" xfId="33711"/>
    <cellStyle name="Normal 167 10 2" xfId="33712"/>
    <cellStyle name="Normal 167 11" xfId="33713"/>
    <cellStyle name="Normal 167 11 2" xfId="33714"/>
    <cellStyle name="Normal 167 12" xfId="33715"/>
    <cellStyle name="Normal 167 2" xfId="33716"/>
    <cellStyle name="Normal 167 2 2" xfId="33717"/>
    <cellStyle name="Normal 167 2 2 2" xfId="33718"/>
    <cellStyle name="Normal 167 2 3" xfId="33719"/>
    <cellStyle name="Normal 167 2 3 2" xfId="33720"/>
    <cellStyle name="Normal 167 2 4" xfId="33721"/>
    <cellStyle name="Normal 167 2 4 2" xfId="33722"/>
    <cellStyle name="Normal 167 2 5" xfId="33723"/>
    <cellStyle name="Normal 167 2 5 2" xfId="33724"/>
    <cellStyle name="Normal 167 2 6" xfId="33725"/>
    <cellStyle name="Normal 167 2 6 2" xfId="33726"/>
    <cellStyle name="Normal 167 2 7" xfId="33727"/>
    <cellStyle name="Normal 167 2 7 2" xfId="33728"/>
    <cellStyle name="Normal 167 2 8" xfId="33729"/>
    <cellStyle name="Normal 167 2 8 2" xfId="33730"/>
    <cellStyle name="Normal 167 2 9" xfId="33731"/>
    <cellStyle name="Normal 167 2 9 2" xfId="33732"/>
    <cellStyle name="Normal 167 2_Dakota Panel" xfId="33733"/>
    <cellStyle name="Normal 167 3" xfId="33734"/>
    <cellStyle name="Normal 167 3 2" xfId="33735"/>
    <cellStyle name="Normal 167 3 2 2" xfId="33736"/>
    <cellStyle name="Normal 167 3 3" xfId="33737"/>
    <cellStyle name="Normal 167 3 3 2" xfId="33738"/>
    <cellStyle name="Normal 167 3 4" xfId="33739"/>
    <cellStyle name="Normal 167 3 5" xfId="33740"/>
    <cellStyle name="Normal 167 4" xfId="33741"/>
    <cellStyle name="Normal 167 4 2" xfId="33742"/>
    <cellStyle name="Normal 167 5" xfId="33743"/>
    <cellStyle name="Normal 167 5 2" xfId="33744"/>
    <cellStyle name="Normal 167 6" xfId="33745"/>
    <cellStyle name="Normal 167 6 2" xfId="33746"/>
    <cellStyle name="Normal 167 7" xfId="33747"/>
    <cellStyle name="Normal 167 7 2" xfId="33748"/>
    <cellStyle name="Normal 167 8" xfId="33749"/>
    <cellStyle name="Normal 167 8 2" xfId="33750"/>
    <cellStyle name="Normal 167 9" xfId="33751"/>
    <cellStyle name="Normal 167 9 2" xfId="33752"/>
    <cellStyle name="Normal 167_Dakota Panel" xfId="33753"/>
    <cellStyle name="Normal 168" xfId="33754"/>
    <cellStyle name="Normal 168 10" xfId="33755"/>
    <cellStyle name="Normal 168 10 2" xfId="33756"/>
    <cellStyle name="Normal 168 11" xfId="33757"/>
    <cellStyle name="Normal 168 11 2" xfId="33758"/>
    <cellStyle name="Normal 168 12" xfId="33759"/>
    <cellStyle name="Normal 168 2" xfId="33760"/>
    <cellStyle name="Normal 168 2 2" xfId="33761"/>
    <cellStyle name="Normal 168 2 2 2" xfId="33762"/>
    <cellStyle name="Normal 168 2 3" xfId="33763"/>
    <cellStyle name="Normal 168 2 3 2" xfId="33764"/>
    <cellStyle name="Normal 168 2 4" xfId="33765"/>
    <cellStyle name="Normal 168 2 4 2" xfId="33766"/>
    <cellStyle name="Normal 168 2 5" xfId="33767"/>
    <cellStyle name="Normal 168 2 5 2" xfId="33768"/>
    <cellStyle name="Normal 168 2 6" xfId="33769"/>
    <cellStyle name="Normal 168 2 6 2" xfId="33770"/>
    <cellStyle name="Normal 168 2 7" xfId="33771"/>
    <cellStyle name="Normal 168 2 7 2" xfId="33772"/>
    <cellStyle name="Normal 168 2 8" xfId="33773"/>
    <cellStyle name="Normal 168 2 8 2" xfId="33774"/>
    <cellStyle name="Normal 168 2 9" xfId="33775"/>
    <cellStyle name="Normal 168 2 9 2" xfId="33776"/>
    <cellStyle name="Normal 168 2_Dakota Panel" xfId="33777"/>
    <cellStyle name="Normal 168 3" xfId="33778"/>
    <cellStyle name="Normal 168 3 2" xfId="33779"/>
    <cellStyle name="Normal 168 3 2 2" xfId="33780"/>
    <cellStyle name="Normal 168 3 3" xfId="33781"/>
    <cellStyle name="Normal 168 3 3 2" xfId="33782"/>
    <cellStyle name="Normal 168 3 4" xfId="33783"/>
    <cellStyle name="Normal 168 3 5" xfId="33784"/>
    <cellStyle name="Normal 168 4" xfId="33785"/>
    <cellStyle name="Normal 168 4 2" xfId="33786"/>
    <cellStyle name="Normal 168 5" xfId="33787"/>
    <cellStyle name="Normal 168 5 2" xfId="33788"/>
    <cellStyle name="Normal 168 6" xfId="33789"/>
    <cellStyle name="Normal 168 6 2" xfId="33790"/>
    <cellStyle name="Normal 168 7" xfId="33791"/>
    <cellStyle name="Normal 168 7 2" xfId="33792"/>
    <cellStyle name="Normal 168 8" xfId="33793"/>
    <cellStyle name="Normal 168 8 2" xfId="33794"/>
    <cellStyle name="Normal 168 9" xfId="33795"/>
    <cellStyle name="Normal 168 9 2" xfId="33796"/>
    <cellStyle name="Normal 168_Dakota Panel" xfId="33797"/>
    <cellStyle name="Normal 169" xfId="33798"/>
    <cellStyle name="Normal 169 10" xfId="33799"/>
    <cellStyle name="Normal 169 10 2" xfId="33800"/>
    <cellStyle name="Normal 169 11" xfId="33801"/>
    <cellStyle name="Normal 169 11 2" xfId="33802"/>
    <cellStyle name="Normal 169 12" xfId="33803"/>
    <cellStyle name="Normal 169 2" xfId="33804"/>
    <cellStyle name="Normal 169 2 2" xfId="33805"/>
    <cellStyle name="Normal 169 2 2 2" xfId="33806"/>
    <cellStyle name="Normal 169 2 3" xfId="33807"/>
    <cellStyle name="Normal 169 2 3 2" xfId="33808"/>
    <cellStyle name="Normal 169 2 4" xfId="33809"/>
    <cellStyle name="Normal 169 2 4 2" xfId="33810"/>
    <cellStyle name="Normal 169 2 5" xfId="33811"/>
    <cellStyle name="Normal 169 2 5 2" xfId="33812"/>
    <cellStyle name="Normal 169 2 6" xfId="33813"/>
    <cellStyle name="Normal 169 2 6 2" xfId="33814"/>
    <cellStyle name="Normal 169 2 7" xfId="33815"/>
    <cellStyle name="Normal 169 2 7 2" xfId="33816"/>
    <cellStyle name="Normal 169 2 8" xfId="33817"/>
    <cellStyle name="Normal 169 2 8 2" xfId="33818"/>
    <cellStyle name="Normal 169 2 9" xfId="33819"/>
    <cellStyle name="Normal 169 2 9 2" xfId="33820"/>
    <cellStyle name="Normal 169 2_Dakota Panel" xfId="33821"/>
    <cellStyle name="Normal 169 3" xfId="33822"/>
    <cellStyle name="Normal 169 3 2" xfId="33823"/>
    <cellStyle name="Normal 169 3 2 2" xfId="33824"/>
    <cellStyle name="Normal 169 3 3" xfId="33825"/>
    <cellStyle name="Normal 169 3 3 2" xfId="33826"/>
    <cellStyle name="Normal 169 3 4" xfId="33827"/>
    <cellStyle name="Normal 169 3 5" xfId="33828"/>
    <cellStyle name="Normal 169 4" xfId="33829"/>
    <cellStyle name="Normal 169 4 2" xfId="33830"/>
    <cellStyle name="Normal 169 5" xfId="33831"/>
    <cellStyle name="Normal 169 5 2" xfId="33832"/>
    <cellStyle name="Normal 169 6" xfId="33833"/>
    <cellStyle name="Normal 169 6 2" xfId="33834"/>
    <cellStyle name="Normal 169 7" xfId="33835"/>
    <cellStyle name="Normal 169 7 2" xfId="33836"/>
    <cellStyle name="Normal 169 8" xfId="33837"/>
    <cellStyle name="Normal 169 8 2" xfId="33838"/>
    <cellStyle name="Normal 169 9" xfId="33839"/>
    <cellStyle name="Normal 169 9 2" xfId="33840"/>
    <cellStyle name="Normal 169_Dakota Panel" xfId="33841"/>
    <cellStyle name="Normal 17" xfId="33842"/>
    <cellStyle name="Normal 17 10" xfId="33843"/>
    <cellStyle name="Normal 17 10 2" xfId="33844"/>
    <cellStyle name="Normal 17 11" xfId="33845"/>
    <cellStyle name="Normal 17 11 2" xfId="33846"/>
    <cellStyle name="Normal 17 12" xfId="33847"/>
    <cellStyle name="Normal 17 2" xfId="33848"/>
    <cellStyle name="Normal 17 2 2" xfId="33849"/>
    <cellStyle name="Normal 17 2 2 2" xfId="33850"/>
    <cellStyle name="Normal 17 2 3" xfId="33851"/>
    <cellStyle name="Normal 17 3" xfId="33852"/>
    <cellStyle name="Normal 17 3 2" xfId="33853"/>
    <cellStyle name="Normal 17 3 2 2" xfId="33854"/>
    <cellStyle name="Normal 17 3 2 2 2" xfId="33855"/>
    <cellStyle name="Normal 17 3 2 3" xfId="33856"/>
    <cellStyle name="Normal 17 3 3" xfId="33857"/>
    <cellStyle name="Normal 17 3 3 2" xfId="33858"/>
    <cellStyle name="Normal 17 3 4" xfId="33859"/>
    <cellStyle name="Normal 17 3 4 2" xfId="33860"/>
    <cellStyle name="Normal 17 3 5" xfId="33861"/>
    <cellStyle name="Normal 17 3 5 2" xfId="33862"/>
    <cellStyle name="Normal 17 3 6" xfId="33863"/>
    <cellStyle name="Normal 17 3 6 2" xfId="33864"/>
    <cellStyle name="Normal 17 3 7" xfId="33865"/>
    <cellStyle name="Normal 17 3 7 2" xfId="33866"/>
    <cellStyle name="Normal 17 3 8" xfId="33867"/>
    <cellStyle name="Normal 17 3 8 2" xfId="33868"/>
    <cellStyle name="Normal 17 3 9" xfId="33869"/>
    <cellStyle name="Normal 17 3 9 2" xfId="33870"/>
    <cellStyle name="Normal 17 3_Dakota Panel" xfId="33871"/>
    <cellStyle name="Normal 17 4" xfId="33872"/>
    <cellStyle name="Normal 17 4 2" xfId="33873"/>
    <cellStyle name="Normal 17 4 2 2" xfId="33874"/>
    <cellStyle name="Normal 17 4 3" xfId="33875"/>
    <cellStyle name="Normal 17 5" xfId="33876"/>
    <cellStyle name="Normal 17 5 2" xfId="33877"/>
    <cellStyle name="Normal 17 5 2 2" xfId="33878"/>
    <cellStyle name="Normal 17 5 2 2 2" xfId="33879"/>
    <cellStyle name="Normal 17 5 2 2 3" xfId="33880"/>
    <cellStyle name="Normal 17 5 2 3" xfId="33881"/>
    <cellStyle name="Normal 17 5 2 3 2" xfId="33882"/>
    <cellStyle name="Normal 17 5 2 4" xfId="33883"/>
    <cellStyle name="Normal 17 5 2 5" xfId="33884"/>
    <cellStyle name="Normal 17 5 3" xfId="33885"/>
    <cellStyle name="Normal 17 5 3 2" xfId="33886"/>
    <cellStyle name="Normal 17 5 3 2 2" xfId="33887"/>
    <cellStyle name="Normal 17 5 3 3" xfId="33888"/>
    <cellStyle name="Normal 17 5 3 4" xfId="33889"/>
    <cellStyle name="Normal 17 5 4" xfId="33890"/>
    <cellStyle name="Normal 17 5 4 2" xfId="33891"/>
    <cellStyle name="Normal 17 5 4 2 2" xfId="33892"/>
    <cellStyle name="Normal 17 5 4 3" xfId="33893"/>
    <cellStyle name="Normal 17 5 4 4" xfId="33894"/>
    <cellStyle name="Normal 17 5 5" xfId="33895"/>
    <cellStyle name="Normal 17 5 5 2" xfId="33896"/>
    <cellStyle name="Normal 17 5 6" xfId="33897"/>
    <cellStyle name="Normal 17 5 7" xfId="33898"/>
    <cellStyle name="Normal 17 5 8" xfId="33899"/>
    <cellStyle name="Normal 17 6" xfId="33900"/>
    <cellStyle name="Normal 17 6 2" xfId="33901"/>
    <cellStyle name="Normal 17 6 2 2" xfId="33902"/>
    <cellStyle name="Normal 17 7" xfId="33903"/>
    <cellStyle name="Normal 17 7 2" xfId="33904"/>
    <cellStyle name="Normal 17 7 2 2" xfId="33905"/>
    <cellStyle name="Normal 17 7 3" xfId="33906"/>
    <cellStyle name="Normal 17 7 4" xfId="33907"/>
    <cellStyle name="Normal 17 8" xfId="33908"/>
    <cellStyle name="Normal 17 8 2" xfId="33909"/>
    <cellStyle name="Normal 17 9" xfId="33910"/>
    <cellStyle name="Normal 17 9 2" xfId="33911"/>
    <cellStyle name="Normal 17_Dakota Panel" xfId="33912"/>
    <cellStyle name="Normal 170" xfId="33913"/>
    <cellStyle name="Normal 170 10" xfId="33914"/>
    <cellStyle name="Normal 170 10 2" xfId="33915"/>
    <cellStyle name="Normal 170 11" xfId="33916"/>
    <cellStyle name="Normal 170 11 2" xfId="33917"/>
    <cellStyle name="Normal 170 12" xfId="33918"/>
    <cellStyle name="Normal 170 2" xfId="33919"/>
    <cellStyle name="Normal 170 2 2" xfId="33920"/>
    <cellStyle name="Normal 170 2 2 2" xfId="33921"/>
    <cellStyle name="Normal 170 2 3" xfId="33922"/>
    <cellStyle name="Normal 170 2 3 2" xfId="33923"/>
    <cellStyle name="Normal 170 2 4" xfId="33924"/>
    <cellStyle name="Normal 170 2 4 2" xfId="33925"/>
    <cellStyle name="Normal 170 2 5" xfId="33926"/>
    <cellStyle name="Normal 170 2 5 2" xfId="33927"/>
    <cellStyle name="Normal 170 2 6" xfId="33928"/>
    <cellStyle name="Normal 170 2 6 2" xfId="33929"/>
    <cellStyle name="Normal 170 2 7" xfId="33930"/>
    <cellStyle name="Normal 170 2 7 2" xfId="33931"/>
    <cellStyle name="Normal 170 2 8" xfId="33932"/>
    <cellStyle name="Normal 170 2 8 2" xfId="33933"/>
    <cellStyle name="Normal 170 2 9" xfId="33934"/>
    <cellStyle name="Normal 170 2 9 2" xfId="33935"/>
    <cellStyle name="Normal 170 2_Dakota Panel" xfId="33936"/>
    <cellStyle name="Normal 170 3" xfId="33937"/>
    <cellStyle name="Normal 170 3 2" xfId="33938"/>
    <cellStyle name="Normal 170 3 2 2" xfId="33939"/>
    <cellStyle name="Normal 170 3 3" xfId="33940"/>
    <cellStyle name="Normal 170 3 3 2" xfId="33941"/>
    <cellStyle name="Normal 170 3 4" xfId="33942"/>
    <cellStyle name="Normal 170 3 5" xfId="33943"/>
    <cellStyle name="Normal 170 4" xfId="33944"/>
    <cellStyle name="Normal 170 4 2" xfId="33945"/>
    <cellStyle name="Normal 170 5" xfId="33946"/>
    <cellStyle name="Normal 170 5 2" xfId="33947"/>
    <cellStyle name="Normal 170 6" xfId="33948"/>
    <cellStyle name="Normal 170 6 2" xfId="33949"/>
    <cellStyle name="Normal 170 7" xfId="33950"/>
    <cellStyle name="Normal 170 7 2" xfId="33951"/>
    <cellStyle name="Normal 170 8" xfId="33952"/>
    <cellStyle name="Normal 170 8 2" xfId="33953"/>
    <cellStyle name="Normal 170 9" xfId="33954"/>
    <cellStyle name="Normal 170 9 2" xfId="33955"/>
    <cellStyle name="Normal 170_Dakota Panel" xfId="33956"/>
    <cellStyle name="Normal 171" xfId="33957"/>
    <cellStyle name="Normal 171 10" xfId="33958"/>
    <cellStyle name="Normal 171 10 2" xfId="33959"/>
    <cellStyle name="Normal 171 11" xfId="33960"/>
    <cellStyle name="Normal 171 11 2" xfId="33961"/>
    <cellStyle name="Normal 171 12" xfId="33962"/>
    <cellStyle name="Normal 171 2" xfId="33963"/>
    <cellStyle name="Normal 171 2 2" xfId="33964"/>
    <cellStyle name="Normal 171 2 2 2" xfId="33965"/>
    <cellStyle name="Normal 171 2 3" xfId="33966"/>
    <cellStyle name="Normal 171 2 3 2" xfId="33967"/>
    <cellStyle name="Normal 171 2 4" xfId="33968"/>
    <cellStyle name="Normal 171 2 4 2" xfId="33969"/>
    <cellStyle name="Normal 171 2 5" xfId="33970"/>
    <cellStyle name="Normal 171 2 5 2" xfId="33971"/>
    <cellStyle name="Normal 171 2 6" xfId="33972"/>
    <cellStyle name="Normal 171 2 6 2" xfId="33973"/>
    <cellStyle name="Normal 171 2 7" xfId="33974"/>
    <cellStyle name="Normal 171 2 7 2" xfId="33975"/>
    <cellStyle name="Normal 171 2 8" xfId="33976"/>
    <cellStyle name="Normal 171 2 8 2" xfId="33977"/>
    <cellStyle name="Normal 171 2 9" xfId="33978"/>
    <cellStyle name="Normal 171 2 9 2" xfId="33979"/>
    <cellStyle name="Normal 171 2_Dakota Panel" xfId="33980"/>
    <cellStyle name="Normal 171 3" xfId="33981"/>
    <cellStyle name="Normal 171 3 2" xfId="33982"/>
    <cellStyle name="Normal 171 3 2 2" xfId="33983"/>
    <cellStyle name="Normal 171 3 3" xfId="33984"/>
    <cellStyle name="Normal 171 3 3 2" xfId="33985"/>
    <cellStyle name="Normal 171 3 4" xfId="33986"/>
    <cellStyle name="Normal 171 3 5" xfId="33987"/>
    <cellStyle name="Normal 171 4" xfId="33988"/>
    <cellStyle name="Normal 171 4 2" xfId="33989"/>
    <cellStyle name="Normal 171 5" xfId="33990"/>
    <cellStyle name="Normal 171 5 2" xfId="33991"/>
    <cellStyle name="Normal 171 6" xfId="33992"/>
    <cellStyle name="Normal 171 6 2" xfId="33993"/>
    <cellStyle name="Normal 171 7" xfId="33994"/>
    <cellStyle name="Normal 171 7 2" xfId="33995"/>
    <cellStyle name="Normal 171 8" xfId="33996"/>
    <cellStyle name="Normal 171 8 2" xfId="33997"/>
    <cellStyle name="Normal 171 9" xfId="33998"/>
    <cellStyle name="Normal 171 9 2" xfId="33999"/>
    <cellStyle name="Normal 171_Dakota Panel" xfId="34000"/>
    <cellStyle name="Normal 172" xfId="34001"/>
    <cellStyle name="Normal 172 10" xfId="34002"/>
    <cellStyle name="Normal 172 10 2" xfId="34003"/>
    <cellStyle name="Normal 172 11" xfId="34004"/>
    <cellStyle name="Normal 172 11 2" xfId="34005"/>
    <cellStyle name="Normal 172 12" xfId="34006"/>
    <cellStyle name="Normal 172 2" xfId="34007"/>
    <cellStyle name="Normal 172 2 2" xfId="34008"/>
    <cellStyle name="Normal 172 2 2 2" xfId="34009"/>
    <cellStyle name="Normal 172 2 3" xfId="34010"/>
    <cellStyle name="Normal 172 2 3 2" xfId="34011"/>
    <cellStyle name="Normal 172 2 4" xfId="34012"/>
    <cellStyle name="Normal 172 2 4 2" xfId="34013"/>
    <cellStyle name="Normal 172 2 5" xfId="34014"/>
    <cellStyle name="Normal 172 2 5 2" xfId="34015"/>
    <cellStyle name="Normal 172 2 6" xfId="34016"/>
    <cellStyle name="Normal 172 2 6 2" xfId="34017"/>
    <cellStyle name="Normal 172 2 7" xfId="34018"/>
    <cellStyle name="Normal 172 2 7 2" xfId="34019"/>
    <cellStyle name="Normal 172 2 8" xfId="34020"/>
    <cellStyle name="Normal 172 2 8 2" xfId="34021"/>
    <cellStyle name="Normal 172 2 9" xfId="34022"/>
    <cellStyle name="Normal 172 2 9 2" xfId="34023"/>
    <cellStyle name="Normal 172 2_Dakota Panel" xfId="34024"/>
    <cellStyle name="Normal 172 3" xfId="34025"/>
    <cellStyle name="Normal 172 3 2" xfId="34026"/>
    <cellStyle name="Normal 172 3 2 2" xfId="34027"/>
    <cellStyle name="Normal 172 3 3" xfId="34028"/>
    <cellStyle name="Normal 172 3 3 2" xfId="34029"/>
    <cellStyle name="Normal 172 3 4" xfId="34030"/>
    <cellStyle name="Normal 172 3 5" xfId="34031"/>
    <cellStyle name="Normal 172 4" xfId="34032"/>
    <cellStyle name="Normal 172 4 2" xfId="34033"/>
    <cellStyle name="Normal 172 5" xfId="34034"/>
    <cellStyle name="Normal 172 5 2" xfId="34035"/>
    <cellStyle name="Normal 172 6" xfId="34036"/>
    <cellStyle name="Normal 172 6 2" xfId="34037"/>
    <cellStyle name="Normal 172 7" xfId="34038"/>
    <cellStyle name="Normal 172 7 2" xfId="34039"/>
    <cellStyle name="Normal 172 8" xfId="34040"/>
    <cellStyle name="Normal 172 8 2" xfId="34041"/>
    <cellStyle name="Normal 172 9" xfId="34042"/>
    <cellStyle name="Normal 172 9 2" xfId="34043"/>
    <cellStyle name="Normal 172_Dakota Panel" xfId="34044"/>
    <cellStyle name="Normal 173" xfId="34045"/>
    <cellStyle name="Normal 173 10" xfId="34046"/>
    <cellStyle name="Normal 173 10 2" xfId="34047"/>
    <cellStyle name="Normal 173 11" xfId="34048"/>
    <cellStyle name="Normal 173 11 2" xfId="34049"/>
    <cellStyle name="Normal 173 12" xfId="34050"/>
    <cellStyle name="Normal 173 2" xfId="34051"/>
    <cellStyle name="Normal 173 2 2" xfId="34052"/>
    <cellStyle name="Normal 173 2 2 2" xfId="34053"/>
    <cellStyle name="Normal 173 2 3" xfId="34054"/>
    <cellStyle name="Normal 173 2 3 2" xfId="34055"/>
    <cellStyle name="Normal 173 2 4" xfId="34056"/>
    <cellStyle name="Normal 173 2 4 2" xfId="34057"/>
    <cellStyle name="Normal 173 2 5" xfId="34058"/>
    <cellStyle name="Normal 173 2 5 2" xfId="34059"/>
    <cellStyle name="Normal 173 2 6" xfId="34060"/>
    <cellStyle name="Normal 173 2 6 2" xfId="34061"/>
    <cellStyle name="Normal 173 2 7" xfId="34062"/>
    <cellStyle name="Normal 173 2 7 2" xfId="34063"/>
    <cellStyle name="Normal 173 2 8" xfId="34064"/>
    <cellStyle name="Normal 173 2 8 2" xfId="34065"/>
    <cellStyle name="Normal 173 2 9" xfId="34066"/>
    <cellStyle name="Normal 173 2 9 2" xfId="34067"/>
    <cellStyle name="Normal 173 2_Dakota Panel" xfId="34068"/>
    <cellStyle name="Normal 173 3" xfId="34069"/>
    <cellStyle name="Normal 173 3 2" xfId="34070"/>
    <cellStyle name="Normal 173 3 2 2" xfId="34071"/>
    <cellStyle name="Normal 173 3 3" xfId="34072"/>
    <cellStyle name="Normal 173 3 3 2" xfId="34073"/>
    <cellStyle name="Normal 173 3 4" xfId="34074"/>
    <cellStyle name="Normal 173 3 5" xfId="34075"/>
    <cellStyle name="Normal 173 4" xfId="34076"/>
    <cellStyle name="Normal 173 4 2" xfId="34077"/>
    <cellStyle name="Normal 173 5" xfId="34078"/>
    <cellStyle name="Normal 173 5 2" xfId="34079"/>
    <cellStyle name="Normal 173 6" xfId="34080"/>
    <cellStyle name="Normal 173 6 2" xfId="34081"/>
    <cellStyle name="Normal 173 7" xfId="34082"/>
    <cellStyle name="Normal 173 7 2" xfId="34083"/>
    <cellStyle name="Normal 173 8" xfId="34084"/>
    <cellStyle name="Normal 173 8 2" xfId="34085"/>
    <cellStyle name="Normal 173 9" xfId="34086"/>
    <cellStyle name="Normal 173 9 2" xfId="34087"/>
    <cellStyle name="Normal 173_Dakota Panel" xfId="34088"/>
    <cellStyle name="Normal 174" xfId="34089"/>
    <cellStyle name="Normal 174 10" xfId="34090"/>
    <cellStyle name="Normal 174 10 2" xfId="34091"/>
    <cellStyle name="Normal 174 11" xfId="34092"/>
    <cellStyle name="Normal 174 11 2" xfId="34093"/>
    <cellStyle name="Normal 174 12" xfId="34094"/>
    <cellStyle name="Normal 174 2" xfId="34095"/>
    <cellStyle name="Normal 174 2 2" xfId="34096"/>
    <cellStyle name="Normal 174 2 2 2" xfId="34097"/>
    <cellStyle name="Normal 174 2 3" xfId="34098"/>
    <cellStyle name="Normal 174 2 3 2" xfId="34099"/>
    <cellStyle name="Normal 174 2 4" xfId="34100"/>
    <cellStyle name="Normal 174 2 4 2" xfId="34101"/>
    <cellStyle name="Normal 174 2 5" xfId="34102"/>
    <cellStyle name="Normal 174 2 5 2" xfId="34103"/>
    <cellStyle name="Normal 174 2 6" xfId="34104"/>
    <cellStyle name="Normal 174 2 6 2" xfId="34105"/>
    <cellStyle name="Normal 174 2 7" xfId="34106"/>
    <cellStyle name="Normal 174 2 7 2" xfId="34107"/>
    <cellStyle name="Normal 174 2 8" xfId="34108"/>
    <cellStyle name="Normal 174 2 8 2" xfId="34109"/>
    <cellStyle name="Normal 174 2 9" xfId="34110"/>
    <cellStyle name="Normal 174 2 9 2" xfId="34111"/>
    <cellStyle name="Normal 174 2_Dakota Panel" xfId="34112"/>
    <cellStyle name="Normal 174 3" xfId="34113"/>
    <cellStyle name="Normal 174 3 2" xfId="34114"/>
    <cellStyle name="Normal 174 3 2 2" xfId="34115"/>
    <cellStyle name="Normal 174 3 3" xfId="34116"/>
    <cellStyle name="Normal 174 3 3 2" xfId="34117"/>
    <cellStyle name="Normal 174 3 4" xfId="34118"/>
    <cellStyle name="Normal 174 3 5" xfId="34119"/>
    <cellStyle name="Normal 174 4" xfId="34120"/>
    <cellStyle name="Normal 174 4 2" xfId="34121"/>
    <cellStyle name="Normal 174 5" xfId="34122"/>
    <cellStyle name="Normal 174 5 2" xfId="34123"/>
    <cellStyle name="Normal 174 6" xfId="34124"/>
    <cellStyle name="Normal 174 6 2" xfId="34125"/>
    <cellStyle name="Normal 174 7" xfId="34126"/>
    <cellStyle name="Normal 174 7 2" xfId="34127"/>
    <cellStyle name="Normal 174 8" xfId="34128"/>
    <cellStyle name="Normal 174 8 2" xfId="34129"/>
    <cellStyle name="Normal 174 9" xfId="34130"/>
    <cellStyle name="Normal 174 9 2" xfId="34131"/>
    <cellStyle name="Normal 174_Dakota Panel" xfId="34132"/>
    <cellStyle name="Normal 175" xfId="34133"/>
    <cellStyle name="Normal 175 10" xfId="34134"/>
    <cellStyle name="Normal 175 10 2" xfId="34135"/>
    <cellStyle name="Normal 175 11" xfId="34136"/>
    <cellStyle name="Normal 175 11 2" xfId="34137"/>
    <cellStyle name="Normal 175 12" xfId="34138"/>
    <cellStyle name="Normal 175 2" xfId="34139"/>
    <cellStyle name="Normal 175 2 2" xfId="34140"/>
    <cellStyle name="Normal 175 2 2 2" xfId="34141"/>
    <cellStyle name="Normal 175 2 3" xfId="34142"/>
    <cellStyle name="Normal 175 2 3 2" xfId="34143"/>
    <cellStyle name="Normal 175 2 4" xfId="34144"/>
    <cellStyle name="Normal 175 2 4 2" xfId="34145"/>
    <cellStyle name="Normal 175 2 5" xfId="34146"/>
    <cellStyle name="Normal 175 2 5 2" xfId="34147"/>
    <cellStyle name="Normal 175 2 6" xfId="34148"/>
    <cellStyle name="Normal 175 2 6 2" xfId="34149"/>
    <cellStyle name="Normal 175 2 7" xfId="34150"/>
    <cellStyle name="Normal 175 2 7 2" xfId="34151"/>
    <cellStyle name="Normal 175 2 8" xfId="34152"/>
    <cellStyle name="Normal 175 2 8 2" xfId="34153"/>
    <cellStyle name="Normal 175 2 9" xfId="34154"/>
    <cellStyle name="Normal 175 2 9 2" xfId="34155"/>
    <cellStyle name="Normal 175 2_Dakota Panel" xfId="34156"/>
    <cellStyle name="Normal 175 3" xfId="34157"/>
    <cellStyle name="Normal 175 3 2" xfId="34158"/>
    <cellStyle name="Normal 175 3 2 2" xfId="34159"/>
    <cellStyle name="Normal 175 3 3" xfId="34160"/>
    <cellStyle name="Normal 175 3 3 2" xfId="34161"/>
    <cellStyle name="Normal 175 3 4" xfId="34162"/>
    <cellStyle name="Normal 175 3 5" xfId="34163"/>
    <cellStyle name="Normal 175 4" xfId="34164"/>
    <cellStyle name="Normal 175 4 2" xfId="34165"/>
    <cellStyle name="Normal 175 5" xfId="34166"/>
    <cellStyle name="Normal 175 5 2" xfId="34167"/>
    <cellStyle name="Normal 175 6" xfId="34168"/>
    <cellStyle name="Normal 175 6 2" xfId="34169"/>
    <cellStyle name="Normal 175 7" xfId="34170"/>
    <cellStyle name="Normal 175 7 2" xfId="34171"/>
    <cellStyle name="Normal 175 8" xfId="34172"/>
    <cellStyle name="Normal 175 8 2" xfId="34173"/>
    <cellStyle name="Normal 175 9" xfId="34174"/>
    <cellStyle name="Normal 175 9 2" xfId="34175"/>
    <cellStyle name="Normal 175_Dakota Panel" xfId="34176"/>
    <cellStyle name="Normal 176" xfId="34177"/>
    <cellStyle name="Normal 176 10" xfId="34178"/>
    <cellStyle name="Normal 176 10 2" xfId="34179"/>
    <cellStyle name="Normal 176 11" xfId="34180"/>
    <cellStyle name="Normal 176 11 2" xfId="34181"/>
    <cellStyle name="Normal 176 12" xfId="34182"/>
    <cellStyle name="Normal 176 2" xfId="34183"/>
    <cellStyle name="Normal 176 2 2" xfId="34184"/>
    <cellStyle name="Normal 176 2 2 2" xfId="34185"/>
    <cellStyle name="Normal 176 2 3" xfId="34186"/>
    <cellStyle name="Normal 176 2 3 2" xfId="34187"/>
    <cellStyle name="Normal 176 2 4" xfId="34188"/>
    <cellStyle name="Normal 176 2 4 2" xfId="34189"/>
    <cellStyle name="Normal 176 2 5" xfId="34190"/>
    <cellStyle name="Normal 176 2 5 2" xfId="34191"/>
    <cellStyle name="Normal 176 2 6" xfId="34192"/>
    <cellStyle name="Normal 176 2 6 2" xfId="34193"/>
    <cellStyle name="Normal 176 2 7" xfId="34194"/>
    <cellStyle name="Normal 176 2 7 2" xfId="34195"/>
    <cellStyle name="Normal 176 2 8" xfId="34196"/>
    <cellStyle name="Normal 176 2 8 2" xfId="34197"/>
    <cellStyle name="Normal 176 2 9" xfId="34198"/>
    <cellStyle name="Normal 176 2 9 2" xfId="34199"/>
    <cellStyle name="Normal 176 2_Dakota Panel" xfId="34200"/>
    <cellStyle name="Normal 176 3" xfId="34201"/>
    <cellStyle name="Normal 176 3 2" xfId="34202"/>
    <cellStyle name="Normal 176 3 2 2" xfId="34203"/>
    <cellStyle name="Normal 176 3 3" xfId="34204"/>
    <cellStyle name="Normal 176 3 3 2" xfId="34205"/>
    <cellStyle name="Normal 176 3 4" xfId="34206"/>
    <cellStyle name="Normal 176 3 5" xfId="34207"/>
    <cellStyle name="Normal 176 4" xfId="34208"/>
    <cellStyle name="Normal 176 4 2" xfId="34209"/>
    <cellStyle name="Normal 176 5" xfId="34210"/>
    <cellStyle name="Normal 176 5 2" xfId="34211"/>
    <cellStyle name="Normal 176 6" xfId="34212"/>
    <cellStyle name="Normal 176 6 2" xfId="34213"/>
    <cellStyle name="Normal 176 7" xfId="34214"/>
    <cellStyle name="Normal 176 7 2" xfId="34215"/>
    <cellStyle name="Normal 176 8" xfId="34216"/>
    <cellStyle name="Normal 176 8 2" xfId="34217"/>
    <cellStyle name="Normal 176 9" xfId="34218"/>
    <cellStyle name="Normal 176 9 2" xfId="34219"/>
    <cellStyle name="Normal 176_Dakota Panel" xfId="34220"/>
    <cellStyle name="Normal 177" xfId="34221"/>
    <cellStyle name="Normal 177 10" xfId="34222"/>
    <cellStyle name="Normal 177 10 2" xfId="34223"/>
    <cellStyle name="Normal 177 11" xfId="34224"/>
    <cellStyle name="Normal 177 11 2" xfId="34225"/>
    <cellStyle name="Normal 177 12" xfId="34226"/>
    <cellStyle name="Normal 177 2" xfId="34227"/>
    <cellStyle name="Normal 177 2 2" xfId="34228"/>
    <cellStyle name="Normal 177 2 2 2" xfId="34229"/>
    <cellStyle name="Normal 177 2 3" xfId="34230"/>
    <cellStyle name="Normal 177 2 3 2" xfId="34231"/>
    <cellStyle name="Normal 177 2 4" xfId="34232"/>
    <cellStyle name="Normal 177 2 4 2" xfId="34233"/>
    <cellStyle name="Normal 177 2 5" xfId="34234"/>
    <cellStyle name="Normal 177 2 5 2" xfId="34235"/>
    <cellStyle name="Normal 177 2 6" xfId="34236"/>
    <cellStyle name="Normal 177 2 6 2" xfId="34237"/>
    <cellStyle name="Normal 177 2 7" xfId="34238"/>
    <cellStyle name="Normal 177 2 7 2" xfId="34239"/>
    <cellStyle name="Normal 177 2 8" xfId="34240"/>
    <cellStyle name="Normal 177 2 8 2" xfId="34241"/>
    <cellStyle name="Normal 177 2 9" xfId="34242"/>
    <cellStyle name="Normal 177 2 9 2" xfId="34243"/>
    <cellStyle name="Normal 177 2_Dakota Panel" xfId="34244"/>
    <cellStyle name="Normal 177 3" xfId="34245"/>
    <cellStyle name="Normal 177 3 2" xfId="34246"/>
    <cellStyle name="Normal 177 3 2 2" xfId="34247"/>
    <cellStyle name="Normal 177 3 3" xfId="34248"/>
    <cellStyle name="Normal 177 3 3 2" xfId="34249"/>
    <cellStyle name="Normal 177 3 4" xfId="34250"/>
    <cellStyle name="Normal 177 3 5" xfId="34251"/>
    <cellStyle name="Normal 177 4" xfId="34252"/>
    <cellStyle name="Normal 177 4 2" xfId="34253"/>
    <cellStyle name="Normal 177 5" xfId="34254"/>
    <cellStyle name="Normal 177 5 2" xfId="34255"/>
    <cellStyle name="Normal 177 6" xfId="34256"/>
    <cellStyle name="Normal 177 6 2" xfId="34257"/>
    <cellStyle name="Normal 177 7" xfId="34258"/>
    <cellStyle name="Normal 177 7 2" xfId="34259"/>
    <cellStyle name="Normal 177 8" xfId="34260"/>
    <cellStyle name="Normal 177 8 2" xfId="34261"/>
    <cellStyle name="Normal 177 9" xfId="34262"/>
    <cellStyle name="Normal 177 9 2" xfId="34263"/>
    <cellStyle name="Normal 177_Dakota Panel" xfId="34264"/>
    <cellStyle name="Normal 178" xfId="34265"/>
    <cellStyle name="Normal 178 10" xfId="34266"/>
    <cellStyle name="Normal 178 10 2" xfId="34267"/>
    <cellStyle name="Normal 178 11" xfId="34268"/>
    <cellStyle name="Normal 178 11 2" xfId="34269"/>
    <cellStyle name="Normal 178 12" xfId="34270"/>
    <cellStyle name="Normal 178 2" xfId="34271"/>
    <cellStyle name="Normal 178 2 2" xfId="34272"/>
    <cellStyle name="Normal 178 2 2 2" xfId="34273"/>
    <cellStyle name="Normal 178 2 3" xfId="34274"/>
    <cellStyle name="Normal 178 2 3 2" xfId="34275"/>
    <cellStyle name="Normal 178 2 4" xfId="34276"/>
    <cellStyle name="Normal 178 2 4 2" xfId="34277"/>
    <cellStyle name="Normal 178 2 5" xfId="34278"/>
    <cellStyle name="Normal 178 2 5 2" xfId="34279"/>
    <cellStyle name="Normal 178 2 6" xfId="34280"/>
    <cellStyle name="Normal 178 2 6 2" xfId="34281"/>
    <cellStyle name="Normal 178 2 7" xfId="34282"/>
    <cellStyle name="Normal 178 2 7 2" xfId="34283"/>
    <cellStyle name="Normal 178 2 8" xfId="34284"/>
    <cellStyle name="Normal 178 2 8 2" xfId="34285"/>
    <cellStyle name="Normal 178 2 9" xfId="34286"/>
    <cellStyle name="Normal 178 2 9 2" xfId="34287"/>
    <cellStyle name="Normal 178 2_Dakota Panel" xfId="34288"/>
    <cellStyle name="Normal 178 3" xfId="34289"/>
    <cellStyle name="Normal 178 3 2" xfId="34290"/>
    <cellStyle name="Normal 178 3 2 2" xfId="34291"/>
    <cellStyle name="Normal 178 3 3" xfId="34292"/>
    <cellStyle name="Normal 178 3 3 2" xfId="34293"/>
    <cellStyle name="Normal 178 3 4" xfId="34294"/>
    <cellStyle name="Normal 178 3 5" xfId="34295"/>
    <cellStyle name="Normal 178 4" xfId="34296"/>
    <cellStyle name="Normal 178 4 2" xfId="34297"/>
    <cellStyle name="Normal 178 5" xfId="34298"/>
    <cellStyle name="Normal 178 5 2" xfId="34299"/>
    <cellStyle name="Normal 178 6" xfId="34300"/>
    <cellStyle name="Normal 178 6 2" xfId="34301"/>
    <cellStyle name="Normal 178 7" xfId="34302"/>
    <cellStyle name="Normal 178 7 2" xfId="34303"/>
    <cellStyle name="Normal 178 8" xfId="34304"/>
    <cellStyle name="Normal 178 8 2" xfId="34305"/>
    <cellStyle name="Normal 178 9" xfId="34306"/>
    <cellStyle name="Normal 178 9 2" xfId="34307"/>
    <cellStyle name="Normal 178_Dakota Panel" xfId="34308"/>
    <cellStyle name="Normal 179" xfId="34309"/>
    <cellStyle name="Normal 179 10" xfId="34310"/>
    <cellStyle name="Normal 179 10 2" xfId="34311"/>
    <cellStyle name="Normal 179 11" xfId="34312"/>
    <cellStyle name="Normal 179 11 2" xfId="34313"/>
    <cellStyle name="Normal 179 12" xfId="34314"/>
    <cellStyle name="Normal 179 2" xfId="34315"/>
    <cellStyle name="Normal 179 2 2" xfId="34316"/>
    <cellStyle name="Normal 179 2 2 2" xfId="34317"/>
    <cellStyle name="Normal 179 2 3" xfId="34318"/>
    <cellStyle name="Normal 179 2 3 2" xfId="34319"/>
    <cellStyle name="Normal 179 2 4" xfId="34320"/>
    <cellStyle name="Normal 179 2 4 2" xfId="34321"/>
    <cellStyle name="Normal 179 2 5" xfId="34322"/>
    <cellStyle name="Normal 179 2 5 2" xfId="34323"/>
    <cellStyle name="Normal 179 2 6" xfId="34324"/>
    <cellStyle name="Normal 179 2 6 2" xfId="34325"/>
    <cellStyle name="Normal 179 2 7" xfId="34326"/>
    <cellStyle name="Normal 179 2 7 2" xfId="34327"/>
    <cellStyle name="Normal 179 2 8" xfId="34328"/>
    <cellStyle name="Normal 179 2 8 2" xfId="34329"/>
    <cellStyle name="Normal 179 2 9" xfId="34330"/>
    <cellStyle name="Normal 179 2 9 2" xfId="34331"/>
    <cellStyle name="Normal 179 2_Dakota Panel" xfId="34332"/>
    <cellStyle name="Normal 179 3" xfId="34333"/>
    <cellStyle name="Normal 179 3 2" xfId="34334"/>
    <cellStyle name="Normal 179 3 2 2" xfId="34335"/>
    <cellStyle name="Normal 179 3 3" xfId="34336"/>
    <cellStyle name="Normal 179 3 3 2" xfId="34337"/>
    <cellStyle name="Normal 179 3 4" xfId="34338"/>
    <cellStyle name="Normal 179 3 5" xfId="34339"/>
    <cellStyle name="Normal 179 4" xfId="34340"/>
    <cellStyle name="Normal 179 4 2" xfId="34341"/>
    <cellStyle name="Normal 179 5" xfId="34342"/>
    <cellStyle name="Normal 179 5 2" xfId="34343"/>
    <cellStyle name="Normal 179 6" xfId="34344"/>
    <cellStyle name="Normal 179 6 2" xfId="34345"/>
    <cellStyle name="Normal 179 7" xfId="34346"/>
    <cellStyle name="Normal 179 7 2" xfId="34347"/>
    <cellStyle name="Normal 179 8" xfId="34348"/>
    <cellStyle name="Normal 179 8 2" xfId="34349"/>
    <cellStyle name="Normal 179 9" xfId="34350"/>
    <cellStyle name="Normal 179 9 2" xfId="34351"/>
    <cellStyle name="Normal 179_Dakota Panel" xfId="34352"/>
    <cellStyle name="Normal 18" xfId="34353"/>
    <cellStyle name="Normal 18 10" xfId="34354"/>
    <cellStyle name="Normal 18 10 2" xfId="34355"/>
    <cellStyle name="Normal 18 11" xfId="34356"/>
    <cellStyle name="Normal 18 11 2" xfId="34357"/>
    <cellStyle name="Normal 18 12" xfId="34358"/>
    <cellStyle name="Normal 18 2" xfId="34359"/>
    <cellStyle name="Normal 18 2 2" xfId="34360"/>
    <cellStyle name="Normal 18 2 2 2" xfId="34361"/>
    <cellStyle name="Normal 18 2 3" xfId="34362"/>
    <cellStyle name="Normal 18 3" xfId="34363"/>
    <cellStyle name="Normal 18 3 2" xfId="34364"/>
    <cellStyle name="Normal 18 3 2 2" xfId="34365"/>
    <cellStyle name="Normal 18 3 2 2 2" xfId="34366"/>
    <cellStyle name="Normal 18 3 2 3" xfId="34367"/>
    <cellStyle name="Normal 18 3 3" xfId="34368"/>
    <cellStyle name="Normal 18 3 3 2" xfId="34369"/>
    <cellStyle name="Normal 18 3 4" xfId="34370"/>
    <cellStyle name="Normal 18 3 4 2" xfId="34371"/>
    <cellStyle name="Normal 18 3 5" xfId="34372"/>
    <cellStyle name="Normal 18 3 5 2" xfId="34373"/>
    <cellStyle name="Normal 18 3 6" xfId="34374"/>
    <cellStyle name="Normal 18 3 6 2" xfId="34375"/>
    <cellStyle name="Normal 18 3 7" xfId="34376"/>
    <cellStyle name="Normal 18 3 7 2" xfId="34377"/>
    <cellStyle name="Normal 18 3 8" xfId="34378"/>
    <cellStyle name="Normal 18 3 8 2" xfId="34379"/>
    <cellStyle name="Normal 18 3 9" xfId="34380"/>
    <cellStyle name="Normal 18 3 9 2" xfId="34381"/>
    <cellStyle name="Normal 18 3_Dakota Panel" xfId="34382"/>
    <cellStyle name="Normal 18 4" xfId="34383"/>
    <cellStyle name="Normal 18 4 2" xfId="34384"/>
    <cellStyle name="Normal 18 4 2 2" xfId="34385"/>
    <cellStyle name="Normal 18 4 3" xfId="34386"/>
    <cellStyle name="Normal 18 5" xfId="34387"/>
    <cellStyle name="Normal 18 5 2" xfId="34388"/>
    <cellStyle name="Normal 18 5 2 2" xfId="34389"/>
    <cellStyle name="Normal 18 6" xfId="34390"/>
    <cellStyle name="Normal 18 6 2" xfId="34391"/>
    <cellStyle name="Normal 18 6 2 2" xfId="34392"/>
    <cellStyle name="Normal 18 6 3" xfId="34393"/>
    <cellStyle name="Normal 18 6 4" xfId="34394"/>
    <cellStyle name="Normal 18 7" xfId="34395"/>
    <cellStyle name="Normal 18 7 2" xfId="34396"/>
    <cellStyle name="Normal 18 8" xfId="34397"/>
    <cellStyle name="Normal 18 8 2" xfId="34398"/>
    <cellStyle name="Normal 18 9" xfId="34399"/>
    <cellStyle name="Normal 18 9 2" xfId="34400"/>
    <cellStyle name="Normal 18_Dakota Panel" xfId="34401"/>
    <cellStyle name="Normal 180" xfId="34402"/>
    <cellStyle name="Normal 180 10" xfId="34403"/>
    <cellStyle name="Normal 180 10 2" xfId="34404"/>
    <cellStyle name="Normal 180 11" xfId="34405"/>
    <cellStyle name="Normal 180 11 2" xfId="34406"/>
    <cellStyle name="Normal 180 12" xfId="34407"/>
    <cellStyle name="Normal 180 2" xfId="34408"/>
    <cellStyle name="Normal 180 2 2" xfId="34409"/>
    <cellStyle name="Normal 180 2 2 2" xfId="34410"/>
    <cellStyle name="Normal 180 2 3" xfId="34411"/>
    <cellStyle name="Normal 180 2 3 2" xfId="34412"/>
    <cellStyle name="Normal 180 2 4" xfId="34413"/>
    <cellStyle name="Normal 180 2 4 2" xfId="34414"/>
    <cellStyle name="Normal 180 2 5" xfId="34415"/>
    <cellStyle name="Normal 180 2 5 2" xfId="34416"/>
    <cellStyle name="Normal 180 2 6" xfId="34417"/>
    <cellStyle name="Normal 180 2 6 2" xfId="34418"/>
    <cellStyle name="Normal 180 2 7" xfId="34419"/>
    <cellStyle name="Normal 180 2 7 2" xfId="34420"/>
    <cellStyle name="Normal 180 2 8" xfId="34421"/>
    <cellStyle name="Normal 180 2 8 2" xfId="34422"/>
    <cellStyle name="Normal 180 2 9" xfId="34423"/>
    <cellStyle name="Normal 180 2 9 2" xfId="34424"/>
    <cellStyle name="Normal 180 2_Dakota Panel" xfId="34425"/>
    <cellStyle name="Normal 180 3" xfId="34426"/>
    <cellStyle name="Normal 180 3 2" xfId="34427"/>
    <cellStyle name="Normal 180 3 2 2" xfId="34428"/>
    <cellStyle name="Normal 180 3 3" xfId="34429"/>
    <cellStyle name="Normal 180 3 3 2" xfId="34430"/>
    <cellStyle name="Normal 180 3 4" xfId="34431"/>
    <cellStyle name="Normal 180 3 5" xfId="34432"/>
    <cellStyle name="Normal 180 4" xfId="34433"/>
    <cellStyle name="Normal 180 4 2" xfId="34434"/>
    <cellStyle name="Normal 180 5" xfId="34435"/>
    <cellStyle name="Normal 180 5 2" xfId="34436"/>
    <cellStyle name="Normal 180 6" xfId="34437"/>
    <cellStyle name="Normal 180 6 2" xfId="34438"/>
    <cellStyle name="Normal 180 7" xfId="34439"/>
    <cellStyle name="Normal 180 7 2" xfId="34440"/>
    <cellStyle name="Normal 180 8" xfId="34441"/>
    <cellStyle name="Normal 180 8 2" xfId="34442"/>
    <cellStyle name="Normal 180 9" xfId="34443"/>
    <cellStyle name="Normal 180 9 2" xfId="34444"/>
    <cellStyle name="Normal 180_Dakota Panel" xfId="34445"/>
    <cellStyle name="Normal 181" xfId="34446"/>
    <cellStyle name="Normal 181 10" xfId="34447"/>
    <cellStyle name="Normal 181 10 2" xfId="34448"/>
    <cellStyle name="Normal 181 11" xfId="34449"/>
    <cellStyle name="Normal 181 11 2" xfId="34450"/>
    <cellStyle name="Normal 181 12" xfId="34451"/>
    <cellStyle name="Normal 181 2" xfId="34452"/>
    <cellStyle name="Normal 181 2 2" xfId="34453"/>
    <cellStyle name="Normal 181 2 2 2" xfId="34454"/>
    <cellStyle name="Normal 181 2 3" xfId="34455"/>
    <cellStyle name="Normal 181 2 3 2" xfId="34456"/>
    <cellStyle name="Normal 181 2 4" xfId="34457"/>
    <cellStyle name="Normal 181 2 4 2" xfId="34458"/>
    <cellStyle name="Normal 181 2 5" xfId="34459"/>
    <cellStyle name="Normal 181 2 5 2" xfId="34460"/>
    <cellStyle name="Normal 181 2 6" xfId="34461"/>
    <cellStyle name="Normal 181 2 6 2" xfId="34462"/>
    <cellStyle name="Normal 181 2 7" xfId="34463"/>
    <cellStyle name="Normal 181 2 7 2" xfId="34464"/>
    <cellStyle name="Normal 181 2 8" xfId="34465"/>
    <cellStyle name="Normal 181 2 8 2" xfId="34466"/>
    <cellStyle name="Normal 181 2 9" xfId="34467"/>
    <cellStyle name="Normal 181 2 9 2" xfId="34468"/>
    <cellStyle name="Normal 181 2_Dakota Panel" xfId="34469"/>
    <cellStyle name="Normal 181 3" xfId="34470"/>
    <cellStyle name="Normal 181 3 2" xfId="34471"/>
    <cellStyle name="Normal 181 3 2 2" xfId="34472"/>
    <cellStyle name="Normal 181 3 3" xfId="34473"/>
    <cellStyle name="Normal 181 3 3 2" xfId="34474"/>
    <cellStyle name="Normal 181 3 4" xfId="34475"/>
    <cellStyle name="Normal 181 3 5" xfId="34476"/>
    <cellStyle name="Normal 181 4" xfId="34477"/>
    <cellStyle name="Normal 181 4 2" xfId="34478"/>
    <cellStyle name="Normal 181 5" xfId="34479"/>
    <cellStyle name="Normal 181 5 2" xfId="34480"/>
    <cellStyle name="Normal 181 6" xfId="34481"/>
    <cellStyle name="Normal 181 6 2" xfId="34482"/>
    <cellStyle name="Normal 181 7" xfId="34483"/>
    <cellStyle name="Normal 181 7 2" xfId="34484"/>
    <cellStyle name="Normal 181 8" xfId="34485"/>
    <cellStyle name="Normal 181 8 2" xfId="34486"/>
    <cellStyle name="Normal 181 9" xfId="34487"/>
    <cellStyle name="Normal 181 9 2" xfId="34488"/>
    <cellStyle name="Normal 181_Dakota Panel" xfId="34489"/>
    <cellStyle name="Normal 182" xfId="34490"/>
    <cellStyle name="Normal 182 10" xfId="34491"/>
    <cellStyle name="Normal 182 10 2" xfId="34492"/>
    <cellStyle name="Normal 182 11" xfId="34493"/>
    <cellStyle name="Normal 182 11 2" xfId="34494"/>
    <cellStyle name="Normal 182 12" xfId="34495"/>
    <cellStyle name="Normal 182 2" xfId="34496"/>
    <cellStyle name="Normal 182 2 2" xfId="34497"/>
    <cellStyle name="Normal 182 2 2 2" xfId="34498"/>
    <cellStyle name="Normal 182 2 3" xfId="34499"/>
    <cellStyle name="Normal 182 2 3 2" xfId="34500"/>
    <cellStyle name="Normal 182 2 4" xfId="34501"/>
    <cellStyle name="Normal 182 2 4 2" xfId="34502"/>
    <cellStyle name="Normal 182 2 5" xfId="34503"/>
    <cellStyle name="Normal 182 2 5 2" xfId="34504"/>
    <cellStyle name="Normal 182 2 6" xfId="34505"/>
    <cellStyle name="Normal 182 2 6 2" xfId="34506"/>
    <cellStyle name="Normal 182 2 7" xfId="34507"/>
    <cellStyle name="Normal 182 2 7 2" xfId="34508"/>
    <cellStyle name="Normal 182 2 8" xfId="34509"/>
    <cellStyle name="Normal 182 2 8 2" xfId="34510"/>
    <cellStyle name="Normal 182 2 9" xfId="34511"/>
    <cellStyle name="Normal 182 2 9 2" xfId="34512"/>
    <cellStyle name="Normal 182 2_Dakota Panel" xfId="34513"/>
    <cellStyle name="Normal 182 3" xfId="34514"/>
    <cellStyle name="Normal 182 3 2" xfId="34515"/>
    <cellStyle name="Normal 182 3 2 2" xfId="34516"/>
    <cellStyle name="Normal 182 3 3" xfId="34517"/>
    <cellStyle name="Normal 182 3 3 2" xfId="34518"/>
    <cellStyle name="Normal 182 3 4" xfId="34519"/>
    <cellStyle name="Normal 182 3 5" xfId="34520"/>
    <cellStyle name="Normal 182 4" xfId="34521"/>
    <cellStyle name="Normal 182 4 2" xfId="34522"/>
    <cellStyle name="Normal 182 5" xfId="34523"/>
    <cellStyle name="Normal 182 5 2" xfId="34524"/>
    <cellStyle name="Normal 182 6" xfId="34525"/>
    <cellStyle name="Normal 182 6 2" xfId="34526"/>
    <cellStyle name="Normal 182 7" xfId="34527"/>
    <cellStyle name="Normal 182 7 2" xfId="34528"/>
    <cellStyle name="Normal 182 8" xfId="34529"/>
    <cellStyle name="Normal 182 8 2" xfId="34530"/>
    <cellStyle name="Normal 182 9" xfId="34531"/>
    <cellStyle name="Normal 182 9 2" xfId="34532"/>
    <cellStyle name="Normal 182_Dakota Panel" xfId="34533"/>
    <cellStyle name="Normal 183" xfId="34534"/>
    <cellStyle name="Normal 183 2" xfId="34535"/>
    <cellStyle name="Normal 183 2 2" xfId="34536"/>
    <cellStyle name="Normal 183 3" xfId="34537"/>
    <cellStyle name="Normal 183 3 2" xfId="34538"/>
    <cellStyle name="Normal 183_Dakota Panel" xfId="34539"/>
    <cellStyle name="Normal 184" xfId="34540"/>
    <cellStyle name="Normal 184 2" xfId="34541"/>
    <cellStyle name="Normal 184 2 2" xfId="34542"/>
    <cellStyle name="Normal 184 3" xfId="34543"/>
    <cellStyle name="Normal 184 3 2" xfId="34544"/>
    <cellStyle name="Normal 184_Dakota Panel" xfId="34545"/>
    <cellStyle name="Normal 185" xfId="34546"/>
    <cellStyle name="Normal 185 2" xfId="34547"/>
    <cellStyle name="Normal 185 2 2" xfId="34548"/>
    <cellStyle name="Normal 185 3" xfId="34549"/>
    <cellStyle name="Normal 185 3 2" xfId="34550"/>
    <cellStyle name="Normal 185_Dakota Panel" xfId="34551"/>
    <cellStyle name="Normal 186" xfId="34552"/>
    <cellStyle name="Normal 186 2" xfId="34553"/>
    <cellStyle name="Normal 186 2 2" xfId="34554"/>
    <cellStyle name="Normal 186 3" xfId="34555"/>
    <cellStyle name="Normal 186 3 2" xfId="34556"/>
    <cellStyle name="Normal 186_Dakota Panel" xfId="34557"/>
    <cellStyle name="Normal 187" xfId="34558"/>
    <cellStyle name="Normal 187 2" xfId="34559"/>
    <cellStyle name="Normal 187 2 2" xfId="34560"/>
    <cellStyle name="Normal 187 3" xfId="34561"/>
    <cellStyle name="Normal 187 3 2" xfId="34562"/>
    <cellStyle name="Normal 187_Dakota Panel" xfId="34563"/>
    <cellStyle name="Normal 188" xfId="34564"/>
    <cellStyle name="Normal 188 2" xfId="34565"/>
    <cellStyle name="Normal 188 2 2" xfId="34566"/>
    <cellStyle name="Normal 188 3" xfId="34567"/>
    <cellStyle name="Normal 188 3 2" xfId="34568"/>
    <cellStyle name="Normal 188_Dakota Panel" xfId="34569"/>
    <cellStyle name="Normal 189" xfId="34570"/>
    <cellStyle name="Normal 189 2" xfId="34571"/>
    <cellStyle name="Normal 189 2 2" xfId="34572"/>
    <cellStyle name="Normal 189 3" xfId="34573"/>
    <cellStyle name="Normal 189 3 2" xfId="34574"/>
    <cellStyle name="Normal 189_Dakota Panel" xfId="34575"/>
    <cellStyle name="Normal 19" xfId="34576"/>
    <cellStyle name="Normal 19 10" xfId="34577"/>
    <cellStyle name="Normal 19 10 2" xfId="34578"/>
    <cellStyle name="Normal 19 11" xfId="34579"/>
    <cellStyle name="Normal 19 11 2" xfId="34580"/>
    <cellStyle name="Normal 19 12" xfId="34581"/>
    <cellStyle name="Normal 19 2" xfId="34582"/>
    <cellStyle name="Normal 19 2 2" xfId="34583"/>
    <cellStyle name="Normal 19 2 2 2" xfId="34584"/>
    <cellStyle name="Normal 19 2 3" xfId="34585"/>
    <cellStyle name="Normal 19 3" xfId="34586"/>
    <cellStyle name="Normal 19 3 2" xfId="34587"/>
    <cellStyle name="Normal 19 3 2 2" xfId="34588"/>
    <cellStyle name="Normal 19 3 2 2 2" xfId="34589"/>
    <cellStyle name="Normal 19 3 2 3" xfId="34590"/>
    <cellStyle name="Normal 19 3 3" xfId="34591"/>
    <cellStyle name="Normal 19 3 3 2" xfId="34592"/>
    <cellStyle name="Normal 19 3 4" xfId="34593"/>
    <cellStyle name="Normal 19 3 4 2" xfId="34594"/>
    <cellStyle name="Normal 19 3 5" xfId="34595"/>
    <cellStyle name="Normal 19 3 5 2" xfId="34596"/>
    <cellStyle name="Normal 19 3 6" xfId="34597"/>
    <cellStyle name="Normal 19 3 6 2" xfId="34598"/>
    <cellStyle name="Normal 19 3 7" xfId="34599"/>
    <cellStyle name="Normal 19 3 7 2" xfId="34600"/>
    <cellStyle name="Normal 19 3 8" xfId="34601"/>
    <cellStyle name="Normal 19 3 8 2" xfId="34602"/>
    <cellStyle name="Normal 19 3 9" xfId="34603"/>
    <cellStyle name="Normal 19 3 9 2" xfId="34604"/>
    <cellStyle name="Normal 19 3_Dakota Panel" xfId="34605"/>
    <cellStyle name="Normal 19 4" xfId="34606"/>
    <cellStyle name="Normal 19 4 2" xfId="34607"/>
    <cellStyle name="Normal 19 4 2 2" xfId="34608"/>
    <cellStyle name="Normal 19 4 3" xfId="34609"/>
    <cellStyle name="Normal 19 5" xfId="34610"/>
    <cellStyle name="Normal 19 5 2" xfId="34611"/>
    <cellStyle name="Normal 19 5 2 2" xfId="34612"/>
    <cellStyle name="Normal 19 6" xfId="34613"/>
    <cellStyle name="Normal 19 6 2" xfId="34614"/>
    <cellStyle name="Normal 19 6 2 2" xfId="34615"/>
    <cellStyle name="Normal 19 6 3" xfId="34616"/>
    <cellStyle name="Normal 19 6 4" xfId="34617"/>
    <cellStyle name="Normal 19 7" xfId="34618"/>
    <cellStyle name="Normal 19 7 2" xfId="34619"/>
    <cellStyle name="Normal 19 8" xfId="34620"/>
    <cellStyle name="Normal 19 8 2" xfId="34621"/>
    <cellStyle name="Normal 19 9" xfId="34622"/>
    <cellStyle name="Normal 19 9 2" xfId="34623"/>
    <cellStyle name="Normal 19_Dakota Panel" xfId="34624"/>
    <cellStyle name="Normal 190" xfId="34625"/>
    <cellStyle name="Normal 190 2" xfId="34626"/>
    <cellStyle name="Normal 190 2 2" xfId="34627"/>
    <cellStyle name="Normal 190 3" xfId="34628"/>
    <cellStyle name="Normal 190 3 2" xfId="34629"/>
    <cellStyle name="Normal 190_Dakota Panel" xfId="34630"/>
    <cellStyle name="Normal 191" xfId="34631"/>
    <cellStyle name="Normal 191 2" xfId="34632"/>
    <cellStyle name="Normal 191 2 2" xfId="34633"/>
    <cellStyle name="Normal 191 3" xfId="34634"/>
    <cellStyle name="Normal 191 3 2" xfId="34635"/>
    <cellStyle name="Normal 191_Dakota Panel" xfId="34636"/>
    <cellStyle name="Normal 192" xfId="34637"/>
    <cellStyle name="Normal 192 2" xfId="34638"/>
    <cellStyle name="Normal 192 2 2" xfId="34639"/>
    <cellStyle name="Normal 192 3" xfId="34640"/>
    <cellStyle name="Normal 192 3 2" xfId="34641"/>
    <cellStyle name="Normal 192_Dakota Panel" xfId="34642"/>
    <cellStyle name="Normal 193" xfId="34643"/>
    <cellStyle name="Normal 193 2" xfId="34644"/>
    <cellStyle name="Normal 193 2 2" xfId="34645"/>
    <cellStyle name="Normal 193 3" xfId="34646"/>
    <cellStyle name="Normal 193 3 2" xfId="34647"/>
    <cellStyle name="Normal 193_Dakota Panel" xfId="34648"/>
    <cellStyle name="Normal 194" xfId="34649"/>
    <cellStyle name="Normal 194 2" xfId="34650"/>
    <cellStyle name="Normal 194 2 2" xfId="34651"/>
    <cellStyle name="Normal 194 2 2 2" xfId="34652"/>
    <cellStyle name="Normal 194 2 3" xfId="34653"/>
    <cellStyle name="Normal 194 3" xfId="34654"/>
    <cellStyle name="Normal 194 3 2" xfId="34655"/>
    <cellStyle name="Normal 194 4" xfId="34656"/>
    <cellStyle name="Normal 195" xfId="34657"/>
    <cellStyle name="Normal 195 2" xfId="34658"/>
    <cellStyle name="Normal 195 2 2" xfId="34659"/>
    <cellStyle name="Normal 195 2 2 2" xfId="34660"/>
    <cellStyle name="Normal 195 2 3" xfId="34661"/>
    <cellStyle name="Normal 195 3" xfId="34662"/>
    <cellStyle name="Normal 195 3 2" xfId="34663"/>
    <cellStyle name="Normal 195 4" xfId="34664"/>
    <cellStyle name="Normal 196" xfId="34665"/>
    <cellStyle name="Normal 196 2" xfId="34666"/>
    <cellStyle name="Normal 196 2 2" xfId="34667"/>
    <cellStyle name="Normal 196 2 2 2" xfId="34668"/>
    <cellStyle name="Normal 196 2 3" xfId="34669"/>
    <cellStyle name="Normal 196 3" xfId="34670"/>
    <cellStyle name="Normal 196 3 2" xfId="34671"/>
    <cellStyle name="Normal 196 4" xfId="34672"/>
    <cellStyle name="Normal 197" xfId="34673"/>
    <cellStyle name="Normal 197 2" xfId="34674"/>
    <cellStyle name="Normal 197 2 2" xfId="34675"/>
    <cellStyle name="Normal 197 2 2 2" xfId="34676"/>
    <cellStyle name="Normal 197 2 3" xfId="34677"/>
    <cellStyle name="Normal 197 3" xfId="34678"/>
    <cellStyle name="Normal 197 3 2" xfId="34679"/>
    <cellStyle name="Normal 197 4" xfId="34680"/>
    <cellStyle name="Normal 198" xfId="34681"/>
    <cellStyle name="Normal 198 2" xfId="34682"/>
    <cellStyle name="Normal 198 2 2" xfId="34683"/>
    <cellStyle name="Normal 198 2 2 2" xfId="34684"/>
    <cellStyle name="Normal 198 2 3" xfId="34685"/>
    <cellStyle name="Normal 198 3" xfId="34686"/>
    <cellStyle name="Normal 198 3 2" xfId="34687"/>
    <cellStyle name="Normal 198 4" xfId="34688"/>
    <cellStyle name="Normal 199" xfId="34689"/>
    <cellStyle name="Normal 199 2" xfId="34690"/>
    <cellStyle name="Normal 199 2 2" xfId="34691"/>
    <cellStyle name="Normal 199 3" xfId="34692"/>
    <cellStyle name="Normal 2" xfId="34693"/>
    <cellStyle name="Normal 2 10" xfId="34694"/>
    <cellStyle name="Normal 2 10 2" xfId="34695"/>
    <cellStyle name="Normal 2 10 2 2" xfId="34696"/>
    <cellStyle name="Normal 2 10 3" xfId="34697"/>
    <cellStyle name="Normal 2 11" xfId="34698"/>
    <cellStyle name="Normal 2 11 2" xfId="34699"/>
    <cellStyle name="Normal 2 11 2 2" xfId="34700"/>
    <cellStyle name="Normal 2 11 3" xfId="34701"/>
    <cellStyle name="Normal 2 12" xfId="34702"/>
    <cellStyle name="Normal 2 12 2" xfId="34703"/>
    <cellStyle name="Normal 2 12 2 2" xfId="34704"/>
    <cellStyle name="Normal 2 12 3" xfId="34705"/>
    <cellStyle name="Normal 2 13" xfId="34706"/>
    <cellStyle name="Normal 2 13 2" xfId="34707"/>
    <cellStyle name="Normal 2 13 3" xfId="34708"/>
    <cellStyle name="Normal 2 14" xfId="34709"/>
    <cellStyle name="Normal 2 14 2" xfId="34710"/>
    <cellStyle name="Normal 2 14 3" xfId="34711"/>
    <cellStyle name="Normal 2 15" xfId="34712"/>
    <cellStyle name="Normal 2 15 2" xfId="34713"/>
    <cellStyle name="Normal 2 15 3" xfId="34714"/>
    <cellStyle name="Normal 2 16" xfId="34715"/>
    <cellStyle name="Normal 2 16 2" xfId="34716"/>
    <cellStyle name="Normal 2 16 3" xfId="34717"/>
    <cellStyle name="Normal 2 17" xfId="34718"/>
    <cellStyle name="Normal 2 17 2" xfId="34719"/>
    <cellStyle name="Normal 2 17 3" xfId="34720"/>
    <cellStyle name="Normal 2 18" xfId="34721"/>
    <cellStyle name="Normal 2 18 2" xfId="34722"/>
    <cellStyle name="Normal 2 19" xfId="34723"/>
    <cellStyle name="Normal 2 19 2" xfId="34724"/>
    <cellStyle name="Normal 2 2" xfId="34725"/>
    <cellStyle name="Normal 2 2 10" xfId="34726"/>
    <cellStyle name="Normal 2 2 10 2" xfId="34727"/>
    <cellStyle name="Normal 2 2 10 3" xfId="34728"/>
    <cellStyle name="Normal 2 2 11" xfId="34729"/>
    <cellStyle name="Normal 2 2 11 2" xfId="34730"/>
    <cellStyle name="Normal 2 2 11 3" xfId="34731"/>
    <cellStyle name="Normal 2 2 12" xfId="34732"/>
    <cellStyle name="Normal 2 2 12 2" xfId="34733"/>
    <cellStyle name="Normal 2 2 12 2 2" xfId="34734"/>
    <cellStyle name="Normal 2 2 12 2 2 2" xfId="34735"/>
    <cellStyle name="Normal 2 2 12 2 2 3" xfId="34736"/>
    <cellStyle name="Normal 2 2 12 2 3" xfId="34737"/>
    <cellStyle name="Normal 2 2 12 2 3 2" xfId="34738"/>
    <cellStyle name="Normal 2 2 12 2 4" xfId="34739"/>
    <cellStyle name="Normal 2 2 12 2 5" xfId="34740"/>
    <cellStyle name="Normal 2 2 12 3" xfId="34741"/>
    <cellStyle name="Normal 2 2 12 3 2" xfId="34742"/>
    <cellStyle name="Normal 2 2 12 3 2 2" xfId="34743"/>
    <cellStyle name="Normal 2 2 12 3 3" xfId="34744"/>
    <cellStyle name="Normal 2 2 12 3 4" xfId="34745"/>
    <cellStyle name="Normal 2 2 12 4" xfId="34746"/>
    <cellStyle name="Normal 2 2 12 4 2" xfId="34747"/>
    <cellStyle name="Normal 2 2 12 4 2 2" xfId="34748"/>
    <cellStyle name="Normal 2 2 12 4 3" xfId="34749"/>
    <cellStyle name="Normal 2 2 12 4 4" xfId="34750"/>
    <cellStyle name="Normal 2 2 12 5" xfId="34751"/>
    <cellStyle name="Normal 2 2 12 5 2" xfId="34752"/>
    <cellStyle name="Normal 2 2 12 6" xfId="34753"/>
    <cellStyle name="Normal 2 2 12 7" xfId="34754"/>
    <cellStyle name="Normal 2 2 12 8" xfId="34755"/>
    <cellStyle name="Normal 2 2 13" xfId="34756"/>
    <cellStyle name="Normal 2 2 13 2" xfId="34757"/>
    <cellStyle name="Normal 2 2 13 2 2" xfId="34758"/>
    <cellStyle name="Normal 2 2 13 2 2 2" xfId="34759"/>
    <cellStyle name="Normal 2 2 13 2 2 3" xfId="34760"/>
    <cellStyle name="Normal 2 2 13 2 3" xfId="34761"/>
    <cellStyle name="Normal 2 2 13 2 3 2" xfId="34762"/>
    <cellStyle name="Normal 2 2 13 2 4" xfId="34763"/>
    <cellStyle name="Normal 2 2 13 2 5" xfId="34764"/>
    <cellStyle name="Normal 2 2 13 3" xfId="34765"/>
    <cellStyle name="Normal 2 2 13 3 2" xfId="34766"/>
    <cellStyle name="Normal 2 2 13 3 2 2" xfId="34767"/>
    <cellStyle name="Normal 2 2 13 3 3" xfId="34768"/>
    <cellStyle name="Normal 2 2 13 3 4" xfId="34769"/>
    <cellStyle name="Normal 2 2 13 4" xfId="34770"/>
    <cellStyle name="Normal 2 2 13 4 2" xfId="34771"/>
    <cellStyle name="Normal 2 2 13 4 2 2" xfId="34772"/>
    <cellStyle name="Normal 2 2 13 4 3" xfId="34773"/>
    <cellStyle name="Normal 2 2 13 4 4" xfId="34774"/>
    <cellStyle name="Normal 2 2 13 5" xfId="34775"/>
    <cellStyle name="Normal 2 2 13 5 2" xfId="34776"/>
    <cellStyle name="Normal 2 2 13 6" xfId="34777"/>
    <cellStyle name="Normal 2 2 13 7" xfId="34778"/>
    <cellStyle name="Normal 2 2 13 8" xfId="34779"/>
    <cellStyle name="Normal 2 2 14" xfId="34780"/>
    <cellStyle name="Normal 2 2 14 2" xfId="34781"/>
    <cellStyle name="Normal 2 2 14 2 2" xfId="34782"/>
    <cellStyle name="Normal 2 2 14 2 2 2" xfId="34783"/>
    <cellStyle name="Normal 2 2 14 2 2 3" xfId="34784"/>
    <cellStyle name="Normal 2 2 14 2 3" xfId="34785"/>
    <cellStyle name="Normal 2 2 14 2 3 2" xfId="34786"/>
    <cellStyle name="Normal 2 2 14 2 4" xfId="34787"/>
    <cellStyle name="Normal 2 2 14 2 5" xfId="34788"/>
    <cellStyle name="Normal 2 2 14 3" xfId="34789"/>
    <cellStyle name="Normal 2 2 14 3 2" xfId="34790"/>
    <cellStyle name="Normal 2 2 14 3 2 2" xfId="34791"/>
    <cellStyle name="Normal 2 2 14 3 3" xfId="34792"/>
    <cellStyle name="Normal 2 2 14 3 4" xfId="34793"/>
    <cellStyle name="Normal 2 2 14 4" xfId="34794"/>
    <cellStyle name="Normal 2 2 14 4 2" xfId="34795"/>
    <cellStyle name="Normal 2 2 14 4 2 2" xfId="34796"/>
    <cellStyle name="Normal 2 2 14 4 3" xfId="34797"/>
    <cellStyle name="Normal 2 2 14 4 4" xfId="34798"/>
    <cellStyle name="Normal 2 2 14 5" xfId="34799"/>
    <cellStyle name="Normal 2 2 14 5 2" xfId="34800"/>
    <cellStyle name="Normal 2 2 14 6" xfId="34801"/>
    <cellStyle name="Normal 2 2 14 7" xfId="34802"/>
    <cellStyle name="Normal 2 2 14 8" xfId="34803"/>
    <cellStyle name="Normal 2 2 15" xfId="34804"/>
    <cellStyle name="Normal 2 2 2" xfId="34805"/>
    <cellStyle name="Normal 2 2 2 10" xfId="34806"/>
    <cellStyle name="Normal 2 2 2 10 2" xfId="34807"/>
    <cellStyle name="Normal 2 2 2 10 3" xfId="34808"/>
    <cellStyle name="Normal 2 2 2 11" xfId="34809"/>
    <cellStyle name="Normal 2 2 2 11 2" xfId="34810"/>
    <cellStyle name="Normal 2 2 2 12" xfId="34811"/>
    <cellStyle name="Normal 2 2 2 12 2" xfId="34812"/>
    <cellStyle name="Normal 2 2 2 12 3" xfId="34813"/>
    <cellStyle name="Normal 2 2 2 13" xfId="34814"/>
    <cellStyle name="Normal 2 2 2 13 2" xfId="34815"/>
    <cellStyle name="Normal 2 2 2 14" xfId="34816"/>
    <cellStyle name="Normal 2 2 2 14 2" xfId="34817"/>
    <cellStyle name="Normal 2 2 2 14 2 2" xfId="34818"/>
    <cellStyle name="Normal 2 2 2 14 2 2 2" xfId="34819"/>
    <cellStyle name="Normal 2 2 2 14 2 2 3" xfId="34820"/>
    <cellStyle name="Normal 2 2 2 14 2 3" xfId="34821"/>
    <cellStyle name="Normal 2 2 2 14 2 3 2" xfId="34822"/>
    <cellStyle name="Normal 2 2 2 14 2 4" xfId="34823"/>
    <cellStyle name="Normal 2 2 2 14 2 5" xfId="34824"/>
    <cellStyle name="Normal 2 2 2 14 3" xfId="34825"/>
    <cellStyle name="Normal 2 2 2 14 3 2" xfId="34826"/>
    <cellStyle name="Normal 2 2 2 14 3 2 2" xfId="34827"/>
    <cellStyle name="Normal 2 2 2 14 3 3" xfId="34828"/>
    <cellStyle name="Normal 2 2 2 14 3 4" xfId="34829"/>
    <cellStyle name="Normal 2 2 2 14 4" xfId="34830"/>
    <cellStyle name="Normal 2 2 2 14 4 2" xfId="34831"/>
    <cellStyle name="Normal 2 2 2 14 4 2 2" xfId="34832"/>
    <cellStyle name="Normal 2 2 2 14 4 3" xfId="34833"/>
    <cellStyle name="Normal 2 2 2 14 4 4" xfId="34834"/>
    <cellStyle name="Normal 2 2 2 14 5" xfId="34835"/>
    <cellStyle name="Normal 2 2 2 14 5 2" xfId="34836"/>
    <cellStyle name="Normal 2 2 2 14 6" xfId="34837"/>
    <cellStyle name="Normal 2 2 2 14 7" xfId="34838"/>
    <cellStyle name="Normal 2 2 2 14 8" xfId="34839"/>
    <cellStyle name="Normal 2 2 2 15" xfId="34840"/>
    <cellStyle name="Normal 2 2 2 15 2" xfId="34841"/>
    <cellStyle name="Normal 2 2 2 15 2 2" xfId="34842"/>
    <cellStyle name="Normal 2 2 2 15 2 2 2" xfId="34843"/>
    <cellStyle name="Normal 2 2 2 15 2 2 3" xfId="34844"/>
    <cellStyle name="Normal 2 2 2 15 2 3" xfId="34845"/>
    <cellStyle name="Normal 2 2 2 15 2 3 2" xfId="34846"/>
    <cellStyle name="Normal 2 2 2 15 2 4" xfId="34847"/>
    <cellStyle name="Normal 2 2 2 15 2 5" xfId="34848"/>
    <cellStyle name="Normal 2 2 2 15 3" xfId="34849"/>
    <cellStyle name="Normal 2 2 2 15 3 2" xfId="34850"/>
    <cellStyle name="Normal 2 2 2 15 3 2 2" xfId="34851"/>
    <cellStyle name="Normal 2 2 2 15 3 3" xfId="34852"/>
    <cellStyle name="Normal 2 2 2 15 3 4" xfId="34853"/>
    <cellStyle name="Normal 2 2 2 15 4" xfId="34854"/>
    <cellStyle name="Normal 2 2 2 15 4 2" xfId="34855"/>
    <cellStyle name="Normal 2 2 2 15 4 2 2" xfId="34856"/>
    <cellStyle name="Normal 2 2 2 15 4 3" xfId="34857"/>
    <cellStyle name="Normal 2 2 2 15 4 4" xfId="34858"/>
    <cellStyle name="Normal 2 2 2 15 5" xfId="34859"/>
    <cellStyle name="Normal 2 2 2 15 5 2" xfId="34860"/>
    <cellStyle name="Normal 2 2 2 15 6" xfId="34861"/>
    <cellStyle name="Normal 2 2 2 15 7" xfId="34862"/>
    <cellStyle name="Normal 2 2 2 15 8" xfId="34863"/>
    <cellStyle name="Normal 2 2 2 16" xfId="34864"/>
    <cellStyle name="Normal 2 2 2 16 2" xfId="34865"/>
    <cellStyle name="Normal 2 2 2 16 2 2" xfId="34866"/>
    <cellStyle name="Normal 2 2 2 16 2 2 2" xfId="34867"/>
    <cellStyle name="Normal 2 2 2 16 2 2 3" xfId="34868"/>
    <cellStyle name="Normal 2 2 2 16 2 3" xfId="34869"/>
    <cellStyle name="Normal 2 2 2 16 2 3 2" xfId="34870"/>
    <cellStyle name="Normal 2 2 2 16 2 4" xfId="34871"/>
    <cellStyle name="Normal 2 2 2 16 2 5" xfId="34872"/>
    <cellStyle name="Normal 2 2 2 16 3" xfId="34873"/>
    <cellStyle name="Normal 2 2 2 16 3 2" xfId="34874"/>
    <cellStyle name="Normal 2 2 2 16 3 2 2" xfId="34875"/>
    <cellStyle name="Normal 2 2 2 16 3 3" xfId="34876"/>
    <cellStyle name="Normal 2 2 2 16 3 4" xfId="34877"/>
    <cellStyle name="Normal 2 2 2 16 4" xfId="34878"/>
    <cellStyle name="Normal 2 2 2 16 4 2" xfId="34879"/>
    <cellStyle name="Normal 2 2 2 16 4 2 2" xfId="34880"/>
    <cellStyle name="Normal 2 2 2 16 4 3" xfId="34881"/>
    <cellStyle name="Normal 2 2 2 16 4 4" xfId="34882"/>
    <cellStyle name="Normal 2 2 2 16 5" xfId="34883"/>
    <cellStyle name="Normal 2 2 2 16 5 2" xfId="34884"/>
    <cellStyle name="Normal 2 2 2 16 6" xfId="34885"/>
    <cellStyle name="Normal 2 2 2 16 7" xfId="34886"/>
    <cellStyle name="Normal 2 2 2 16 8" xfId="34887"/>
    <cellStyle name="Normal 2 2 2 17" xfId="34888"/>
    <cellStyle name="Normal 2 2 2 2" xfId="34889"/>
    <cellStyle name="Normal 2 2 2 2 2" xfId="34890"/>
    <cellStyle name="Normal 2 2 2 2 2 2" xfId="34891"/>
    <cellStyle name="Normal 2 2 2 2 2 2 2" xfId="34892"/>
    <cellStyle name="Normal 2 2 2 2 2 2 2 2" xfId="34893"/>
    <cellStyle name="Normal 2 2 2 2 2 2 2 2 2" xfId="34894"/>
    <cellStyle name="Normal 2 2 2 2 2 2 2 2 2 2" xfId="34895"/>
    <cellStyle name="Normal 2 2 2 2 2 2 2 2 2 3" xfId="34896"/>
    <cellStyle name="Normal 2 2 2 2 2 2 2 2 3" xfId="34897"/>
    <cellStyle name="Normal 2 2 2 2 2 2 2 2 3 2" xfId="34898"/>
    <cellStyle name="Normal 2 2 2 2 2 2 2 2 4" xfId="34899"/>
    <cellStyle name="Normal 2 2 2 2 2 2 2 2 5" xfId="34900"/>
    <cellStyle name="Normal 2 2 2 2 2 2 2 3" xfId="34901"/>
    <cellStyle name="Normal 2 2 2 2 2 2 2 3 2" xfId="34902"/>
    <cellStyle name="Normal 2 2 2 2 2 2 2 3 2 2" xfId="34903"/>
    <cellStyle name="Normal 2 2 2 2 2 2 2 3 3" xfId="34904"/>
    <cellStyle name="Normal 2 2 2 2 2 2 2 3 4" xfId="34905"/>
    <cellStyle name="Normal 2 2 2 2 2 2 2 4" xfId="34906"/>
    <cellStyle name="Normal 2 2 2 2 2 2 2 4 2" xfId="34907"/>
    <cellStyle name="Normal 2 2 2 2 2 2 2 4 2 2" xfId="34908"/>
    <cellStyle name="Normal 2 2 2 2 2 2 2 4 3" xfId="34909"/>
    <cellStyle name="Normal 2 2 2 2 2 2 2 4 4" xfId="34910"/>
    <cellStyle name="Normal 2 2 2 2 2 2 2 5" xfId="34911"/>
    <cellStyle name="Normal 2 2 2 2 2 2 2 5 2" xfId="34912"/>
    <cellStyle name="Normal 2 2 2 2 2 2 2 6" xfId="34913"/>
    <cellStyle name="Normal 2 2 2 2 2 2 2 7" xfId="34914"/>
    <cellStyle name="Normal 2 2 2 2 2 2 2 8" xfId="34915"/>
    <cellStyle name="Normal 2 2 2 2 2 2 3" xfId="34916"/>
    <cellStyle name="Normal 2 2 2 2 2 2 3 2" xfId="34917"/>
    <cellStyle name="Normal 2 2 2 2 2 2 3 2 2" xfId="34918"/>
    <cellStyle name="Normal 2 2 2 2 2 2 3 2 2 2" xfId="34919"/>
    <cellStyle name="Normal 2 2 2 2 2 2 3 2 2 3" xfId="34920"/>
    <cellStyle name="Normal 2 2 2 2 2 2 3 2 3" xfId="34921"/>
    <cellStyle name="Normal 2 2 2 2 2 2 3 2 3 2" xfId="34922"/>
    <cellStyle name="Normal 2 2 2 2 2 2 3 2 4" xfId="34923"/>
    <cellStyle name="Normal 2 2 2 2 2 2 3 2 5" xfId="34924"/>
    <cellStyle name="Normal 2 2 2 2 2 2 3 3" xfId="34925"/>
    <cellStyle name="Normal 2 2 2 2 2 2 3 3 2" xfId="34926"/>
    <cellStyle name="Normal 2 2 2 2 2 2 3 3 2 2" xfId="34927"/>
    <cellStyle name="Normal 2 2 2 2 2 2 3 3 3" xfId="34928"/>
    <cellStyle name="Normal 2 2 2 2 2 2 3 3 4" xfId="34929"/>
    <cellStyle name="Normal 2 2 2 2 2 2 3 4" xfId="34930"/>
    <cellStyle name="Normal 2 2 2 2 2 2 3 4 2" xfId="34931"/>
    <cellStyle name="Normal 2 2 2 2 2 2 3 4 2 2" xfId="34932"/>
    <cellStyle name="Normal 2 2 2 2 2 2 3 4 3" xfId="34933"/>
    <cellStyle name="Normal 2 2 2 2 2 2 3 4 4" xfId="34934"/>
    <cellStyle name="Normal 2 2 2 2 2 2 3 5" xfId="34935"/>
    <cellStyle name="Normal 2 2 2 2 2 2 3 5 2" xfId="34936"/>
    <cellStyle name="Normal 2 2 2 2 2 2 3 6" xfId="34937"/>
    <cellStyle name="Normal 2 2 2 2 2 2 3 7" xfId="34938"/>
    <cellStyle name="Normal 2 2 2 2 2 2 3 8" xfId="34939"/>
    <cellStyle name="Normal 2 2 2 2 2 2 4" xfId="34940"/>
    <cellStyle name="Normal 2 2 2 2 2 2 4 2" xfId="34941"/>
    <cellStyle name="Normal 2 2 2 2 2 2 4 2 2" xfId="34942"/>
    <cellStyle name="Normal 2 2 2 2 2 2 4 2 2 2" xfId="34943"/>
    <cellStyle name="Normal 2 2 2 2 2 2 4 2 2 3" xfId="34944"/>
    <cellStyle name="Normal 2 2 2 2 2 2 4 2 3" xfId="34945"/>
    <cellStyle name="Normal 2 2 2 2 2 2 4 2 3 2" xfId="34946"/>
    <cellStyle name="Normal 2 2 2 2 2 2 4 2 4" xfId="34947"/>
    <cellStyle name="Normal 2 2 2 2 2 2 4 2 5" xfId="34948"/>
    <cellStyle name="Normal 2 2 2 2 2 2 4 3" xfId="34949"/>
    <cellStyle name="Normal 2 2 2 2 2 2 4 3 2" xfId="34950"/>
    <cellStyle name="Normal 2 2 2 2 2 2 4 3 2 2" xfId="34951"/>
    <cellStyle name="Normal 2 2 2 2 2 2 4 3 3" xfId="34952"/>
    <cellStyle name="Normal 2 2 2 2 2 2 4 3 4" xfId="34953"/>
    <cellStyle name="Normal 2 2 2 2 2 2 4 4" xfId="34954"/>
    <cellStyle name="Normal 2 2 2 2 2 2 4 4 2" xfId="34955"/>
    <cellStyle name="Normal 2 2 2 2 2 2 4 4 2 2" xfId="34956"/>
    <cellStyle name="Normal 2 2 2 2 2 2 4 4 3" xfId="34957"/>
    <cellStyle name="Normal 2 2 2 2 2 2 4 4 4" xfId="34958"/>
    <cellStyle name="Normal 2 2 2 2 2 2 4 5" xfId="34959"/>
    <cellStyle name="Normal 2 2 2 2 2 2 4 5 2" xfId="34960"/>
    <cellStyle name="Normal 2 2 2 2 2 2 4 6" xfId="34961"/>
    <cellStyle name="Normal 2 2 2 2 2 2 4 7" xfId="34962"/>
    <cellStyle name="Normal 2 2 2 2 2 2 4 8" xfId="34963"/>
    <cellStyle name="Normal 2 2 2 2 2 2 5" xfId="34964"/>
    <cellStyle name="Normal 2 2 2 2 2 3" xfId="34965"/>
    <cellStyle name="Normal 2 2 2 2 2 3 2" xfId="34966"/>
    <cellStyle name="Normal 2 2 2 2 2 3 2 2" xfId="34967"/>
    <cellStyle name="Normal 2 2 2 2 2 3 2 2 2" xfId="34968"/>
    <cellStyle name="Normal 2 2 2 2 2 3 2 2 3" xfId="34969"/>
    <cellStyle name="Normal 2 2 2 2 2 3 2 3" xfId="34970"/>
    <cellStyle name="Normal 2 2 2 2 2 3 2 3 2" xfId="34971"/>
    <cellStyle name="Normal 2 2 2 2 2 3 2 4" xfId="34972"/>
    <cellStyle name="Normal 2 2 2 2 2 3 2 5" xfId="34973"/>
    <cellStyle name="Normal 2 2 2 2 2 3 3" xfId="34974"/>
    <cellStyle name="Normal 2 2 2 2 2 3 3 2" xfId="34975"/>
    <cellStyle name="Normal 2 2 2 2 2 3 3 2 2" xfId="34976"/>
    <cellStyle name="Normal 2 2 2 2 2 3 3 3" xfId="34977"/>
    <cellStyle name="Normal 2 2 2 2 2 3 3 4" xfId="34978"/>
    <cellStyle name="Normal 2 2 2 2 2 3 4" xfId="34979"/>
    <cellStyle name="Normal 2 2 2 2 2 3 4 2" xfId="34980"/>
    <cellStyle name="Normal 2 2 2 2 2 3 4 2 2" xfId="34981"/>
    <cellStyle name="Normal 2 2 2 2 2 3 4 3" xfId="34982"/>
    <cellStyle name="Normal 2 2 2 2 2 3 4 4" xfId="34983"/>
    <cellStyle name="Normal 2 2 2 2 2 3 5" xfId="34984"/>
    <cellStyle name="Normal 2 2 2 2 2 3 5 2" xfId="34985"/>
    <cellStyle name="Normal 2 2 2 2 2 3 6" xfId="34986"/>
    <cellStyle name="Normal 2 2 2 2 2 3 7" xfId="34987"/>
    <cellStyle name="Normal 2 2 2 2 2 3 8" xfId="34988"/>
    <cellStyle name="Normal 2 2 2 2 2 4" xfId="34989"/>
    <cellStyle name="Normal 2 2 2 2 2 4 2" xfId="34990"/>
    <cellStyle name="Normal 2 2 2 2 2 4 2 2" xfId="34991"/>
    <cellStyle name="Normal 2 2 2 2 2 4 2 2 2" xfId="34992"/>
    <cellStyle name="Normal 2 2 2 2 2 4 2 2 3" xfId="34993"/>
    <cellStyle name="Normal 2 2 2 2 2 4 2 3" xfId="34994"/>
    <cellStyle name="Normal 2 2 2 2 2 4 2 3 2" xfId="34995"/>
    <cellStyle name="Normal 2 2 2 2 2 4 2 4" xfId="34996"/>
    <cellStyle name="Normal 2 2 2 2 2 4 2 5" xfId="34997"/>
    <cellStyle name="Normal 2 2 2 2 2 4 3" xfId="34998"/>
    <cellStyle name="Normal 2 2 2 2 2 4 3 2" xfId="34999"/>
    <cellStyle name="Normal 2 2 2 2 2 4 3 2 2" xfId="35000"/>
    <cellStyle name="Normal 2 2 2 2 2 4 3 3" xfId="35001"/>
    <cellStyle name="Normal 2 2 2 2 2 4 3 4" xfId="35002"/>
    <cellStyle name="Normal 2 2 2 2 2 4 4" xfId="35003"/>
    <cellStyle name="Normal 2 2 2 2 2 4 4 2" xfId="35004"/>
    <cellStyle name="Normal 2 2 2 2 2 4 4 2 2" xfId="35005"/>
    <cellStyle name="Normal 2 2 2 2 2 4 4 3" xfId="35006"/>
    <cellStyle name="Normal 2 2 2 2 2 4 4 4" xfId="35007"/>
    <cellStyle name="Normal 2 2 2 2 2 4 5" xfId="35008"/>
    <cellStyle name="Normal 2 2 2 2 2 4 5 2" xfId="35009"/>
    <cellStyle name="Normal 2 2 2 2 2 4 6" xfId="35010"/>
    <cellStyle name="Normal 2 2 2 2 2 4 7" xfId="35011"/>
    <cellStyle name="Normal 2 2 2 2 2 4 8" xfId="35012"/>
    <cellStyle name="Normal 2 2 2 2 2 5" xfId="35013"/>
    <cellStyle name="Normal 2 2 2 2 2 5 2" xfId="35014"/>
    <cellStyle name="Normal 2 2 2 2 2 5 2 2" xfId="35015"/>
    <cellStyle name="Normal 2 2 2 2 2 5 2 2 2" xfId="35016"/>
    <cellStyle name="Normal 2 2 2 2 2 5 2 2 3" xfId="35017"/>
    <cellStyle name="Normal 2 2 2 2 2 5 2 3" xfId="35018"/>
    <cellStyle name="Normal 2 2 2 2 2 5 2 3 2" xfId="35019"/>
    <cellStyle name="Normal 2 2 2 2 2 5 2 4" xfId="35020"/>
    <cellStyle name="Normal 2 2 2 2 2 5 2 5" xfId="35021"/>
    <cellStyle name="Normal 2 2 2 2 2 5 3" xfId="35022"/>
    <cellStyle name="Normal 2 2 2 2 2 5 3 2" xfId="35023"/>
    <cellStyle name="Normal 2 2 2 2 2 5 3 2 2" xfId="35024"/>
    <cellStyle name="Normal 2 2 2 2 2 5 3 3" xfId="35025"/>
    <cellStyle name="Normal 2 2 2 2 2 5 3 4" xfId="35026"/>
    <cellStyle name="Normal 2 2 2 2 2 5 4" xfId="35027"/>
    <cellStyle name="Normal 2 2 2 2 2 5 4 2" xfId="35028"/>
    <cellStyle name="Normal 2 2 2 2 2 5 4 2 2" xfId="35029"/>
    <cellStyle name="Normal 2 2 2 2 2 5 4 3" xfId="35030"/>
    <cellStyle name="Normal 2 2 2 2 2 5 4 4" xfId="35031"/>
    <cellStyle name="Normal 2 2 2 2 2 5 5" xfId="35032"/>
    <cellStyle name="Normal 2 2 2 2 2 5 5 2" xfId="35033"/>
    <cellStyle name="Normal 2 2 2 2 2 5 6" xfId="35034"/>
    <cellStyle name="Normal 2 2 2 2 2 5 7" xfId="35035"/>
    <cellStyle name="Normal 2 2 2 2 2 5 8" xfId="35036"/>
    <cellStyle name="Normal 2 2 2 2 2 6" xfId="35037"/>
    <cellStyle name="Normal 2 2 2 2 3" xfId="35038"/>
    <cellStyle name="Normal 2 2 2 2 3 2" xfId="35039"/>
    <cellStyle name="Normal 2 2 2 2 3 2 2" xfId="35040"/>
    <cellStyle name="Normal 2 2 2 2 3 2 2 2" xfId="35041"/>
    <cellStyle name="Normal 2 2 2 2 3 2 2 2 2" xfId="35042"/>
    <cellStyle name="Normal 2 2 2 2 3 2 2 2 3" xfId="35043"/>
    <cellStyle name="Normal 2 2 2 2 3 2 2 3" xfId="35044"/>
    <cellStyle name="Normal 2 2 2 2 3 2 2 3 2" xfId="35045"/>
    <cellStyle name="Normal 2 2 2 2 3 2 2 4" xfId="35046"/>
    <cellStyle name="Normal 2 2 2 2 3 2 2 5" xfId="35047"/>
    <cellStyle name="Normal 2 2 2 2 3 2 3" xfId="35048"/>
    <cellStyle name="Normal 2 2 2 2 3 2 3 2" xfId="35049"/>
    <cellStyle name="Normal 2 2 2 2 3 2 3 2 2" xfId="35050"/>
    <cellStyle name="Normal 2 2 2 2 3 2 3 3" xfId="35051"/>
    <cellStyle name="Normal 2 2 2 2 3 2 3 4" xfId="35052"/>
    <cellStyle name="Normal 2 2 2 2 3 2 4" xfId="35053"/>
    <cellStyle name="Normal 2 2 2 2 3 2 4 2" xfId="35054"/>
    <cellStyle name="Normal 2 2 2 2 3 2 4 2 2" xfId="35055"/>
    <cellStyle name="Normal 2 2 2 2 3 2 4 3" xfId="35056"/>
    <cellStyle name="Normal 2 2 2 2 3 2 4 4" xfId="35057"/>
    <cellStyle name="Normal 2 2 2 2 3 2 5" xfId="35058"/>
    <cellStyle name="Normal 2 2 2 2 3 2 5 2" xfId="35059"/>
    <cellStyle name="Normal 2 2 2 2 3 2 6" xfId="35060"/>
    <cellStyle name="Normal 2 2 2 2 3 2 7" xfId="35061"/>
    <cellStyle name="Normal 2 2 2 2 3 2 8" xfId="35062"/>
    <cellStyle name="Normal 2 2 2 2 3 3" xfId="35063"/>
    <cellStyle name="Normal 2 2 2 2 3 3 2" xfId="35064"/>
    <cellStyle name="Normal 2 2 2 2 3 3 2 2" xfId="35065"/>
    <cellStyle name="Normal 2 2 2 2 3 3 2 2 2" xfId="35066"/>
    <cellStyle name="Normal 2 2 2 2 3 3 2 2 3" xfId="35067"/>
    <cellStyle name="Normal 2 2 2 2 3 3 2 3" xfId="35068"/>
    <cellStyle name="Normal 2 2 2 2 3 3 2 3 2" xfId="35069"/>
    <cellStyle name="Normal 2 2 2 2 3 3 2 4" xfId="35070"/>
    <cellStyle name="Normal 2 2 2 2 3 3 2 5" xfId="35071"/>
    <cellStyle name="Normal 2 2 2 2 3 3 3" xfId="35072"/>
    <cellStyle name="Normal 2 2 2 2 3 3 3 2" xfId="35073"/>
    <cellStyle name="Normal 2 2 2 2 3 3 3 2 2" xfId="35074"/>
    <cellStyle name="Normal 2 2 2 2 3 3 3 3" xfId="35075"/>
    <cellStyle name="Normal 2 2 2 2 3 3 3 4" xfId="35076"/>
    <cellStyle name="Normal 2 2 2 2 3 3 4" xfId="35077"/>
    <cellStyle name="Normal 2 2 2 2 3 3 4 2" xfId="35078"/>
    <cellStyle name="Normal 2 2 2 2 3 3 4 2 2" xfId="35079"/>
    <cellStyle name="Normal 2 2 2 2 3 3 4 3" xfId="35080"/>
    <cellStyle name="Normal 2 2 2 2 3 3 4 4" xfId="35081"/>
    <cellStyle name="Normal 2 2 2 2 3 3 5" xfId="35082"/>
    <cellStyle name="Normal 2 2 2 2 3 3 5 2" xfId="35083"/>
    <cellStyle name="Normal 2 2 2 2 3 3 6" xfId="35084"/>
    <cellStyle name="Normal 2 2 2 2 3 3 7" xfId="35085"/>
    <cellStyle name="Normal 2 2 2 2 3 3 8" xfId="35086"/>
    <cellStyle name="Normal 2 2 2 2 3 4" xfId="35087"/>
    <cellStyle name="Normal 2 2 2 2 3 4 2" xfId="35088"/>
    <cellStyle name="Normal 2 2 2 2 3 4 2 2" xfId="35089"/>
    <cellStyle name="Normal 2 2 2 2 3 4 2 2 2" xfId="35090"/>
    <cellStyle name="Normal 2 2 2 2 3 4 2 2 3" xfId="35091"/>
    <cellStyle name="Normal 2 2 2 2 3 4 2 3" xfId="35092"/>
    <cellStyle name="Normal 2 2 2 2 3 4 2 3 2" xfId="35093"/>
    <cellStyle name="Normal 2 2 2 2 3 4 2 4" xfId="35094"/>
    <cellStyle name="Normal 2 2 2 2 3 4 2 5" xfId="35095"/>
    <cellStyle name="Normal 2 2 2 2 3 4 3" xfId="35096"/>
    <cellStyle name="Normal 2 2 2 2 3 4 3 2" xfId="35097"/>
    <cellStyle name="Normal 2 2 2 2 3 4 3 2 2" xfId="35098"/>
    <cellStyle name="Normal 2 2 2 2 3 4 3 3" xfId="35099"/>
    <cellStyle name="Normal 2 2 2 2 3 4 3 4" xfId="35100"/>
    <cellStyle name="Normal 2 2 2 2 3 4 4" xfId="35101"/>
    <cellStyle name="Normal 2 2 2 2 3 4 4 2" xfId="35102"/>
    <cellStyle name="Normal 2 2 2 2 3 4 4 2 2" xfId="35103"/>
    <cellStyle name="Normal 2 2 2 2 3 4 4 3" xfId="35104"/>
    <cellStyle name="Normal 2 2 2 2 3 4 4 4" xfId="35105"/>
    <cellStyle name="Normal 2 2 2 2 3 4 5" xfId="35106"/>
    <cellStyle name="Normal 2 2 2 2 3 4 5 2" xfId="35107"/>
    <cellStyle name="Normal 2 2 2 2 3 4 6" xfId="35108"/>
    <cellStyle name="Normal 2 2 2 2 3 4 7" xfId="35109"/>
    <cellStyle name="Normal 2 2 2 2 3 4 8" xfId="35110"/>
    <cellStyle name="Normal 2 2 2 2 3 5" xfId="35111"/>
    <cellStyle name="Normal 2 2 2 2 4" xfId="35112"/>
    <cellStyle name="Normal 2 2 2 2 4 2" xfId="35113"/>
    <cellStyle name="Normal 2 2 2 2 4 3" xfId="35114"/>
    <cellStyle name="Normal 2 2 2 2 5" xfId="35115"/>
    <cellStyle name="Normal 2 2 2 2 5 2" xfId="35116"/>
    <cellStyle name="Normal 2 2 2 2 5 2 2" xfId="35117"/>
    <cellStyle name="Normal 2 2 2 2 5 2 2 2" xfId="35118"/>
    <cellStyle name="Normal 2 2 2 2 5 2 2 3" xfId="35119"/>
    <cellStyle name="Normal 2 2 2 2 5 2 3" xfId="35120"/>
    <cellStyle name="Normal 2 2 2 2 5 2 3 2" xfId="35121"/>
    <cellStyle name="Normal 2 2 2 2 5 2 4" xfId="35122"/>
    <cellStyle name="Normal 2 2 2 2 5 2 5" xfId="35123"/>
    <cellStyle name="Normal 2 2 2 2 5 3" xfId="35124"/>
    <cellStyle name="Normal 2 2 2 2 5 3 2" xfId="35125"/>
    <cellStyle name="Normal 2 2 2 2 5 3 2 2" xfId="35126"/>
    <cellStyle name="Normal 2 2 2 2 5 3 3" xfId="35127"/>
    <cellStyle name="Normal 2 2 2 2 5 3 4" xfId="35128"/>
    <cellStyle name="Normal 2 2 2 2 5 4" xfId="35129"/>
    <cellStyle name="Normal 2 2 2 2 5 4 2" xfId="35130"/>
    <cellStyle name="Normal 2 2 2 2 5 4 2 2" xfId="35131"/>
    <cellStyle name="Normal 2 2 2 2 5 4 3" xfId="35132"/>
    <cellStyle name="Normal 2 2 2 2 5 4 4" xfId="35133"/>
    <cellStyle name="Normal 2 2 2 2 5 5" xfId="35134"/>
    <cellStyle name="Normal 2 2 2 2 5 5 2" xfId="35135"/>
    <cellStyle name="Normal 2 2 2 2 5 6" xfId="35136"/>
    <cellStyle name="Normal 2 2 2 2 5 7" xfId="35137"/>
    <cellStyle name="Normal 2 2 2 2 5 8" xfId="35138"/>
    <cellStyle name="Normal 2 2 2 2 6" xfId="35139"/>
    <cellStyle name="Normal 2 2 2 2 6 2" xfId="35140"/>
    <cellStyle name="Normal 2 2 2 2 6 2 2" xfId="35141"/>
    <cellStyle name="Normal 2 2 2 2 6 2 2 2" xfId="35142"/>
    <cellStyle name="Normal 2 2 2 2 6 2 2 3" xfId="35143"/>
    <cellStyle name="Normal 2 2 2 2 6 2 3" xfId="35144"/>
    <cellStyle name="Normal 2 2 2 2 6 2 3 2" xfId="35145"/>
    <cellStyle name="Normal 2 2 2 2 6 2 4" xfId="35146"/>
    <cellStyle name="Normal 2 2 2 2 6 2 5" xfId="35147"/>
    <cellStyle name="Normal 2 2 2 2 6 3" xfId="35148"/>
    <cellStyle name="Normal 2 2 2 2 6 3 2" xfId="35149"/>
    <cellStyle name="Normal 2 2 2 2 6 3 2 2" xfId="35150"/>
    <cellStyle name="Normal 2 2 2 2 6 3 3" xfId="35151"/>
    <cellStyle name="Normal 2 2 2 2 6 3 4" xfId="35152"/>
    <cellStyle name="Normal 2 2 2 2 6 4" xfId="35153"/>
    <cellStyle name="Normal 2 2 2 2 6 4 2" xfId="35154"/>
    <cellStyle name="Normal 2 2 2 2 6 4 2 2" xfId="35155"/>
    <cellStyle name="Normal 2 2 2 2 6 4 3" xfId="35156"/>
    <cellStyle name="Normal 2 2 2 2 6 4 4" xfId="35157"/>
    <cellStyle name="Normal 2 2 2 2 6 5" xfId="35158"/>
    <cellStyle name="Normal 2 2 2 2 6 5 2" xfId="35159"/>
    <cellStyle name="Normal 2 2 2 2 6 6" xfId="35160"/>
    <cellStyle name="Normal 2 2 2 2 6 7" xfId="35161"/>
    <cellStyle name="Normal 2 2 2 2 6 8" xfId="35162"/>
    <cellStyle name="Normal 2 2 2 2 7" xfId="35163"/>
    <cellStyle name="Normal 2 2 2 2 7 2" xfId="35164"/>
    <cellStyle name="Normal 2 2 2 2 7 2 2" xfId="35165"/>
    <cellStyle name="Normal 2 2 2 2 7 2 2 2" xfId="35166"/>
    <cellStyle name="Normal 2 2 2 2 7 2 2 3" xfId="35167"/>
    <cellStyle name="Normal 2 2 2 2 7 2 3" xfId="35168"/>
    <cellStyle name="Normal 2 2 2 2 7 2 3 2" xfId="35169"/>
    <cellStyle name="Normal 2 2 2 2 7 2 4" xfId="35170"/>
    <cellStyle name="Normal 2 2 2 2 7 2 5" xfId="35171"/>
    <cellStyle name="Normal 2 2 2 2 7 3" xfId="35172"/>
    <cellStyle name="Normal 2 2 2 2 7 3 2" xfId="35173"/>
    <cellStyle name="Normal 2 2 2 2 7 3 2 2" xfId="35174"/>
    <cellStyle name="Normal 2 2 2 2 7 3 3" xfId="35175"/>
    <cellStyle name="Normal 2 2 2 2 7 3 4" xfId="35176"/>
    <cellStyle name="Normal 2 2 2 2 7 4" xfId="35177"/>
    <cellStyle name="Normal 2 2 2 2 7 4 2" xfId="35178"/>
    <cellStyle name="Normal 2 2 2 2 7 4 2 2" xfId="35179"/>
    <cellStyle name="Normal 2 2 2 2 7 4 3" xfId="35180"/>
    <cellStyle name="Normal 2 2 2 2 7 4 4" xfId="35181"/>
    <cellStyle name="Normal 2 2 2 2 7 5" xfId="35182"/>
    <cellStyle name="Normal 2 2 2 2 7 5 2" xfId="35183"/>
    <cellStyle name="Normal 2 2 2 2 7 6" xfId="35184"/>
    <cellStyle name="Normal 2 2 2 2 7 7" xfId="35185"/>
    <cellStyle name="Normal 2 2 2 2 7 8" xfId="35186"/>
    <cellStyle name="Normal 2 2 2 2 8" xfId="35187"/>
    <cellStyle name="Normal 2 2 2 2 9" xfId="35188"/>
    <cellStyle name="Normal 2 2 2 3" xfId="35189"/>
    <cellStyle name="Normal 2 2 2 3 2" xfId="35190"/>
    <cellStyle name="Normal 2 2 2 3 2 2" xfId="35191"/>
    <cellStyle name="Normal 2 2 2 3 2 2 2" xfId="35192"/>
    <cellStyle name="Normal 2 2 2 3 2 2 2 2" xfId="35193"/>
    <cellStyle name="Normal 2 2 2 3 2 2 2 2 2" xfId="35194"/>
    <cellStyle name="Normal 2 2 2 3 2 2 2 2 3" xfId="35195"/>
    <cellStyle name="Normal 2 2 2 3 2 2 2 3" xfId="35196"/>
    <cellStyle name="Normal 2 2 2 3 2 2 2 3 2" xfId="35197"/>
    <cellStyle name="Normal 2 2 2 3 2 2 2 4" xfId="35198"/>
    <cellStyle name="Normal 2 2 2 3 2 2 2 5" xfId="35199"/>
    <cellStyle name="Normal 2 2 2 3 2 2 3" xfId="35200"/>
    <cellStyle name="Normal 2 2 2 3 2 2 3 2" xfId="35201"/>
    <cellStyle name="Normal 2 2 2 3 2 2 3 2 2" xfId="35202"/>
    <cellStyle name="Normal 2 2 2 3 2 2 3 3" xfId="35203"/>
    <cellStyle name="Normal 2 2 2 3 2 2 3 4" xfId="35204"/>
    <cellStyle name="Normal 2 2 2 3 2 2 4" xfId="35205"/>
    <cellStyle name="Normal 2 2 2 3 2 2 4 2" xfId="35206"/>
    <cellStyle name="Normal 2 2 2 3 2 2 4 2 2" xfId="35207"/>
    <cellStyle name="Normal 2 2 2 3 2 2 4 3" xfId="35208"/>
    <cellStyle name="Normal 2 2 2 3 2 2 4 4" xfId="35209"/>
    <cellStyle name="Normal 2 2 2 3 2 2 5" xfId="35210"/>
    <cellStyle name="Normal 2 2 2 3 2 2 5 2" xfId="35211"/>
    <cellStyle name="Normal 2 2 2 3 2 2 6" xfId="35212"/>
    <cellStyle name="Normal 2 2 2 3 2 2 7" xfId="35213"/>
    <cellStyle name="Normal 2 2 2 3 2 2 8" xfId="35214"/>
    <cellStyle name="Normal 2 2 2 3 2 3" xfId="35215"/>
    <cellStyle name="Normal 2 2 2 3 2 3 2" xfId="35216"/>
    <cellStyle name="Normal 2 2 2 3 2 3 2 2" xfId="35217"/>
    <cellStyle name="Normal 2 2 2 3 2 3 2 2 2" xfId="35218"/>
    <cellStyle name="Normal 2 2 2 3 2 3 2 2 3" xfId="35219"/>
    <cellStyle name="Normal 2 2 2 3 2 3 2 3" xfId="35220"/>
    <cellStyle name="Normal 2 2 2 3 2 3 2 3 2" xfId="35221"/>
    <cellStyle name="Normal 2 2 2 3 2 3 2 4" xfId="35222"/>
    <cellStyle name="Normal 2 2 2 3 2 3 2 5" xfId="35223"/>
    <cellStyle name="Normal 2 2 2 3 2 3 3" xfId="35224"/>
    <cellStyle name="Normal 2 2 2 3 2 3 3 2" xfId="35225"/>
    <cellStyle name="Normal 2 2 2 3 2 3 3 2 2" xfId="35226"/>
    <cellStyle name="Normal 2 2 2 3 2 3 3 3" xfId="35227"/>
    <cellStyle name="Normal 2 2 2 3 2 3 3 4" xfId="35228"/>
    <cellStyle name="Normal 2 2 2 3 2 3 4" xfId="35229"/>
    <cellStyle name="Normal 2 2 2 3 2 3 4 2" xfId="35230"/>
    <cellStyle name="Normal 2 2 2 3 2 3 4 2 2" xfId="35231"/>
    <cellStyle name="Normal 2 2 2 3 2 3 4 3" xfId="35232"/>
    <cellStyle name="Normal 2 2 2 3 2 3 4 4" xfId="35233"/>
    <cellStyle name="Normal 2 2 2 3 2 3 5" xfId="35234"/>
    <cellStyle name="Normal 2 2 2 3 2 3 5 2" xfId="35235"/>
    <cellStyle name="Normal 2 2 2 3 2 3 6" xfId="35236"/>
    <cellStyle name="Normal 2 2 2 3 2 3 7" xfId="35237"/>
    <cellStyle name="Normal 2 2 2 3 2 3 8" xfId="35238"/>
    <cellStyle name="Normal 2 2 2 3 2 4" xfId="35239"/>
    <cellStyle name="Normal 2 2 2 3 2 4 2" xfId="35240"/>
    <cellStyle name="Normal 2 2 2 3 2 4 2 2" xfId="35241"/>
    <cellStyle name="Normal 2 2 2 3 2 4 2 2 2" xfId="35242"/>
    <cellStyle name="Normal 2 2 2 3 2 4 2 2 3" xfId="35243"/>
    <cellStyle name="Normal 2 2 2 3 2 4 2 3" xfId="35244"/>
    <cellStyle name="Normal 2 2 2 3 2 4 2 3 2" xfId="35245"/>
    <cellStyle name="Normal 2 2 2 3 2 4 2 4" xfId="35246"/>
    <cellStyle name="Normal 2 2 2 3 2 4 2 5" xfId="35247"/>
    <cellStyle name="Normal 2 2 2 3 2 4 3" xfId="35248"/>
    <cellStyle name="Normal 2 2 2 3 2 4 3 2" xfId="35249"/>
    <cellStyle name="Normal 2 2 2 3 2 4 3 2 2" xfId="35250"/>
    <cellStyle name="Normal 2 2 2 3 2 4 3 3" xfId="35251"/>
    <cellStyle name="Normal 2 2 2 3 2 4 3 4" xfId="35252"/>
    <cellStyle name="Normal 2 2 2 3 2 4 4" xfId="35253"/>
    <cellStyle name="Normal 2 2 2 3 2 4 4 2" xfId="35254"/>
    <cellStyle name="Normal 2 2 2 3 2 4 4 2 2" xfId="35255"/>
    <cellStyle name="Normal 2 2 2 3 2 4 4 3" xfId="35256"/>
    <cellStyle name="Normal 2 2 2 3 2 4 4 4" xfId="35257"/>
    <cellStyle name="Normal 2 2 2 3 2 4 5" xfId="35258"/>
    <cellStyle name="Normal 2 2 2 3 2 4 5 2" xfId="35259"/>
    <cellStyle name="Normal 2 2 2 3 2 4 6" xfId="35260"/>
    <cellStyle name="Normal 2 2 2 3 2 4 7" xfId="35261"/>
    <cellStyle name="Normal 2 2 2 3 2 4 8" xfId="35262"/>
    <cellStyle name="Normal 2 2 2 3 2 5" xfId="35263"/>
    <cellStyle name="Normal 2 2 2 3 3" xfId="35264"/>
    <cellStyle name="Normal 2 2 2 3 3 2" xfId="35265"/>
    <cellStyle name="Normal 2 2 2 3 3 3" xfId="35266"/>
    <cellStyle name="Normal 2 2 2 3 4" xfId="35267"/>
    <cellStyle name="Normal 2 2 2 3 4 2" xfId="35268"/>
    <cellStyle name="Normal 2 2 2 3 4 2 2" xfId="35269"/>
    <cellStyle name="Normal 2 2 2 3 4 2 2 2" xfId="35270"/>
    <cellStyle name="Normal 2 2 2 3 4 2 2 3" xfId="35271"/>
    <cellStyle name="Normal 2 2 2 3 4 2 3" xfId="35272"/>
    <cellStyle name="Normal 2 2 2 3 4 2 3 2" xfId="35273"/>
    <cellStyle name="Normal 2 2 2 3 4 2 4" xfId="35274"/>
    <cellStyle name="Normal 2 2 2 3 4 2 5" xfId="35275"/>
    <cellStyle name="Normal 2 2 2 3 4 3" xfId="35276"/>
    <cellStyle name="Normal 2 2 2 3 4 3 2" xfId="35277"/>
    <cellStyle name="Normal 2 2 2 3 4 3 2 2" xfId="35278"/>
    <cellStyle name="Normal 2 2 2 3 4 3 3" xfId="35279"/>
    <cellStyle name="Normal 2 2 2 3 4 3 4" xfId="35280"/>
    <cellStyle name="Normal 2 2 2 3 4 4" xfId="35281"/>
    <cellStyle name="Normal 2 2 2 3 4 4 2" xfId="35282"/>
    <cellStyle name="Normal 2 2 2 3 4 4 2 2" xfId="35283"/>
    <cellStyle name="Normal 2 2 2 3 4 4 3" xfId="35284"/>
    <cellStyle name="Normal 2 2 2 3 4 4 4" xfId="35285"/>
    <cellStyle name="Normal 2 2 2 3 4 5" xfId="35286"/>
    <cellStyle name="Normal 2 2 2 3 4 5 2" xfId="35287"/>
    <cellStyle name="Normal 2 2 2 3 4 6" xfId="35288"/>
    <cellStyle name="Normal 2 2 2 3 4 7" xfId="35289"/>
    <cellStyle name="Normal 2 2 2 3 4 8" xfId="35290"/>
    <cellStyle name="Normal 2 2 2 3 5" xfId="35291"/>
    <cellStyle name="Normal 2 2 2 3 5 2" xfId="35292"/>
    <cellStyle name="Normal 2 2 2 3 5 2 2" xfId="35293"/>
    <cellStyle name="Normal 2 2 2 3 5 2 2 2" xfId="35294"/>
    <cellStyle name="Normal 2 2 2 3 5 2 2 3" xfId="35295"/>
    <cellStyle name="Normal 2 2 2 3 5 2 3" xfId="35296"/>
    <cellStyle name="Normal 2 2 2 3 5 2 3 2" xfId="35297"/>
    <cellStyle name="Normal 2 2 2 3 5 2 4" xfId="35298"/>
    <cellStyle name="Normal 2 2 2 3 5 2 5" xfId="35299"/>
    <cellStyle name="Normal 2 2 2 3 5 3" xfId="35300"/>
    <cellStyle name="Normal 2 2 2 3 5 3 2" xfId="35301"/>
    <cellStyle name="Normal 2 2 2 3 5 3 2 2" xfId="35302"/>
    <cellStyle name="Normal 2 2 2 3 5 3 3" xfId="35303"/>
    <cellStyle name="Normal 2 2 2 3 5 3 4" xfId="35304"/>
    <cellStyle name="Normal 2 2 2 3 5 4" xfId="35305"/>
    <cellStyle name="Normal 2 2 2 3 5 4 2" xfId="35306"/>
    <cellStyle name="Normal 2 2 2 3 5 4 2 2" xfId="35307"/>
    <cellStyle name="Normal 2 2 2 3 5 4 3" xfId="35308"/>
    <cellStyle name="Normal 2 2 2 3 5 4 4" xfId="35309"/>
    <cellStyle name="Normal 2 2 2 3 5 5" xfId="35310"/>
    <cellStyle name="Normal 2 2 2 3 5 5 2" xfId="35311"/>
    <cellStyle name="Normal 2 2 2 3 5 6" xfId="35312"/>
    <cellStyle name="Normal 2 2 2 3 5 7" xfId="35313"/>
    <cellStyle name="Normal 2 2 2 3 5 8" xfId="35314"/>
    <cellStyle name="Normal 2 2 2 3 6" xfId="35315"/>
    <cellStyle name="Normal 2 2 2 3 6 2" xfId="35316"/>
    <cellStyle name="Normal 2 2 2 3 6 2 2" xfId="35317"/>
    <cellStyle name="Normal 2 2 2 3 6 2 2 2" xfId="35318"/>
    <cellStyle name="Normal 2 2 2 3 6 2 2 3" xfId="35319"/>
    <cellStyle name="Normal 2 2 2 3 6 2 3" xfId="35320"/>
    <cellStyle name="Normal 2 2 2 3 6 2 3 2" xfId="35321"/>
    <cellStyle name="Normal 2 2 2 3 6 2 4" xfId="35322"/>
    <cellStyle name="Normal 2 2 2 3 6 2 5" xfId="35323"/>
    <cellStyle name="Normal 2 2 2 3 6 3" xfId="35324"/>
    <cellStyle name="Normal 2 2 2 3 6 3 2" xfId="35325"/>
    <cellStyle name="Normal 2 2 2 3 6 3 2 2" xfId="35326"/>
    <cellStyle name="Normal 2 2 2 3 6 3 3" xfId="35327"/>
    <cellStyle name="Normal 2 2 2 3 6 3 4" xfId="35328"/>
    <cellStyle name="Normal 2 2 2 3 6 4" xfId="35329"/>
    <cellStyle name="Normal 2 2 2 3 6 4 2" xfId="35330"/>
    <cellStyle name="Normal 2 2 2 3 6 4 2 2" xfId="35331"/>
    <cellStyle name="Normal 2 2 2 3 6 4 3" xfId="35332"/>
    <cellStyle name="Normal 2 2 2 3 6 4 4" xfId="35333"/>
    <cellStyle name="Normal 2 2 2 3 6 5" xfId="35334"/>
    <cellStyle name="Normal 2 2 2 3 6 5 2" xfId="35335"/>
    <cellStyle name="Normal 2 2 2 3 6 6" xfId="35336"/>
    <cellStyle name="Normal 2 2 2 3 6 7" xfId="35337"/>
    <cellStyle name="Normal 2 2 2 3 6 8" xfId="35338"/>
    <cellStyle name="Normal 2 2 2 3 7" xfId="35339"/>
    <cellStyle name="Normal 2 2 2 4" xfId="35340"/>
    <cellStyle name="Normal 2 2 2 4 2" xfId="35341"/>
    <cellStyle name="Normal 2 2 2 4 2 2" xfId="35342"/>
    <cellStyle name="Normal 2 2 2 4 2 3" xfId="35343"/>
    <cellStyle name="Normal 2 2 2 4 3" xfId="35344"/>
    <cellStyle name="Normal 2 2 2 4 3 2" xfId="35345"/>
    <cellStyle name="Normal 2 2 2 4 3 2 2" xfId="35346"/>
    <cellStyle name="Normal 2 2 2 4 3 2 2 2" xfId="35347"/>
    <cellStyle name="Normal 2 2 2 4 3 2 2 3" xfId="35348"/>
    <cellStyle name="Normal 2 2 2 4 3 2 3" xfId="35349"/>
    <cellStyle name="Normal 2 2 2 4 3 2 3 2" xfId="35350"/>
    <cellStyle name="Normal 2 2 2 4 3 2 4" xfId="35351"/>
    <cellStyle name="Normal 2 2 2 4 3 2 5" xfId="35352"/>
    <cellStyle name="Normal 2 2 2 4 3 3" xfId="35353"/>
    <cellStyle name="Normal 2 2 2 4 3 3 2" xfId="35354"/>
    <cellStyle name="Normal 2 2 2 4 3 3 2 2" xfId="35355"/>
    <cellStyle name="Normal 2 2 2 4 3 3 3" xfId="35356"/>
    <cellStyle name="Normal 2 2 2 4 3 3 4" xfId="35357"/>
    <cellStyle name="Normal 2 2 2 4 3 4" xfId="35358"/>
    <cellStyle name="Normal 2 2 2 4 3 4 2" xfId="35359"/>
    <cellStyle name="Normal 2 2 2 4 3 4 2 2" xfId="35360"/>
    <cellStyle name="Normal 2 2 2 4 3 4 3" xfId="35361"/>
    <cellStyle name="Normal 2 2 2 4 3 4 4" xfId="35362"/>
    <cellStyle name="Normal 2 2 2 4 3 5" xfId="35363"/>
    <cellStyle name="Normal 2 2 2 4 3 5 2" xfId="35364"/>
    <cellStyle name="Normal 2 2 2 4 3 6" xfId="35365"/>
    <cellStyle name="Normal 2 2 2 4 3 7" xfId="35366"/>
    <cellStyle name="Normal 2 2 2 4 3 8" xfId="35367"/>
    <cellStyle name="Normal 2 2 2 4 4" xfId="35368"/>
    <cellStyle name="Normal 2 2 2 4 4 2" xfId="35369"/>
    <cellStyle name="Normal 2 2 2 4 4 2 2" xfId="35370"/>
    <cellStyle name="Normal 2 2 2 4 4 2 2 2" xfId="35371"/>
    <cellStyle name="Normal 2 2 2 4 4 2 2 3" xfId="35372"/>
    <cellStyle name="Normal 2 2 2 4 4 2 3" xfId="35373"/>
    <cellStyle name="Normal 2 2 2 4 4 2 3 2" xfId="35374"/>
    <cellStyle name="Normal 2 2 2 4 4 2 4" xfId="35375"/>
    <cellStyle name="Normal 2 2 2 4 4 2 5" xfId="35376"/>
    <cellStyle name="Normal 2 2 2 4 4 3" xfId="35377"/>
    <cellStyle name="Normal 2 2 2 4 4 3 2" xfId="35378"/>
    <cellStyle name="Normal 2 2 2 4 4 3 2 2" xfId="35379"/>
    <cellStyle name="Normal 2 2 2 4 4 3 3" xfId="35380"/>
    <cellStyle name="Normal 2 2 2 4 4 3 4" xfId="35381"/>
    <cellStyle name="Normal 2 2 2 4 4 4" xfId="35382"/>
    <cellStyle name="Normal 2 2 2 4 4 4 2" xfId="35383"/>
    <cellStyle name="Normal 2 2 2 4 4 4 2 2" xfId="35384"/>
    <cellStyle name="Normal 2 2 2 4 4 4 3" xfId="35385"/>
    <cellStyle name="Normal 2 2 2 4 4 4 4" xfId="35386"/>
    <cellStyle name="Normal 2 2 2 4 4 5" xfId="35387"/>
    <cellStyle name="Normal 2 2 2 4 4 5 2" xfId="35388"/>
    <cellStyle name="Normal 2 2 2 4 4 6" xfId="35389"/>
    <cellStyle name="Normal 2 2 2 4 4 7" xfId="35390"/>
    <cellStyle name="Normal 2 2 2 4 4 8" xfId="35391"/>
    <cellStyle name="Normal 2 2 2 4 5" xfId="35392"/>
    <cellStyle name="Normal 2 2 2 4 5 2" xfId="35393"/>
    <cellStyle name="Normal 2 2 2 4 5 2 2" xfId="35394"/>
    <cellStyle name="Normal 2 2 2 4 5 2 2 2" xfId="35395"/>
    <cellStyle name="Normal 2 2 2 4 5 2 2 3" xfId="35396"/>
    <cellStyle name="Normal 2 2 2 4 5 2 3" xfId="35397"/>
    <cellStyle name="Normal 2 2 2 4 5 2 3 2" xfId="35398"/>
    <cellStyle name="Normal 2 2 2 4 5 2 4" xfId="35399"/>
    <cellStyle name="Normal 2 2 2 4 5 2 5" xfId="35400"/>
    <cellStyle name="Normal 2 2 2 4 5 3" xfId="35401"/>
    <cellStyle name="Normal 2 2 2 4 5 3 2" xfId="35402"/>
    <cellStyle name="Normal 2 2 2 4 5 3 2 2" xfId="35403"/>
    <cellStyle name="Normal 2 2 2 4 5 3 3" xfId="35404"/>
    <cellStyle name="Normal 2 2 2 4 5 3 4" xfId="35405"/>
    <cellStyle name="Normal 2 2 2 4 5 4" xfId="35406"/>
    <cellStyle name="Normal 2 2 2 4 5 4 2" xfId="35407"/>
    <cellStyle name="Normal 2 2 2 4 5 4 2 2" xfId="35408"/>
    <cellStyle name="Normal 2 2 2 4 5 4 3" xfId="35409"/>
    <cellStyle name="Normal 2 2 2 4 5 4 4" xfId="35410"/>
    <cellStyle name="Normal 2 2 2 4 5 5" xfId="35411"/>
    <cellStyle name="Normal 2 2 2 4 5 5 2" xfId="35412"/>
    <cellStyle name="Normal 2 2 2 4 5 6" xfId="35413"/>
    <cellStyle name="Normal 2 2 2 4 5 7" xfId="35414"/>
    <cellStyle name="Normal 2 2 2 4 5 8" xfId="35415"/>
    <cellStyle name="Normal 2 2 2 4 6" xfId="35416"/>
    <cellStyle name="Normal 2 2 2 5" xfId="35417"/>
    <cellStyle name="Normal 2 2 2 5 2" xfId="35418"/>
    <cellStyle name="Normal 2 2 2 5 3" xfId="35419"/>
    <cellStyle name="Normal 2 2 2 6" xfId="35420"/>
    <cellStyle name="Normal 2 2 2 6 2" xfId="35421"/>
    <cellStyle name="Normal 2 2 2 6 3" xfId="35422"/>
    <cellStyle name="Normal 2 2 2 7" xfId="35423"/>
    <cellStyle name="Normal 2 2 2 7 2" xfId="35424"/>
    <cellStyle name="Normal 2 2 2 7 3" xfId="35425"/>
    <cellStyle name="Normal 2 2 2 8" xfId="35426"/>
    <cellStyle name="Normal 2 2 2 8 2" xfId="35427"/>
    <cellStyle name="Normal 2 2 2 8 3" xfId="35428"/>
    <cellStyle name="Normal 2 2 2 9" xfId="35429"/>
    <cellStyle name="Normal 2 2 2 9 2" xfId="35430"/>
    <cellStyle name="Normal 2 2 2 9 3" xfId="35431"/>
    <cellStyle name="Normal 2 2 3" xfId="35432"/>
    <cellStyle name="Normal 2 2 3 2" xfId="35433"/>
    <cellStyle name="Normal 2 2 3 2 2" xfId="35434"/>
    <cellStyle name="Normal 2 2 3 2 2 2" xfId="35435"/>
    <cellStyle name="Normal 2 2 3 2 2 2 2" xfId="35436"/>
    <cellStyle name="Normal 2 2 3 2 2 2 2 2" xfId="35437"/>
    <cellStyle name="Normal 2 2 3 2 2 2 2 2 2" xfId="35438"/>
    <cellStyle name="Normal 2 2 3 2 2 2 2 2 3" xfId="35439"/>
    <cellStyle name="Normal 2 2 3 2 2 2 2 3" xfId="35440"/>
    <cellStyle name="Normal 2 2 3 2 2 2 2 3 2" xfId="35441"/>
    <cellStyle name="Normal 2 2 3 2 2 2 2 4" xfId="35442"/>
    <cellStyle name="Normal 2 2 3 2 2 2 2 5" xfId="35443"/>
    <cellStyle name="Normal 2 2 3 2 2 2 3" xfId="35444"/>
    <cellStyle name="Normal 2 2 3 2 2 2 3 2" xfId="35445"/>
    <cellStyle name="Normal 2 2 3 2 2 2 3 2 2" xfId="35446"/>
    <cellStyle name="Normal 2 2 3 2 2 2 3 3" xfId="35447"/>
    <cellStyle name="Normal 2 2 3 2 2 2 3 4" xfId="35448"/>
    <cellStyle name="Normal 2 2 3 2 2 2 4" xfId="35449"/>
    <cellStyle name="Normal 2 2 3 2 2 2 4 2" xfId="35450"/>
    <cellStyle name="Normal 2 2 3 2 2 2 4 2 2" xfId="35451"/>
    <cellStyle name="Normal 2 2 3 2 2 2 4 3" xfId="35452"/>
    <cellStyle name="Normal 2 2 3 2 2 2 4 4" xfId="35453"/>
    <cellStyle name="Normal 2 2 3 2 2 2 5" xfId="35454"/>
    <cellStyle name="Normal 2 2 3 2 2 2 5 2" xfId="35455"/>
    <cellStyle name="Normal 2 2 3 2 2 2 6" xfId="35456"/>
    <cellStyle name="Normal 2 2 3 2 2 2 7" xfId="35457"/>
    <cellStyle name="Normal 2 2 3 2 2 2 8" xfId="35458"/>
    <cellStyle name="Normal 2 2 3 2 2 3" xfId="35459"/>
    <cellStyle name="Normal 2 2 3 2 2 3 2" xfId="35460"/>
    <cellStyle name="Normal 2 2 3 2 2 3 2 2" xfId="35461"/>
    <cellStyle name="Normal 2 2 3 2 2 3 2 2 2" xfId="35462"/>
    <cellStyle name="Normal 2 2 3 2 2 3 2 2 3" xfId="35463"/>
    <cellStyle name="Normal 2 2 3 2 2 3 2 3" xfId="35464"/>
    <cellStyle name="Normal 2 2 3 2 2 3 2 3 2" xfId="35465"/>
    <cellStyle name="Normal 2 2 3 2 2 3 2 4" xfId="35466"/>
    <cellStyle name="Normal 2 2 3 2 2 3 2 5" xfId="35467"/>
    <cellStyle name="Normal 2 2 3 2 2 3 3" xfId="35468"/>
    <cellStyle name="Normal 2 2 3 2 2 3 3 2" xfId="35469"/>
    <cellStyle name="Normal 2 2 3 2 2 3 3 2 2" xfId="35470"/>
    <cellStyle name="Normal 2 2 3 2 2 3 3 3" xfId="35471"/>
    <cellStyle name="Normal 2 2 3 2 2 3 3 4" xfId="35472"/>
    <cellStyle name="Normal 2 2 3 2 2 3 4" xfId="35473"/>
    <cellStyle name="Normal 2 2 3 2 2 3 4 2" xfId="35474"/>
    <cellStyle name="Normal 2 2 3 2 2 3 4 2 2" xfId="35475"/>
    <cellStyle name="Normal 2 2 3 2 2 3 4 3" xfId="35476"/>
    <cellStyle name="Normal 2 2 3 2 2 3 4 4" xfId="35477"/>
    <cellStyle name="Normal 2 2 3 2 2 3 5" xfId="35478"/>
    <cellStyle name="Normal 2 2 3 2 2 3 5 2" xfId="35479"/>
    <cellStyle name="Normal 2 2 3 2 2 3 6" xfId="35480"/>
    <cellStyle name="Normal 2 2 3 2 2 3 7" xfId="35481"/>
    <cellStyle name="Normal 2 2 3 2 2 3 8" xfId="35482"/>
    <cellStyle name="Normal 2 2 3 2 2 4" xfId="35483"/>
    <cellStyle name="Normal 2 2 3 2 2 4 2" xfId="35484"/>
    <cellStyle name="Normal 2 2 3 2 2 4 2 2" xfId="35485"/>
    <cellStyle name="Normal 2 2 3 2 2 4 2 2 2" xfId="35486"/>
    <cellStyle name="Normal 2 2 3 2 2 4 2 2 3" xfId="35487"/>
    <cellStyle name="Normal 2 2 3 2 2 4 2 3" xfId="35488"/>
    <cellStyle name="Normal 2 2 3 2 2 4 2 3 2" xfId="35489"/>
    <cellStyle name="Normal 2 2 3 2 2 4 2 4" xfId="35490"/>
    <cellStyle name="Normal 2 2 3 2 2 4 2 5" xfId="35491"/>
    <cellStyle name="Normal 2 2 3 2 2 4 3" xfId="35492"/>
    <cellStyle name="Normal 2 2 3 2 2 4 3 2" xfId="35493"/>
    <cellStyle name="Normal 2 2 3 2 2 4 3 2 2" xfId="35494"/>
    <cellStyle name="Normal 2 2 3 2 2 4 3 3" xfId="35495"/>
    <cellStyle name="Normal 2 2 3 2 2 4 3 4" xfId="35496"/>
    <cellStyle name="Normal 2 2 3 2 2 4 4" xfId="35497"/>
    <cellStyle name="Normal 2 2 3 2 2 4 4 2" xfId="35498"/>
    <cellStyle name="Normal 2 2 3 2 2 4 4 2 2" xfId="35499"/>
    <cellStyle name="Normal 2 2 3 2 2 4 4 3" xfId="35500"/>
    <cellStyle name="Normal 2 2 3 2 2 4 4 4" xfId="35501"/>
    <cellStyle name="Normal 2 2 3 2 2 4 5" xfId="35502"/>
    <cellStyle name="Normal 2 2 3 2 2 4 5 2" xfId="35503"/>
    <cellStyle name="Normal 2 2 3 2 2 4 6" xfId="35504"/>
    <cellStyle name="Normal 2 2 3 2 2 4 7" xfId="35505"/>
    <cellStyle name="Normal 2 2 3 2 2 4 8" xfId="35506"/>
    <cellStyle name="Normal 2 2 3 2 2 5" xfId="35507"/>
    <cellStyle name="Normal 2 2 3 2 2 6" xfId="35508"/>
    <cellStyle name="Normal 2 2 3 2 3" xfId="35509"/>
    <cellStyle name="Normal 2 2 3 2 3 2" xfId="35510"/>
    <cellStyle name="Normal 2 2 3 2 4" xfId="35511"/>
    <cellStyle name="Normal 2 2 3 2 4 2" xfId="35512"/>
    <cellStyle name="Normal 2 2 3 2 4 2 2" xfId="35513"/>
    <cellStyle name="Normal 2 2 3 2 4 2 2 2" xfId="35514"/>
    <cellStyle name="Normal 2 2 3 2 4 2 2 3" xfId="35515"/>
    <cellStyle name="Normal 2 2 3 2 4 2 3" xfId="35516"/>
    <cellStyle name="Normal 2 2 3 2 4 2 3 2" xfId="35517"/>
    <cellStyle name="Normal 2 2 3 2 4 2 4" xfId="35518"/>
    <cellStyle name="Normal 2 2 3 2 4 2 5" xfId="35519"/>
    <cellStyle name="Normal 2 2 3 2 4 3" xfId="35520"/>
    <cellStyle name="Normal 2 2 3 2 4 3 2" xfId="35521"/>
    <cellStyle name="Normal 2 2 3 2 4 3 2 2" xfId="35522"/>
    <cellStyle name="Normal 2 2 3 2 4 3 3" xfId="35523"/>
    <cellStyle name="Normal 2 2 3 2 4 3 4" xfId="35524"/>
    <cellStyle name="Normal 2 2 3 2 4 4" xfId="35525"/>
    <cellStyle name="Normal 2 2 3 2 4 4 2" xfId="35526"/>
    <cellStyle name="Normal 2 2 3 2 4 4 2 2" xfId="35527"/>
    <cellStyle name="Normal 2 2 3 2 4 4 3" xfId="35528"/>
    <cellStyle name="Normal 2 2 3 2 4 4 4" xfId="35529"/>
    <cellStyle name="Normal 2 2 3 2 4 5" xfId="35530"/>
    <cellStyle name="Normal 2 2 3 2 4 5 2" xfId="35531"/>
    <cellStyle name="Normal 2 2 3 2 4 6" xfId="35532"/>
    <cellStyle name="Normal 2 2 3 2 4 7" xfId="35533"/>
    <cellStyle name="Normal 2 2 3 2 4 8" xfId="35534"/>
    <cellStyle name="Normal 2 2 3 2 5" xfId="35535"/>
    <cellStyle name="Normal 2 2 3 2 5 2" xfId="35536"/>
    <cellStyle name="Normal 2 2 3 2 5 2 2" xfId="35537"/>
    <cellStyle name="Normal 2 2 3 2 5 2 2 2" xfId="35538"/>
    <cellStyle name="Normal 2 2 3 2 5 2 2 3" xfId="35539"/>
    <cellStyle name="Normal 2 2 3 2 5 2 3" xfId="35540"/>
    <cellStyle name="Normal 2 2 3 2 5 2 3 2" xfId="35541"/>
    <cellStyle name="Normal 2 2 3 2 5 2 4" xfId="35542"/>
    <cellStyle name="Normal 2 2 3 2 5 2 5" xfId="35543"/>
    <cellStyle name="Normal 2 2 3 2 5 3" xfId="35544"/>
    <cellStyle name="Normal 2 2 3 2 5 3 2" xfId="35545"/>
    <cellStyle name="Normal 2 2 3 2 5 3 2 2" xfId="35546"/>
    <cellStyle name="Normal 2 2 3 2 5 3 3" xfId="35547"/>
    <cellStyle name="Normal 2 2 3 2 5 3 4" xfId="35548"/>
    <cellStyle name="Normal 2 2 3 2 5 4" xfId="35549"/>
    <cellStyle name="Normal 2 2 3 2 5 4 2" xfId="35550"/>
    <cellStyle name="Normal 2 2 3 2 5 4 2 2" xfId="35551"/>
    <cellStyle name="Normal 2 2 3 2 5 4 3" xfId="35552"/>
    <cellStyle name="Normal 2 2 3 2 5 4 4" xfId="35553"/>
    <cellStyle name="Normal 2 2 3 2 5 5" xfId="35554"/>
    <cellStyle name="Normal 2 2 3 2 5 5 2" xfId="35555"/>
    <cellStyle name="Normal 2 2 3 2 5 6" xfId="35556"/>
    <cellStyle name="Normal 2 2 3 2 5 7" xfId="35557"/>
    <cellStyle name="Normal 2 2 3 2 5 8" xfId="35558"/>
    <cellStyle name="Normal 2 2 3 2 6" xfId="35559"/>
    <cellStyle name="Normal 2 2 3 2 6 2" xfId="35560"/>
    <cellStyle name="Normal 2 2 3 2 6 2 2" xfId="35561"/>
    <cellStyle name="Normal 2 2 3 2 6 2 2 2" xfId="35562"/>
    <cellStyle name="Normal 2 2 3 2 6 2 2 3" xfId="35563"/>
    <cellStyle name="Normal 2 2 3 2 6 2 3" xfId="35564"/>
    <cellStyle name="Normal 2 2 3 2 6 2 3 2" xfId="35565"/>
    <cellStyle name="Normal 2 2 3 2 6 2 4" xfId="35566"/>
    <cellStyle name="Normal 2 2 3 2 6 2 5" xfId="35567"/>
    <cellStyle name="Normal 2 2 3 2 6 3" xfId="35568"/>
    <cellStyle name="Normal 2 2 3 2 6 3 2" xfId="35569"/>
    <cellStyle name="Normal 2 2 3 2 6 3 2 2" xfId="35570"/>
    <cellStyle name="Normal 2 2 3 2 6 3 3" xfId="35571"/>
    <cellStyle name="Normal 2 2 3 2 6 3 4" xfId="35572"/>
    <cellStyle name="Normal 2 2 3 2 6 4" xfId="35573"/>
    <cellStyle name="Normal 2 2 3 2 6 4 2" xfId="35574"/>
    <cellStyle name="Normal 2 2 3 2 6 4 2 2" xfId="35575"/>
    <cellStyle name="Normal 2 2 3 2 6 4 3" xfId="35576"/>
    <cellStyle name="Normal 2 2 3 2 6 4 4" xfId="35577"/>
    <cellStyle name="Normal 2 2 3 2 6 5" xfId="35578"/>
    <cellStyle name="Normal 2 2 3 2 6 5 2" xfId="35579"/>
    <cellStyle name="Normal 2 2 3 2 6 6" xfId="35580"/>
    <cellStyle name="Normal 2 2 3 2 6 7" xfId="35581"/>
    <cellStyle name="Normal 2 2 3 2 6 8" xfId="35582"/>
    <cellStyle name="Normal 2 2 3 3" xfId="35583"/>
    <cellStyle name="Normal 2 2 3 3 2" xfId="35584"/>
    <cellStyle name="Normal 2 2 3 3 2 2" xfId="35585"/>
    <cellStyle name="Normal 2 2 3 3 2 2 2" xfId="35586"/>
    <cellStyle name="Normal 2 2 3 3 2 2 2 2" xfId="35587"/>
    <cellStyle name="Normal 2 2 3 3 2 2 2 3" xfId="35588"/>
    <cellStyle name="Normal 2 2 3 3 2 2 3" xfId="35589"/>
    <cellStyle name="Normal 2 2 3 3 2 2 3 2" xfId="35590"/>
    <cellStyle name="Normal 2 2 3 3 2 2 4" xfId="35591"/>
    <cellStyle name="Normal 2 2 3 3 2 2 5" xfId="35592"/>
    <cellStyle name="Normal 2 2 3 3 2 3" xfId="35593"/>
    <cellStyle name="Normal 2 2 3 3 2 3 2" xfId="35594"/>
    <cellStyle name="Normal 2 2 3 3 2 3 2 2" xfId="35595"/>
    <cellStyle name="Normal 2 2 3 3 2 3 3" xfId="35596"/>
    <cellStyle name="Normal 2 2 3 3 2 3 4" xfId="35597"/>
    <cellStyle name="Normal 2 2 3 3 2 4" xfId="35598"/>
    <cellStyle name="Normal 2 2 3 3 2 4 2" xfId="35599"/>
    <cellStyle name="Normal 2 2 3 3 2 4 2 2" xfId="35600"/>
    <cellStyle name="Normal 2 2 3 3 2 4 3" xfId="35601"/>
    <cellStyle name="Normal 2 2 3 3 2 4 4" xfId="35602"/>
    <cellStyle name="Normal 2 2 3 3 2 5" xfId="35603"/>
    <cellStyle name="Normal 2 2 3 3 2 5 2" xfId="35604"/>
    <cellStyle name="Normal 2 2 3 3 2 6" xfId="35605"/>
    <cellStyle name="Normal 2 2 3 3 2 7" xfId="35606"/>
    <cellStyle name="Normal 2 2 3 3 2 8" xfId="35607"/>
    <cellStyle name="Normal 2 2 3 3 3" xfId="35608"/>
    <cellStyle name="Normal 2 2 3 3 3 2" xfId="35609"/>
    <cellStyle name="Normal 2 2 3 3 3 2 2" xfId="35610"/>
    <cellStyle name="Normal 2 2 3 3 3 2 2 2" xfId="35611"/>
    <cellStyle name="Normal 2 2 3 3 3 2 2 3" xfId="35612"/>
    <cellStyle name="Normal 2 2 3 3 3 2 3" xfId="35613"/>
    <cellStyle name="Normal 2 2 3 3 3 2 3 2" xfId="35614"/>
    <cellStyle name="Normal 2 2 3 3 3 2 4" xfId="35615"/>
    <cellStyle name="Normal 2 2 3 3 3 2 5" xfId="35616"/>
    <cellStyle name="Normal 2 2 3 3 3 3" xfId="35617"/>
    <cellStyle name="Normal 2 2 3 3 3 3 2" xfId="35618"/>
    <cellStyle name="Normal 2 2 3 3 3 3 2 2" xfId="35619"/>
    <cellStyle name="Normal 2 2 3 3 3 3 3" xfId="35620"/>
    <cellStyle name="Normal 2 2 3 3 3 3 4" xfId="35621"/>
    <cellStyle name="Normal 2 2 3 3 3 4" xfId="35622"/>
    <cellStyle name="Normal 2 2 3 3 3 4 2" xfId="35623"/>
    <cellStyle name="Normal 2 2 3 3 3 4 2 2" xfId="35624"/>
    <cellStyle name="Normal 2 2 3 3 3 4 3" xfId="35625"/>
    <cellStyle name="Normal 2 2 3 3 3 4 4" xfId="35626"/>
    <cellStyle name="Normal 2 2 3 3 3 5" xfId="35627"/>
    <cellStyle name="Normal 2 2 3 3 3 5 2" xfId="35628"/>
    <cellStyle name="Normal 2 2 3 3 3 6" xfId="35629"/>
    <cellStyle name="Normal 2 2 3 3 3 7" xfId="35630"/>
    <cellStyle name="Normal 2 2 3 3 3 8" xfId="35631"/>
    <cellStyle name="Normal 2 2 3 3 4" xfId="35632"/>
    <cellStyle name="Normal 2 2 3 3 4 2" xfId="35633"/>
    <cellStyle name="Normal 2 2 3 3 4 2 2" xfId="35634"/>
    <cellStyle name="Normal 2 2 3 3 4 2 2 2" xfId="35635"/>
    <cellStyle name="Normal 2 2 3 3 4 2 2 3" xfId="35636"/>
    <cellStyle name="Normal 2 2 3 3 4 2 3" xfId="35637"/>
    <cellStyle name="Normal 2 2 3 3 4 2 3 2" xfId="35638"/>
    <cellStyle name="Normal 2 2 3 3 4 2 4" xfId="35639"/>
    <cellStyle name="Normal 2 2 3 3 4 2 5" xfId="35640"/>
    <cellStyle name="Normal 2 2 3 3 4 3" xfId="35641"/>
    <cellStyle name="Normal 2 2 3 3 4 3 2" xfId="35642"/>
    <cellStyle name="Normal 2 2 3 3 4 3 2 2" xfId="35643"/>
    <cellStyle name="Normal 2 2 3 3 4 3 3" xfId="35644"/>
    <cellStyle name="Normal 2 2 3 3 4 3 4" xfId="35645"/>
    <cellStyle name="Normal 2 2 3 3 4 4" xfId="35646"/>
    <cellStyle name="Normal 2 2 3 3 4 4 2" xfId="35647"/>
    <cellStyle name="Normal 2 2 3 3 4 4 2 2" xfId="35648"/>
    <cellStyle name="Normal 2 2 3 3 4 4 3" xfId="35649"/>
    <cellStyle name="Normal 2 2 3 3 4 4 4" xfId="35650"/>
    <cellStyle name="Normal 2 2 3 3 4 5" xfId="35651"/>
    <cellStyle name="Normal 2 2 3 3 4 5 2" xfId="35652"/>
    <cellStyle name="Normal 2 2 3 3 4 6" xfId="35653"/>
    <cellStyle name="Normal 2 2 3 3 4 7" xfId="35654"/>
    <cellStyle name="Normal 2 2 3 3 4 8" xfId="35655"/>
    <cellStyle name="Normal 2 2 3 3 5" xfId="35656"/>
    <cellStyle name="Normal 2 2 3 3 6" xfId="35657"/>
    <cellStyle name="Normal 2 2 3 4" xfId="35658"/>
    <cellStyle name="Normal 2 2 3 4 2" xfId="35659"/>
    <cellStyle name="Normal 2 2 3 4 3" xfId="35660"/>
    <cellStyle name="Normal 2 2 3 5" xfId="35661"/>
    <cellStyle name="Normal 2 2 3 5 2" xfId="35662"/>
    <cellStyle name="Normal 2 2 3 6" xfId="35663"/>
    <cellStyle name="Normal 2 2 3 6 2" xfId="35664"/>
    <cellStyle name="Normal 2 2 3 6 2 2" xfId="35665"/>
    <cellStyle name="Normal 2 2 3 6 2 2 2" xfId="35666"/>
    <cellStyle name="Normal 2 2 3 6 2 2 3" xfId="35667"/>
    <cellStyle name="Normal 2 2 3 6 2 3" xfId="35668"/>
    <cellStyle name="Normal 2 2 3 6 2 3 2" xfId="35669"/>
    <cellStyle name="Normal 2 2 3 6 2 4" xfId="35670"/>
    <cellStyle name="Normal 2 2 3 6 2 5" xfId="35671"/>
    <cellStyle name="Normal 2 2 3 6 3" xfId="35672"/>
    <cellStyle name="Normal 2 2 3 6 3 2" xfId="35673"/>
    <cellStyle name="Normal 2 2 3 6 3 2 2" xfId="35674"/>
    <cellStyle name="Normal 2 2 3 6 3 3" xfId="35675"/>
    <cellStyle name="Normal 2 2 3 6 3 4" xfId="35676"/>
    <cellStyle name="Normal 2 2 3 6 4" xfId="35677"/>
    <cellStyle name="Normal 2 2 3 6 4 2" xfId="35678"/>
    <cellStyle name="Normal 2 2 3 6 4 2 2" xfId="35679"/>
    <cellStyle name="Normal 2 2 3 6 4 3" xfId="35680"/>
    <cellStyle name="Normal 2 2 3 6 4 4" xfId="35681"/>
    <cellStyle name="Normal 2 2 3 6 5" xfId="35682"/>
    <cellStyle name="Normal 2 2 3 6 5 2" xfId="35683"/>
    <cellStyle name="Normal 2 2 3 6 6" xfId="35684"/>
    <cellStyle name="Normal 2 2 3 6 7" xfId="35685"/>
    <cellStyle name="Normal 2 2 3 6 8" xfId="35686"/>
    <cellStyle name="Normal 2 2 3 7" xfId="35687"/>
    <cellStyle name="Normal 2 2 3 7 2" xfId="35688"/>
    <cellStyle name="Normal 2 2 3 7 2 2" xfId="35689"/>
    <cellStyle name="Normal 2 2 3 7 2 2 2" xfId="35690"/>
    <cellStyle name="Normal 2 2 3 7 2 2 3" xfId="35691"/>
    <cellStyle name="Normal 2 2 3 7 2 3" xfId="35692"/>
    <cellStyle name="Normal 2 2 3 7 2 3 2" xfId="35693"/>
    <cellStyle name="Normal 2 2 3 7 2 4" xfId="35694"/>
    <cellStyle name="Normal 2 2 3 7 2 5" xfId="35695"/>
    <cellStyle name="Normal 2 2 3 7 3" xfId="35696"/>
    <cellStyle name="Normal 2 2 3 7 3 2" xfId="35697"/>
    <cellStyle name="Normal 2 2 3 7 3 2 2" xfId="35698"/>
    <cellStyle name="Normal 2 2 3 7 3 3" xfId="35699"/>
    <cellStyle name="Normal 2 2 3 7 3 4" xfId="35700"/>
    <cellStyle name="Normal 2 2 3 7 4" xfId="35701"/>
    <cellStyle name="Normal 2 2 3 7 4 2" xfId="35702"/>
    <cellStyle name="Normal 2 2 3 7 4 2 2" xfId="35703"/>
    <cellStyle name="Normal 2 2 3 7 4 3" xfId="35704"/>
    <cellStyle name="Normal 2 2 3 7 4 4" xfId="35705"/>
    <cellStyle name="Normal 2 2 3 7 5" xfId="35706"/>
    <cellStyle name="Normal 2 2 3 7 5 2" xfId="35707"/>
    <cellStyle name="Normal 2 2 3 7 6" xfId="35708"/>
    <cellStyle name="Normal 2 2 3 7 7" xfId="35709"/>
    <cellStyle name="Normal 2 2 3 7 8" xfId="35710"/>
    <cellStyle name="Normal 2 2 3 8" xfId="35711"/>
    <cellStyle name="Normal 2 2 3 8 2" xfId="35712"/>
    <cellStyle name="Normal 2 2 3 8 2 2" xfId="35713"/>
    <cellStyle name="Normal 2 2 3 8 2 2 2" xfId="35714"/>
    <cellStyle name="Normal 2 2 3 8 2 2 3" xfId="35715"/>
    <cellStyle name="Normal 2 2 3 8 2 3" xfId="35716"/>
    <cellStyle name="Normal 2 2 3 8 2 3 2" xfId="35717"/>
    <cellStyle name="Normal 2 2 3 8 2 4" xfId="35718"/>
    <cellStyle name="Normal 2 2 3 8 2 5" xfId="35719"/>
    <cellStyle name="Normal 2 2 3 8 3" xfId="35720"/>
    <cellStyle name="Normal 2 2 3 8 3 2" xfId="35721"/>
    <cellStyle name="Normal 2 2 3 8 3 2 2" xfId="35722"/>
    <cellStyle name="Normal 2 2 3 8 3 3" xfId="35723"/>
    <cellStyle name="Normal 2 2 3 8 3 4" xfId="35724"/>
    <cellStyle name="Normal 2 2 3 8 4" xfId="35725"/>
    <cellStyle name="Normal 2 2 3 8 4 2" xfId="35726"/>
    <cellStyle name="Normal 2 2 3 8 4 2 2" xfId="35727"/>
    <cellStyle name="Normal 2 2 3 8 4 3" xfId="35728"/>
    <cellStyle name="Normal 2 2 3 8 4 4" xfId="35729"/>
    <cellStyle name="Normal 2 2 3 8 5" xfId="35730"/>
    <cellStyle name="Normal 2 2 3 8 5 2" xfId="35731"/>
    <cellStyle name="Normal 2 2 3 8 6" xfId="35732"/>
    <cellStyle name="Normal 2 2 3 8 7" xfId="35733"/>
    <cellStyle name="Normal 2 2 3 8 8" xfId="35734"/>
    <cellStyle name="Normal 2 2 3 9" xfId="35735"/>
    <cellStyle name="Normal 2 2 3_Dakota Panel" xfId="35736"/>
    <cellStyle name="Normal 2 2 4" xfId="35737"/>
    <cellStyle name="Normal 2 2 4 2" xfId="35738"/>
    <cellStyle name="Normal 2 2 4 2 2" xfId="35739"/>
    <cellStyle name="Normal 2 2 4 2 2 2" xfId="35740"/>
    <cellStyle name="Normal 2 2 4 2 3" xfId="35741"/>
    <cellStyle name="Normal 2 2 4 2 3 2" xfId="35742"/>
    <cellStyle name="Normal 2 2 4 2 3 2 2" xfId="35743"/>
    <cellStyle name="Normal 2 2 4 2 3 2 2 2" xfId="35744"/>
    <cellStyle name="Normal 2 2 4 2 3 2 2 3" xfId="35745"/>
    <cellStyle name="Normal 2 2 4 2 3 2 3" xfId="35746"/>
    <cellStyle name="Normal 2 2 4 2 3 2 3 2" xfId="35747"/>
    <cellStyle name="Normal 2 2 4 2 3 2 4" xfId="35748"/>
    <cellStyle name="Normal 2 2 4 2 3 2 5" xfId="35749"/>
    <cellStyle name="Normal 2 2 4 2 3 3" xfId="35750"/>
    <cellStyle name="Normal 2 2 4 2 3 3 2" xfId="35751"/>
    <cellStyle name="Normal 2 2 4 2 3 3 2 2" xfId="35752"/>
    <cellStyle name="Normal 2 2 4 2 3 3 3" xfId="35753"/>
    <cellStyle name="Normal 2 2 4 2 3 3 4" xfId="35754"/>
    <cellStyle name="Normal 2 2 4 2 3 4" xfId="35755"/>
    <cellStyle name="Normal 2 2 4 2 3 4 2" xfId="35756"/>
    <cellStyle name="Normal 2 2 4 2 3 4 2 2" xfId="35757"/>
    <cellStyle name="Normal 2 2 4 2 3 4 3" xfId="35758"/>
    <cellStyle name="Normal 2 2 4 2 3 4 4" xfId="35759"/>
    <cellStyle name="Normal 2 2 4 2 3 5" xfId="35760"/>
    <cellStyle name="Normal 2 2 4 2 3 5 2" xfId="35761"/>
    <cellStyle name="Normal 2 2 4 2 3 6" xfId="35762"/>
    <cellStyle name="Normal 2 2 4 2 3 7" xfId="35763"/>
    <cellStyle name="Normal 2 2 4 2 3 8" xfId="35764"/>
    <cellStyle name="Normal 2 2 4 2 4" xfId="35765"/>
    <cellStyle name="Normal 2 2 4 2 4 2" xfId="35766"/>
    <cellStyle name="Normal 2 2 4 2 4 2 2" xfId="35767"/>
    <cellStyle name="Normal 2 2 4 2 4 2 2 2" xfId="35768"/>
    <cellStyle name="Normal 2 2 4 2 4 2 2 3" xfId="35769"/>
    <cellStyle name="Normal 2 2 4 2 4 2 3" xfId="35770"/>
    <cellStyle name="Normal 2 2 4 2 4 2 3 2" xfId="35771"/>
    <cellStyle name="Normal 2 2 4 2 4 2 4" xfId="35772"/>
    <cellStyle name="Normal 2 2 4 2 4 2 5" xfId="35773"/>
    <cellStyle name="Normal 2 2 4 2 4 3" xfId="35774"/>
    <cellStyle name="Normal 2 2 4 2 4 3 2" xfId="35775"/>
    <cellStyle name="Normal 2 2 4 2 4 3 2 2" xfId="35776"/>
    <cellStyle name="Normal 2 2 4 2 4 3 3" xfId="35777"/>
    <cellStyle name="Normal 2 2 4 2 4 3 4" xfId="35778"/>
    <cellStyle name="Normal 2 2 4 2 4 4" xfId="35779"/>
    <cellStyle name="Normal 2 2 4 2 4 4 2" xfId="35780"/>
    <cellStyle name="Normal 2 2 4 2 4 4 2 2" xfId="35781"/>
    <cellStyle name="Normal 2 2 4 2 4 4 3" xfId="35782"/>
    <cellStyle name="Normal 2 2 4 2 4 4 4" xfId="35783"/>
    <cellStyle name="Normal 2 2 4 2 4 5" xfId="35784"/>
    <cellStyle name="Normal 2 2 4 2 4 5 2" xfId="35785"/>
    <cellStyle name="Normal 2 2 4 2 4 6" xfId="35786"/>
    <cellStyle name="Normal 2 2 4 2 4 7" xfId="35787"/>
    <cellStyle name="Normal 2 2 4 2 4 8" xfId="35788"/>
    <cellStyle name="Normal 2 2 4 2 5" xfId="35789"/>
    <cellStyle name="Normal 2 2 4 2 5 2" xfId="35790"/>
    <cellStyle name="Normal 2 2 4 2 5 2 2" xfId="35791"/>
    <cellStyle name="Normal 2 2 4 2 5 2 2 2" xfId="35792"/>
    <cellStyle name="Normal 2 2 4 2 5 2 2 3" xfId="35793"/>
    <cellStyle name="Normal 2 2 4 2 5 2 3" xfId="35794"/>
    <cellStyle name="Normal 2 2 4 2 5 2 3 2" xfId="35795"/>
    <cellStyle name="Normal 2 2 4 2 5 2 4" xfId="35796"/>
    <cellStyle name="Normal 2 2 4 2 5 2 5" xfId="35797"/>
    <cellStyle name="Normal 2 2 4 2 5 3" xfId="35798"/>
    <cellStyle name="Normal 2 2 4 2 5 3 2" xfId="35799"/>
    <cellStyle name="Normal 2 2 4 2 5 3 2 2" xfId="35800"/>
    <cellStyle name="Normal 2 2 4 2 5 3 3" xfId="35801"/>
    <cellStyle name="Normal 2 2 4 2 5 3 4" xfId="35802"/>
    <cellStyle name="Normal 2 2 4 2 5 4" xfId="35803"/>
    <cellStyle name="Normal 2 2 4 2 5 4 2" xfId="35804"/>
    <cellStyle name="Normal 2 2 4 2 5 4 2 2" xfId="35805"/>
    <cellStyle name="Normal 2 2 4 2 5 4 3" xfId="35806"/>
    <cellStyle name="Normal 2 2 4 2 5 4 4" xfId="35807"/>
    <cellStyle name="Normal 2 2 4 2 5 5" xfId="35808"/>
    <cellStyle name="Normal 2 2 4 2 5 5 2" xfId="35809"/>
    <cellStyle name="Normal 2 2 4 2 5 6" xfId="35810"/>
    <cellStyle name="Normal 2 2 4 2 5 7" xfId="35811"/>
    <cellStyle name="Normal 2 2 4 2 5 8" xfId="35812"/>
    <cellStyle name="Normal 2 2 4 3" xfId="35813"/>
    <cellStyle name="Normal 2 2 4 3 2" xfId="35814"/>
    <cellStyle name="Normal 2 2 4 3 3" xfId="35815"/>
    <cellStyle name="Normal 2 2 4 4" xfId="35816"/>
    <cellStyle name="Normal 2 2 4 4 2" xfId="35817"/>
    <cellStyle name="Normal 2 2 4 4 2 2" xfId="35818"/>
    <cellStyle name="Normal 2 2 4 4 2 2 2" xfId="35819"/>
    <cellStyle name="Normal 2 2 4 4 2 2 3" xfId="35820"/>
    <cellStyle name="Normal 2 2 4 4 2 3" xfId="35821"/>
    <cellStyle name="Normal 2 2 4 4 2 3 2" xfId="35822"/>
    <cellStyle name="Normal 2 2 4 4 2 4" xfId="35823"/>
    <cellStyle name="Normal 2 2 4 4 2 5" xfId="35824"/>
    <cellStyle name="Normal 2 2 4 4 3" xfId="35825"/>
    <cellStyle name="Normal 2 2 4 4 3 2" xfId="35826"/>
    <cellStyle name="Normal 2 2 4 4 3 2 2" xfId="35827"/>
    <cellStyle name="Normal 2 2 4 4 3 3" xfId="35828"/>
    <cellStyle name="Normal 2 2 4 4 3 4" xfId="35829"/>
    <cellStyle name="Normal 2 2 4 4 4" xfId="35830"/>
    <cellStyle name="Normal 2 2 4 4 4 2" xfId="35831"/>
    <cellStyle name="Normal 2 2 4 4 4 2 2" xfId="35832"/>
    <cellStyle name="Normal 2 2 4 4 4 3" xfId="35833"/>
    <cellStyle name="Normal 2 2 4 4 4 4" xfId="35834"/>
    <cellStyle name="Normal 2 2 4 4 5" xfId="35835"/>
    <cellStyle name="Normal 2 2 4 4 5 2" xfId="35836"/>
    <cellStyle name="Normal 2 2 4 4 6" xfId="35837"/>
    <cellStyle name="Normal 2 2 4 4 7" xfId="35838"/>
    <cellStyle name="Normal 2 2 4 4 8" xfId="35839"/>
    <cellStyle name="Normal 2 2 4 5" xfId="35840"/>
    <cellStyle name="Normal 2 2 4 5 2" xfId="35841"/>
    <cellStyle name="Normal 2 2 4 5 2 2" xfId="35842"/>
    <cellStyle name="Normal 2 2 4 5 2 2 2" xfId="35843"/>
    <cellStyle name="Normal 2 2 4 5 2 2 3" xfId="35844"/>
    <cellStyle name="Normal 2 2 4 5 2 3" xfId="35845"/>
    <cellStyle name="Normal 2 2 4 5 2 3 2" xfId="35846"/>
    <cellStyle name="Normal 2 2 4 5 2 4" xfId="35847"/>
    <cellStyle name="Normal 2 2 4 5 2 5" xfId="35848"/>
    <cellStyle name="Normal 2 2 4 5 3" xfId="35849"/>
    <cellStyle name="Normal 2 2 4 5 3 2" xfId="35850"/>
    <cellStyle name="Normal 2 2 4 5 3 2 2" xfId="35851"/>
    <cellStyle name="Normal 2 2 4 5 3 3" xfId="35852"/>
    <cellStyle name="Normal 2 2 4 5 3 4" xfId="35853"/>
    <cellStyle name="Normal 2 2 4 5 4" xfId="35854"/>
    <cellStyle name="Normal 2 2 4 5 4 2" xfId="35855"/>
    <cellStyle name="Normal 2 2 4 5 4 2 2" xfId="35856"/>
    <cellStyle name="Normal 2 2 4 5 4 3" xfId="35857"/>
    <cellStyle name="Normal 2 2 4 5 4 4" xfId="35858"/>
    <cellStyle name="Normal 2 2 4 5 5" xfId="35859"/>
    <cellStyle name="Normal 2 2 4 5 5 2" xfId="35860"/>
    <cellStyle name="Normal 2 2 4 5 6" xfId="35861"/>
    <cellStyle name="Normal 2 2 4 5 7" xfId="35862"/>
    <cellStyle name="Normal 2 2 4 5 8" xfId="35863"/>
    <cellStyle name="Normal 2 2 4 6" xfId="35864"/>
    <cellStyle name="Normal 2 2 4 6 2" xfId="35865"/>
    <cellStyle name="Normal 2 2 4 6 2 2" xfId="35866"/>
    <cellStyle name="Normal 2 2 4 6 2 2 2" xfId="35867"/>
    <cellStyle name="Normal 2 2 4 6 2 2 3" xfId="35868"/>
    <cellStyle name="Normal 2 2 4 6 2 3" xfId="35869"/>
    <cellStyle name="Normal 2 2 4 6 2 3 2" xfId="35870"/>
    <cellStyle name="Normal 2 2 4 6 2 4" xfId="35871"/>
    <cellStyle name="Normal 2 2 4 6 2 5" xfId="35872"/>
    <cellStyle name="Normal 2 2 4 6 3" xfId="35873"/>
    <cellStyle name="Normal 2 2 4 6 3 2" xfId="35874"/>
    <cellStyle name="Normal 2 2 4 6 3 2 2" xfId="35875"/>
    <cellStyle name="Normal 2 2 4 6 3 3" xfId="35876"/>
    <cellStyle name="Normal 2 2 4 6 3 4" xfId="35877"/>
    <cellStyle name="Normal 2 2 4 6 4" xfId="35878"/>
    <cellStyle name="Normal 2 2 4 6 4 2" xfId="35879"/>
    <cellStyle name="Normal 2 2 4 6 4 2 2" xfId="35880"/>
    <cellStyle name="Normal 2 2 4 6 4 3" xfId="35881"/>
    <cellStyle name="Normal 2 2 4 6 4 4" xfId="35882"/>
    <cellStyle name="Normal 2 2 4 6 5" xfId="35883"/>
    <cellStyle name="Normal 2 2 4 6 5 2" xfId="35884"/>
    <cellStyle name="Normal 2 2 4 6 6" xfId="35885"/>
    <cellStyle name="Normal 2 2 4 6 7" xfId="35886"/>
    <cellStyle name="Normal 2 2 4 6 8" xfId="35887"/>
    <cellStyle name="Normal 2 2 4 7" xfId="35888"/>
    <cellStyle name="Normal 2 2 5" xfId="35889"/>
    <cellStyle name="Normal 2 2 5 2" xfId="35890"/>
    <cellStyle name="Normal 2 2 5 2 2" xfId="35891"/>
    <cellStyle name="Normal 2 2 5 2 2 2" xfId="35892"/>
    <cellStyle name="Normal 2 2 5 2 3" xfId="35893"/>
    <cellStyle name="Normal 2 2 5 3" xfId="35894"/>
    <cellStyle name="Normal 2 2 5 3 2" xfId="35895"/>
    <cellStyle name="Normal 2 2 5 3 3" xfId="35896"/>
    <cellStyle name="Normal 2 2 5 4" xfId="35897"/>
    <cellStyle name="Normal 2 2 5 4 2" xfId="35898"/>
    <cellStyle name="Normal 2 2 5 4 2 2" xfId="35899"/>
    <cellStyle name="Normal 2 2 5 4 2 2 2" xfId="35900"/>
    <cellStyle name="Normal 2 2 5 4 2 2 3" xfId="35901"/>
    <cellStyle name="Normal 2 2 5 4 2 3" xfId="35902"/>
    <cellStyle name="Normal 2 2 5 4 2 3 2" xfId="35903"/>
    <cellStyle name="Normal 2 2 5 4 2 4" xfId="35904"/>
    <cellStyle name="Normal 2 2 5 4 2 5" xfId="35905"/>
    <cellStyle name="Normal 2 2 5 4 3" xfId="35906"/>
    <cellStyle name="Normal 2 2 5 4 3 2" xfId="35907"/>
    <cellStyle name="Normal 2 2 5 4 3 2 2" xfId="35908"/>
    <cellStyle name="Normal 2 2 5 4 3 3" xfId="35909"/>
    <cellStyle name="Normal 2 2 5 4 3 4" xfId="35910"/>
    <cellStyle name="Normal 2 2 5 4 4" xfId="35911"/>
    <cellStyle name="Normal 2 2 5 4 4 2" xfId="35912"/>
    <cellStyle name="Normal 2 2 5 4 4 2 2" xfId="35913"/>
    <cellStyle name="Normal 2 2 5 4 4 3" xfId="35914"/>
    <cellStyle name="Normal 2 2 5 4 4 4" xfId="35915"/>
    <cellStyle name="Normal 2 2 5 4 5" xfId="35916"/>
    <cellStyle name="Normal 2 2 5 4 5 2" xfId="35917"/>
    <cellStyle name="Normal 2 2 5 4 6" xfId="35918"/>
    <cellStyle name="Normal 2 2 5 4 7" xfId="35919"/>
    <cellStyle name="Normal 2 2 5 4 8" xfId="35920"/>
    <cellStyle name="Normal 2 2 5 5" xfId="35921"/>
    <cellStyle name="Normal 2 2 5 5 2" xfId="35922"/>
    <cellStyle name="Normal 2 2 5 5 2 2" xfId="35923"/>
    <cellStyle name="Normal 2 2 5 5 2 2 2" xfId="35924"/>
    <cellStyle name="Normal 2 2 5 5 2 2 3" xfId="35925"/>
    <cellStyle name="Normal 2 2 5 5 2 3" xfId="35926"/>
    <cellStyle name="Normal 2 2 5 5 2 3 2" xfId="35927"/>
    <cellStyle name="Normal 2 2 5 5 2 4" xfId="35928"/>
    <cellStyle name="Normal 2 2 5 5 2 5" xfId="35929"/>
    <cellStyle name="Normal 2 2 5 5 3" xfId="35930"/>
    <cellStyle name="Normal 2 2 5 5 3 2" xfId="35931"/>
    <cellStyle name="Normal 2 2 5 5 3 2 2" xfId="35932"/>
    <cellStyle name="Normal 2 2 5 5 3 3" xfId="35933"/>
    <cellStyle name="Normal 2 2 5 5 3 4" xfId="35934"/>
    <cellStyle name="Normal 2 2 5 5 4" xfId="35935"/>
    <cellStyle name="Normal 2 2 5 5 4 2" xfId="35936"/>
    <cellStyle name="Normal 2 2 5 5 4 2 2" xfId="35937"/>
    <cellStyle name="Normal 2 2 5 5 4 3" xfId="35938"/>
    <cellStyle name="Normal 2 2 5 5 4 4" xfId="35939"/>
    <cellStyle name="Normal 2 2 5 5 5" xfId="35940"/>
    <cellStyle name="Normal 2 2 5 5 5 2" xfId="35941"/>
    <cellStyle name="Normal 2 2 5 5 6" xfId="35942"/>
    <cellStyle name="Normal 2 2 5 5 7" xfId="35943"/>
    <cellStyle name="Normal 2 2 5 5 8" xfId="35944"/>
    <cellStyle name="Normal 2 2 5 6" xfId="35945"/>
    <cellStyle name="Normal 2 2 5 6 2" xfId="35946"/>
    <cellStyle name="Normal 2 2 5 6 2 2" xfId="35947"/>
    <cellStyle name="Normal 2 2 5 6 2 2 2" xfId="35948"/>
    <cellStyle name="Normal 2 2 5 6 2 2 3" xfId="35949"/>
    <cellStyle name="Normal 2 2 5 6 2 3" xfId="35950"/>
    <cellStyle name="Normal 2 2 5 6 2 3 2" xfId="35951"/>
    <cellStyle name="Normal 2 2 5 6 2 4" xfId="35952"/>
    <cellStyle name="Normal 2 2 5 6 2 5" xfId="35953"/>
    <cellStyle name="Normal 2 2 5 6 3" xfId="35954"/>
    <cellStyle name="Normal 2 2 5 6 3 2" xfId="35955"/>
    <cellStyle name="Normal 2 2 5 6 3 2 2" xfId="35956"/>
    <cellStyle name="Normal 2 2 5 6 3 3" xfId="35957"/>
    <cellStyle name="Normal 2 2 5 6 3 4" xfId="35958"/>
    <cellStyle name="Normal 2 2 5 6 4" xfId="35959"/>
    <cellStyle name="Normal 2 2 5 6 4 2" xfId="35960"/>
    <cellStyle name="Normal 2 2 5 6 4 2 2" xfId="35961"/>
    <cellStyle name="Normal 2 2 5 6 4 3" xfId="35962"/>
    <cellStyle name="Normal 2 2 5 6 4 4" xfId="35963"/>
    <cellStyle name="Normal 2 2 5 6 5" xfId="35964"/>
    <cellStyle name="Normal 2 2 5 6 5 2" xfId="35965"/>
    <cellStyle name="Normal 2 2 5 6 6" xfId="35966"/>
    <cellStyle name="Normal 2 2 5 6 7" xfId="35967"/>
    <cellStyle name="Normal 2 2 5 6 8" xfId="35968"/>
    <cellStyle name="Normal 2 2 6" xfId="35969"/>
    <cellStyle name="Normal 2 2 6 2" xfId="35970"/>
    <cellStyle name="Normal 2 2 6 2 2" xfId="35971"/>
    <cellStyle name="Normal 2 2 6 3" xfId="35972"/>
    <cellStyle name="Normal 2 2 7" xfId="35973"/>
    <cellStyle name="Normal 2 2 7 2" xfId="35974"/>
    <cellStyle name="Normal 2 2 7 3" xfId="35975"/>
    <cellStyle name="Normal 2 2 8" xfId="35976"/>
    <cellStyle name="Normal 2 2 8 2" xfId="35977"/>
    <cellStyle name="Normal 2 2 8 3" xfId="35978"/>
    <cellStyle name="Normal 2 2 9" xfId="35979"/>
    <cellStyle name="Normal 2 2 9 2" xfId="35980"/>
    <cellStyle name="Normal 2 2 9 3" xfId="35981"/>
    <cellStyle name="Normal 2 2_Add'l Measures Algorithm" xfId="33"/>
    <cellStyle name="Normal 2 20" xfId="35982"/>
    <cellStyle name="Normal 2 20 2" xfId="35983"/>
    <cellStyle name="Normal 2 21" xfId="35984"/>
    <cellStyle name="Normal 2 21 2" xfId="35985"/>
    <cellStyle name="Normal 2 22" xfId="35986"/>
    <cellStyle name="Normal 2 22 2" xfId="35987"/>
    <cellStyle name="Normal 2 22 2 2" xfId="35988"/>
    <cellStyle name="Normal 2 22 3" xfId="35989"/>
    <cellStyle name="Normal 2 22 3 2" xfId="35990"/>
    <cellStyle name="Normal 2 22 4" xfId="35991"/>
    <cellStyle name="Normal 2 23" xfId="35992"/>
    <cellStyle name="Normal 2 23 2" xfId="35993"/>
    <cellStyle name="Normal 2 23 3" xfId="35994"/>
    <cellStyle name="Normal 2 24" xfId="35995"/>
    <cellStyle name="Normal 2 25" xfId="35996"/>
    <cellStyle name="Normal 2 25 2" xfId="35997"/>
    <cellStyle name="Normal 2 25 2 2" xfId="35998"/>
    <cellStyle name="Normal 2 25 3" xfId="35999"/>
    <cellStyle name="Normal 2 254" xfId="30"/>
    <cellStyle name="Normal 2 26" xfId="36000"/>
    <cellStyle name="Normal 2 27" xfId="36001"/>
    <cellStyle name="Normal 2 27 2" xfId="36002"/>
    <cellStyle name="Normal 2 28" xfId="36003"/>
    <cellStyle name="Normal 2 28 2" xfId="36004"/>
    <cellStyle name="Normal 2 28 2 2" xfId="36005"/>
    <cellStyle name="Normal 2 28 2 2 2" xfId="36006"/>
    <cellStyle name="Normal 2 28 2 2 2 2" xfId="36007"/>
    <cellStyle name="Normal 2 28 2 2 3" xfId="36008"/>
    <cellStyle name="Normal 2 28 2 3" xfId="36009"/>
    <cellStyle name="Normal 2 28 3" xfId="36010"/>
    <cellStyle name="Normal 2 28 3 2" xfId="36011"/>
    <cellStyle name="Normal 2 28 4" xfId="36012"/>
    <cellStyle name="Normal 2 29" xfId="36013"/>
    <cellStyle name="Normal 2 3" xfId="28"/>
    <cellStyle name="Normal 2 3 10" xfId="36014"/>
    <cellStyle name="Normal 2 3 10 2" xfId="36015"/>
    <cellStyle name="Normal 2 3 11" xfId="36016"/>
    <cellStyle name="Normal 2 3 11 2" xfId="36017"/>
    <cellStyle name="Normal 2 3 11 2 2" xfId="36018"/>
    <cellStyle name="Normal 2 3 11 2 2 2" xfId="36019"/>
    <cellStyle name="Normal 2 3 11 2 2 3" xfId="36020"/>
    <cellStyle name="Normal 2 3 11 2 3" xfId="36021"/>
    <cellStyle name="Normal 2 3 11 2 3 2" xfId="36022"/>
    <cellStyle name="Normal 2 3 11 2 4" xfId="36023"/>
    <cellStyle name="Normal 2 3 11 2 5" xfId="36024"/>
    <cellStyle name="Normal 2 3 11 3" xfId="36025"/>
    <cellStyle name="Normal 2 3 11 3 2" xfId="36026"/>
    <cellStyle name="Normal 2 3 11 3 2 2" xfId="36027"/>
    <cellStyle name="Normal 2 3 11 3 3" xfId="36028"/>
    <cellStyle name="Normal 2 3 11 3 4" xfId="36029"/>
    <cellStyle name="Normal 2 3 11 4" xfId="36030"/>
    <cellStyle name="Normal 2 3 11 4 2" xfId="36031"/>
    <cellStyle name="Normal 2 3 11 4 2 2" xfId="36032"/>
    <cellStyle name="Normal 2 3 11 4 3" xfId="36033"/>
    <cellStyle name="Normal 2 3 11 4 4" xfId="36034"/>
    <cellStyle name="Normal 2 3 11 5" xfId="36035"/>
    <cellStyle name="Normal 2 3 11 5 2" xfId="36036"/>
    <cellStyle name="Normal 2 3 11 6" xfId="36037"/>
    <cellStyle name="Normal 2 3 11 7" xfId="36038"/>
    <cellStyle name="Normal 2 3 11 8" xfId="36039"/>
    <cellStyle name="Normal 2 3 12" xfId="36040"/>
    <cellStyle name="Normal 2 3 12 2" xfId="36041"/>
    <cellStyle name="Normal 2 3 12 2 2" xfId="36042"/>
    <cellStyle name="Normal 2 3 12 2 2 2" xfId="36043"/>
    <cellStyle name="Normal 2 3 12 2 2 3" xfId="36044"/>
    <cellStyle name="Normal 2 3 12 2 3" xfId="36045"/>
    <cellStyle name="Normal 2 3 12 2 3 2" xfId="36046"/>
    <cellStyle name="Normal 2 3 12 2 4" xfId="36047"/>
    <cellStyle name="Normal 2 3 12 2 5" xfId="36048"/>
    <cellStyle name="Normal 2 3 12 3" xfId="36049"/>
    <cellStyle name="Normal 2 3 12 3 2" xfId="36050"/>
    <cellStyle name="Normal 2 3 12 3 2 2" xfId="36051"/>
    <cellStyle name="Normal 2 3 12 3 3" xfId="36052"/>
    <cellStyle name="Normal 2 3 12 3 4" xfId="36053"/>
    <cellStyle name="Normal 2 3 12 4" xfId="36054"/>
    <cellStyle name="Normal 2 3 12 4 2" xfId="36055"/>
    <cellStyle name="Normal 2 3 12 4 2 2" xfId="36056"/>
    <cellStyle name="Normal 2 3 12 4 3" xfId="36057"/>
    <cellStyle name="Normal 2 3 12 4 4" xfId="36058"/>
    <cellStyle name="Normal 2 3 12 5" xfId="36059"/>
    <cellStyle name="Normal 2 3 12 5 2" xfId="36060"/>
    <cellStyle name="Normal 2 3 12 6" xfId="36061"/>
    <cellStyle name="Normal 2 3 12 7" xfId="36062"/>
    <cellStyle name="Normal 2 3 12 8" xfId="36063"/>
    <cellStyle name="Normal 2 3 13" xfId="36064"/>
    <cellStyle name="Normal 2 3 13 2" xfId="36065"/>
    <cellStyle name="Normal 2 3 13 2 2" xfId="36066"/>
    <cellStyle name="Normal 2 3 13 2 2 2" xfId="36067"/>
    <cellStyle name="Normal 2 3 13 2 2 3" xfId="36068"/>
    <cellStyle name="Normal 2 3 13 2 3" xfId="36069"/>
    <cellStyle name="Normal 2 3 13 2 3 2" xfId="36070"/>
    <cellStyle name="Normal 2 3 13 2 4" xfId="36071"/>
    <cellStyle name="Normal 2 3 13 2 5" xfId="36072"/>
    <cellStyle name="Normal 2 3 13 3" xfId="36073"/>
    <cellStyle name="Normal 2 3 13 3 2" xfId="36074"/>
    <cellStyle name="Normal 2 3 13 3 2 2" xfId="36075"/>
    <cellStyle name="Normal 2 3 13 3 3" xfId="36076"/>
    <cellStyle name="Normal 2 3 13 3 4" xfId="36077"/>
    <cellStyle name="Normal 2 3 13 4" xfId="36078"/>
    <cellStyle name="Normal 2 3 13 4 2" xfId="36079"/>
    <cellStyle name="Normal 2 3 13 4 2 2" xfId="36080"/>
    <cellStyle name="Normal 2 3 13 4 3" xfId="36081"/>
    <cellStyle name="Normal 2 3 13 4 4" xfId="36082"/>
    <cellStyle name="Normal 2 3 13 5" xfId="36083"/>
    <cellStyle name="Normal 2 3 13 5 2" xfId="36084"/>
    <cellStyle name="Normal 2 3 13 6" xfId="36085"/>
    <cellStyle name="Normal 2 3 13 7" xfId="36086"/>
    <cellStyle name="Normal 2 3 13 8" xfId="36087"/>
    <cellStyle name="Normal 2 3 14" xfId="36088"/>
    <cellStyle name="Normal 2 3 15" xfId="36089"/>
    <cellStyle name="Normal 2 3 2" xfId="36090"/>
    <cellStyle name="Normal 2 3 2 2" xfId="36091"/>
    <cellStyle name="Normal 2 3 2 2 2" xfId="36092"/>
    <cellStyle name="Normal 2 3 2 2 2 2" xfId="36093"/>
    <cellStyle name="Normal 2 3 2 2 2 2 2" xfId="36094"/>
    <cellStyle name="Normal 2 3 2 2 2 2 2 2" xfId="36095"/>
    <cellStyle name="Normal 2 3 2 2 2 2 2 2 2" xfId="36096"/>
    <cellStyle name="Normal 2 3 2 2 2 2 2 2 3" xfId="36097"/>
    <cellStyle name="Normal 2 3 2 2 2 2 2 3" xfId="36098"/>
    <cellStyle name="Normal 2 3 2 2 2 2 2 3 2" xfId="36099"/>
    <cellStyle name="Normal 2 3 2 2 2 2 2 4" xfId="36100"/>
    <cellStyle name="Normal 2 3 2 2 2 2 2 5" xfId="36101"/>
    <cellStyle name="Normal 2 3 2 2 2 2 3" xfId="36102"/>
    <cellStyle name="Normal 2 3 2 2 2 2 3 2" xfId="36103"/>
    <cellStyle name="Normal 2 3 2 2 2 2 3 2 2" xfId="36104"/>
    <cellStyle name="Normal 2 3 2 2 2 2 3 3" xfId="36105"/>
    <cellStyle name="Normal 2 3 2 2 2 2 3 4" xfId="36106"/>
    <cellStyle name="Normal 2 3 2 2 2 2 4" xfId="36107"/>
    <cellStyle name="Normal 2 3 2 2 2 2 4 2" xfId="36108"/>
    <cellStyle name="Normal 2 3 2 2 2 2 4 2 2" xfId="36109"/>
    <cellStyle name="Normal 2 3 2 2 2 2 4 3" xfId="36110"/>
    <cellStyle name="Normal 2 3 2 2 2 2 4 4" xfId="36111"/>
    <cellStyle name="Normal 2 3 2 2 2 2 5" xfId="36112"/>
    <cellStyle name="Normal 2 3 2 2 2 2 5 2" xfId="36113"/>
    <cellStyle name="Normal 2 3 2 2 2 2 6" xfId="36114"/>
    <cellStyle name="Normal 2 3 2 2 2 2 7" xfId="36115"/>
    <cellStyle name="Normal 2 3 2 2 2 2 8" xfId="36116"/>
    <cellStyle name="Normal 2 3 2 2 2 3" xfId="36117"/>
    <cellStyle name="Normal 2 3 2 2 2 3 2" xfId="36118"/>
    <cellStyle name="Normal 2 3 2 2 2 3 2 2" xfId="36119"/>
    <cellStyle name="Normal 2 3 2 2 2 3 2 2 2" xfId="36120"/>
    <cellStyle name="Normal 2 3 2 2 2 3 2 2 3" xfId="36121"/>
    <cellStyle name="Normal 2 3 2 2 2 3 2 3" xfId="36122"/>
    <cellStyle name="Normal 2 3 2 2 2 3 2 3 2" xfId="36123"/>
    <cellStyle name="Normal 2 3 2 2 2 3 2 4" xfId="36124"/>
    <cellStyle name="Normal 2 3 2 2 2 3 2 5" xfId="36125"/>
    <cellStyle name="Normal 2 3 2 2 2 3 3" xfId="36126"/>
    <cellStyle name="Normal 2 3 2 2 2 3 3 2" xfId="36127"/>
    <cellStyle name="Normal 2 3 2 2 2 3 3 2 2" xfId="36128"/>
    <cellStyle name="Normal 2 3 2 2 2 3 3 3" xfId="36129"/>
    <cellStyle name="Normal 2 3 2 2 2 3 3 4" xfId="36130"/>
    <cellStyle name="Normal 2 3 2 2 2 3 4" xfId="36131"/>
    <cellStyle name="Normal 2 3 2 2 2 3 4 2" xfId="36132"/>
    <cellStyle name="Normal 2 3 2 2 2 3 4 2 2" xfId="36133"/>
    <cellStyle name="Normal 2 3 2 2 2 3 4 3" xfId="36134"/>
    <cellStyle name="Normal 2 3 2 2 2 3 4 4" xfId="36135"/>
    <cellStyle name="Normal 2 3 2 2 2 3 5" xfId="36136"/>
    <cellStyle name="Normal 2 3 2 2 2 3 5 2" xfId="36137"/>
    <cellStyle name="Normal 2 3 2 2 2 3 6" xfId="36138"/>
    <cellStyle name="Normal 2 3 2 2 2 3 7" xfId="36139"/>
    <cellStyle name="Normal 2 3 2 2 2 3 8" xfId="36140"/>
    <cellStyle name="Normal 2 3 2 2 2 4" xfId="36141"/>
    <cellStyle name="Normal 2 3 2 2 2 4 2" xfId="36142"/>
    <cellStyle name="Normal 2 3 2 2 2 4 2 2" xfId="36143"/>
    <cellStyle name="Normal 2 3 2 2 2 4 2 2 2" xfId="36144"/>
    <cellStyle name="Normal 2 3 2 2 2 4 2 2 3" xfId="36145"/>
    <cellStyle name="Normal 2 3 2 2 2 4 2 3" xfId="36146"/>
    <cellStyle name="Normal 2 3 2 2 2 4 2 3 2" xfId="36147"/>
    <cellStyle name="Normal 2 3 2 2 2 4 2 4" xfId="36148"/>
    <cellStyle name="Normal 2 3 2 2 2 4 2 5" xfId="36149"/>
    <cellStyle name="Normal 2 3 2 2 2 4 3" xfId="36150"/>
    <cellStyle name="Normal 2 3 2 2 2 4 3 2" xfId="36151"/>
    <cellStyle name="Normal 2 3 2 2 2 4 3 2 2" xfId="36152"/>
    <cellStyle name="Normal 2 3 2 2 2 4 3 3" xfId="36153"/>
    <cellStyle name="Normal 2 3 2 2 2 4 3 4" xfId="36154"/>
    <cellStyle name="Normal 2 3 2 2 2 4 4" xfId="36155"/>
    <cellStyle name="Normal 2 3 2 2 2 4 4 2" xfId="36156"/>
    <cellStyle name="Normal 2 3 2 2 2 4 4 2 2" xfId="36157"/>
    <cellStyle name="Normal 2 3 2 2 2 4 4 3" xfId="36158"/>
    <cellStyle name="Normal 2 3 2 2 2 4 4 4" xfId="36159"/>
    <cellStyle name="Normal 2 3 2 2 2 4 5" xfId="36160"/>
    <cellStyle name="Normal 2 3 2 2 2 4 5 2" xfId="36161"/>
    <cellStyle name="Normal 2 3 2 2 2 4 6" xfId="36162"/>
    <cellStyle name="Normal 2 3 2 2 2 4 7" xfId="36163"/>
    <cellStyle name="Normal 2 3 2 2 2 4 8" xfId="36164"/>
    <cellStyle name="Normal 2 3 2 2 2 5" xfId="36165"/>
    <cellStyle name="Normal 2 3 2 2 3" xfId="36166"/>
    <cellStyle name="Normal 2 3 2 2 3 2" xfId="36167"/>
    <cellStyle name="Normal 2 3 2 2 3 2 2" xfId="36168"/>
    <cellStyle name="Normal 2 3 2 2 3 2 2 2" xfId="36169"/>
    <cellStyle name="Normal 2 3 2 2 3 2 2 3" xfId="36170"/>
    <cellStyle name="Normal 2 3 2 2 3 2 3" xfId="36171"/>
    <cellStyle name="Normal 2 3 2 2 3 2 3 2" xfId="36172"/>
    <cellStyle name="Normal 2 3 2 2 3 2 4" xfId="36173"/>
    <cellStyle name="Normal 2 3 2 2 3 2 5" xfId="36174"/>
    <cellStyle name="Normal 2 3 2 2 3 3" xfId="36175"/>
    <cellStyle name="Normal 2 3 2 2 3 3 2" xfId="36176"/>
    <cellStyle name="Normal 2 3 2 2 3 3 2 2" xfId="36177"/>
    <cellStyle name="Normal 2 3 2 2 3 3 3" xfId="36178"/>
    <cellStyle name="Normal 2 3 2 2 3 3 4" xfId="36179"/>
    <cellStyle name="Normal 2 3 2 2 3 4" xfId="36180"/>
    <cellStyle name="Normal 2 3 2 2 3 4 2" xfId="36181"/>
    <cellStyle name="Normal 2 3 2 2 3 4 2 2" xfId="36182"/>
    <cellStyle name="Normal 2 3 2 2 3 4 3" xfId="36183"/>
    <cellStyle name="Normal 2 3 2 2 3 4 4" xfId="36184"/>
    <cellStyle name="Normal 2 3 2 2 3 5" xfId="36185"/>
    <cellStyle name="Normal 2 3 2 2 3 5 2" xfId="36186"/>
    <cellStyle name="Normal 2 3 2 2 3 6" xfId="36187"/>
    <cellStyle name="Normal 2 3 2 2 3 7" xfId="36188"/>
    <cellStyle name="Normal 2 3 2 2 3 8" xfId="36189"/>
    <cellStyle name="Normal 2 3 2 2 4" xfId="36190"/>
    <cellStyle name="Normal 2 3 2 2 4 2" xfId="36191"/>
    <cellStyle name="Normal 2 3 2 2 4 2 2" xfId="36192"/>
    <cellStyle name="Normal 2 3 2 2 4 2 2 2" xfId="36193"/>
    <cellStyle name="Normal 2 3 2 2 4 2 2 3" xfId="36194"/>
    <cellStyle name="Normal 2 3 2 2 4 2 3" xfId="36195"/>
    <cellStyle name="Normal 2 3 2 2 4 2 3 2" xfId="36196"/>
    <cellStyle name="Normal 2 3 2 2 4 2 4" xfId="36197"/>
    <cellStyle name="Normal 2 3 2 2 4 2 5" xfId="36198"/>
    <cellStyle name="Normal 2 3 2 2 4 3" xfId="36199"/>
    <cellStyle name="Normal 2 3 2 2 4 3 2" xfId="36200"/>
    <cellStyle name="Normal 2 3 2 2 4 3 2 2" xfId="36201"/>
    <cellStyle name="Normal 2 3 2 2 4 3 3" xfId="36202"/>
    <cellStyle name="Normal 2 3 2 2 4 3 4" xfId="36203"/>
    <cellStyle name="Normal 2 3 2 2 4 4" xfId="36204"/>
    <cellStyle name="Normal 2 3 2 2 4 4 2" xfId="36205"/>
    <cellStyle name="Normal 2 3 2 2 4 4 2 2" xfId="36206"/>
    <cellStyle name="Normal 2 3 2 2 4 4 3" xfId="36207"/>
    <cellStyle name="Normal 2 3 2 2 4 4 4" xfId="36208"/>
    <cellStyle name="Normal 2 3 2 2 4 5" xfId="36209"/>
    <cellStyle name="Normal 2 3 2 2 4 5 2" xfId="36210"/>
    <cellStyle name="Normal 2 3 2 2 4 6" xfId="36211"/>
    <cellStyle name="Normal 2 3 2 2 4 7" xfId="36212"/>
    <cellStyle name="Normal 2 3 2 2 4 8" xfId="36213"/>
    <cellStyle name="Normal 2 3 2 2 5" xfId="36214"/>
    <cellStyle name="Normal 2 3 2 2 5 2" xfId="36215"/>
    <cellStyle name="Normal 2 3 2 2 5 2 2" xfId="36216"/>
    <cellStyle name="Normal 2 3 2 2 5 2 2 2" xfId="36217"/>
    <cellStyle name="Normal 2 3 2 2 5 2 2 3" xfId="36218"/>
    <cellStyle name="Normal 2 3 2 2 5 2 3" xfId="36219"/>
    <cellStyle name="Normal 2 3 2 2 5 2 3 2" xfId="36220"/>
    <cellStyle name="Normal 2 3 2 2 5 2 4" xfId="36221"/>
    <cellStyle name="Normal 2 3 2 2 5 2 5" xfId="36222"/>
    <cellStyle name="Normal 2 3 2 2 5 3" xfId="36223"/>
    <cellStyle name="Normal 2 3 2 2 5 3 2" xfId="36224"/>
    <cellStyle name="Normal 2 3 2 2 5 3 2 2" xfId="36225"/>
    <cellStyle name="Normal 2 3 2 2 5 3 3" xfId="36226"/>
    <cellStyle name="Normal 2 3 2 2 5 3 4" xfId="36227"/>
    <cellStyle name="Normal 2 3 2 2 5 4" xfId="36228"/>
    <cellStyle name="Normal 2 3 2 2 5 4 2" xfId="36229"/>
    <cellStyle name="Normal 2 3 2 2 5 4 2 2" xfId="36230"/>
    <cellStyle name="Normal 2 3 2 2 5 4 3" xfId="36231"/>
    <cellStyle name="Normal 2 3 2 2 5 4 4" xfId="36232"/>
    <cellStyle name="Normal 2 3 2 2 5 5" xfId="36233"/>
    <cellStyle name="Normal 2 3 2 2 5 5 2" xfId="36234"/>
    <cellStyle name="Normal 2 3 2 2 5 6" xfId="36235"/>
    <cellStyle name="Normal 2 3 2 2 5 7" xfId="36236"/>
    <cellStyle name="Normal 2 3 2 2 5 8" xfId="36237"/>
    <cellStyle name="Normal 2 3 2 2 6" xfId="36238"/>
    <cellStyle name="Normal 2 3 2 3" xfId="36239"/>
    <cellStyle name="Normal 2 3 2 3 2" xfId="36240"/>
    <cellStyle name="Normal 2 3 2 3 2 2" xfId="36241"/>
    <cellStyle name="Normal 2 3 2 3 2 2 2" xfId="36242"/>
    <cellStyle name="Normal 2 3 2 3 2 2 2 2" xfId="36243"/>
    <cellStyle name="Normal 2 3 2 3 2 2 2 3" xfId="36244"/>
    <cellStyle name="Normal 2 3 2 3 2 2 3" xfId="36245"/>
    <cellStyle name="Normal 2 3 2 3 2 2 3 2" xfId="36246"/>
    <cellStyle name="Normal 2 3 2 3 2 2 4" xfId="36247"/>
    <cellStyle name="Normal 2 3 2 3 2 2 5" xfId="36248"/>
    <cellStyle name="Normal 2 3 2 3 2 3" xfId="36249"/>
    <cellStyle name="Normal 2 3 2 3 2 3 2" xfId="36250"/>
    <cellStyle name="Normal 2 3 2 3 2 3 2 2" xfId="36251"/>
    <cellStyle name="Normal 2 3 2 3 2 3 3" xfId="36252"/>
    <cellStyle name="Normal 2 3 2 3 2 3 4" xfId="36253"/>
    <cellStyle name="Normal 2 3 2 3 2 4" xfId="36254"/>
    <cellStyle name="Normal 2 3 2 3 2 4 2" xfId="36255"/>
    <cellStyle name="Normal 2 3 2 3 2 4 2 2" xfId="36256"/>
    <cellStyle name="Normal 2 3 2 3 2 4 3" xfId="36257"/>
    <cellStyle name="Normal 2 3 2 3 2 4 4" xfId="36258"/>
    <cellStyle name="Normal 2 3 2 3 2 5" xfId="36259"/>
    <cellStyle name="Normal 2 3 2 3 2 5 2" xfId="36260"/>
    <cellStyle name="Normal 2 3 2 3 2 6" xfId="36261"/>
    <cellStyle name="Normal 2 3 2 3 2 7" xfId="36262"/>
    <cellStyle name="Normal 2 3 2 3 2 8" xfId="36263"/>
    <cellStyle name="Normal 2 3 2 3 3" xfId="36264"/>
    <cellStyle name="Normal 2 3 2 3 3 2" xfId="36265"/>
    <cellStyle name="Normal 2 3 2 3 3 2 2" xfId="36266"/>
    <cellStyle name="Normal 2 3 2 3 3 2 2 2" xfId="36267"/>
    <cellStyle name="Normal 2 3 2 3 3 2 2 3" xfId="36268"/>
    <cellStyle name="Normal 2 3 2 3 3 2 3" xfId="36269"/>
    <cellStyle name="Normal 2 3 2 3 3 2 3 2" xfId="36270"/>
    <cellStyle name="Normal 2 3 2 3 3 2 4" xfId="36271"/>
    <cellStyle name="Normal 2 3 2 3 3 2 5" xfId="36272"/>
    <cellStyle name="Normal 2 3 2 3 3 3" xfId="36273"/>
    <cellStyle name="Normal 2 3 2 3 3 3 2" xfId="36274"/>
    <cellStyle name="Normal 2 3 2 3 3 3 2 2" xfId="36275"/>
    <cellStyle name="Normal 2 3 2 3 3 3 3" xfId="36276"/>
    <cellStyle name="Normal 2 3 2 3 3 3 4" xfId="36277"/>
    <cellStyle name="Normal 2 3 2 3 3 4" xfId="36278"/>
    <cellStyle name="Normal 2 3 2 3 3 4 2" xfId="36279"/>
    <cellStyle name="Normal 2 3 2 3 3 4 2 2" xfId="36280"/>
    <cellStyle name="Normal 2 3 2 3 3 4 3" xfId="36281"/>
    <cellStyle name="Normal 2 3 2 3 3 4 4" xfId="36282"/>
    <cellStyle name="Normal 2 3 2 3 3 5" xfId="36283"/>
    <cellStyle name="Normal 2 3 2 3 3 5 2" xfId="36284"/>
    <cellStyle name="Normal 2 3 2 3 3 6" xfId="36285"/>
    <cellStyle name="Normal 2 3 2 3 3 7" xfId="36286"/>
    <cellStyle name="Normal 2 3 2 3 3 8" xfId="36287"/>
    <cellStyle name="Normal 2 3 2 3 4" xfId="36288"/>
    <cellStyle name="Normal 2 3 2 3 4 2" xfId="36289"/>
    <cellStyle name="Normal 2 3 2 3 4 2 2" xfId="36290"/>
    <cellStyle name="Normal 2 3 2 3 4 2 2 2" xfId="36291"/>
    <cellStyle name="Normal 2 3 2 3 4 2 2 3" xfId="36292"/>
    <cellStyle name="Normal 2 3 2 3 4 2 3" xfId="36293"/>
    <cellStyle name="Normal 2 3 2 3 4 2 3 2" xfId="36294"/>
    <cellStyle name="Normal 2 3 2 3 4 2 4" xfId="36295"/>
    <cellStyle name="Normal 2 3 2 3 4 2 5" xfId="36296"/>
    <cellStyle name="Normal 2 3 2 3 4 3" xfId="36297"/>
    <cellStyle name="Normal 2 3 2 3 4 3 2" xfId="36298"/>
    <cellStyle name="Normal 2 3 2 3 4 3 2 2" xfId="36299"/>
    <cellStyle name="Normal 2 3 2 3 4 3 3" xfId="36300"/>
    <cellStyle name="Normal 2 3 2 3 4 3 4" xfId="36301"/>
    <cellStyle name="Normal 2 3 2 3 4 4" xfId="36302"/>
    <cellStyle name="Normal 2 3 2 3 4 4 2" xfId="36303"/>
    <cellStyle name="Normal 2 3 2 3 4 4 2 2" xfId="36304"/>
    <cellStyle name="Normal 2 3 2 3 4 4 3" xfId="36305"/>
    <cellStyle name="Normal 2 3 2 3 4 4 4" xfId="36306"/>
    <cellStyle name="Normal 2 3 2 3 4 5" xfId="36307"/>
    <cellStyle name="Normal 2 3 2 3 4 5 2" xfId="36308"/>
    <cellStyle name="Normal 2 3 2 3 4 6" xfId="36309"/>
    <cellStyle name="Normal 2 3 2 3 4 7" xfId="36310"/>
    <cellStyle name="Normal 2 3 2 3 4 8" xfId="36311"/>
    <cellStyle name="Normal 2 3 2 3 5" xfId="36312"/>
    <cellStyle name="Normal 2 3 2 4" xfId="36313"/>
    <cellStyle name="Normal 2 3 2 4 2" xfId="36314"/>
    <cellStyle name="Normal 2 3 2 5" xfId="36315"/>
    <cellStyle name="Normal 2 3 2 5 2" xfId="36316"/>
    <cellStyle name="Normal 2 3 2 5 2 2" xfId="36317"/>
    <cellStyle name="Normal 2 3 2 5 2 2 2" xfId="36318"/>
    <cellStyle name="Normal 2 3 2 5 2 2 3" xfId="36319"/>
    <cellStyle name="Normal 2 3 2 5 2 3" xfId="36320"/>
    <cellStyle name="Normal 2 3 2 5 2 3 2" xfId="36321"/>
    <cellStyle name="Normal 2 3 2 5 2 4" xfId="36322"/>
    <cellStyle name="Normal 2 3 2 5 2 5" xfId="36323"/>
    <cellStyle name="Normal 2 3 2 5 3" xfId="36324"/>
    <cellStyle name="Normal 2 3 2 5 3 2" xfId="36325"/>
    <cellStyle name="Normal 2 3 2 5 3 2 2" xfId="36326"/>
    <cellStyle name="Normal 2 3 2 5 3 3" xfId="36327"/>
    <cellStyle name="Normal 2 3 2 5 3 4" xfId="36328"/>
    <cellStyle name="Normal 2 3 2 5 4" xfId="36329"/>
    <cellStyle name="Normal 2 3 2 5 4 2" xfId="36330"/>
    <cellStyle name="Normal 2 3 2 5 4 2 2" xfId="36331"/>
    <cellStyle name="Normal 2 3 2 5 4 3" xfId="36332"/>
    <cellStyle name="Normal 2 3 2 5 4 4" xfId="36333"/>
    <cellStyle name="Normal 2 3 2 5 5" xfId="36334"/>
    <cellStyle name="Normal 2 3 2 5 5 2" xfId="36335"/>
    <cellStyle name="Normal 2 3 2 5 6" xfId="36336"/>
    <cellStyle name="Normal 2 3 2 5 7" xfId="36337"/>
    <cellStyle name="Normal 2 3 2 5 8" xfId="36338"/>
    <cellStyle name="Normal 2 3 2 6" xfId="36339"/>
    <cellStyle name="Normal 2 3 2 6 2" xfId="36340"/>
    <cellStyle name="Normal 2 3 2 6 2 2" xfId="36341"/>
    <cellStyle name="Normal 2 3 2 6 2 2 2" xfId="36342"/>
    <cellStyle name="Normal 2 3 2 6 2 2 3" xfId="36343"/>
    <cellStyle name="Normal 2 3 2 6 2 3" xfId="36344"/>
    <cellStyle name="Normal 2 3 2 6 2 3 2" xfId="36345"/>
    <cellStyle name="Normal 2 3 2 6 2 4" xfId="36346"/>
    <cellStyle name="Normal 2 3 2 6 2 5" xfId="36347"/>
    <cellStyle name="Normal 2 3 2 6 3" xfId="36348"/>
    <cellStyle name="Normal 2 3 2 6 3 2" xfId="36349"/>
    <cellStyle name="Normal 2 3 2 6 3 2 2" xfId="36350"/>
    <cellStyle name="Normal 2 3 2 6 3 3" xfId="36351"/>
    <cellStyle name="Normal 2 3 2 6 3 4" xfId="36352"/>
    <cellStyle name="Normal 2 3 2 6 4" xfId="36353"/>
    <cellStyle name="Normal 2 3 2 6 4 2" xfId="36354"/>
    <cellStyle name="Normal 2 3 2 6 4 2 2" xfId="36355"/>
    <cellStyle name="Normal 2 3 2 6 4 3" xfId="36356"/>
    <cellStyle name="Normal 2 3 2 6 4 4" xfId="36357"/>
    <cellStyle name="Normal 2 3 2 6 5" xfId="36358"/>
    <cellStyle name="Normal 2 3 2 6 5 2" xfId="36359"/>
    <cellStyle name="Normal 2 3 2 6 6" xfId="36360"/>
    <cellStyle name="Normal 2 3 2 6 7" xfId="36361"/>
    <cellStyle name="Normal 2 3 2 6 8" xfId="36362"/>
    <cellStyle name="Normal 2 3 2 7" xfId="36363"/>
    <cellStyle name="Normal 2 3 2 7 2" xfId="36364"/>
    <cellStyle name="Normal 2 3 2 7 2 2" xfId="36365"/>
    <cellStyle name="Normal 2 3 2 7 2 2 2" xfId="36366"/>
    <cellStyle name="Normal 2 3 2 7 2 2 3" xfId="36367"/>
    <cellStyle name="Normal 2 3 2 7 2 3" xfId="36368"/>
    <cellStyle name="Normal 2 3 2 7 2 3 2" xfId="36369"/>
    <cellStyle name="Normal 2 3 2 7 2 4" xfId="36370"/>
    <cellStyle name="Normal 2 3 2 7 2 5" xfId="36371"/>
    <cellStyle name="Normal 2 3 2 7 3" xfId="36372"/>
    <cellStyle name="Normal 2 3 2 7 3 2" xfId="36373"/>
    <cellStyle name="Normal 2 3 2 7 3 2 2" xfId="36374"/>
    <cellStyle name="Normal 2 3 2 7 3 3" xfId="36375"/>
    <cellStyle name="Normal 2 3 2 7 3 4" xfId="36376"/>
    <cellStyle name="Normal 2 3 2 7 4" xfId="36377"/>
    <cellStyle name="Normal 2 3 2 7 4 2" xfId="36378"/>
    <cellStyle name="Normal 2 3 2 7 4 2 2" xfId="36379"/>
    <cellStyle name="Normal 2 3 2 7 4 3" xfId="36380"/>
    <cellStyle name="Normal 2 3 2 7 4 4" xfId="36381"/>
    <cellStyle name="Normal 2 3 2 7 5" xfId="36382"/>
    <cellStyle name="Normal 2 3 2 7 5 2" xfId="36383"/>
    <cellStyle name="Normal 2 3 2 7 6" xfId="36384"/>
    <cellStyle name="Normal 2 3 2 7 7" xfId="36385"/>
    <cellStyle name="Normal 2 3 2 7 8" xfId="36386"/>
    <cellStyle name="Normal 2 3 2 8" xfId="36387"/>
    <cellStyle name="Normal 2 3 3" xfId="36388"/>
    <cellStyle name="Normal 2 3 3 2" xfId="36389"/>
    <cellStyle name="Normal 2 3 3 2 2" xfId="36390"/>
    <cellStyle name="Normal 2 3 3 2 2 2" xfId="36391"/>
    <cellStyle name="Normal 2 3 3 2 2 2 2" xfId="36392"/>
    <cellStyle name="Normal 2 3 3 2 2 2 2 2" xfId="36393"/>
    <cellStyle name="Normal 2 3 3 2 2 2 2 3" xfId="36394"/>
    <cellStyle name="Normal 2 3 3 2 2 2 3" xfId="36395"/>
    <cellStyle name="Normal 2 3 3 2 2 2 3 2" xfId="36396"/>
    <cellStyle name="Normal 2 3 3 2 2 2 4" xfId="36397"/>
    <cellStyle name="Normal 2 3 3 2 2 2 5" xfId="36398"/>
    <cellStyle name="Normal 2 3 3 2 2 3" xfId="36399"/>
    <cellStyle name="Normal 2 3 3 2 2 3 2" xfId="36400"/>
    <cellStyle name="Normal 2 3 3 2 2 3 2 2" xfId="36401"/>
    <cellStyle name="Normal 2 3 3 2 2 3 3" xfId="36402"/>
    <cellStyle name="Normal 2 3 3 2 2 3 4" xfId="36403"/>
    <cellStyle name="Normal 2 3 3 2 2 4" xfId="36404"/>
    <cellStyle name="Normal 2 3 3 2 2 4 2" xfId="36405"/>
    <cellStyle name="Normal 2 3 3 2 2 4 2 2" xfId="36406"/>
    <cellStyle name="Normal 2 3 3 2 2 4 3" xfId="36407"/>
    <cellStyle name="Normal 2 3 3 2 2 4 4" xfId="36408"/>
    <cellStyle name="Normal 2 3 3 2 2 5" xfId="36409"/>
    <cellStyle name="Normal 2 3 3 2 2 5 2" xfId="36410"/>
    <cellStyle name="Normal 2 3 3 2 2 6" xfId="36411"/>
    <cellStyle name="Normal 2 3 3 2 2 7" xfId="36412"/>
    <cellStyle name="Normal 2 3 3 2 2 8" xfId="36413"/>
    <cellStyle name="Normal 2 3 3 2 3" xfId="36414"/>
    <cellStyle name="Normal 2 3 3 2 3 2" xfId="36415"/>
    <cellStyle name="Normal 2 3 3 2 3 2 2" xfId="36416"/>
    <cellStyle name="Normal 2 3 3 2 3 2 2 2" xfId="36417"/>
    <cellStyle name="Normal 2 3 3 2 3 2 2 3" xfId="36418"/>
    <cellStyle name="Normal 2 3 3 2 3 2 3" xfId="36419"/>
    <cellStyle name="Normal 2 3 3 2 3 2 3 2" xfId="36420"/>
    <cellStyle name="Normal 2 3 3 2 3 2 4" xfId="36421"/>
    <cellStyle name="Normal 2 3 3 2 3 2 5" xfId="36422"/>
    <cellStyle name="Normal 2 3 3 2 3 3" xfId="36423"/>
    <cellStyle name="Normal 2 3 3 2 3 3 2" xfId="36424"/>
    <cellStyle name="Normal 2 3 3 2 3 3 2 2" xfId="36425"/>
    <cellStyle name="Normal 2 3 3 2 3 3 3" xfId="36426"/>
    <cellStyle name="Normal 2 3 3 2 3 3 4" xfId="36427"/>
    <cellStyle name="Normal 2 3 3 2 3 4" xfId="36428"/>
    <cellStyle name="Normal 2 3 3 2 3 4 2" xfId="36429"/>
    <cellStyle name="Normal 2 3 3 2 3 4 2 2" xfId="36430"/>
    <cellStyle name="Normal 2 3 3 2 3 4 3" xfId="36431"/>
    <cellStyle name="Normal 2 3 3 2 3 4 4" xfId="36432"/>
    <cellStyle name="Normal 2 3 3 2 3 5" xfId="36433"/>
    <cellStyle name="Normal 2 3 3 2 3 5 2" xfId="36434"/>
    <cellStyle name="Normal 2 3 3 2 3 6" xfId="36435"/>
    <cellStyle name="Normal 2 3 3 2 3 7" xfId="36436"/>
    <cellStyle name="Normal 2 3 3 2 3 8" xfId="36437"/>
    <cellStyle name="Normal 2 3 3 2 4" xfId="36438"/>
    <cellStyle name="Normal 2 3 3 2 4 2" xfId="36439"/>
    <cellStyle name="Normal 2 3 3 2 4 2 2" xfId="36440"/>
    <cellStyle name="Normal 2 3 3 2 4 2 2 2" xfId="36441"/>
    <cellStyle name="Normal 2 3 3 2 4 2 2 3" xfId="36442"/>
    <cellStyle name="Normal 2 3 3 2 4 2 3" xfId="36443"/>
    <cellStyle name="Normal 2 3 3 2 4 2 3 2" xfId="36444"/>
    <cellStyle name="Normal 2 3 3 2 4 2 4" xfId="36445"/>
    <cellStyle name="Normal 2 3 3 2 4 2 5" xfId="36446"/>
    <cellStyle name="Normal 2 3 3 2 4 3" xfId="36447"/>
    <cellStyle name="Normal 2 3 3 2 4 3 2" xfId="36448"/>
    <cellStyle name="Normal 2 3 3 2 4 3 2 2" xfId="36449"/>
    <cellStyle name="Normal 2 3 3 2 4 3 3" xfId="36450"/>
    <cellStyle name="Normal 2 3 3 2 4 3 4" xfId="36451"/>
    <cellStyle name="Normal 2 3 3 2 4 4" xfId="36452"/>
    <cellStyle name="Normal 2 3 3 2 4 4 2" xfId="36453"/>
    <cellStyle name="Normal 2 3 3 2 4 4 2 2" xfId="36454"/>
    <cellStyle name="Normal 2 3 3 2 4 4 3" xfId="36455"/>
    <cellStyle name="Normal 2 3 3 2 4 4 4" xfId="36456"/>
    <cellStyle name="Normal 2 3 3 2 4 5" xfId="36457"/>
    <cellStyle name="Normal 2 3 3 2 4 5 2" xfId="36458"/>
    <cellStyle name="Normal 2 3 3 2 4 6" xfId="36459"/>
    <cellStyle name="Normal 2 3 3 2 4 7" xfId="36460"/>
    <cellStyle name="Normal 2 3 3 2 4 8" xfId="36461"/>
    <cellStyle name="Normal 2 3 3 2 5" xfId="36462"/>
    <cellStyle name="Normal 2 3 3 3" xfId="36463"/>
    <cellStyle name="Normal 2 3 3 3 2" xfId="36464"/>
    <cellStyle name="Normal 2 3 3 4" xfId="36465"/>
    <cellStyle name="Normal 2 3 3 4 2" xfId="36466"/>
    <cellStyle name="Normal 2 3 3 4 2 2" xfId="36467"/>
    <cellStyle name="Normal 2 3 3 4 2 2 2" xfId="36468"/>
    <cellStyle name="Normal 2 3 3 4 2 2 3" xfId="36469"/>
    <cellStyle name="Normal 2 3 3 4 2 3" xfId="36470"/>
    <cellStyle name="Normal 2 3 3 4 2 3 2" xfId="36471"/>
    <cellStyle name="Normal 2 3 3 4 2 4" xfId="36472"/>
    <cellStyle name="Normal 2 3 3 4 2 5" xfId="36473"/>
    <cellStyle name="Normal 2 3 3 4 3" xfId="36474"/>
    <cellStyle name="Normal 2 3 3 4 3 2" xfId="36475"/>
    <cellStyle name="Normal 2 3 3 4 3 2 2" xfId="36476"/>
    <cellStyle name="Normal 2 3 3 4 3 3" xfId="36477"/>
    <cellStyle name="Normal 2 3 3 4 3 4" xfId="36478"/>
    <cellStyle name="Normal 2 3 3 4 4" xfId="36479"/>
    <cellStyle name="Normal 2 3 3 4 4 2" xfId="36480"/>
    <cellStyle name="Normal 2 3 3 4 4 2 2" xfId="36481"/>
    <cellStyle name="Normal 2 3 3 4 4 3" xfId="36482"/>
    <cellStyle name="Normal 2 3 3 4 4 4" xfId="36483"/>
    <cellStyle name="Normal 2 3 3 4 5" xfId="36484"/>
    <cellStyle name="Normal 2 3 3 4 5 2" xfId="36485"/>
    <cellStyle name="Normal 2 3 3 4 6" xfId="36486"/>
    <cellStyle name="Normal 2 3 3 4 7" xfId="36487"/>
    <cellStyle name="Normal 2 3 3 4 8" xfId="36488"/>
    <cellStyle name="Normal 2 3 3 5" xfId="36489"/>
    <cellStyle name="Normal 2 3 3 5 2" xfId="36490"/>
    <cellStyle name="Normal 2 3 3 5 2 2" xfId="36491"/>
    <cellStyle name="Normal 2 3 3 5 2 2 2" xfId="36492"/>
    <cellStyle name="Normal 2 3 3 5 2 2 3" xfId="36493"/>
    <cellStyle name="Normal 2 3 3 5 2 3" xfId="36494"/>
    <cellStyle name="Normal 2 3 3 5 2 3 2" xfId="36495"/>
    <cellStyle name="Normal 2 3 3 5 2 4" xfId="36496"/>
    <cellStyle name="Normal 2 3 3 5 2 5" xfId="36497"/>
    <cellStyle name="Normal 2 3 3 5 3" xfId="36498"/>
    <cellStyle name="Normal 2 3 3 5 3 2" xfId="36499"/>
    <cellStyle name="Normal 2 3 3 5 3 2 2" xfId="36500"/>
    <cellStyle name="Normal 2 3 3 5 3 3" xfId="36501"/>
    <cellStyle name="Normal 2 3 3 5 3 4" xfId="36502"/>
    <cellStyle name="Normal 2 3 3 5 4" xfId="36503"/>
    <cellStyle name="Normal 2 3 3 5 4 2" xfId="36504"/>
    <cellStyle name="Normal 2 3 3 5 4 2 2" xfId="36505"/>
    <cellStyle name="Normal 2 3 3 5 4 3" xfId="36506"/>
    <cellStyle name="Normal 2 3 3 5 4 4" xfId="36507"/>
    <cellStyle name="Normal 2 3 3 5 5" xfId="36508"/>
    <cellStyle name="Normal 2 3 3 5 5 2" xfId="36509"/>
    <cellStyle name="Normal 2 3 3 5 6" xfId="36510"/>
    <cellStyle name="Normal 2 3 3 5 7" xfId="36511"/>
    <cellStyle name="Normal 2 3 3 5 8" xfId="36512"/>
    <cellStyle name="Normal 2 3 3 6" xfId="36513"/>
    <cellStyle name="Normal 2 3 3 6 2" xfId="36514"/>
    <cellStyle name="Normal 2 3 3 6 2 2" xfId="36515"/>
    <cellStyle name="Normal 2 3 3 6 2 2 2" xfId="36516"/>
    <cellStyle name="Normal 2 3 3 6 2 2 3" xfId="36517"/>
    <cellStyle name="Normal 2 3 3 6 2 3" xfId="36518"/>
    <cellStyle name="Normal 2 3 3 6 2 3 2" xfId="36519"/>
    <cellStyle name="Normal 2 3 3 6 2 4" xfId="36520"/>
    <cellStyle name="Normal 2 3 3 6 2 5" xfId="36521"/>
    <cellStyle name="Normal 2 3 3 6 3" xfId="36522"/>
    <cellStyle name="Normal 2 3 3 6 3 2" xfId="36523"/>
    <cellStyle name="Normal 2 3 3 6 3 2 2" xfId="36524"/>
    <cellStyle name="Normal 2 3 3 6 3 3" xfId="36525"/>
    <cellStyle name="Normal 2 3 3 6 3 4" xfId="36526"/>
    <cellStyle name="Normal 2 3 3 6 4" xfId="36527"/>
    <cellStyle name="Normal 2 3 3 6 4 2" xfId="36528"/>
    <cellStyle name="Normal 2 3 3 6 4 2 2" xfId="36529"/>
    <cellStyle name="Normal 2 3 3 6 4 3" xfId="36530"/>
    <cellStyle name="Normal 2 3 3 6 4 4" xfId="36531"/>
    <cellStyle name="Normal 2 3 3 6 5" xfId="36532"/>
    <cellStyle name="Normal 2 3 3 6 5 2" xfId="36533"/>
    <cellStyle name="Normal 2 3 3 6 6" xfId="36534"/>
    <cellStyle name="Normal 2 3 3 6 7" xfId="36535"/>
    <cellStyle name="Normal 2 3 3 6 8" xfId="36536"/>
    <cellStyle name="Normal 2 3 4" xfId="36537"/>
    <cellStyle name="Normal 2 3 4 2" xfId="36538"/>
    <cellStyle name="Normal 2 3 4 2 2" xfId="36539"/>
    <cellStyle name="Normal 2 3 4 3" xfId="36540"/>
    <cellStyle name="Normal 2 3 4 3 2" xfId="36541"/>
    <cellStyle name="Normal 2 3 4 3 2 2" xfId="36542"/>
    <cellStyle name="Normal 2 3 4 3 2 2 2" xfId="36543"/>
    <cellStyle name="Normal 2 3 4 3 2 2 3" xfId="36544"/>
    <cellStyle name="Normal 2 3 4 3 2 3" xfId="36545"/>
    <cellStyle name="Normal 2 3 4 3 2 3 2" xfId="36546"/>
    <cellStyle name="Normal 2 3 4 3 2 4" xfId="36547"/>
    <cellStyle name="Normal 2 3 4 3 2 5" xfId="36548"/>
    <cellStyle name="Normal 2 3 4 3 3" xfId="36549"/>
    <cellStyle name="Normal 2 3 4 3 3 2" xfId="36550"/>
    <cellStyle name="Normal 2 3 4 3 3 2 2" xfId="36551"/>
    <cellStyle name="Normal 2 3 4 3 3 3" xfId="36552"/>
    <cellStyle name="Normal 2 3 4 3 3 4" xfId="36553"/>
    <cellStyle name="Normal 2 3 4 3 4" xfId="36554"/>
    <cellStyle name="Normal 2 3 4 3 4 2" xfId="36555"/>
    <cellStyle name="Normal 2 3 4 3 4 2 2" xfId="36556"/>
    <cellStyle name="Normal 2 3 4 3 4 3" xfId="36557"/>
    <cellStyle name="Normal 2 3 4 3 4 4" xfId="36558"/>
    <cellStyle name="Normal 2 3 4 3 5" xfId="36559"/>
    <cellStyle name="Normal 2 3 4 3 5 2" xfId="36560"/>
    <cellStyle name="Normal 2 3 4 3 6" xfId="36561"/>
    <cellStyle name="Normal 2 3 4 3 7" xfId="36562"/>
    <cellStyle name="Normal 2 3 4 3 8" xfId="36563"/>
    <cellStyle name="Normal 2 3 4 4" xfId="36564"/>
    <cellStyle name="Normal 2 3 4 4 2" xfId="36565"/>
    <cellStyle name="Normal 2 3 4 4 2 2" xfId="36566"/>
    <cellStyle name="Normal 2 3 4 4 2 2 2" xfId="36567"/>
    <cellStyle name="Normal 2 3 4 4 2 2 3" xfId="36568"/>
    <cellStyle name="Normal 2 3 4 4 2 3" xfId="36569"/>
    <cellStyle name="Normal 2 3 4 4 2 3 2" xfId="36570"/>
    <cellStyle name="Normal 2 3 4 4 2 4" xfId="36571"/>
    <cellStyle name="Normal 2 3 4 4 2 5" xfId="36572"/>
    <cellStyle name="Normal 2 3 4 4 3" xfId="36573"/>
    <cellStyle name="Normal 2 3 4 4 3 2" xfId="36574"/>
    <cellStyle name="Normal 2 3 4 4 3 2 2" xfId="36575"/>
    <cellStyle name="Normal 2 3 4 4 3 3" xfId="36576"/>
    <cellStyle name="Normal 2 3 4 4 3 4" xfId="36577"/>
    <cellStyle name="Normal 2 3 4 4 4" xfId="36578"/>
    <cellStyle name="Normal 2 3 4 4 4 2" xfId="36579"/>
    <cellStyle name="Normal 2 3 4 4 4 2 2" xfId="36580"/>
    <cellStyle name="Normal 2 3 4 4 4 3" xfId="36581"/>
    <cellStyle name="Normal 2 3 4 4 4 4" xfId="36582"/>
    <cellStyle name="Normal 2 3 4 4 5" xfId="36583"/>
    <cellStyle name="Normal 2 3 4 4 5 2" xfId="36584"/>
    <cellStyle name="Normal 2 3 4 4 6" xfId="36585"/>
    <cellStyle name="Normal 2 3 4 4 7" xfId="36586"/>
    <cellStyle name="Normal 2 3 4 4 8" xfId="36587"/>
    <cellStyle name="Normal 2 3 4 5" xfId="36588"/>
    <cellStyle name="Normal 2 3 4 5 2" xfId="36589"/>
    <cellStyle name="Normal 2 3 4 5 2 2" xfId="36590"/>
    <cellStyle name="Normal 2 3 4 5 2 2 2" xfId="36591"/>
    <cellStyle name="Normal 2 3 4 5 2 2 3" xfId="36592"/>
    <cellStyle name="Normal 2 3 4 5 2 3" xfId="36593"/>
    <cellStyle name="Normal 2 3 4 5 2 3 2" xfId="36594"/>
    <cellStyle name="Normal 2 3 4 5 2 4" xfId="36595"/>
    <cellStyle name="Normal 2 3 4 5 2 5" xfId="36596"/>
    <cellStyle name="Normal 2 3 4 5 3" xfId="36597"/>
    <cellStyle name="Normal 2 3 4 5 3 2" xfId="36598"/>
    <cellStyle name="Normal 2 3 4 5 3 2 2" xfId="36599"/>
    <cellStyle name="Normal 2 3 4 5 3 3" xfId="36600"/>
    <cellStyle name="Normal 2 3 4 5 3 4" xfId="36601"/>
    <cellStyle name="Normal 2 3 4 5 4" xfId="36602"/>
    <cellStyle name="Normal 2 3 4 5 4 2" xfId="36603"/>
    <cellStyle name="Normal 2 3 4 5 4 2 2" xfId="36604"/>
    <cellStyle name="Normal 2 3 4 5 4 3" xfId="36605"/>
    <cellStyle name="Normal 2 3 4 5 4 4" xfId="36606"/>
    <cellStyle name="Normal 2 3 4 5 5" xfId="36607"/>
    <cellStyle name="Normal 2 3 4 5 5 2" xfId="36608"/>
    <cellStyle name="Normal 2 3 4 5 6" xfId="36609"/>
    <cellStyle name="Normal 2 3 4 5 7" xfId="36610"/>
    <cellStyle name="Normal 2 3 4 5 8" xfId="36611"/>
    <cellStyle name="Normal 2 3 5" xfId="36612"/>
    <cellStyle name="Normal 2 3 5 2" xfId="36613"/>
    <cellStyle name="Normal 2 3 6" xfId="36614"/>
    <cellStyle name="Normal 2 3 6 2" xfId="36615"/>
    <cellStyle name="Normal 2 3 7" xfId="36616"/>
    <cellStyle name="Normal 2 3 7 2" xfId="36617"/>
    <cellStyle name="Normal 2 3 8" xfId="36618"/>
    <cellStyle name="Normal 2 3 8 2" xfId="36619"/>
    <cellStyle name="Normal 2 3 9" xfId="36620"/>
    <cellStyle name="Normal 2 3 9 2" xfId="36621"/>
    <cellStyle name="Normal 2 4" xfId="36622"/>
    <cellStyle name="Normal 2 4 10" xfId="36623"/>
    <cellStyle name="Normal 2 4 10 2" xfId="36624"/>
    <cellStyle name="Normal 2 4 11" xfId="36625"/>
    <cellStyle name="Normal 2 4 11 2" xfId="36626"/>
    <cellStyle name="Normal 2 4 11 2 2" xfId="36627"/>
    <cellStyle name="Normal 2 4 11 2 2 2" xfId="36628"/>
    <cellStyle name="Normal 2 4 11 2 2 3" xfId="36629"/>
    <cellStyle name="Normal 2 4 11 2 3" xfId="36630"/>
    <cellStyle name="Normal 2 4 11 2 3 2" xfId="36631"/>
    <cellStyle name="Normal 2 4 11 2 4" xfId="36632"/>
    <cellStyle name="Normal 2 4 11 2 5" xfId="36633"/>
    <cellStyle name="Normal 2 4 11 3" xfId="36634"/>
    <cellStyle name="Normal 2 4 11 3 2" xfId="36635"/>
    <cellStyle name="Normal 2 4 11 3 2 2" xfId="36636"/>
    <cellStyle name="Normal 2 4 11 3 3" xfId="36637"/>
    <cellStyle name="Normal 2 4 11 3 4" xfId="36638"/>
    <cellStyle name="Normal 2 4 11 4" xfId="36639"/>
    <cellStyle name="Normal 2 4 11 4 2" xfId="36640"/>
    <cellStyle name="Normal 2 4 11 4 2 2" xfId="36641"/>
    <cellStyle name="Normal 2 4 11 4 3" xfId="36642"/>
    <cellStyle name="Normal 2 4 11 4 4" xfId="36643"/>
    <cellStyle name="Normal 2 4 11 5" xfId="36644"/>
    <cellStyle name="Normal 2 4 11 5 2" xfId="36645"/>
    <cellStyle name="Normal 2 4 11 6" xfId="36646"/>
    <cellStyle name="Normal 2 4 11 7" xfId="36647"/>
    <cellStyle name="Normal 2 4 11 8" xfId="36648"/>
    <cellStyle name="Normal 2 4 12" xfId="36649"/>
    <cellStyle name="Normal 2 4 12 2" xfId="36650"/>
    <cellStyle name="Normal 2 4 12 2 2" xfId="36651"/>
    <cellStyle name="Normal 2 4 12 2 2 2" xfId="36652"/>
    <cellStyle name="Normal 2 4 12 2 2 3" xfId="36653"/>
    <cellStyle name="Normal 2 4 12 2 3" xfId="36654"/>
    <cellStyle name="Normal 2 4 12 2 3 2" xfId="36655"/>
    <cellStyle name="Normal 2 4 12 2 4" xfId="36656"/>
    <cellStyle name="Normal 2 4 12 2 5" xfId="36657"/>
    <cellStyle name="Normal 2 4 12 3" xfId="36658"/>
    <cellStyle name="Normal 2 4 12 3 2" xfId="36659"/>
    <cellStyle name="Normal 2 4 12 3 2 2" xfId="36660"/>
    <cellStyle name="Normal 2 4 12 3 3" xfId="36661"/>
    <cellStyle name="Normal 2 4 12 3 4" xfId="36662"/>
    <cellStyle name="Normal 2 4 12 4" xfId="36663"/>
    <cellStyle name="Normal 2 4 12 4 2" xfId="36664"/>
    <cellStyle name="Normal 2 4 12 4 2 2" xfId="36665"/>
    <cellStyle name="Normal 2 4 12 4 3" xfId="36666"/>
    <cellStyle name="Normal 2 4 12 4 4" xfId="36667"/>
    <cellStyle name="Normal 2 4 12 5" xfId="36668"/>
    <cellStyle name="Normal 2 4 12 5 2" xfId="36669"/>
    <cellStyle name="Normal 2 4 12 6" xfId="36670"/>
    <cellStyle name="Normal 2 4 12 7" xfId="36671"/>
    <cellStyle name="Normal 2 4 12 8" xfId="36672"/>
    <cellStyle name="Normal 2 4 13" xfId="36673"/>
    <cellStyle name="Normal 2 4 13 2" xfId="36674"/>
    <cellStyle name="Normal 2 4 13 2 2" xfId="36675"/>
    <cellStyle name="Normal 2 4 13 2 2 2" xfId="36676"/>
    <cellStyle name="Normal 2 4 13 2 2 3" xfId="36677"/>
    <cellStyle name="Normal 2 4 13 2 3" xfId="36678"/>
    <cellStyle name="Normal 2 4 13 2 3 2" xfId="36679"/>
    <cellStyle name="Normal 2 4 13 2 4" xfId="36680"/>
    <cellStyle name="Normal 2 4 13 2 5" xfId="36681"/>
    <cellStyle name="Normal 2 4 13 3" xfId="36682"/>
    <cellStyle name="Normal 2 4 13 3 2" xfId="36683"/>
    <cellStyle name="Normal 2 4 13 3 2 2" xfId="36684"/>
    <cellStyle name="Normal 2 4 13 3 3" xfId="36685"/>
    <cellStyle name="Normal 2 4 13 3 4" xfId="36686"/>
    <cellStyle name="Normal 2 4 13 4" xfId="36687"/>
    <cellStyle name="Normal 2 4 13 4 2" xfId="36688"/>
    <cellStyle name="Normal 2 4 13 4 2 2" xfId="36689"/>
    <cellStyle name="Normal 2 4 13 4 3" xfId="36690"/>
    <cellStyle name="Normal 2 4 13 4 4" xfId="36691"/>
    <cellStyle name="Normal 2 4 13 5" xfId="36692"/>
    <cellStyle name="Normal 2 4 13 5 2" xfId="36693"/>
    <cellStyle name="Normal 2 4 13 6" xfId="36694"/>
    <cellStyle name="Normal 2 4 13 7" xfId="36695"/>
    <cellStyle name="Normal 2 4 13 8" xfId="36696"/>
    <cellStyle name="Normal 2 4 14" xfId="36697"/>
    <cellStyle name="Normal 2 4 15" xfId="36698"/>
    <cellStyle name="Normal 2 4 2" xfId="36699"/>
    <cellStyle name="Normal 2 4 2 2" xfId="36700"/>
    <cellStyle name="Normal 2 4 2 2 2" xfId="36701"/>
    <cellStyle name="Normal 2 4 2 2 2 2" xfId="36702"/>
    <cellStyle name="Normal 2 4 2 2 2 2 2" xfId="36703"/>
    <cellStyle name="Normal 2 4 2 2 2 2 2 2" xfId="36704"/>
    <cellStyle name="Normal 2 4 2 2 2 2 2 3" xfId="36705"/>
    <cellStyle name="Normal 2 4 2 2 2 2 3" xfId="36706"/>
    <cellStyle name="Normal 2 4 2 2 2 2 3 2" xfId="36707"/>
    <cellStyle name="Normal 2 4 2 2 2 2 4" xfId="36708"/>
    <cellStyle name="Normal 2 4 2 2 2 2 5" xfId="36709"/>
    <cellStyle name="Normal 2 4 2 2 2 3" xfId="36710"/>
    <cellStyle name="Normal 2 4 2 2 2 3 2" xfId="36711"/>
    <cellStyle name="Normal 2 4 2 2 2 3 2 2" xfId="36712"/>
    <cellStyle name="Normal 2 4 2 2 2 3 3" xfId="36713"/>
    <cellStyle name="Normal 2 4 2 2 2 3 4" xfId="36714"/>
    <cellStyle name="Normal 2 4 2 2 2 4" xfId="36715"/>
    <cellStyle name="Normal 2 4 2 2 2 4 2" xfId="36716"/>
    <cellStyle name="Normal 2 4 2 2 2 4 2 2" xfId="36717"/>
    <cellStyle name="Normal 2 4 2 2 2 4 3" xfId="36718"/>
    <cellStyle name="Normal 2 4 2 2 2 4 4" xfId="36719"/>
    <cellStyle name="Normal 2 4 2 2 2 5" xfId="36720"/>
    <cellStyle name="Normal 2 4 2 2 2 5 2" xfId="36721"/>
    <cellStyle name="Normal 2 4 2 2 2 6" xfId="36722"/>
    <cellStyle name="Normal 2 4 2 2 2 7" xfId="36723"/>
    <cellStyle name="Normal 2 4 2 2 2 8" xfId="36724"/>
    <cellStyle name="Normal 2 4 2 2 3" xfId="36725"/>
    <cellStyle name="Normal 2 4 2 2 3 2" xfId="36726"/>
    <cellStyle name="Normal 2 4 2 2 3 2 2" xfId="36727"/>
    <cellStyle name="Normal 2 4 2 2 3 2 2 2" xfId="36728"/>
    <cellStyle name="Normal 2 4 2 2 3 2 2 3" xfId="36729"/>
    <cellStyle name="Normal 2 4 2 2 3 2 3" xfId="36730"/>
    <cellStyle name="Normal 2 4 2 2 3 2 3 2" xfId="36731"/>
    <cellStyle name="Normal 2 4 2 2 3 2 4" xfId="36732"/>
    <cellStyle name="Normal 2 4 2 2 3 2 5" xfId="36733"/>
    <cellStyle name="Normal 2 4 2 2 3 3" xfId="36734"/>
    <cellStyle name="Normal 2 4 2 2 3 3 2" xfId="36735"/>
    <cellStyle name="Normal 2 4 2 2 3 3 2 2" xfId="36736"/>
    <cellStyle name="Normal 2 4 2 2 3 3 3" xfId="36737"/>
    <cellStyle name="Normal 2 4 2 2 3 3 4" xfId="36738"/>
    <cellStyle name="Normal 2 4 2 2 3 4" xfId="36739"/>
    <cellStyle name="Normal 2 4 2 2 3 4 2" xfId="36740"/>
    <cellStyle name="Normal 2 4 2 2 3 4 2 2" xfId="36741"/>
    <cellStyle name="Normal 2 4 2 2 3 4 3" xfId="36742"/>
    <cellStyle name="Normal 2 4 2 2 3 4 4" xfId="36743"/>
    <cellStyle name="Normal 2 4 2 2 3 5" xfId="36744"/>
    <cellStyle name="Normal 2 4 2 2 3 5 2" xfId="36745"/>
    <cellStyle name="Normal 2 4 2 2 3 6" xfId="36746"/>
    <cellStyle name="Normal 2 4 2 2 3 7" xfId="36747"/>
    <cellStyle name="Normal 2 4 2 2 3 8" xfId="36748"/>
    <cellStyle name="Normal 2 4 2 2 4" xfId="36749"/>
    <cellStyle name="Normal 2 4 2 2 4 2" xfId="36750"/>
    <cellStyle name="Normal 2 4 2 2 4 2 2" xfId="36751"/>
    <cellStyle name="Normal 2 4 2 2 4 2 2 2" xfId="36752"/>
    <cellStyle name="Normal 2 4 2 2 4 2 2 3" xfId="36753"/>
    <cellStyle name="Normal 2 4 2 2 4 2 3" xfId="36754"/>
    <cellStyle name="Normal 2 4 2 2 4 2 3 2" xfId="36755"/>
    <cellStyle name="Normal 2 4 2 2 4 2 4" xfId="36756"/>
    <cellStyle name="Normal 2 4 2 2 4 2 5" xfId="36757"/>
    <cellStyle name="Normal 2 4 2 2 4 3" xfId="36758"/>
    <cellStyle name="Normal 2 4 2 2 4 3 2" xfId="36759"/>
    <cellStyle name="Normal 2 4 2 2 4 3 2 2" xfId="36760"/>
    <cellStyle name="Normal 2 4 2 2 4 3 3" xfId="36761"/>
    <cellStyle name="Normal 2 4 2 2 4 3 4" xfId="36762"/>
    <cellStyle name="Normal 2 4 2 2 4 4" xfId="36763"/>
    <cellStyle name="Normal 2 4 2 2 4 4 2" xfId="36764"/>
    <cellStyle name="Normal 2 4 2 2 4 4 2 2" xfId="36765"/>
    <cellStyle name="Normal 2 4 2 2 4 4 3" xfId="36766"/>
    <cellStyle name="Normal 2 4 2 2 4 4 4" xfId="36767"/>
    <cellStyle name="Normal 2 4 2 2 4 5" xfId="36768"/>
    <cellStyle name="Normal 2 4 2 2 4 5 2" xfId="36769"/>
    <cellStyle name="Normal 2 4 2 2 4 6" xfId="36770"/>
    <cellStyle name="Normal 2 4 2 2 4 7" xfId="36771"/>
    <cellStyle name="Normal 2 4 2 2 4 8" xfId="36772"/>
    <cellStyle name="Normal 2 4 2 2 5" xfId="36773"/>
    <cellStyle name="Normal 2 4 2 2 6" xfId="36774"/>
    <cellStyle name="Normal 2 4 2 3" xfId="36775"/>
    <cellStyle name="Normal 2 4 2 3 2" xfId="36776"/>
    <cellStyle name="Normal 2 4 2 4" xfId="36777"/>
    <cellStyle name="Normal 2 4 2 4 2" xfId="36778"/>
    <cellStyle name="Normal 2 4 2 5" xfId="36779"/>
    <cellStyle name="Normal 2 4 2 5 2" xfId="36780"/>
    <cellStyle name="Normal 2 4 2 5 2 2" xfId="36781"/>
    <cellStyle name="Normal 2 4 2 5 2 2 2" xfId="36782"/>
    <cellStyle name="Normal 2 4 2 5 2 2 3" xfId="36783"/>
    <cellStyle name="Normal 2 4 2 5 2 3" xfId="36784"/>
    <cellStyle name="Normal 2 4 2 5 2 3 2" xfId="36785"/>
    <cellStyle name="Normal 2 4 2 5 2 4" xfId="36786"/>
    <cellStyle name="Normal 2 4 2 5 2 5" xfId="36787"/>
    <cellStyle name="Normal 2 4 2 5 3" xfId="36788"/>
    <cellStyle name="Normal 2 4 2 5 3 2" xfId="36789"/>
    <cellStyle name="Normal 2 4 2 5 3 2 2" xfId="36790"/>
    <cellStyle name="Normal 2 4 2 5 3 3" xfId="36791"/>
    <cellStyle name="Normal 2 4 2 5 3 4" xfId="36792"/>
    <cellStyle name="Normal 2 4 2 5 4" xfId="36793"/>
    <cellStyle name="Normal 2 4 2 5 4 2" xfId="36794"/>
    <cellStyle name="Normal 2 4 2 5 4 2 2" xfId="36795"/>
    <cellStyle name="Normal 2 4 2 5 4 3" xfId="36796"/>
    <cellStyle name="Normal 2 4 2 5 4 4" xfId="36797"/>
    <cellStyle name="Normal 2 4 2 5 5" xfId="36798"/>
    <cellStyle name="Normal 2 4 2 5 5 2" xfId="36799"/>
    <cellStyle name="Normal 2 4 2 5 6" xfId="36800"/>
    <cellStyle name="Normal 2 4 2 5 7" xfId="36801"/>
    <cellStyle name="Normal 2 4 2 5 8" xfId="36802"/>
    <cellStyle name="Normal 2 4 2 6" xfId="36803"/>
    <cellStyle name="Normal 2 4 2 6 2" xfId="36804"/>
    <cellStyle name="Normal 2 4 2 6 2 2" xfId="36805"/>
    <cellStyle name="Normal 2 4 2 6 2 2 2" xfId="36806"/>
    <cellStyle name="Normal 2 4 2 6 2 2 3" xfId="36807"/>
    <cellStyle name="Normal 2 4 2 6 2 3" xfId="36808"/>
    <cellStyle name="Normal 2 4 2 6 2 3 2" xfId="36809"/>
    <cellStyle name="Normal 2 4 2 6 2 4" xfId="36810"/>
    <cellStyle name="Normal 2 4 2 6 2 5" xfId="36811"/>
    <cellStyle name="Normal 2 4 2 6 3" xfId="36812"/>
    <cellStyle name="Normal 2 4 2 6 3 2" xfId="36813"/>
    <cellStyle name="Normal 2 4 2 6 3 2 2" xfId="36814"/>
    <cellStyle name="Normal 2 4 2 6 3 3" xfId="36815"/>
    <cellStyle name="Normal 2 4 2 6 3 4" xfId="36816"/>
    <cellStyle name="Normal 2 4 2 6 4" xfId="36817"/>
    <cellStyle name="Normal 2 4 2 6 4 2" xfId="36818"/>
    <cellStyle name="Normal 2 4 2 6 4 2 2" xfId="36819"/>
    <cellStyle name="Normal 2 4 2 6 4 3" xfId="36820"/>
    <cellStyle name="Normal 2 4 2 6 4 4" xfId="36821"/>
    <cellStyle name="Normal 2 4 2 6 5" xfId="36822"/>
    <cellStyle name="Normal 2 4 2 6 5 2" xfId="36823"/>
    <cellStyle name="Normal 2 4 2 6 6" xfId="36824"/>
    <cellStyle name="Normal 2 4 2 6 7" xfId="36825"/>
    <cellStyle name="Normal 2 4 2 6 8" xfId="36826"/>
    <cellStyle name="Normal 2 4 2 7" xfId="36827"/>
    <cellStyle name="Normal 2 4 2 7 2" xfId="36828"/>
    <cellStyle name="Normal 2 4 2 7 2 2" xfId="36829"/>
    <cellStyle name="Normal 2 4 2 7 2 2 2" xfId="36830"/>
    <cellStyle name="Normal 2 4 2 7 2 2 3" xfId="36831"/>
    <cellStyle name="Normal 2 4 2 7 2 3" xfId="36832"/>
    <cellStyle name="Normal 2 4 2 7 2 3 2" xfId="36833"/>
    <cellStyle name="Normal 2 4 2 7 2 4" xfId="36834"/>
    <cellStyle name="Normal 2 4 2 7 2 5" xfId="36835"/>
    <cellStyle name="Normal 2 4 2 7 3" xfId="36836"/>
    <cellStyle name="Normal 2 4 2 7 3 2" xfId="36837"/>
    <cellStyle name="Normal 2 4 2 7 3 2 2" xfId="36838"/>
    <cellStyle name="Normal 2 4 2 7 3 3" xfId="36839"/>
    <cellStyle name="Normal 2 4 2 7 3 4" xfId="36840"/>
    <cellStyle name="Normal 2 4 2 7 4" xfId="36841"/>
    <cellStyle name="Normal 2 4 2 7 4 2" xfId="36842"/>
    <cellStyle name="Normal 2 4 2 7 4 2 2" xfId="36843"/>
    <cellStyle name="Normal 2 4 2 7 4 3" xfId="36844"/>
    <cellStyle name="Normal 2 4 2 7 4 4" xfId="36845"/>
    <cellStyle name="Normal 2 4 2 7 5" xfId="36846"/>
    <cellStyle name="Normal 2 4 2 7 5 2" xfId="36847"/>
    <cellStyle name="Normal 2 4 2 7 6" xfId="36848"/>
    <cellStyle name="Normal 2 4 2 7 7" xfId="36849"/>
    <cellStyle name="Normal 2 4 2 7 8" xfId="36850"/>
    <cellStyle name="Normal 2 4 2 8" xfId="36851"/>
    <cellStyle name="Normal 2 4 2 9" xfId="36852"/>
    <cellStyle name="Normal 2 4 3" xfId="36853"/>
    <cellStyle name="Normal 2 4 3 2" xfId="36854"/>
    <cellStyle name="Normal 2 4 3 2 2" xfId="36855"/>
    <cellStyle name="Normal 2 4 3 2 2 2" xfId="36856"/>
    <cellStyle name="Normal 2 4 3 3" xfId="36857"/>
    <cellStyle name="Normal 2 4 3 3 2" xfId="36858"/>
    <cellStyle name="Normal 2 4 3 3 3" xfId="36859"/>
    <cellStyle name="Normal 2 4 3 4" xfId="36860"/>
    <cellStyle name="Normal 2 4 3 4 2" xfId="36861"/>
    <cellStyle name="Normal 2 4 3 4 2 2" xfId="36862"/>
    <cellStyle name="Normal 2 4 3 4 2 2 2" xfId="36863"/>
    <cellStyle name="Normal 2 4 3 4 2 2 3" xfId="36864"/>
    <cellStyle name="Normal 2 4 3 4 2 3" xfId="36865"/>
    <cellStyle name="Normal 2 4 3 4 2 3 2" xfId="36866"/>
    <cellStyle name="Normal 2 4 3 4 2 4" xfId="36867"/>
    <cellStyle name="Normal 2 4 3 4 2 5" xfId="36868"/>
    <cellStyle name="Normal 2 4 3 4 3" xfId="36869"/>
    <cellStyle name="Normal 2 4 3 4 3 2" xfId="36870"/>
    <cellStyle name="Normal 2 4 3 4 3 2 2" xfId="36871"/>
    <cellStyle name="Normal 2 4 3 4 3 3" xfId="36872"/>
    <cellStyle name="Normal 2 4 3 4 3 4" xfId="36873"/>
    <cellStyle name="Normal 2 4 3 4 4" xfId="36874"/>
    <cellStyle name="Normal 2 4 3 4 4 2" xfId="36875"/>
    <cellStyle name="Normal 2 4 3 4 4 2 2" xfId="36876"/>
    <cellStyle name="Normal 2 4 3 4 4 3" xfId="36877"/>
    <cellStyle name="Normal 2 4 3 4 4 4" xfId="36878"/>
    <cellStyle name="Normal 2 4 3 4 5" xfId="36879"/>
    <cellStyle name="Normal 2 4 3 4 5 2" xfId="36880"/>
    <cellStyle name="Normal 2 4 3 4 6" xfId="36881"/>
    <cellStyle name="Normal 2 4 3 4 7" xfId="36882"/>
    <cellStyle name="Normal 2 4 3 4 8" xfId="36883"/>
    <cellStyle name="Normal 2 4 3 5" xfId="36884"/>
    <cellStyle name="Normal 2 4 3 5 2" xfId="36885"/>
    <cellStyle name="Normal 2 4 3 5 2 2" xfId="36886"/>
    <cellStyle name="Normal 2 4 3 5 2 2 2" xfId="36887"/>
    <cellStyle name="Normal 2 4 3 5 2 2 3" xfId="36888"/>
    <cellStyle name="Normal 2 4 3 5 2 3" xfId="36889"/>
    <cellStyle name="Normal 2 4 3 5 2 3 2" xfId="36890"/>
    <cellStyle name="Normal 2 4 3 5 2 4" xfId="36891"/>
    <cellStyle name="Normal 2 4 3 5 2 5" xfId="36892"/>
    <cellStyle name="Normal 2 4 3 5 3" xfId="36893"/>
    <cellStyle name="Normal 2 4 3 5 3 2" xfId="36894"/>
    <cellStyle name="Normal 2 4 3 5 3 2 2" xfId="36895"/>
    <cellStyle name="Normal 2 4 3 5 3 3" xfId="36896"/>
    <cellStyle name="Normal 2 4 3 5 3 4" xfId="36897"/>
    <cellStyle name="Normal 2 4 3 5 4" xfId="36898"/>
    <cellStyle name="Normal 2 4 3 5 4 2" xfId="36899"/>
    <cellStyle name="Normal 2 4 3 5 4 2 2" xfId="36900"/>
    <cellStyle name="Normal 2 4 3 5 4 3" xfId="36901"/>
    <cellStyle name="Normal 2 4 3 5 4 4" xfId="36902"/>
    <cellStyle name="Normal 2 4 3 5 5" xfId="36903"/>
    <cellStyle name="Normal 2 4 3 5 5 2" xfId="36904"/>
    <cellStyle name="Normal 2 4 3 5 6" xfId="36905"/>
    <cellStyle name="Normal 2 4 3 5 7" xfId="36906"/>
    <cellStyle name="Normal 2 4 3 5 8" xfId="36907"/>
    <cellStyle name="Normal 2 4 3 6" xfId="36908"/>
    <cellStyle name="Normal 2 4 3 6 2" xfId="36909"/>
    <cellStyle name="Normal 2 4 3 6 2 2" xfId="36910"/>
    <cellStyle name="Normal 2 4 3 6 2 2 2" xfId="36911"/>
    <cellStyle name="Normal 2 4 3 6 2 2 3" xfId="36912"/>
    <cellStyle name="Normal 2 4 3 6 2 3" xfId="36913"/>
    <cellStyle name="Normal 2 4 3 6 2 3 2" xfId="36914"/>
    <cellStyle name="Normal 2 4 3 6 2 4" xfId="36915"/>
    <cellStyle name="Normal 2 4 3 6 2 5" xfId="36916"/>
    <cellStyle name="Normal 2 4 3 6 3" xfId="36917"/>
    <cellStyle name="Normal 2 4 3 6 3 2" xfId="36918"/>
    <cellStyle name="Normal 2 4 3 6 3 2 2" xfId="36919"/>
    <cellStyle name="Normal 2 4 3 6 3 3" xfId="36920"/>
    <cellStyle name="Normal 2 4 3 6 3 4" xfId="36921"/>
    <cellStyle name="Normal 2 4 3 6 4" xfId="36922"/>
    <cellStyle name="Normal 2 4 3 6 4 2" xfId="36923"/>
    <cellStyle name="Normal 2 4 3 6 4 2 2" xfId="36924"/>
    <cellStyle name="Normal 2 4 3 6 4 3" xfId="36925"/>
    <cellStyle name="Normal 2 4 3 6 4 4" xfId="36926"/>
    <cellStyle name="Normal 2 4 3 6 5" xfId="36927"/>
    <cellStyle name="Normal 2 4 3 6 5 2" xfId="36928"/>
    <cellStyle name="Normal 2 4 3 6 6" xfId="36929"/>
    <cellStyle name="Normal 2 4 3 6 7" xfId="36930"/>
    <cellStyle name="Normal 2 4 3 6 8" xfId="36931"/>
    <cellStyle name="Normal 2 4 3 7" xfId="36932"/>
    <cellStyle name="Normal 2 4 3_Dakota Panel" xfId="36933"/>
    <cellStyle name="Normal 2 4 4" xfId="36934"/>
    <cellStyle name="Normal 2 4 4 2" xfId="36935"/>
    <cellStyle name="Normal 2 4 5" xfId="36936"/>
    <cellStyle name="Normal 2 4 5 2" xfId="36937"/>
    <cellStyle name="Normal 2 4 6" xfId="36938"/>
    <cellStyle name="Normal 2 4 6 2" xfId="36939"/>
    <cellStyle name="Normal 2 4 7" xfId="36940"/>
    <cellStyle name="Normal 2 4 7 2" xfId="36941"/>
    <cellStyle name="Normal 2 4 8" xfId="36942"/>
    <cellStyle name="Normal 2 4 8 2" xfId="36943"/>
    <cellStyle name="Normal 2 4 9" xfId="36944"/>
    <cellStyle name="Normal 2 4 9 2" xfId="36945"/>
    <cellStyle name="Normal 2 5" xfId="36946"/>
    <cellStyle name="Normal 2 5 10" xfId="36947"/>
    <cellStyle name="Normal 2 5 10 2" xfId="36948"/>
    <cellStyle name="Normal 2 5 11" xfId="36949"/>
    <cellStyle name="Normal 2 5 11 2" xfId="36950"/>
    <cellStyle name="Normal 2 5 11 2 2" xfId="36951"/>
    <cellStyle name="Normal 2 5 11 2 2 2" xfId="36952"/>
    <cellStyle name="Normal 2 5 11 2 2 3" xfId="36953"/>
    <cellStyle name="Normal 2 5 11 2 3" xfId="36954"/>
    <cellStyle name="Normal 2 5 11 2 3 2" xfId="36955"/>
    <cellStyle name="Normal 2 5 11 2 4" xfId="36956"/>
    <cellStyle name="Normal 2 5 11 2 5" xfId="36957"/>
    <cellStyle name="Normal 2 5 11 3" xfId="36958"/>
    <cellStyle name="Normal 2 5 11 3 2" xfId="36959"/>
    <cellStyle name="Normal 2 5 11 3 2 2" xfId="36960"/>
    <cellStyle name="Normal 2 5 11 3 3" xfId="36961"/>
    <cellStyle name="Normal 2 5 11 3 4" xfId="36962"/>
    <cellStyle name="Normal 2 5 11 4" xfId="36963"/>
    <cellStyle name="Normal 2 5 11 4 2" xfId="36964"/>
    <cellStyle name="Normal 2 5 11 4 2 2" xfId="36965"/>
    <cellStyle name="Normal 2 5 11 4 3" xfId="36966"/>
    <cellStyle name="Normal 2 5 11 4 4" xfId="36967"/>
    <cellStyle name="Normal 2 5 11 5" xfId="36968"/>
    <cellStyle name="Normal 2 5 11 5 2" xfId="36969"/>
    <cellStyle name="Normal 2 5 11 6" xfId="36970"/>
    <cellStyle name="Normal 2 5 11 7" xfId="36971"/>
    <cellStyle name="Normal 2 5 11 8" xfId="36972"/>
    <cellStyle name="Normal 2 5 12" xfId="36973"/>
    <cellStyle name="Normal 2 5 12 2" xfId="36974"/>
    <cellStyle name="Normal 2 5 12 2 2" xfId="36975"/>
    <cellStyle name="Normal 2 5 12 2 2 2" xfId="36976"/>
    <cellStyle name="Normal 2 5 12 2 2 3" xfId="36977"/>
    <cellStyle name="Normal 2 5 12 2 3" xfId="36978"/>
    <cellStyle name="Normal 2 5 12 2 3 2" xfId="36979"/>
    <cellStyle name="Normal 2 5 12 2 4" xfId="36980"/>
    <cellStyle name="Normal 2 5 12 2 5" xfId="36981"/>
    <cellStyle name="Normal 2 5 12 3" xfId="36982"/>
    <cellStyle name="Normal 2 5 12 3 2" xfId="36983"/>
    <cellStyle name="Normal 2 5 12 3 2 2" xfId="36984"/>
    <cellStyle name="Normal 2 5 12 3 3" xfId="36985"/>
    <cellStyle name="Normal 2 5 12 3 4" xfId="36986"/>
    <cellStyle name="Normal 2 5 12 4" xfId="36987"/>
    <cellStyle name="Normal 2 5 12 4 2" xfId="36988"/>
    <cellStyle name="Normal 2 5 12 4 2 2" xfId="36989"/>
    <cellStyle name="Normal 2 5 12 4 3" xfId="36990"/>
    <cellStyle name="Normal 2 5 12 4 4" xfId="36991"/>
    <cellStyle name="Normal 2 5 12 5" xfId="36992"/>
    <cellStyle name="Normal 2 5 12 5 2" xfId="36993"/>
    <cellStyle name="Normal 2 5 12 6" xfId="36994"/>
    <cellStyle name="Normal 2 5 12 7" xfId="36995"/>
    <cellStyle name="Normal 2 5 12 8" xfId="36996"/>
    <cellStyle name="Normal 2 5 13" xfId="36997"/>
    <cellStyle name="Normal 2 5 13 2" xfId="36998"/>
    <cellStyle name="Normal 2 5 13 2 2" xfId="36999"/>
    <cellStyle name="Normal 2 5 13 2 2 2" xfId="37000"/>
    <cellStyle name="Normal 2 5 13 2 2 3" xfId="37001"/>
    <cellStyle name="Normal 2 5 13 2 3" xfId="37002"/>
    <cellStyle name="Normal 2 5 13 2 3 2" xfId="37003"/>
    <cellStyle name="Normal 2 5 13 2 4" xfId="37004"/>
    <cellStyle name="Normal 2 5 13 2 5" xfId="37005"/>
    <cellStyle name="Normal 2 5 13 3" xfId="37006"/>
    <cellStyle name="Normal 2 5 13 3 2" xfId="37007"/>
    <cellStyle name="Normal 2 5 13 3 2 2" xfId="37008"/>
    <cellStyle name="Normal 2 5 13 3 3" xfId="37009"/>
    <cellStyle name="Normal 2 5 13 3 4" xfId="37010"/>
    <cellStyle name="Normal 2 5 13 4" xfId="37011"/>
    <cellStyle name="Normal 2 5 13 4 2" xfId="37012"/>
    <cellStyle name="Normal 2 5 13 4 2 2" xfId="37013"/>
    <cellStyle name="Normal 2 5 13 4 3" xfId="37014"/>
    <cellStyle name="Normal 2 5 13 4 4" xfId="37015"/>
    <cellStyle name="Normal 2 5 13 5" xfId="37016"/>
    <cellStyle name="Normal 2 5 13 5 2" xfId="37017"/>
    <cellStyle name="Normal 2 5 13 6" xfId="37018"/>
    <cellStyle name="Normal 2 5 13 7" xfId="37019"/>
    <cellStyle name="Normal 2 5 13 8" xfId="37020"/>
    <cellStyle name="Normal 2 5 14" xfId="37021"/>
    <cellStyle name="Normal 2 5 15" xfId="37022"/>
    <cellStyle name="Normal 2 5 2" xfId="37023"/>
    <cellStyle name="Normal 2 5 2 2" xfId="37024"/>
    <cellStyle name="Normal 2 5 2 2 2" xfId="37025"/>
    <cellStyle name="Normal 2 5 2 3" xfId="37026"/>
    <cellStyle name="Normal 2 5 2 3 2" xfId="37027"/>
    <cellStyle name="Normal 2 5 2 3 2 2" xfId="37028"/>
    <cellStyle name="Normal 2 5 2 3 2 2 2" xfId="37029"/>
    <cellStyle name="Normal 2 5 2 3 2 2 3" xfId="37030"/>
    <cellStyle name="Normal 2 5 2 3 2 3" xfId="37031"/>
    <cellStyle name="Normal 2 5 2 3 2 3 2" xfId="37032"/>
    <cellStyle name="Normal 2 5 2 3 2 4" xfId="37033"/>
    <cellStyle name="Normal 2 5 2 3 2 5" xfId="37034"/>
    <cellStyle name="Normal 2 5 2 3 3" xfId="37035"/>
    <cellStyle name="Normal 2 5 2 3 3 2" xfId="37036"/>
    <cellStyle name="Normal 2 5 2 3 3 2 2" xfId="37037"/>
    <cellStyle name="Normal 2 5 2 3 3 3" xfId="37038"/>
    <cellStyle name="Normal 2 5 2 3 3 4" xfId="37039"/>
    <cellStyle name="Normal 2 5 2 3 4" xfId="37040"/>
    <cellStyle name="Normal 2 5 2 3 4 2" xfId="37041"/>
    <cellStyle name="Normal 2 5 2 3 4 2 2" xfId="37042"/>
    <cellStyle name="Normal 2 5 2 3 4 3" xfId="37043"/>
    <cellStyle name="Normal 2 5 2 3 4 4" xfId="37044"/>
    <cellStyle name="Normal 2 5 2 3 5" xfId="37045"/>
    <cellStyle name="Normal 2 5 2 3 5 2" xfId="37046"/>
    <cellStyle name="Normal 2 5 2 3 6" xfId="37047"/>
    <cellStyle name="Normal 2 5 2 3 7" xfId="37048"/>
    <cellStyle name="Normal 2 5 2 3 8" xfId="37049"/>
    <cellStyle name="Normal 2 5 2 4" xfId="37050"/>
    <cellStyle name="Normal 2 5 2 4 2" xfId="37051"/>
    <cellStyle name="Normal 2 5 2 4 2 2" xfId="37052"/>
    <cellStyle name="Normal 2 5 2 4 2 2 2" xfId="37053"/>
    <cellStyle name="Normal 2 5 2 4 2 2 3" xfId="37054"/>
    <cellStyle name="Normal 2 5 2 4 2 3" xfId="37055"/>
    <cellStyle name="Normal 2 5 2 4 2 3 2" xfId="37056"/>
    <cellStyle name="Normal 2 5 2 4 2 4" xfId="37057"/>
    <cellStyle name="Normal 2 5 2 4 2 5" xfId="37058"/>
    <cellStyle name="Normal 2 5 2 4 3" xfId="37059"/>
    <cellStyle name="Normal 2 5 2 4 3 2" xfId="37060"/>
    <cellStyle name="Normal 2 5 2 4 3 2 2" xfId="37061"/>
    <cellStyle name="Normal 2 5 2 4 3 3" xfId="37062"/>
    <cellStyle name="Normal 2 5 2 4 3 4" xfId="37063"/>
    <cellStyle name="Normal 2 5 2 4 4" xfId="37064"/>
    <cellStyle name="Normal 2 5 2 4 4 2" xfId="37065"/>
    <cellStyle name="Normal 2 5 2 4 4 2 2" xfId="37066"/>
    <cellStyle name="Normal 2 5 2 4 4 3" xfId="37067"/>
    <cellStyle name="Normal 2 5 2 4 4 4" xfId="37068"/>
    <cellStyle name="Normal 2 5 2 4 5" xfId="37069"/>
    <cellStyle name="Normal 2 5 2 4 5 2" xfId="37070"/>
    <cellStyle name="Normal 2 5 2 4 6" xfId="37071"/>
    <cellStyle name="Normal 2 5 2 4 7" xfId="37072"/>
    <cellStyle name="Normal 2 5 2 4 8" xfId="37073"/>
    <cellStyle name="Normal 2 5 2 5" xfId="37074"/>
    <cellStyle name="Normal 2 5 2 5 2" xfId="37075"/>
    <cellStyle name="Normal 2 5 2 5 2 2" xfId="37076"/>
    <cellStyle name="Normal 2 5 2 5 2 2 2" xfId="37077"/>
    <cellStyle name="Normal 2 5 2 5 2 2 3" xfId="37078"/>
    <cellStyle name="Normal 2 5 2 5 2 3" xfId="37079"/>
    <cellStyle name="Normal 2 5 2 5 2 3 2" xfId="37080"/>
    <cellStyle name="Normal 2 5 2 5 2 4" xfId="37081"/>
    <cellStyle name="Normal 2 5 2 5 2 5" xfId="37082"/>
    <cellStyle name="Normal 2 5 2 5 3" xfId="37083"/>
    <cellStyle name="Normal 2 5 2 5 3 2" xfId="37084"/>
    <cellStyle name="Normal 2 5 2 5 3 2 2" xfId="37085"/>
    <cellStyle name="Normal 2 5 2 5 3 3" xfId="37086"/>
    <cellStyle name="Normal 2 5 2 5 3 4" xfId="37087"/>
    <cellStyle name="Normal 2 5 2 5 4" xfId="37088"/>
    <cellStyle name="Normal 2 5 2 5 4 2" xfId="37089"/>
    <cellStyle name="Normal 2 5 2 5 4 2 2" xfId="37090"/>
    <cellStyle name="Normal 2 5 2 5 4 3" xfId="37091"/>
    <cellStyle name="Normal 2 5 2 5 4 4" xfId="37092"/>
    <cellStyle name="Normal 2 5 2 5 5" xfId="37093"/>
    <cellStyle name="Normal 2 5 2 5 5 2" xfId="37094"/>
    <cellStyle name="Normal 2 5 2 5 6" xfId="37095"/>
    <cellStyle name="Normal 2 5 2 5 7" xfId="37096"/>
    <cellStyle name="Normal 2 5 2 5 8" xfId="37097"/>
    <cellStyle name="Normal 2 5 3" xfId="37098"/>
    <cellStyle name="Normal 2 5 3 2" xfId="37099"/>
    <cellStyle name="Normal 2 5 4" xfId="37100"/>
    <cellStyle name="Normal 2 5 4 2" xfId="37101"/>
    <cellStyle name="Normal 2 5 5" xfId="37102"/>
    <cellStyle name="Normal 2 5 5 2" xfId="37103"/>
    <cellStyle name="Normal 2 5 6" xfId="37104"/>
    <cellStyle name="Normal 2 5 6 2" xfId="37105"/>
    <cellStyle name="Normal 2 5 7" xfId="37106"/>
    <cellStyle name="Normal 2 5 7 2" xfId="37107"/>
    <cellStyle name="Normal 2 5 8" xfId="37108"/>
    <cellStyle name="Normal 2 5 8 2" xfId="37109"/>
    <cellStyle name="Normal 2 5 9" xfId="37110"/>
    <cellStyle name="Normal 2 5 9 2" xfId="37111"/>
    <cellStyle name="Normal 2 6" xfId="37112"/>
    <cellStyle name="Normal 2 6 10" xfId="37113"/>
    <cellStyle name="Normal 2 6 10 2" xfId="37114"/>
    <cellStyle name="Normal 2 6 11" xfId="37115"/>
    <cellStyle name="Normal 2 6 11 2" xfId="37116"/>
    <cellStyle name="Normal 2 6 11 2 2" xfId="37117"/>
    <cellStyle name="Normal 2 6 11 2 2 2" xfId="37118"/>
    <cellStyle name="Normal 2 6 11 2 2 3" xfId="37119"/>
    <cellStyle name="Normal 2 6 11 2 3" xfId="37120"/>
    <cellStyle name="Normal 2 6 11 2 3 2" xfId="37121"/>
    <cellStyle name="Normal 2 6 11 2 4" xfId="37122"/>
    <cellStyle name="Normal 2 6 11 2 5" xfId="37123"/>
    <cellStyle name="Normal 2 6 11 3" xfId="37124"/>
    <cellStyle name="Normal 2 6 11 3 2" xfId="37125"/>
    <cellStyle name="Normal 2 6 11 3 2 2" xfId="37126"/>
    <cellStyle name="Normal 2 6 11 3 3" xfId="37127"/>
    <cellStyle name="Normal 2 6 11 3 4" xfId="37128"/>
    <cellStyle name="Normal 2 6 11 4" xfId="37129"/>
    <cellStyle name="Normal 2 6 11 4 2" xfId="37130"/>
    <cellStyle name="Normal 2 6 11 4 2 2" xfId="37131"/>
    <cellStyle name="Normal 2 6 11 4 3" xfId="37132"/>
    <cellStyle name="Normal 2 6 11 4 4" xfId="37133"/>
    <cellStyle name="Normal 2 6 11 5" xfId="37134"/>
    <cellStyle name="Normal 2 6 11 5 2" xfId="37135"/>
    <cellStyle name="Normal 2 6 11 6" xfId="37136"/>
    <cellStyle name="Normal 2 6 11 7" xfId="37137"/>
    <cellStyle name="Normal 2 6 11 8" xfId="37138"/>
    <cellStyle name="Normal 2 6 12" xfId="37139"/>
    <cellStyle name="Normal 2 6 12 2" xfId="37140"/>
    <cellStyle name="Normal 2 6 12 2 2" xfId="37141"/>
    <cellStyle name="Normal 2 6 12 2 2 2" xfId="37142"/>
    <cellStyle name="Normal 2 6 12 2 2 3" xfId="37143"/>
    <cellStyle name="Normal 2 6 12 2 3" xfId="37144"/>
    <cellStyle name="Normal 2 6 12 2 3 2" xfId="37145"/>
    <cellStyle name="Normal 2 6 12 2 4" xfId="37146"/>
    <cellStyle name="Normal 2 6 12 2 5" xfId="37147"/>
    <cellStyle name="Normal 2 6 12 3" xfId="37148"/>
    <cellStyle name="Normal 2 6 12 3 2" xfId="37149"/>
    <cellStyle name="Normal 2 6 12 3 2 2" xfId="37150"/>
    <cellStyle name="Normal 2 6 12 3 3" xfId="37151"/>
    <cellStyle name="Normal 2 6 12 3 4" xfId="37152"/>
    <cellStyle name="Normal 2 6 12 4" xfId="37153"/>
    <cellStyle name="Normal 2 6 12 4 2" xfId="37154"/>
    <cellStyle name="Normal 2 6 12 4 2 2" xfId="37155"/>
    <cellStyle name="Normal 2 6 12 4 3" xfId="37156"/>
    <cellStyle name="Normal 2 6 12 4 4" xfId="37157"/>
    <cellStyle name="Normal 2 6 12 5" xfId="37158"/>
    <cellStyle name="Normal 2 6 12 5 2" xfId="37159"/>
    <cellStyle name="Normal 2 6 12 6" xfId="37160"/>
    <cellStyle name="Normal 2 6 12 7" xfId="37161"/>
    <cellStyle name="Normal 2 6 12 8" xfId="37162"/>
    <cellStyle name="Normal 2 6 13" xfId="37163"/>
    <cellStyle name="Normal 2 6 13 2" xfId="37164"/>
    <cellStyle name="Normal 2 6 13 2 2" xfId="37165"/>
    <cellStyle name="Normal 2 6 13 2 2 2" xfId="37166"/>
    <cellStyle name="Normal 2 6 13 2 2 3" xfId="37167"/>
    <cellStyle name="Normal 2 6 13 2 3" xfId="37168"/>
    <cellStyle name="Normal 2 6 13 2 3 2" xfId="37169"/>
    <cellStyle name="Normal 2 6 13 2 4" xfId="37170"/>
    <cellStyle name="Normal 2 6 13 2 5" xfId="37171"/>
    <cellStyle name="Normal 2 6 13 3" xfId="37172"/>
    <cellStyle name="Normal 2 6 13 3 2" xfId="37173"/>
    <cellStyle name="Normal 2 6 13 3 2 2" xfId="37174"/>
    <cellStyle name="Normal 2 6 13 3 3" xfId="37175"/>
    <cellStyle name="Normal 2 6 13 3 4" xfId="37176"/>
    <cellStyle name="Normal 2 6 13 4" xfId="37177"/>
    <cellStyle name="Normal 2 6 13 4 2" xfId="37178"/>
    <cellStyle name="Normal 2 6 13 4 2 2" xfId="37179"/>
    <cellStyle name="Normal 2 6 13 4 3" xfId="37180"/>
    <cellStyle name="Normal 2 6 13 4 4" xfId="37181"/>
    <cellStyle name="Normal 2 6 13 5" xfId="37182"/>
    <cellStyle name="Normal 2 6 13 5 2" xfId="37183"/>
    <cellStyle name="Normal 2 6 13 6" xfId="37184"/>
    <cellStyle name="Normal 2 6 13 7" xfId="37185"/>
    <cellStyle name="Normal 2 6 13 8" xfId="37186"/>
    <cellStyle name="Normal 2 6 14" xfId="37187"/>
    <cellStyle name="Normal 2 6 15" xfId="37188"/>
    <cellStyle name="Normal 2 6 2" xfId="37189"/>
    <cellStyle name="Normal 2 6 2 2" xfId="37190"/>
    <cellStyle name="Normal 2 6 2 3" xfId="37191"/>
    <cellStyle name="Normal 2 6 3" xfId="37192"/>
    <cellStyle name="Normal 2 6 3 2" xfId="37193"/>
    <cellStyle name="Normal 2 6 4" xfId="37194"/>
    <cellStyle name="Normal 2 6 4 2" xfId="37195"/>
    <cellStyle name="Normal 2 6 5" xfId="37196"/>
    <cellStyle name="Normal 2 6 5 2" xfId="37197"/>
    <cellStyle name="Normal 2 6 6" xfId="37198"/>
    <cellStyle name="Normal 2 6 6 2" xfId="37199"/>
    <cellStyle name="Normal 2 6 7" xfId="37200"/>
    <cellStyle name="Normal 2 6 7 2" xfId="37201"/>
    <cellStyle name="Normal 2 6 8" xfId="37202"/>
    <cellStyle name="Normal 2 6 8 2" xfId="37203"/>
    <cellStyle name="Normal 2 6 9" xfId="37204"/>
    <cellStyle name="Normal 2 6 9 2" xfId="37205"/>
    <cellStyle name="Normal 2 7" xfId="37206"/>
    <cellStyle name="Normal 2 7 2" xfId="37207"/>
    <cellStyle name="Normal 2 7 2 2" xfId="37208"/>
    <cellStyle name="Normal 2 7 2 2 2" xfId="37209"/>
    <cellStyle name="Normal 2 7 2 2 3" xfId="37210"/>
    <cellStyle name="Normal 2 7 2 3" xfId="37211"/>
    <cellStyle name="Normal 2 7 3" xfId="37212"/>
    <cellStyle name="Normal 2 7 3 2" xfId="37213"/>
    <cellStyle name="Normal 2 7 3 2 2" xfId="37214"/>
    <cellStyle name="Normal 2 7 3 3" xfId="37215"/>
    <cellStyle name="Normal 2 7 3 4" xfId="37216"/>
    <cellStyle name="Normal 2 7 4" xfId="37217"/>
    <cellStyle name="Normal 2 7 4 2" xfId="37218"/>
    <cellStyle name="Normal 2 7 4 2 2" xfId="37219"/>
    <cellStyle name="Normal 2 7 4 3" xfId="37220"/>
    <cellStyle name="Normal 2 7 5" xfId="37221"/>
    <cellStyle name="Normal 2 7 5 2" xfId="37222"/>
    <cellStyle name="Normal 2 7 5 2 2" xfId="37223"/>
    <cellStyle name="Normal 2 7 5 3" xfId="37224"/>
    <cellStyle name="Normal 2 7 6" xfId="37225"/>
    <cellStyle name="Normal 2 7 6 2" xfId="37226"/>
    <cellStyle name="Normal 2 7 7" xfId="37227"/>
    <cellStyle name="Normal 2 7 7 2" xfId="37228"/>
    <cellStyle name="Normal 2 7 7 3" xfId="37229"/>
    <cellStyle name="Normal 2 7 8" xfId="37230"/>
    <cellStyle name="Normal 2 7 9" xfId="37231"/>
    <cellStyle name="Normal 2 7_Dakota Panel" xfId="37232"/>
    <cellStyle name="Normal 2 8" xfId="37233"/>
    <cellStyle name="Normal 2 8 2" xfId="37234"/>
    <cellStyle name="Normal 2 8 2 2" xfId="37235"/>
    <cellStyle name="Normal 2 8 2 3" xfId="37236"/>
    <cellStyle name="Normal 2 8 3" xfId="37237"/>
    <cellStyle name="Normal 2 8 3 2" xfId="37238"/>
    <cellStyle name="Normal 2 8 3 3" xfId="37239"/>
    <cellStyle name="Normal 2 8 4" xfId="37240"/>
    <cellStyle name="Normal 2 8 4 2" xfId="37241"/>
    <cellStyle name="Normal 2 8 4 2 2" xfId="37242"/>
    <cellStyle name="Normal 2 8 4 2 2 2" xfId="37243"/>
    <cellStyle name="Normal 2 8 4 2 2 3" xfId="37244"/>
    <cellStyle name="Normal 2 8 4 2 3" xfId="37245"/>
    <cellStyle name="Normal 2 8 4 2 3 2" xfId="37246"/>
    <cellStyle name="Normal 2 8 4 2 4" xfId="37247"/>
    <cellStyle name="Normal 2 8 4 2 5" xfId="37248"/>
    <cellStyle name="Normal 2 8 4 3" xfId="37249"/>
    <cellStyle name="Normal 2 8 4 3 2" xfId="37250"/>
    <cellStyle name="Normal 2 8 4 3 2 2" xfId="37251"/>
    <cellStyle name="Normal 2 8 4 3 3" xfId="37252"/>
    <cellStyle name="Normal 2 8 4 3 4" xfId="37253"/>
    <cellStyle name="Normal 2 8 4 4" xfId="37254"/>
    <cellStyle name="Normal 2 8 4 4 2" xfId="37255"/>
    <cellStyle name="Normal 2 8 4 4 2 2" xfId="37256"/>
    <cellStyle name="Normal 2 8 4 4 3" xfId="37257"/>
    <cellStyle name="Normal 2 8 4 4 4" xfId="37258"/>
    <cellStyle name="Normal 2 8 4 5" xfId="37259"/>
    <cellStyle name="Normal 2 8 4 5 2" xfId="37260"/>
    <cellStyle name="Normal 2 8 4 6" xfId="37261"/>
    <cellStyle name="Normal 2 8 4 7" xfId="37262"/>
    <cellStyle name="Normal 2 8 4 8" xfId="37263"/>
    <cellStyle name="Normal 2 8 5" xfId="37264"/>
    <cellStyle name="Normal 2 8 5 2" xfId="37265"/>
    <cellStyle name="Normal 2 8 5 2 2" xfId="37266"/>
    <cellStyle name="Normal 2 8 5 2 2 2" xfId="37267"/>
    <cellStyle name="Normal 2 8 5 2 2 3" xfId="37268"/>
    <cellStyle name="Normal 2 8 5 2 3" xfId="37269"/>
    <cellStyle name="Normal 2 8 5 2 3 2" xfId="37270"/>
    <cellStyle name="Normal 2 8 5 2 4" xfId="37271"/>
    <cellStyle name="Normal 2 8 5 2 5" xfId="37272"/>
    <cellStyle name="Normal 2 8 5 3" xfId="37273"/>
    <cellStyle name="Normal 2 8 5 3 2" xfId="37274"/>
    <cellStyle name="Normal 2 8 5 3 2 2" xfId="37275"/>
    <cellStyle name="Normal 2 8 5 3 3" xfId="37276"/>
    <cellStyle name="Normal 2 8 5 3 4" xfId="37277"/>
    <cellStyle name="Normal 2 8 5 4" xfId="37278"/>
    <cellStyle name="Normal 2 8 5 4 2" xfId="37279"/>
    <cellStyle name="Normal 2 8 5 4 2 2" xfId="37280"/>
    <cellStyle name="Normal 2 8 5 4 3" xfId="37281"/>
    <cellStyle name="Normal 2 8 5 4 4" xfId="37282"/>
    <cellStyle name="Normal 2 8 5 5" xfId="37283"/>
    <cellStyle name="Normal 2 8 5 5 2" xfId="37284"/>
    <cellStyle name="Normal 2 8 5 6" xfId="37285"/>
    <cellStyle name="Normal 2 8 5 7" xfId="37286"/>
    <cellStyle name="Normal 2 8 5 8" xfId="37287"/>
    <cellStyle name="Normal 2 8 6" xfId="37288"/>
    <cellStyle name="Normal 2 8 6 2" xfId="37289"/>
    <cellStyle name="Normal 2 8 6 2 2" xfId="37290"/>
    <cellStyle name="Normal 2 8 6 2 2 2" xfId="37291"/>
    <cellStyle name="Normal 2 8 6 2 2 3" xfId="37292"/>
    <cellStyle name="Normal 2 8 6 2 3" xfId="37293"/>
    <cellStyle name="Normal 2 8 6 2 3 2" xfId="37294"/>
    <cellStyle name="Normal 2 8 6 2 4" xfId="37295"/>
    <cellStyle name="Normal 2 8 6 2 5" xfId="37296"/>
    <cellStyle name="Normal 2 8 6 3" xfId="37297"/>
    <cellStyle name="Normal 2 8 6 3 2" xfId="37298"/>
    <cellStyle name="Normal 2 8 6 3 2 2" xfId="37299"/>
    <cellStyle name="Normal 2 8 6 3 3" xfId="37300"/>
    <cellStyle name="Normal 2 8 6 3 4" xfId="37301"/>
    <cellStyle name="Normal 2 8 6 4" xfId="37302"/>
    <cellStyle name="Normal 2 8 6 4 2" xfId="37303"/>
    <cellStyle name="Normal 2 8 6 4 2 2" xfId="37304"/>
    <cellStyle name="Normal 2 8 6 4 3" xfId="37305"/>
    <cellStyle name="Normal 2 8 6 4 4" xfId="37306"/>
    <cellStyle name="Normal 2 8 6 5" xfId="37307"/>
    <cellStyle name="Normal 2 8 6 5 2" xfId="37308"/>
    <cellStyle name="Normal 2 8 6 6" xfId="37309"/>
    <cellStyle name="Normal 2 8 6 7" xfId="37310"/>
    <cellStyle name="Normal 2 8 6 8" xfId="37311"/>
    <cellStyle name="Normal 2 9" xfId="37312"/>
    <cellStyle name="Normal 2 9 2" xfId="37313"/>
    <cellStyle name="Normal 2 9 2 2" xfId="37314"/>
    <cellStyle name="Normal 2 9 3" xfId="37315"/>
    <cellStyle name="Normal 2 9 4" xfId="37316"/>
    <cellStyle name="Normal 2_2010 Controllable O&amp;M Goal" xfId="37317"/>
    <cellStyle name="Normal 20" xfId="37318"/>
    <cellStyle name="Normal 20 10" xfId="37319"/>
    <cellStyle name="Normal 20 10 2" xfId="37320"/>
    <cellStyle name="Normal 20 11" xfId="37321"/>
    <cellStyle name="Normal 20 11 2" xfId="37322"/>
    <cellStyle name="Normal 20 12" xfId="37323"/>
    <cellStyle name="Normal 20 2" xfId="37324"/>
    <cellStyle name="Normal 20 2 2" xfId="37325"/>
    <cellStyle name="Normal 20 2 2 2" xfId="37326"/>
    <cellStyle name="Normal 20 2 3" xfId="37327"/>
    <cellStyle name="Normal 20 3" xfId="37328"/>
    <cellStyle name="Normal 20 3 2" xfId="37329"/>
    <cellStyle name="Normal 20 3 2 2" xfId="37330"/>
    <cellStyle name="Normal 20 3 2 2 2" xfId="37331"/>
    <cellStyle name="Normal 20 3 3" xfId="37332"/>
    <cellStyle name="Normal 20 3 3 2" xfId="37333"/>
    <cellStyle name="Normal 20 3 4" xfId="37334"/>
    <cellStyle name="Normal 20 3 4 2" xfId="37335"/>
    <cellStyle name="Normal 20 3 5" xfId="37336"/>
    <cellStyle name="Normal 20 3 5 2" xfId="37337"/>
    <cellStyle name="Normal 20 3 6" xfId="37338"/>
    <cellStyle name="Normal 20 3 6 2" xfId="37339"/>
    <cellStyle name="Normal 20 3 7" xfId="37340"/>
    <cellStyle name="Normal 20 3 7 2" xfId="37341"/>
    <cellStyle name="Normal 20 3 8" xfId="37342"/>
    <cellStyle name="Normal 20 3 8 2" xfId="37343"/>
    <cellStyle name="Normal 20 3 9" xfId="37344"/>
    <cellStyle name="Normal 20 3 9 2" xfId="37345"/>
    <cellStyle name="Normal 20 3_Dakota Panel" xfId="37346"/>
    <cellStyle name="Normal 20 4" xfId="37347"/>
    <cellStyle name="Normal 20 4 2" xfId="37348"/>
    <cellStyle name="Normal 20 4 2 2" xfId="37349"/>
    <cellStyle name="Normal 20 5" xfId="37350"/>
    <cellStyle name="Normal 20 5 2" xfId="37351"/>
    <cellStyle name="Normal 20 5 2 2" xfId="37352"/>
    <cellStyle name="Normal 20 6" xfId="37353"/>
    <cellStyle name="Normal 20 6 2" xfId="37354"/>
    <cellStyle name="Normal 20 6 2 2" xfId="37355"/>
    <cellStyle name="Normal 20 6 3" xfId="37356"/>
    <cellStyle name="Normal 20 6 4" xfId="37357"/>
    <cellStyle name="Normal 20 7" xfId="37358"/>
    <cellStyle name="Normal 20 7 2" xfId="37359"/>
    <cellStyle name="Normal 20 8" xfId="37360"/>
    <cellStyle name="Normal 20 8 2" xfId="37361"/>
    <cellStyle name="Normal 20 9" xfId="37362"/>
    <cellStyle name="Normal 20 9 2" xfId="37363"/>
    <cellStyle name="Normal 20_Dakota Panel" xfId="37364"/>
    <cellStyle name="Normal 200" xfId="37365"/>
    <cellStyle name="Normal 200 2" xfId="37366"/>
    <cellStyle name="Normal 200 2 2" xfId="37367"/>
    <cellStyle name="Normal 200 3" xfId="37368"/>
    <cellStyle name="Normal 201" xfId="37369"/>
    <cellStyle name="Normal 201 2" xfId="37370"/>
    <cellStyle name="Normal 201 2 2" xfId="37371"/>
    <cellStyle name="Normal 201 3" xfId="37372"/>
    <cellStyle name="Normal 202" xfId="37373"/>
    <cellStyle name="Normal 202 2" xfId="37374"/>
    <cellStyle name="Normal 202 2 2" xfId="37375"/>
    <cellStyle name="Normal 202 3" xfId="37376"/>
    <cellStyle name="Normal 203" xfId="37377"/>
    <cellStyle name="Normal 203 2" xfId="37378"/>
    <cellStyle name="Normal 203 2 2" xfId="37379"/>
    <cellStyle name="Normal 203 3" xfId="37380"/>
    <cellStyle name="Normal 203 3 2" xfId="37381"/>
    <cellStyle name="Normal 203_Dakota Panel" xfId="37382"/>
    <cellStyle name="Normal 204" xfId="37383"/>
    <cellStyle name="Normal 204 2" xfId="37384"/>
    <cellStyle name="Normal 204 2 2" xfId="37385"/>
    <cellStyle name="Normal 204 3" xfId="37386"/>
    <cellStyle name="Normal 204 3 2" xfId="37387"/>
    <cellStyle name="Normal 204_Dakota Panel" xfId="37388"/>
    <cellStyle name="Normal 205" xfId="37389"/>
    <cellStyle name="Normal 205 2" xfId="37390"/>
    <cellStyle name="Normal 205 2 2" xfId="37391"/>
    <cellStyle name="Normal 205 3" xfId="37392"/>
    <cellStyle name="Normal 205 3 2" xfId="37393"/>
    <cellStyle name="Normal 205_Dakota Panel" xfId="37394"/>
    <cellStyle name="Normal 206" xfId="37395"/>
    <cellStyle name="Normal 206 2" xfId="37396"/>
    <cellStyle name="Normal 206 2 2" xfId="37397"/>
    <cellStyle name="Normal 206 3" xfId="37398"/>
    <cellStyle name="Normal 206 3 2" xfId="37399"/>
    <cellStyle name="Normal 206_Dakota Panel" xfId="37400"/>
    <cellStyle name="Normal 207" xfId="37401"/>
    <cellStyle name="Normal 207 10" xfId="37402"/>
    <cellStyle name="Normal 207 10 2" xfId="37403"/>
    <cellStyle name="Normal 207 11" xfId="37404"/>
    <cellStyle name="Normal 207 11 2" xfId="37405"/>
    <cellStyle name="Normal 207 12" xfId="37406"/>
    <cellStyle name="Normal 207 2" xfId="37407"/>
    <cellStyle name="Normal 207 2 2" xfId="37408"/>
    <cellStyle name="Normal 207 2 2 2" xfId="37409"/>
    <cellStyle name="Normal 207 2 3" xfId="37410"/>
    <cellStyle name="Normal 207 2 3 2" xfId="37411"/>
    <cellStyle name="Normal 207 2 4" xfId="37412"/>
    <cellStyle name="Normal 207 2 4 2" xfId="37413"/>
    <cellStyle name="Normal 207 2 5" xfId="37414"/>
    <cellStyle name="Normal 207 2 5 2" xfId="37415"/>
    <cellStyle name="Normal 207 2 6" xfId="37416"/>
    <cellStyle name="Normal 207 2 6 2" xfId="37417"/>
    <cellStyle name="Normal 207 2 7" xfId="37418"/>
    <cellStyle name="Normal 207 2 7 2" xfId="37419"/>
    <cellStyle name="Normal 207 2 8" xfId="37420"/>
    <cellStyle name="Normal 207 2 8 2" xfId="37421"/>
    <cellStyle name="Normal 207 2 9" xfId="37422"/>
    <cellStyle name="Normal 207 2 9 2" xfId="37423"/>
    <cellStyle name="Normal 207 2_Dakota Panel" xfId="37424"/>
    <cellStyle name="Normal 207 3" xfId="37425"/>
    <cellStyle name="Normal 207 3 2" xfId="37426"/>
    <cellStyle name="Normal 207 3 2 2" xfId="37427"/>
    <cellStyle name="Normal 207 3 3" xfId="37428"/>
    <cellStyle name="Normal 207 3 3 2" xfId="37429"/>
    <cellStyle name="Normal 207 3 4" xfId="37430"/>
    <cellStyle name="Normal 207 3 5" xfId="37431"/>
    <cellStyle name="Normal 207 4" xfId="37432"/>
    <cellStyle name="Normal 207 4 2" xfId="37433"/>
    <cellStyle name="Normal 207 5" xfId="37434"/>
    <cellStyle name="Normal 207 5 2" xfId="37435"/>
    <cellStyle name="Normal 207 6" xfId="37436"/>
    <cellStyle name="Normal 207 6 2" xfId="37437"/>
    <cellStyle name="Normal 207 7" xfId="37438"/>
    <cellStyle name="Normal 207 7 2" xfId="37439"/>
    <cellStyle name="Normal 207 8" xfId="37440"/>
    <cellStyle name="Normal 207 8 2" xfId="37441"/>
    <cellStyle name="Normal 207 9" xfId="37442"/>
    <cellStyle name="Normal 207 9 2" xfId="37443"/>
    <cellStyle name="Normal 207_Dakota Panel" xfId="37444"/>
    <cellStyle name="Normal 208" xfId="37445"/>
    <cellStyle name="Normal 208 10" xfId="37446"/>
    <cellStyle name="Normal 208 10 2" xfId="37447"/>
    <cellStyle name="Normal 208 11" xfId="37448"/>
    <cellStyle name="Normal 208 11 2" xfId="37449"/>
    <cellStyle name="Normal 208 12" xfId="37450"/>
    <cellStyle name="Normal 208 2" xfId="37451"/>
    <cellStyle name="Normal 208 2 2" xfId="37452"/>
    <cellStyle name="Normal 208 2 2 2" xfId="37453"/>
    <cellStyle name="Normal 208 2 3" xfId="37454"/>
    <cellStyle name="Normal 208 2 3 2" xfId="37455"/>
    <cellStyle name="Normal 208 2 4" xfId="37456"/>
    <cellStyle name="Normal 208 2 4 2" xfId="37457"/>
    <cellStyle name="Normal 208 2 5" xfId="37458"/>
    <cellStyle name="Normal 208 2 5 2" xfId="37459"/>
    <cellStyle name="Normal 208 2 6" xfId="37460"/>
    <cellStyle name="Normal 208 2 6 2" xfId="37461"/>
    <cellStyle name="Normal 208 2 7" xfId="37462"/>
    <cellStyle name="Normal 208 2 7 2" xfId="37463"/>
    <cellStyle name="Normal 208 2 8" xfId="37464"/>
    <cellStyle name="Normal 208 2 8 2" xfId="37465"/>
    <cellStyle name="Normal 208 2 9" xfId="37466"/>
    <cellStyle name="Normal 208 2 9 2" xfId="37467"/>
    <cellStyle name="Normal 208 2_Dakota Panel" xfId="37468"/>
    <cellStyle name="Normal 208 3" xfId="37469"/>
    <cellStyle name="Normal 208 3 2" xfId="37470"/>
    <cellStyle name="Normal 208 3 2 2" xfId="37471"/>
    <cellStyle name="Normal 208 3 3" xfId="37472"/>
    <cellStyle name="Normal 208 3 3 2" xfId="37473"/>
    <cellStyle name="Normal 208 3 4" xfId="37474"/>
    <cellStyle name="Normal 208 3 5" xfId="37475"/>
    <cellStyle name="Normal 208 4" xfId="37476"/>
    <cellStyle name="Normal 208 4 2" xfId="37477"/>
    <cellStyle name="Normal 208 5" xfId="37478"/>
    <cellStyle name="Normal 208 5 2" xfId="37479"/>
    <cellStyle name="Normal 208 6" xfId="37480"/>
    <cellStyle name="Normal 208 6 2" xfId="37481"/>
    <cellStyle name="Normal 208 7" xfId="37482"/>
    <cellStyle name="Normal 208 7 2" xfId="37483"/>
    <cellStyle name="Normal 208 8" xfId="37484"/>
    <cellStyle name="Normal 208 8 2" xfId="37485"/>
    <cellStyle name="Normal 208 9" xfId="37486"/>
    <cellStyle name="Normal 208 9 2" xfId="37487"/>
    <cellStyle name="Normal 208_Dakota Panel" xfId="37488"/>
    <cellStyle name="Normal 209" xfId="37489"/>
    <cellStyle name="Normal 209 10" xfId="37490"/>
    <cellStyle name="Normal 209 10 2" xfId="37491"/>
    <cellStyle name="Normal 209 11" xfId="37492"/>
    <cellStyle name="Normal 209 11 2" xfId="37493"/>
    <cellStyle name="Normal 209 12" xfId="37494"/>
    <cellStyle name="Normal 209 2" xfId="37495"/>
    <cellStyle name="Normal 209 2 2" xfId="37496"/>
    <cellStyle name="Normal 209 2 2 2" xfId="37497"/>
    <cellStyle name="Normal 209 2 3" xfId="37498"/>
    <cellStyle name="Normal 209 2 3 2" xfId="37499"/>
    <cellStyle name="Normal 209 2 4" xfId="37500"/>
    <cellStyle name="Normal 209 2 4 2" xfId="37501"/>
    <cellStyle name="Normal 209 2 5" xfId="37502"/>
    <cellStyle name="Normal 209 2 5 2" xfId="37503"/>
    <cellStyle name="Normal 209 2 6" xfId="37504"/>
    <cellStyle name="Normal 209 2 6 2" xfId="37505"/>
    <cellStyle name="Normal 209 2 7" xfId="37506"/>
    <cellStyle name="Normal 209 2 7 2" xfId="37507"/>
    <cellStyle name="Normal 209 2 8" xfId="37508"/>
    <cellStyle name="Normal 209 2 8 2" xfId="37509"/>
    <cellStyle name="Normal 209 2 9" xfId="37510"/>
    <cellStyle name="Normal 209 2 9 2" xfId="37511"/>
    <cellStyle name="Normal 209 2_Dakota Panel" xfId="37512"/>
    <cellStyle name="Normal 209 3" xfId="37513"/>
    <cellStyle name="Normal 209 3 2" xfId="37514"/>
    <cellStyle name="Normal 209 3 2 2" xfId="37515"/>
    <cellStyle name="Normal 209 3 3" xfId="37516"/>
    <cellStyle name="Normal 209 3 3 2" xfId="37517"/>
    <cellStyle name="Normal 209 3 4" xfId="37518"/>
    <cellStyle name="Normal 209 3 5" xfId="37519"/>
    <cellStyle name="Normal 209 4" xfId="37520"/>
    <cellStyle name="Normal 209 4 2" xfId="37521"/>
    <cellStyle name="Normal 209 5" xfId="37522"/>
    <cellStyle name="Normal 209 5 2" xfId="37523"/>
    <cellStyle name="Normal 209 6" xfId="37524"/>
    <cellStyle name="Normal 209 6 2" xfId="37525"/>
    <cellStyle name="Normal 209 7" xfId="37526"/>
    <cellStyle name="Normal 209 7 2" xfId="37527"/>
    <cellStyle name="Normal 209 8" xfId="37528"/>
    <cellStyle name="Normal 209 8 2" xfId="37529"/>
    <cellStyle name="Normal 209 9" xfId="37530"/>
    <cellStyle name="Normal 209 9 2" xfId="37531"/>
    <cellStyle name="Normal 209_Dakota Panel" xfId="37532"/>
    <cellStyle name="Normal 21" xfId="37533"/>
    <cellStyle name="Normal 21 10" xfId="37534"/>
    <cellStyle name="Normal 21 10 2" xfId="37535"/>
    <cellStyle name="Normal 21 11" xfId="37536"/>
    <cellStyle name="Normal 21 11 2" xfId="37537"/>
    <cellStyle name="Normal 21 12" xfId="37538"/>
    <cellStyle name="Normal 21 2" xfId="37539"/>
    <cellStyle name="Normal 21 2 2" xfId="37540"/>
    <cellStyle name="Normal 21 2 2 2" xfId="37541"/>
    <cellStyle name="Normal 21 2 3" xfId="37542"/>
    <cellStyle name="Normal 21 3" xfId="37543"/>
    <cellStyle name="Normal 21 3 2" xfId="37544"/>
    <cellStyle name="Normal 21 3 2 2" xfId="37545"/>
    <cellStyle name="Normal 21 3 2 2 2" xfId="37546"/>
    <cellStyle name="Normal 21 3 3" xfId="37547"/>
    <cellStyle name="Normal 21 3 3 2" xfId="37548"/>
    <cellStyle name="Normal 21 3 4" xfId="37549"/>
    <cellStyle name="Normal 21 3 4 2" xfId="37550"/>
    <cellStyle name="Normal 21 3 5" xfId="37551"/>
    <cellStyle name="Normal 21 3 5 2" xfId="37552"/>
    <cellStyle name="Normal 21 3 6" xfId="37553"/>
    <cellStyle name="Normal 21 3 6 2" xfId="37554"/>
    <cellStyle name="Normal 21 3 7" xfId="37555"/>
    <cellStyle name="Normal 21 3 7 2" xfId="37556"/>
    <cellStyle name="Normal 21 3 8" xfId="37557"/>
    <cellStyle name="Normal 21 3 8 2" xfId="37558"/>
    <cellStyle name="Normal 21 3 9" xfId="37559"/>
    <cellStyle name="Normal 21 3 9 2" xfId="37560"/>
    <cellStyle name="Normal 21 3_Dakota Panel" xfId="37561"/>
    <cellStyle name="Normal 21 4" xfId="37562"/>
    <cellStyle name="Normal 21 4 2" xfId="37563"/>
    <cellStyle name="Normal 21 4 2 2" xfId="37564"/>
    <cellStyle name="Normal 21 5" xfId="37565"/>
    <cellStyle name="Normal 21 5 2" xfId="37566"/>
    <cellStyle name="Normal 21 5 2 2" xfId="37567"/>
    <cellStyle name="Normal 21 6" xfId="37568"/>
    <cellStyle name="Normal 21 6 2" xfId="37569"/>
    <cellStyle name="Normal 21 6 2 2" xfId="37570"/>
    <cellStyle name="Normal 21 6 3" xfId="37571"/>
    <cellStyle name="Normal 21 6 4" xfId="37572"/>
    <cellStyle name="Normal 21 7" xfId="37573"/>
    <cellStyle name="Normal 21 7 2" xfId="37574"/>
    <cellStyle name="Normal 21 8" xfId="37575"/>
    <cellStyle name="Normal 21 8 2" xfId="37576"/>
    <cellStyle name="Normal 21 9" xfId="37577"/>
    <cellStyle name="Normal 21 9 2" xfId="37578"/>
    <cellStyle name="Normal 21_Dakota Panel" xfId="37579"/>
    <cellStyle name="Normal 210" xfId="37580"/>
    <cellStyle name="Normal 210 10" xfId="37581"/>
    <cellStyle name="Normal 210 10 2" xfId="37582"/>
    <cellStyle name="Normal 210 11" xfId="37583"/>
    <cellStyle name="Normal 210 11 2" xfId="37584"/>
    <cellStyle name="Normal 210 12" xfId="37585"/>
    <cellStyle name="Normal 210 2" xfId="37586"/>
    <cellStyle name="Normal 210 2 2" xfId="37587"/>
    <cellStyle name="Normal 210 2 2 2" xfId="37588"/>
    <cellStyle name="Normal 210 2 3" xfId="37589"/>
    <cellStyle name="Normal 210 2 3 2" xfId="37590"/>
    <cellStyle name="Normal 210 2 4" xfId="37591"/>
    <cellStyle name="Normal 210 2 4 2" xfId="37592"/>
    <cellStyle name="Normal 210 2 5" xfId="37593"/>
    <cellStyle name="Normal 210 2 5 2" xfId="37594"/>
    <cellStyle name="Normal 210 2 6" xfId="37595"/>
    <cellStyle name="Normal 210 2 6 2" xfId="37596"/>
    <cellStyle name="Normal 210 2 7" xfId="37597"/>
    <cellStyle name="Normal 210 2 7 2" xfId="37598"/>
    <cellStyle name="Normal 210 2 8" xfId="37599"/>
    <cellStyle name="Normal 210 2 8 2" xfId="37600"/>
    <cellStyle name="Normal 210 2 9" xfId="37601"/>
    <cellStyle name="Normal 210 2 9 2" xfId="37602"/>
    <cellStyle name="Normal 210 2_Dakota Panel" xfId="37603"/>
    <cellStyle name="Normal 210 3" xfId="37604"/>
    <cellStyle name="Normal 210 3 2" xfId="37605"/>
    <cellStyle name="Normal 210 3 2 2" xfId="37606"/>
    <cellStyle name="Normal 210 3 3" xfId="37607"/>
    <cellStyle name="Normal 210 3 3 2" xfId="37608"/>
    <cellStyle name="Normal 210 3 4" xfId="37609"/>
    <cellStyle name="Normal 210 3 5" xfId="37610"/>
    <cellStyle name="Normal 210 4" xfId="37611"/>
    <cellStyle name="Normal 210 4 2" xfId="37612"/>
    <cellStyle name="Normal 210 5" xfId="37613"/>
    <cellStyle name="Normal 210 5 2" xfId="37614"/>
    <cellStyle name="Normal 210 6" xfId="37615"/>
    <cellStyle name="Normal 210 6 2" xfId="37616"/>
    <cellStyle name="Normal 210 7" xfId="37617"/>
    <cellStyle name="Normal 210 7 2" xfId="37618"/>
    <cellStyle name="Normal 210 8" xfId="37619"/>
    <cellStyle name="Normal 210 8 2" xfId="37620"/>
    <cellStyle name="Normal 210 9" xfId="37621"/>
    <cellStyle name="Normal 210 9 2" xfId="37622"/>
    <cellStyle name="Normal 210_Dakota Panel" xfId="37623"/>
    <cellStyle name="Normal 211" xfId="37624"/>
    <cellStyle name="Normal 211 10" xfId="37625"/>
    <cellStyle name="Normal 211 10 2" xfId="37626"/>
    <cellStyle name="Normal 211 11" xfId="37627"/>
    <cellStyle name="Normal 211 11 2" xfId="37628"/>
    <cellStyle name="Normal 211 12" xfId="37629"/>
    <cellStyle name="Normal 211 2" xfId="37630"/>
    <cellStyle name="Normal 211 2 2" xfId="37631"/>
    <cellStyle name="Normal 211 2 2 2" xfId="37632"/>
    <cellStyle name="Normal 211 2 3" xfId="37633"/>
    <cellStyle name="Normal 211 2 3 2" xfId="37634"/>
    <cellStyle name="Normal 211 2 4" xfId="37635"/>
    <cellStyle name="Normal 211 2 4 2" xfId="37636"/>
    <cellStyle name="Normal 211 2 5" xfId="37637"/>
    <cellStyle name="Normal 211 2 5 2" xfId="37638"/>
    <cellStyle name="Normal 211 2 6" xfId="37639"/>
    <cellStyle name="Normal 211 2 6 2" xfId="37640"/>
    <cellStyle name="Normal 211 2 7" xfId="37641"/>
    <cellStyle name="Normal 211 2 7 2" xfId="37642"/>
    <cellStyle name="Normal 211 2 8" xfId="37643"/>
    <cellStyle name="Normal 211 2 8 2" xfId="37644"/>
    <cellStyle name="Normal 211 2 9" xfId="37645"/>
    <cellStyle name="Normal 211 2 9 2" xfId="37646"/>
    <cellStyle name="Normal 211 2_Dakota Panel" xfId="37647"/>
    <cellStyle name="Normal 211 3" xfId="37648"/>
    <cellStyle name="Normal 211 3 2" xfId="37649"/>
    <cellStyle name="Normal 211 3 2 2" xfId="37650"/>
    <cellStyle name="Normal 211 3 3" xfId="37651"/>
    <cellStyle name="Normal 211 3 3 2" xfId="37652"/>
    <cellStyle name="Normal 211 3 4" xfId="37653"/>
    <cellStyle name="Normal 211 3 5" xfId="37654"/>
    <cellStyle name="Normal 211 4" xfId="37655"/>
    <cellStyle name="Normal 211 4 2" xfId="37656"/>
    <cellStyle name="Normal 211 5" xfId="37657"/>
    <cellStyle name="Normal 211 5 2" xfId="37658"/>
    <cellStyle name="Normal 211 6" xfId="37659"/>
    <cellStyle name="Normal 211 6 2" xfId="37660"/>
    <cellStyle name="Normal 211 7" xfId="37661"/>
    <cellStyle name="Normal 211 7 2" xfId="37662"/>
    <cellStyle name="Normal 211 8" xfId="37663"/>
    <cellStyle name="Normal 211 8 2" xfId="37664"/>
    <cellStyle name="Normal 211 9" xfId="37665"/>
    <cellStyle name="Normal 211 9 2" xfId="37666"/>
    <cellStyle name="Normal 211_Dakota Panel" xfId="37667"/>
    <cellStyle name="Normal 212" xfId="37668"/>
    <cellStyle name="Normal 212 2" xfId="37669"/>
    <cellStyle name="Normal 212 2 2" xfId="37670"/>
    <cellStyle name="Normal 212 3" xfId="37671"/>
    <cellStyle name="Normal 213" xfId="37672"/>
    <cellStyle name="Normal 213 2" xfId="37673"/>
    <cellStyle name="Normal 213 2 2" xfId="37674"/>
    <cellStyle name="Normal 213 3" xfId="37675"/>
    <cellStyle name="Normal 214" xfId="37676"/>
    <cellStyle name="Normal 214 2" xfId="37677"/>
    <cellStyle name="Normal 214 2 2" xfId="37678"/>
    <cellStyle name="Normal 214 2 2 2" xfId="37679"/>
    <cellStyle name="Normal 214 2 2 2 2" xfId="37680"/>
    <cellStyle name="Normal 214 2 2 3" xfId="37681"/>
    <cellStyle name="Normal 214 2 3" xfId="37682"/>
    <cellStyle name="Normal 214 2 3 2" xfId="37683"/>
    <cellStyle name="Normal 214 2 4" xfId="37684"/>
    <cellStyle name="Normal 214 2 5" xfId="37685"/>
    <cellStyle name="Normal 214 3" xfId="37686"/>
    <cellStyle name="Normal 214 3 2" xfId="37687"/>
    <cellStyle name="Normal 214 3 3" xfId="37688"/>
    <cellStyle name="Normal 214 3 3 2" xfId="37689"/>
    <cellStyle name="Normal 214 3 4" xfId="37690"/>
    <cellStyle name="Normal 214 3 5" xfId="37691"/>
    <cellStyle name="Normal 214 4" xfId="37692"/>
    <cellStyle name="Normal 214 4 2" xfId="37693"/>
    <cellStyle name="Normal 214 4 2 2" xfId="37694"/>
    <cellStyle name="Normal 214 4 3" xfId="37695"/>
    <cellStyle name="Normal 214 4 4" xfId="37696"/>
    <cellStyle name="Normal 214 5" xfId="37697"/>
    <cellStyle name="Normal 214 6" xfId="37698"/>
    <cellStyle name="Normal 214 6 2" xfId="37699"/>
    <cellStyle name="Normal 214 7" xfId="37700"/>
    <cellStyle name="Normal 214 8" xfId="37701"/>
    <cellStyle name="Normal 214 9" xfId="37702"/>
    <cellStyle name="Normal 215" xfId="37703"/>
    <cellStyle name="Normal 215 2" xfId="37704"/>
    <cellStyle name="Normal 215 3" xfId="37705"/>
    <cellStyle name="Normal 215 4" xfId="37706"/>
    <cellStyle name="Normal 216" xfId="37707"/>
    <cellStyle name="Normal 216 2" xfId="37708"/>
    <cellStyle name="Normal 216 3" xfId="37709"/>
    <cellStyle name="Normal 216 4" xfId="37710"/>
    <cellStyle name="Normal 217" xfId="37711"/>
    <cellStyle name="Normal 217 2" xfId="37712"/>
    <cellStyle name="Normal 217 2 2" xfId="37713"/>
    <cellStyle name="Normal 217 2 2 2" xfId="37714"/>
    <cellStyle name="Normal 217 2 2 2 2" xfId="37715"/>
    <cellStyle name="Normal 217 2 2 3" xfId="37716"/>
    <cellStyle name="Normal 217 2 3" xfId="37717"/>
    <cellStyle name="Normal 217 2 3 2" xfId="37718"/>
    <cellStyle name="Normal 217 2 4" xfId="37719"/>
    <cellStyle name="Normal 217 2 5" xfId="37720"/>
    <cellStyle name="Normal 217 3" xfId="37721"/>
    <cellStyle name="Normal 217 3 2" xfId="37722"/>
    <cellStyle name="Normal 217 3 3" xfId="37723"/>
    <cellStyle name="Normal 217 3 3 2" xfId="37724"/>
    <cellStyle name="Normal 217 3 4" xfId="37725"/>
    <cellStyle name="Normal 217 3 5" xfId="37726"/>
    <cellStyle name="Normal 217 4" xfId="37727"/>
    <cellStyle name="Normal 217 4 2" xfId="37728"/>
    <cellStyle name="Normal 217 4 2 2" xfId="37729"/>
    <cellStyle name="Normal 217 4 3" xfId="37730"/>
    <cellStyle name="Normal 217 4 4" xfId="37731"/>
    <cellStyle name="Normal 217 5" xfId="37732"/>
    <cellStyle name="Normal 217 6" xfId="37733"/>
    <cellStyle name="Normal 217 6 2" xfId="37734"/>
    <cellStyle name="Normal 217 7" xfId="37735"/>
    <cellStyle name="Normal 217 8" xfId="37736"/>
    <cellStyle name="Normal 217 9" xfId="37737"/>
    <cellStyle name="Normal 218" xfId="37738"/>
    <cellStyle name="Normal 218 2" xfId="37739"/>
    <cellStyle name="Normal 218 2 2" xfId="37740"/>
    <cellStyle name="Normal 218 2 2 2" xfId="37741"/>
    <cellStyle name="Normal 218 2 2 2 2" xfId="37742"/>
    <cellStyle name="Normal 218 2 2 3" xfId="37743"/>
    <cellStyle name="Normal 218 2 3" xfId="37744"/>
    <cellStyle name="Normal 218 2 3 2" xfId="37745"/>
    <cellStyle name="Normal 218 2 4" xfId="37746"/>
    <cellStyle name="Normal 218 2 5" xfId="37747"/>
    <cellStyle name="Normal 218 3" xfId="37748"/>
    <cellStyle name="Normal 218 3 2" xfId="37749"/>
    <cellStyle name="Normal 218 3 3" xfId="37750"/>
    <cellStyle name="Normal 218 3 3 2" xfId="37751"/>
    <cellStyle name="Normal 218 3 4" xfId="37752"/>
    <cellStyle name="Normal 218 3 5" xfId="37753"/>
    <cellStyle name="Normal 218 4" xfId="37754"/>
    <cellStyle name="Normal 218 4 2" xfId="37755"/>
    <cellStyle name="Normal 218 4 2 2" xfId="37756"/>
    <cellStyle name="Normal 218 4 3" xfId="37757"/>
    <cellStyle name="Normal 218 4 4" xfId="37758"/>
    <cellStyle name="Normal 218 5" xfId="37759"/>
    <cellStyle name="Normal 218 6" xfId="37760"/>
    <cellStyle name="Normal 218 6 2" xfId="37761"/>
    <cellStyle name="Normal 218 7" xfId="37762"/>
    <cellStyle name="Normal 218 8" xfId="37763"/>
    <cellStyle name="Normal 218 9" xfId="37764"/>
    <cellStyle name="Normal 219" xfId="37765"/>
    <cellStyle name="Normal 219 2" xfId="37766"/>
    <cellStyle name="Normal 219 2 2" xfId="37767"/>
    <cellStyle name="Normal 219 2 2 2" xfId="37768"/>
    <cellStyle name="Normal 219 2 2 2 2" xfId="37769"/>
    <cellStyle name="Normal 219 2 2 3" xfId="37770"/>
    <cellStyle name="Normal 219 2 3" xfId="37771"/>
    <cellStyle name="Normal 219 2 3 2" xfId="37772"/>
    <cellStyle name="Normal 219 2 4" xfId="37773"/>
    <cellStyle name="Normal 219 2 5" xfId="37774"/>
    <cellStyle name="Normal 219 3" xfId="37775"/>
    <cellStyle name="Normal 219 3 2" xfId="37776"/>
    <cellStyle name="Normal 219 3 3" xfId="37777"/>
    <cellStyle name="Normal 219 3 3 2" xfId="37778"/>
    <cellStyle name="Normal 219 3 4" xfId="37779"/>
    <cellStyle name="Normal 219 3 5" xfId="37780"/>
    <cellStyle name="Normal 219 4" xfId="37781"/>
    <cellStyle name="Normal 219 4 2" xfId="37782"/>
    <cellStyle name="Normal 219 4 2 2" xfId="37783"/>
    <cellStyle name="Normal 219 4 3" xfId="37784"/>
    <cellStyle name="Normal 219 4 4" xfId="37785"/>
    <cellStyle name="Normal 219 5" xfId="37786"/>
    <cellStyle name="Normal 219 6" xfId="37787"/>
    <cellStyle name="Normal 219 6 2" xfId="37788"/>
    <cellStyle name="Normal 219 7" xfId="37789"/>
    <cellStyle name="Normal 219 8" xfId="37790"/>
    <cellStyle name="Normal 219 9" xfId="37791"/>
    <cellStyle name="Normal 22" xfId="37792"/>
    <cellStyle name="Normal 22 10" xfId="37793"/>
    <cellStyle name="Normal 22 10 2" xfId="37794"/>
    <cellStyle name="Normal 22 11" xfId="37795"/>
    <cellStyle name="Normal 22 11 2" xfId="37796"/>
    <cellStyle name="Normal 22 12" xfId="37797"/>
    <cellStyle name="Normal 22 2" xfId="37798"/>
    <cellStyle name="Normal 22 2 2" xfId="37799"/>
    <cellStyle name="Normal 22 2 2 2" xfId="37800"/>
    <cellStyle name="Normal 22 2 3" xfId="37801"/>
    <cellStyle name="Normal 22 3" xfId="37802"/>
    <cellStyle name="Normal 22 3 2" xfId="37803"/>
    <cellStyle name="Normal 22 3 2 2" xfId="37804"/>
    <cellStyle name="Normal 22 3 2 2 2" xfId="37805"/>
    <cellStyle name="Normal 22 3 3" xfId="37806"/>
    <cellStyle name="Normal 22 3 3 2" xfId="37807"/>
    <cellStyle name="Normal 22 3 4" xfId="37808"/>
    <cellStyle name="Normal 22 3 4 2" xfId="37809"/>
    <cellStyle name="Normal 22 3 5" xfId="37810"/>
    <cellStyle name="Normal 22 3 5 2" xfId="37811"/>
    <cellStyle name="Normal 22 3 6" xfId="37812"/>
    <cellStyle name="Normal 22 3 6 2" xfId="37813"/>
    <cellStyle name="Normal 22 3 7" xfId="37814"/>
    <cellStyle name="Normal 22 3 7 2" xfId="37815"/>
    <cellStyle name="Normal 22 3 8" xfId="37816"/>
    <cellStyle name="Normal 22 3 8 2" xfId="37817"/>
    <cellStyle name="Normal 22 3 9" xfId="37818"/>
    <cellStyle name="Normal 22 3 9 2" xfId="37819"/>
    <cellStyle name="Normal 22 3_Dakota Panel" xfId="37820"/>
    <cellStyle name="Normal 22 4" xfId="37821"/>
    <cellStyle name="Normal 22 4 2" xfId="37822"/>
    <cellStyle name="Normal 22 4 2 2" xfId="37823"/>
    <cellStyle name="Normal 22 5" xfId="37824"/>
    <cellStyle name="Normal 22 5 2" xfId="37825"/>
    <cellStyle name="Normal 22 5 2 2" xfId="37826"/>
    <cellStyle name="Normal 22 6" xfId="37827"/>
    <cellStyle name="Normal 22 6 2" xfId="37828"/>
    <cellStyle name="Normal 22 6 2 2" xfId="37829"/>
    <cellStyle name="Normal 22 6 3" xfId="37830"/>
    <cellStyle name="Normal 22 6 4" xfId="37831"/>
    <cellStyle name="Normal 22 7" xfId="37832"/>
    <cellStyle name="Normal 22 7 2" xfId="37833"/>
    <cellStyle name="Normal 22 8" xfId="37834"/>
    <cellStyle name="Normal 22 8 2" xfId="37835"/>
    <cellStyle name="Normal 22 9" xfId="37836"/>
    <cellStyle name="Normal 22 9 2" xfId="37837"/>
    <cellStyle name="Normal 22_Dakota Panel" xfId="37838"/>
    <cellStyle name="Normal 220" xfId="37839"/>
    <cellStyle name="Normal 220 2" xfId="37840"/>
    <cellStyle name="Normal 220 2 2" xfId="37841"/>
    <cellStyle name="Normal 220 2 2 2" xfId="37842"/>
    <cellStyle name="Normal 220 2 2 2 2" xfId="37843"/>
    <cellStyle name="Normal 220 2 2 3" xfId="37844"/>
    <cellStyle name="Normal 220 2 3" xfId="37845"/>
    <cellStyle name="Normal 220 2 3 2" xfId="37846"/>
    <cellStyle name="Normal 220 2 4" xfId="37847"/>
    <cellStyle name="Normal 220 2 5" xfId="37848"/>
    <cellStyle name="Normal 220 3" xfId="37849"/>
    <cellStyle name="Normal 220 3 2" xfId="37850"/>
    <cellStyle name="Normal 220 3 3" xfId="37851"/>
    <cellStyle name="Normal 220 3 3 2" xfId="37852"/>
    <cellStyle name="Normal 220 3 4" xfId="37853"/>
    <cellStyle name="Normal 220 3 5" xfId="37854"/>
    <cellStyle name="Normal 220 4" xfId="37855"/>
    <cellStyle name="Normal 220 4 2" xfId="37856"/>
    <cellStyle name="Normal 220 4 2 2" xfId="37857"/>
    <cellStyle name="Normal 220 4 3" xfId="37858"/>
    <cellStyle name="Normal 220 4 4" xfId="37859"/>
    <cellStyle name="Normal 220 5" xfId="37860"/>
    <cellStyle name="Normal 220 6" xfId="37861"/>
    <cellStyle name="Normal 220 6 2" xfId="37862"/>
    <cellStyle name="Normal 220 7" xfId="37863"/>
    <cellStyle name="Normal 220 8" xfId="37864"/>
    <cellStyle name="Normal 220 9" xfId="37865"/>
    <cellStyle name="Normal 221" xfId="37866"/>
    <cellStyle name="Normal 221 2" xfId="37867"/>
    <cellStyle name="Normal 221 2 2" xfId="37868"/>
    <cellStyle name="Normal 221 2 2 2" xfId="37869"/>
    <cellStyle name="Normal 221 2 2 2 2" xfId="37870"/>
    <cellStyle name="Normal 221 2 2 3" xfId="37871"/>
    <cellStyle name="Normal 221 2 3" xfId="37872"/>
    <cellStyle name="Normal 221 2 3 2" xfId="37873"/>
    <cellStyle name="Normal 221 2 4" xfId="37874"/>
    <cellStyle name="Normal 221 2 5" xfId="37875"/>
    <cellStyle name="Normal 221 3" xfId="37876"/>
    <cellStyle name="Normal 221 3 2" xfId="37877"/>
    <cellStyle name="Normal 221 3 3" xfId="37878"/>
    <cellStyle name="Normal 221 3 3 2" xfId="37879"/>
    <cellStyle name="Normal 221 3 4" xfId="37880"/>
    <cellStyle name="Normal 221 3 5" xfId="37881"/>
    <cellStyle name="Normal 221 4" xfId="37882"/>
    <cellStyle name="Normal 221 4 2" xfId="37883"/>
    <cellStyle name="Normal 221 4 2 2" xfId="37884"/>
    <cellStyle name="Normal 221 4 3" xfId="37885"/>
    <cellStyle name="Normal 221 4 4" xfId="37886"/>
    <cellStyle name="Normal 221 5" xfId="37887"/>
    <cellStyle name="Normal 221 6" xfId="37888"/>
    <cellStyle name="Normal 221 6 2" xfId="37889"/>
    <cellStyle name="Normal 221 7" xfId="37890"/>
    <cellStyle name="Normal 221 8" xfId="37891"/>
    <cellStyle name="Normal 221 9" xfId="37892"/>
    <cellStyle name="Normal 222" xfId="37893"/>
    <cellStyle name="Normal 222 2" xfId="37894"/>
    <cellStyle name="Normal 222 2 2" xfId="37895"/>
    <cellStyle name="Normal 222 2 2 2" xfId="37896"/>
    <cellStyle name="Normal 222 2 2 2 2" xfId="37897"/>
    <cellStyle name="Normal 222 2 2 3" xfId="37898"/>
    <cellStyle name="Normal 222 2 3" xfId="37899"/>
    <cellStyle name="Normal 222 2 3 2" xfId="37900"/>
    <cellStyle name="Normal 222 2 4" xfId="37901"/>
    <cellStyle name="Normal 222 2 5" xfId="37902"/>
    <cellStyle name="Normal 222 3" xfId="37903"/>
    <cellStyle name="Normal 222 3 2" xfId="37904"/>
    <cellStyle name="Normal 222 3 3" xfId="37905"/>
    <cellStyle name="Normal 222 3 3 2" xfId="37906"/>
    <cellStyle name="Normal 222 3 4" xfId="37907"/>
    <cellStyle name="Normal 222 3 5" xfId="37908"/>
    <cellStyle name="Normal 222 4" xfId="37909"/>
    <cellStyle name="Normal 222 4 2" xfId="37910"/>
    <cellStyle name="Normal 222 4 2 2" xfId="37911"/>
    <cellStyle name="Normal 222 4 3" xfId="37912"/>
    <cellStyle name="Normal 222 4 4" xfId="37913"/>
    <cellStyle name="Normal 222 5" xfId="37914"/>
    <cellStyle name="Normal 222 6" xfId="37915"/>
    <cellStyle name="Normal 222 6 2" xfId="37916"/>
    <cellStyle name="Normal 222 7" xfId="37917"/>
    <cellStyle name="Normal 222 8" xfId="37918"/>
    <cellStyle name="Normal 222 9" xfId="37919"/>
    <cellStyle name="Normal 223" xfId="37920"/>
    <cellStyle name="Normal 223 2" xfId="37921"/>
    <cellStyle name="Normal 223 2 2" xfId="37922"/>
    <cellStyle name="Normal 223 2 2 2" xfId="37923"/>
    <cellStyle name="Normal 223 2 2 2 2" xfId="37924"/>
    <cellStyle name="Normal 223 2 2 3" xfId="37925"/>
    <cellStyle name="Normal 223 2 3" xfId="37926"/>
    <cellStyle name="Normal 223 2 3 2" xfId="37927"/>
    <cellStyle name="Normal 223 2 4" xfId="37928"/>
    <cellStyle name="Normal 223 2 5" xfId="37929"/>
    <cellStyle name="Normal 223 3" xfId="37930"/>
    <cellStyle name="Normal 223 3 2" xfId="37931"/>
    <cellStyle name="Normal 223 3 3" xfId="37932"/>
    <cellStyle name="Normal 223 3 3 2" xfId="37933"/>
    <cellStyle name="Normal 223 3 4" xfId="37934"/>
    <cellStyle name="Normal 223 3 5" xfId="37935"/>
    <cellStyle name="Normal 223 4" xfId="37936"/>
    <cellStyle name="Normal 223 4 2" xfId="37937"/>
    <cellStyle name="Normal 223 4 2 2" xfId="37938"/>
    <cellStyle name="Normal 223 4 3" xfId="37939"/>
    <cellStyle name="Normal 223 4 4" xfId="37940"/>
    <cellStyle name="Normal 223 5" xfId="37941"/>
    <cellStyle name="Normal 223 6" xfId="37942"/>
    <cellStyle name="Normal 223 6 2" xfId="37943"/>
    <cellStyle name="Normal 223 7" xfId="37944"/>
    <cellStyle name="Normal 223 8" xfId="37945"/>
    <cellStyle name="Normal 223 9" xfId="37946"/>
    <cellStyle name="Normal 224" xfId="37947"/>
    <cellStyle name="Normal 224 2" xfId="37948"/>
    <cellStyle name="Normal 225" xfId="37949"/>
    <cellStyle name="Normal 225 2" xfId="37950"/>
    <cellStyle name="Normal 226" xfId="37951"/>
    <cellStyle name="Normal 226 2" xfId="37952"/>
    <cellStyle name="Normal 227" xfId="37953"/>
    <cellStyle name="Normal 227 2" xfId="37954"/>
    <cellStyle name="Normal 228" xfId="37955"/>
    <cellStyle name="Normal 228 2" xfId="37956"/>
    <cellStyle name="Normal 229" xfId="37957"/>
    <cellStyle name="Normal 229 2" xfId="37958"/>
    <cellStyle name="Normal 23" xfId="37959"/>
    <cellStyle name="Normal 23 10" xfId="37960"/>
    <cellStyle name="Normal 23 10 2" xfId="37961"/>
    <cellStyle name="Normal 23 11" xfId="37962"/>
    <cellStyle name="Normal 23 11 2" xfId="37963"/>
    <cellStyle name="Normal 23 12" xfId="37964"/>
    <cellStyle name="Normal 23 2" xfId="37965"/>
    <cellStyle name="Normal 23 2 2" xfId="37966"/>
    <cellStyle name="Normal 23 2 2 2" xfId="37967"/>
    <cellStyle name="Normal 23 2 3" xfId="37968"/>
    <cellStyle name="Normal 23 3" xfId="37969"/>
    <cellStyle name="Normal 23 3 2" xfId="37970"/>
    <cellStyle name="Normal 23 3 2 2" xfId="37971"/>
    <cellStyle name="Normal 23 3 2 2 2" xfId="37972"/>
    <cellStyle name="Normal 23 3 2 2 2 2" xfId="37973"/>
    <cellStyle name="Normal 23 3 2 2 3" xfId="37974"/>
    <cellStyle name="Normal 23 3 2 3" xfId="37975"/>
    <cellStyle name="Normal 23 3 2 3 2" xfId="37976"/>
    <cellStyle name="Normal 23 3 2 4" xfId="37977"/>
    <cellStyle name="Normal 23 3 3" xfId="37978"/>
    <cellStyle name="Normal 23 3 3 2" xfId="37979"/>
    <cellStyle name="Normal 23 3 3 2 2" xfId="37980"/>
    <cellStyle name="Normal 23 3 3 3" xfId="37981"/>
    <cellStyle name="Normal 23 3 4" xfId="37982"/>
    <cellStyle name="Normal 23 3 4 2" xfId="37983"/>
    <cellStyle name="Normal 23 3 5" xfId="37984"/>
    <cellStyle name="Normal 23 3 5 2" xfId="37985"/>
    <cellStyle name="Normal 23 3 6" xfId="37986"/>
    <cellStyle name="Normal 23 3 6 2" xfId="37987"/>
    <cellStyle name="Normal 23 3 7" xfId="37988"/>
    <cellStyle name="Normal 23 3 7 2" xfId="37989"/>
    <cellStyle name="Normal 23 3 8" xfId="37990"/>
    <cellStyle name="Normal 23 3 8 2" xfId="37991"/>
    <cellStyle name="Normal 23 3 9" xfId="37992"/>
    <cellStyle name="Normal 23 3 9 2" xfId="37993"/>
    <cellStyle name="Normal 23 3_Dakota Panel" xfId="37994"/>
    <cellStyle name="Normal 23 4" xfId="37995"/>
    <cellStyle name="Normal 23 4 2" xfId="37996"/>
    <cellStyle name="Normal 23 4 2 2" xfId="37997"/>
    <cellStyle name="Normal 23 5" xfId="37998"/>
    <cellStyle name="Normal 23 5 2" xfId="37999"/>
    <cellStyle name="Normal 23 5 2 2" xfId="38000"/>
    <cellStyle name="Normal 23 6" xfId="38001"/>
    <cellStyle name="Normal 23 6 2" xfId="38002"/>
    <cellStyle name="Normal 23 6 2 2" xfId="38003"/>
    <cellStyle name="Normal 23 6 3" xfId="38004"/>
    <cellStyle name="Normal 23 6 4" xfId="38005"/>
    <cellStyle name="Normal 23 7" xfId="38006"/>
    <cellStyle name="Normal 23 7 2" xfId="38007"/>
    <cellStyle name="Normal 23 8" xfId="38008"/>
    <cellStyle name="Normal 23 8 2" xfId="38009"/>
    <cellStyle name="Normal 23 9" xfId="38010"/>
    <cellStyle name="Normal 23 9 2" xfId="38011"/>
    <cellStyle name="Normal 23_Dakota Panel" xfId="38012"/>
    <cellStyle name="Normal 230" xfId="38013"/>
    <cellStyle name="Normal 230 2" xfId="38014"/>
    <cellStyle name="Normal 231" xfId="38015"/>
    <cellStyle name="Normal 231 2" xfId="38016"/>
    <cellStyle name="Normal 232" xfId="38017"/>
    <cellStyle name="Normal 232 2" xfId="38018"/>
    <cellStyle name="Normal 233" xfId="38019"/>
    <cellStyle name="Normal 233 2" xfId="38020"/>
    <cellStyle name="Normal 234" xfId="38021"/>
    <cellStyle name="Normal 234 2" xfId="38022"/>
    <cellStyle name="Normal 235" xfId="38023"/>
    <cellStyle name="Normal 235 2" xfId="38024"/>
    <cellStyle name="Normal 236" xfId="38025"/>
    <cellStyle name="Normal 236 2" xfId="38026"/>
    <cellStyle name="Normal 237" xfId="38027"/>
    <cellStyle name="Normal 237 2" xfId="38028"/>
    <cellStyle name="Normal 238" xfId="38029"/>
    <cellStyle name="Normal 238 2" xfId="38030"/>
    <cellStyle name="Normal 239" xfId="38031"/>
    <cellStyle name="Normal 239 2" xfId="38032"/>
    <cellStyle name="Normal 24" xfId="38033"/>
    <cellStyle name="Normal 24 10" xfId="38034"/>
    <cellStyle name="Normal 24 10 2" xfId="38035"/>
    <cellStyle name="Normal 24 11" xfId="38036"/>
    <cellStyle name="Normal 24 11 2" xfId="38037"/>
    <cellStyle name="Normal 24 12" xfId="38038"/>
    <cellStyle name="Normal 24 2" xfId="38039"/>
    <cellStyle name="Normal 24 2 2" xfId="38040"/>
    <cellStyle name="Normal 24 2 2 2" xfId="38041"/>
    <cellStyle name="Normal 24 2 3" xfId="38042"/>
    <cellStyle name="Normal 24 3" xfId="38043"/>
    <cellStyle name="Normal 24 3 2" xfId="38044"/>
    <cellStyle name="Normal 24 3 2 2" xfId="38045"/>
    <cellStyle name="Normal 24 3 2 2 2" xfId="38046"/>
    <cellStyle name="Normal 24 3 2 2 2 2" xfId="38047"/>
    <cellStyle name="Normal 24 3 2 2 3" xfId="38048"/>
    <cellStyle name="Normal 24 3 2 3" xfId="38049"/>
    <cellStyle name="Normal 24 3 2 3 2" xfId="38050"/>
    <cellStyle name="Normal 24 3 2 4" xfId="38051"/>
    <cellStyle name="Normal 24 3 3" xfId="38052"/>
    <cellStyle name="Normal 24 3 3 2" xfId="38053"/>
    <cellStyle name="Normal 24 3 3 2 2" xfId="38054"/>
    <cellStyle name="Normal 24 3 3 3" xfId="38055"/>
    <cellStyle name="Normal 24 3 4" xfId="38056"/>
    <cellStyle name="Normal 24 3 4 2" xfId="38057"/>
    <cellStyle name="Normal 24 3 5" xfId="38058"/>
    <cellStyle name="Normal 24 3 5 2" xfId="38059"/>
    <cellStyle name="Normal 24 3 6" xfId="38060"/>
    <cellStyle name="Normal 24 3 6 2" xfId="38061"/>
    <cellStyle name="Normal 24 3 7" xfId="38062"/>
    <cellStyle name="Normal 24 3 7 2" xfId="38063"/>
    <cellStyle name="Normal 24 3 8" xfId="38064"/>
    <cellStyle name="Normal 24 3 8 2" xfId="38065"/>
    <cellStyle name="Normal 24 3 9" xfId="38066"/>
    <cellStyle name="Normal 24 3 9 2" xfId="38067"/>
    <cellStyle name="Normal 24 3_Dakota Panel" xfId="38068"/>
    <cellStyle name="Normal 24 4" xfId="38069"/>
    <cellStyle name="Normal 24 4 2" xfId="38070"/>
    <cellStyle name="Normal 24 4 2 2" xfId="38071"/>
    <cellStyle name="Normal 24 5" xfId="38072"/>
    <cellStyle name="Normal 24 5 2" xfId="38073"/>
    <cellStyle name="Normal 24 5 2 2" xfId="38074"/>
    <cellStyle name="Normal 24 6" xfId="38075"/>
    <cellStyle name="Normal 24 6 2" xfId="38076"/>
    <cellStyle name="Normal 24 6 2 2" xfId="38077"/>
    <cellStyle name="Normal 24 6 3" xfId="38078"/>
    <cellStyle name="Normal 24 6 4" xfId="38079"/>
    <cellStyle name="Normal 24 7" xfId="38080"/>
    <cellStyle name="Normal 24 7 2" xfId="38081"/>
    <cellStyle name="Normal 24 8" xfId="38082"/>
    <cellStyle name="Normal 24 8 2" xfId="38083"/>
    <cellStyle name="Normal 24 9" xfId="38084"/>
    <cellStyle name="Normal 24 9 2" xfId="38085"/>
    <cellStyle name="Normal 24_Dakota Panel" xfId="38086"/>
    <cellStyle name="Normal 240" xfId="38087"/>
    <cellStyle name="Normal 240 2" xfId="38088"/>
    <cellStyle name="Normal 241" xfId="38089"/>
    <cellStyle name="Normal 241 2" xfId="38090"/>
    <cellStyle name="Normal 242" xfId="38091"/>
    <cellStyle name="Normal 242 2" xfId="38092"/>
    <cellStyle name="Normal 243" xfId="38093"/>
    <cellStyle name="Normal 243 2" xfId="38094"/>
    <cellStyle name="Normal 244" xfId="38095"/>
    <cellStyle name="Normal 244 2" xfId="38096"/>
    <cellStyle name="Normal 245" xfId="38097"/>
    <cellStyle name="Normal 245 2" xfId="38098"/>
    <cellStyle name="Normal 246" xfId="38099"/>
    <cellStyle name="Normal 246 2" xfId="38100"/>
    <cellStyle name="Normal 247" xfId="38101"/>
    <cellStyle name="Normal 247 2" xfId="38102"/>
    <cellStyle name="Normal 248" xfId="38103"/>
    <cellStyle name="Normal 248 2" xfId="38104"/>
    <cellStyle name="Normal 249" xfId="38105"/>
    <cellStyle name="Normal 249 2" xfId="38106"/>
    <cellStyle name="Normal 25" xfId="38107"/>
    <cellStyle name="Normal 25 10" xfId="38108"/>
    <cellStyle name="Normal 25 10 2" xfId="38109"/>
    <cellStyle name="Normal 25 11" xfId="38110"/>
    <cellStyle name="Normal 25 11 2" xfId="38111"/>
    <cellStyle name="Normal 25 12" xfId="38112"/>
    <cellStyle name="Normal 25 2" xfId="38113"/>
    <cellStyle name="Normal 25 2 2" xfId="38114"/>
    <cellStyle name="Normal 25 2 2 2" xfId="38115"/>
    <cellStyle name="Normal 25 2 3" xfId="38116"/>
    <cellStyle name="Normal 25 3" xfId="38117"/>
    <cellStyle name="Normal 25 3 2" xfId="38118"/>
    <cellStyle name="Normal 25 3 2 2" xfId="38119"/>
    <cellStyle name="Normal 25 3 2 2 2" xfId="38120"/>
    <cellStyle name="Normal 25 3 2 2 2 2" xfId="38121"/>
    <cellStyle name="Normal 25 3 2 2 3" xfId="38122"/>
    <cellStyle name="Normal 25 3 2 3" xfId="38123"/>
    <cellStyle name="Normal 25 3 2 3 2" xfId="38124"/>
    <cellStyle name="Normal 25 3 2 4" xfId="38125"/>
    <cellStyle name="Normal 25 3 3" xfId="38126"/>
    <cellStyle name="Normal 25 3 3 2" xfId="38127"/>
    <cellStyle name="Normal 25 3 3 2 2" xfId="38128"/>
    <cellStyle name="Normal 25 3 3 3" xfId="38129"/>
    <cellStyle name="Normal 25 3 4" xfId="38130"/>
    <cellStyle name="Normal 25 3 4 2" xfId="38131"/>
    <cellStyle name="Normal 25 3 5" xfId="38132"/>
    <cellStyle name="Normal 25 4" xfId="38133"/>
    <cellStyle name="Normal 25 4 2" xfId="38134"/>
    <cellStyle name="Normal 25 4 2 2" xfId="38135"/>
    <cellStyle name="Normal 25 4 2 2 2" xfId="38136"/>
    <cellStyle name="Normal 25 4 3" xfId="38137"/>
    <cellStyle name="Normal 25 4 3 2" xfId="38138"/>
    <cellStyle name="Normal 25 4 4" xfId="38139"/>
    <cellStyle name="Normal 25 4 4 2" xfId="38140"/>
    <cellStyle name="Normal 25 4 5" xfId="38141"/>
    <cellStyle name="Normal 25 4 5 2" xfId="38142"/>
    <cellStyle name="Normal 25 4 6" xfId="38143"/>
    <cellStyle name="Normal 25 4 6 2" xfId="38144"/>
    <cellStyle name="Normal 25 4 7" xfId="38145"/>
    <cellStyle name="Normal 25 4 7 2" xfId="38146"/>
    <cellStyle name="Normal 25 4 8" xfId="38147"/>
    <cellStyle name="Normal 25 4 8 2" xfId="38148"/>
    <cellStyle name="Normal 25 4 9" xfId="38149"/>
    <cellStyle name="Normal 25 4 9 2" xfId="38150"/>
    <cellStyle name="Normal 25 4_Dakota Panel" xfId="38151"/>
    <cellStyle name="Normal 25 5" xfId="38152"/>
    <cellStyle name="Normal 25 5 2" xfId="38153"/>
    <cellStyle name="Normal 25 5 2 2" xfId="38154"/>
    <cellStyle name="Normal 25 6" xfId="38155"/>
    <cellStyle name="Normal 25 6 2" xfId="38156"/>
    <cellStyle name="Normal 25 6 2 2" xfId="38157"/>
    <cellStyle name="Normal 25 7" xfId="38158"/>
    <cellStyle name="Normal 25 7 2" xfId="38159"/>
    <cellStyle name="Normal 25 7 2 2" xfId="38160"/>
    <cellStyle name="Normal 25 7 3" xfId="38161"/>
    <cellStyle name="Normal 25 7 4" xfId="38162"/>
    <cellStyle name="Normal 25 8" xfId="38163"/>
    <cellStyle name="Normal 25 8 2" xfId="38164"/>
    <cellStyle name="Normal 25 9" xfId="38165"/>
    <cellStyle name="Normal 25 9 2" xfId="38166"/>
    <cellStyle name="Normal 25_Dakota Panel" xfId="38167"/>
    <cellStyle name="Normal 250" xfId="38168"/>
    <cellStyle name="Normal 250 2" xfId="38169"/>
    <cellStyle name="Normal 251" xfId="38170"/>
    <cellStyle name="Normal 251 2" xfId="38171"/>
    <cellStyle name="Normal 252" xfId="38172"/>
    <cellStyle name="Normal 252 2" xfId="38173"/>
    <cellStyle name="Normal 253" xfId="38174"/>
    <cellStyle name="Normal 253 2" xfId="38175"/>
    <cellStyle name="Normal 254" xfId="38176"/>
    <cellStyle name="Normal 254 2" xfId="38177"/>
    <cellStyle name="Normal 255" xfId="38178"/>
    <cellStyle name="Normal 255 2" xfId="38179"/>
    <cellStyle name="Normal 256" xfId="38180"/>
    <cellStyle name="Normal 256 2" xfId="38181"/>
    <cellStyle name="Normal 257" xfId="38182"/>
    <cellStyle name="Normal 257 2" xfId="38183"/>
    <cellStyle name="Normal 258" xfId="38184"/>
    <cellStyle name="Normal 258 2" xfId="38185"/>
    <cellStyle name="Normal 259" xfId="38186"/>
    <cellStyle name="Normal 259 2" xfId="38187"/>
    <cellStyle name="Normal 26" xfId="38188"/>
    <cellStyle name="Normal 26 10" xfId="38189"/>
    <cellStyle name="Normal 26 10 2" xfId="38190"/>
    <cellStyle name="Normal 26 11" xfId="38191"/>
    <cellStyle name="Normal 26 11 2" xfId="38192"/>
    <cellStyle name="Normal 26 12" xfId="38193"/>
    <cellStyle name="Normal 26 2" xfId="38194"/>
    <cellStyle name="Normal 26 2 2" xfId="38195"/>
    <cellStyle name="Normal 26 2 2 2" xfId="38196"/>
    <cellStyle name="Normal 26 2 3" xfId="38197"/>
    <cellStyle name="Normal 26 3" xfId="38198"/>
    <cellStyle name="Normal 26 3 2" xfId="38199"/>
    <cellStyle name="Normal 26 3 2 2" xfId="38200"/>
    <cellStyle name="Normal 26 3 2 2 2" xfId="38201"/>
    <cellStyle name="Normal 26 3 2 2 2 2" xfId="38202"/>
    <cellStyle name="Normal 26 3 2 2 3" xfId="38203"/>
    <cellStyle name="Normal 26 3 2 3" xfId="38204"/>
    <cellStyle name="Normal 26 3 2 3 2" xfId="38205"/>
    <cellStyle name="Normal 26 3 2 4" xfId="38206"/>
    <cellStyle name="Normal 26 3 3" xfId="38207"/>
    <cellStyle name="Normal 26 3 3 2" xfId="38208"/>
    <cellStyle name="Normal 26 3 3 2 2" xfId="38209"/>
    <cellStyle name="Normal 26 3 3 3" xfId="38210"/>
    <cellStyle name="Normal 26 3 4" xfId="38211"/>
    <cellStyle name="Normal 26 3 4 2" xfId="38212"/>
    <cellStyle name="Normal 26 3 5" xfId="38213"/>
    <cellStyle name="Normal 26 3 5 2" xfId="38214"/>
    <cellStyle name="Normal 26 3 6" xfId="38215"/>
    <cellStyle name="Normal 26 3 6 2" xfId="38216"/>
    <cellStyle name="Normal 26 3 7" xfId="38217"/>
    <cellStyle name="Normal 26 3 7 2" xfId="38218"/>
    <cellStyle name="Normal 26 3 8" xfId="38219"/>
    <cellStyle name="Normal 26 3 8 2" xfId="38220"/>
    <cellStyle name="Normal 26 3 9" xfId="38221"/>
    <cellStyle name="Normal 26 3 9 2" xfId="38222"/>
    <cellStyle name="Normal 26 3_Dakota Panel" xfId="38223"/>
    <cellStyle name="Normal 26 4" xfId="38224"/>
    <cellStyle name="Normal 26 4 2" xfId="38225"/>
    <cellStyle name="Normal 26 4 2 2" xfId="38226"/>
    <cellStyle name="Normal 26 5" xfId="38227"/>
    <cellStyle name="Normal 26 5 2" xfId="38228"/>
    <cellStyle name="Normal 26 5 2 2" xfId="38229"/>
    <cellStyle name="Normal 26 6" xfId="38230"/>
    <cellStyle name="Normal 26 6 2" xfId="38231"/>
    <cellStyle name="Normal 26 6 2 2" xfId="38232"/>
    <cellStyle name="Normal 26 6 3" xfId="38233"/>
    <cellStyle name="Normal 26 6 4" xfId="38234"/>
    <cellStyle name="Normal 26 7" xfId="38235"/>
    <cellStyle name="Normal 26 7 2" xfId="38236"/>
    <cellStyle name="Normal 26 8" xfId="38237"/>
    <cellStyle name="Normal 26 8 2" xfId="38238"/>
    <cellStyle name="Normal 26 9" xfId="38239"/>
    <cellStyle name="Normal 26 9 2" xfId="38240"/>
    <cellStyle name="Normal 26_Dakota Panel" xfId="38241"/>
    <cellStyle name="Normal 260" xfId="38242"/>
    <cellStyle name="Normal 260 2" xfId="38243"/>
    <cellStyle name="Normal 261" xfId="38244"/>
    <cellStyle name="Normal 261 2" xfId="38245"/>
    <cellStyle name="Normal 262" xfId="38246"/>
    <cellStyle name="Normal 262 2" xfId="38247"/>
    <cellStyle name="Normal 263" xfId="38248"/>
    <cellStyle name="Normal 263 2" xfId="38249"/>
    <cellStyle name="Normal 264" xfId="38250"/>
    <cellStyle name="Normal 264 2" xfId="38251"/>
    <cellStyle name="Normal 265" xfId="38252"/>
    <cellStyle name="Normal 265 2" xfId="38253"/>
    <cellStyle name="Normal 266" xfId="38254"/>
    <cellStyle name="Normal 266 2" xfId="38255"/>
    <cellStyle name="Normal 267" xfId="38256"/>
    <cellStyle name="Normal 267 2" xfId="38257"/>
    <cellStyle name="Normal 268" xfId="38258"/>
    <cellStyle name="Normal 268 2" xfId="38259"/>
    <cellStyle name="Normal 269" xfId="38260"/>
    <cellStyle name="Normal 27" xfId="38261"/>
    <cellStyle name="Normal 27 10" xfId="38262"/>
    <cellStyle name="Normal 27 10 2" xfId="38263"/>
    <cellStyle name="Normal 27 11" xfId="38264"/>
    <cellStyle name="Normal 27 11 2" xfId="38265"/>
    <cellStyle name="Normal 27 12" xfId="38266"/>
    <cellStyle name="Normal 27 2" xfId="38267"/>
    <cellStyle name="Normal 27 2 2" xfId="38268"/>
    <cellStyle name="Normal 27 2 2 2" xfId="38269"/>
    <cellStyle name="Normal 27 2 3" xfId="38270"/>
    <cellStyle name="Normal 27 3" xfId="38271"/>
    <cellStyle name="Normal 27 3 2" xfId="38272"/>
    <cellStyle name="Normal 27 3 2 2" xfId="38273"/>
    <cellStyle name="Normal 27 3 2 2 2" xfId="38274"/>
    <cellStyle name="Normal 27 3 2 2 2 2" xfId="38275"/>
    <cellStyle name="Normal 27 3 2 2 3" xfId="38276"/>
    <cellStyle name="Normal 27 3 2 3" xfId="38277"/>
    <cellStyle name="Normal 27 3 2 3 2" xfId="38278"/>
    <cellStyle name="Normal 27 3 2 4" xfId="38279"/>
    <cellStyle name="Normal 27 3 3" xfId="38280"/>
    <cellStyle name="Normal 27 3 3 2" xfId="38281"/>
    <cellStyle name="Normal 27 3 3 2 2" xfId="38282"/>
    <cellStyle name="Normal 27 3 3 3" xfId="38283"/>
    <cellStyle name="Normal 27 3 4" xfId="38284"/>
    <cellStyle name="Normal 27 3 4 2" xfId="38285"/>
    <cellStyle name="Normal 27 3 5" xfId="38286"/>
    <cellStyle name="Normal 27 3 5 2" xfId="38287"/>
    <cellStyle name="Normal 27 3 6" xfId="38288"/>
    <cellStyle name="Normal 27 3 6 2" xfId="38289"/>
    <cellStyle name="Normal 27 3 7" xfId="38290"/>
    <cellStyle name="Normal 27 3 7 2" xfId="38291"/>
    <cellStyle name="Normal 27 3 8" xfId="38292"/>
    <cellStyle name="Normal 27 3 8 2" xfId="38293"/>
    <cellStyle name="Normal 27 3 9" xfId="38294"/>
    <cellStyle name="Normal 27 3 9 2" xfId="38295"/>
    <cellStyle name="Normal 27 3_Dakota Panel" xfId="38296"/>
    <cellStyle name="Normal 27 4" xfId="38297"/>
    <cellStyle name="Normal 27 4 2" xfId="38298"/>
    <cellStyle name="Normal 27 4 2 2" xfId="38299"/>
    <cellStyle name="Normal 27 5" xfId="38300"/>
    <cellStyle name="Normal 27 5 2" xfId="38301"/>
    <cellStyle name="Normal 27 5 2 2" xfId="38302"/>
    <cellStyle name="Normal 27 6" xfId="38303"/>
    <cellStyle name="Normal 27 6 2" xfId="38304"/>
    <cellStyle name="Normal 27 6 2 2" xfId="38305"/>
    <cellStyle name="Normal 27 6 3" xfId="38306"/>
    <cellStyle name="Normal 27 6 4" xfId="38307"/>
    <cellStyle name="Normal 27 7" xfId="38308"/>
    <cellStyle name="Normal 27 7 2" xfId="38309"/>
    <cellStyle name="Normal 27 8" xfId="38310"/>
    <cellStyle name="Normal 27 8 2" xfId="38311"/>
    <cellStyle name="Normal 27 9" xfId="38312"/>
    <cellStyle name="Normal 27 9 2" xfId="38313"/>
    <cellStyle name="Normal 27_Dakota Panel" xfId="38314"/>
    <cellStyle name="Normal 270" xfId="38315"/>
    <cellStyle name="Normal 270 2" xfId="38316"/>
    <cellStyle name="Normal 271" xfId="38317"/>
    <cellStyle name="Normal 271 2" xfId="38318"/>
    <cellStyle name="Normal 272" xfId="38319"/>
    <cellStyle name="Normal 272 2" xfId="38320"/>
    <cellStyle name="Normal 273" xfId="38321"/>
    <cellStyle name="Normal 273 2" xfId="38322"/>
    <cellStyle name="Normal 274" xfId="38323"/>
    <cellStyle name="Normal 275" xfId="38324"/>
    <cellStyle name="Normal 276" xfId="38325"/>
    <cellStyle name="Normal 277" xfId="38326"/>
    <cellStyle name="Normal 278" xfId="38327"/>
    <cellStyle name="Normal 279" xfId="38328"/>
    <cellStyle name="Normal 28" xfId="38329"/>
    <cellStyle name="Normal 28 10" xfId="38330"/>
    <cellStyle name="Normal 28 10 2" xfId="38331"/>
    <cellStyle name="Normal 28 11" xfId="38332"/>
    <cellStyle name="Normal 28 11 2" xfId="38333"/>
    <cellStyle name="Normal 28 12" xfId="38334"/>
    <cellStyle name="Normal 28 2" xfId="38335"/>
    <cellStyle name="Normal 28 2 2" xfId="38336"/>
    <cellStyle name="Normal 28 2 2 2" xfId="38337"/>
    <cellStyle name="Normal 28 2 3" xfId="38338"/>
    <cellStyle name="Normal 28 3" xfId="38339"/>
    <cellStyle name="Normal 28 3 2" xfId="38340"/>
    <cellStyle name="Normal 28 3 2 2" xfId="38341"/>
    <cellStyle name="Normal 28 3 2 2 2" xfId="38342"/>
    <cellStyle name="Normal 28 3 3" xfId="38343"/>
    <cellStyle name="Normal 28 3 3 2" xfId="38344"/>
    <cellStyle name="Normal 28 3 4" xfId="38345"/>
    <cellStyle name="Normal 28 3 4 2" xfId="38346"/>
    <cellStyle name="Normal 28 3 5" xfId="38347"/>
    <cellStyle name="Normal 28 3 5 2" xfId="38348"/>
    <cellStyle name="Normal 28 3 6" xfId="38349"/>
    <cellStyle name="Normal 28 3 6 2" xfId="38350"/>
    <cellStyle name="Normal 28 3 7" xfId="38351"/>
    <cellStyle name="Normal 28 3 7 2" xfId="38352"/>
    <cellStyle name="Normal 28 3 8" xfId="38353"/>
    <cellStyle name="Normal 28 3 8 2" xfId="38354"/>
    <cellStyle name="Normal 28 3 9" xfId="38355"/>
    <cellStyle name="Normal 28 3 9 2" xfId="38356"/>
    <cellStyle name="Normal 28 3_Dakota Panel" xfId="38357"/>
    <cellStyle name="Normal 28 4" xfId="38358"/>
    <cellStyle name="Normal 28 4 2" xfId="38359"/>
    <cellStyle name="Normal 28 4 2 2" xfId="38360"/>
    <cellStyle name="Normal 28 5" xfId="38361"/>
    <cellStyle name="Normal 28 5 2" xfId="38362"/>
    <cellStyle name="Normal 28 5 2 2" xfId="38363"/>
    <cellStyle name="Normal 28 6" xfId="38364"/>
    <cellStyle name="Normal 28 6 2" xfId="38365"/>
    <cellStyle name="Normal 28 6 2 2" xfId="38366"/>
    <cellStyle name="Normal 28 6 3" xfId="38367"/>
    <cellStyle name="Normal 28 6 4" xfId="38368"/>
    <cellStyle name="Normal 28 7" xfId="38369"/>
    <cellStyle name="Normal 28 7 2" xfId="38370"/>
    <cellStyle name="Normal 28 8" xfId="38371"/>
    <cellStyle name="Normal 28 8 2" xfId="38372"/>
    <cellStyle name="Normal 28 9" xfId="38373"/>
    <cellStyle name="Normal 28 9 2" xfId="38374"/>
    <cellStyle name="Normal 28_Dakota Panel" xfId="38375"/>
    <cellStyle name="Normal 280" xfId="38376"/>
    <cellStyle name="Normal 281" xfId="38377"/>
    <cellStyle name="Normal 282" xfId="38378"/>
    <cellStyle name="Normal 283" xfId="38379"/>
    <cellStyle name="Normal 283 2" xfId="38380"/>
    <cellStyle name="Normal 284" xfId="38381"/>
    <cellStyle name="Normal 285" xfId="38382"/>
    <cellStyle name="Normal 286" xfId="38383"/>
    <cellStyle name="Normal 287" xfId="38384"/>
    <cellStyle name="Normal 288" xfId="38385"/>
    <cellStyle name="Normal 289" xfId="38386"/>
    <cellStyle name="Normal 29" xfId="38387"/>
    <cellStyle name="Normal 29 10" xfId="38388"/>
    <cellStyle name="Normal 29 10 2" xfId="38389"/>
    <cellStyle name="Normal 29 11" xfId="38390"/>
    <cellStyle name="Normal 29 11 2" xfId="38391"/>
    <cellStyle name="Normal 29 12" xfId="38392"/>
    <cellStyle name="Normal 29 2" xfId="38393"/>
    <cellStyle name="Normal 29 2 2" xfId="38394"/>
    <cellStyle name="Normal 29 2 2 2" xfId="38395"/>
    <cellStyle name="Normal 29 2 3" xfId="38396"/>
    <cellStyle name="Normal 29 3" xfId="38397"/>
    <cellStyle name="Normal 29 3 2" xfId="38398"/>
    <cellStyle name="Normal 29 3 2 2" xfId="38399"/>
    <cellStyle name="Normal 29 3 2 2 2" xfId="38400"/>
    <cellStyle name="Normal 29 3 2 2 2 2" xfId="38401"/>
    <cellStyle name="Normal 29 3 2 2 3" xfId="38402"/>
    <cellStyle name="Normal 29 3 2 3" xfId="38403"/>
    <cellStyle name="Normal 29 3 2 3 2" xfId="38404"/>
    <cellStyle name="Normal 29 3 2 4" xfId="38405"/>
    <cellStyle name="Normal 29 3 3" xfId="38406"/>
    <cellStyle name="Normal 29 3 3 2" xfId="38407"/>
    <cellStyle name="Normal 29 3 3 2 2" xfId="38408"/>
    <cellStyle name="Normal 29 3 3 3" xfId="38409"/>
    <cellStyle name="Normal 29 3 4" xfId="38410"/>
    <cellStyle name="Normal 29 3 4 2" xfId="38411"/>
    <cellStyle name="Normal 29 3 5" xfId="38412"/>
    <cellStyle name="Normal 29 4" xfId="38413"/>
    <cellStyle name="Normal 29 4 2" xfId="38414"/>
    <cellStyle name="Normal 29 4 2 2" xfId="38415"/>
    <cellStyle name="Normal 29 4 2 2 2" xfId="38416"/>
    <cellStyle name="Normal 29 4 3" xfId="38417"/>
    <cellStyle name="Normal 29 4 3 2" xfId="38418"/>
    <cellStyle name="Normal 29 4 4" xfId="38419"/>
    <cellStyle name="Normal 29 4 4 2" xfId="38420"/>
    <cellStyle name="Normal 29 4 5" xfId="38421"/>
    <cellStyle name="Normal 29 4 5 2" xfId="38422"/>
    <cellStyle name="Normal 29 4 6" xfId="38423"/>
    <cellStyle name="Normal 29 4 6 2" xfId="38424"/>
    <cellStyle name="Normal 29 4 7" xfId="38425"/>
    <cellStyle name="Normal 29 4 7 2" xfId="38426"/>
    <cellStyle name="Normal 29 4 8" xfId="38427"/>
    <cellStyle name="Normal 29 4 8 2" xfId="38428"/>
    <cellStyle name="Normal 29 4 9" xfId="38429"/>
    <cellStyle name="Normal 29 4 9 2" xfId="38430"/>
    <cellStyle name="Normal 29 4_Dakota Panel" xfId="38431"/>
    <cellStyle name="Normal 29 5" xfId="38432"/>
    <cellStyle name="Normal 29 5 2" xfId="38433"/>
    <cellStyle name="Normal 29 5 2 2" xfId="38434"/>
    <cellStyle name="Normal 29 6" xfId="38435"/>
    <cellStyle name="Normal 29 6 2" xfId="38436"/>
    <cellStyle name="Normal 29 6 2 2" xfId="38437"/>
    <cellStyle name="Normal 29 7" xfId="38438"/>
    <cellStyle name="Normal 29 7 2" xfId="38439"/>
    <cellStyle name="Normal 29 7 2 2" xfId="38440"/>
    <cellStyle name="Normal 29 7 3" xfId="38441"/>
    <cellStyle name="Normal 29 7 4" xfId="38442"/>
    <cellStyle name="Normal 29 8" xfId="38443"/>
    <cellStyle name="Normal 29 8 2" xfId="38444"/>
    <cellStyle name="Normal 29 9" xfId="38445"/>
    <cellStyle name="Normal 29 9 2" xfId="38446"/>
    <cellStyle name="Normal 29_Dakota Panel" xfId="38447"/>
    <cellStyle name="Normal 290" xfId="38448"/>
    <cellStyle name="Normal 291" xfId="38449"/>
    <cellStyle name="Normal 292" xfId="38450"/>
    <cellStyle name="Normal 293" xfId="38451"/>
    <cellStyle name="Normal 294" xfId="38452"/>
    <cellStyle name="Normal 295" xfId="38453"/>
    <cellStyle name="Normal 296" xfId="38454"/>
    <cellStyle name="Normal 297" xfId="38455"/>
    <cellStyle name="Normal 298" xfId="38456"/>
    <cellStyle name="Normal 299" xfId="38457"/>
    <cellStyle name="Normal 3" xfId="38458"/>
    <cellStyle name="Normal 3 10" xfId="38459"/>
    <cellStyle name="Normal 3 10 2" xfId="38460"/>
    <cellStyle name="Normal 3 10 3" xfId="38461"/>
    <cellStyle name="Normal 3 10 4" xfId="38462"/>
    <cellStyle name="Normal 3 10 4 2" xfId="38463"/>
    <cellStyle name="Normal 3 11" xfId="38464"/>
    <cellStyle name="Normal 3 11 2" xfId="38465"/>
    <cellStyle name="Normal 3 11 2 2" xfId="38466"/>
    <cellStyle name="Normal 3 11 2 2 2" xfId="38467"/>
    <cellStyle name="Normal 3 11 2 2 3" xfId="38468"/>
    <cellStyle name="Normal 3 11 2 3" xfId="38469"/>
    <cellStyle name="Normal 3 11 2 3 2" xfId="38470"/>
    <cellStyle name="Normal 3 11 2 4" xfId="38471"/>
    <cellStyle name="Normal 3 11 2 5" xfId="38472"/>
    <cellStyle name="Normal 3 11 3" xfId="38473"/>
    <cellStyle name="Normal 3 11 3 2" xfId="38474"/>
    <cellStyle name="Normal 3 11 3 2 2" xfId="38475"/>
    <cellStyle name="Normal 3 11 3 3" xfId="38476"/>
    <cellStyle name="Normal 3 11 3 4" xfId="38477"/>
    <cellStyle name="Normal 3 11 4" xfId="38478"/>
    <cellStyle name="Normal 3 11 4 2" xfId="38479"/>
    <cellStyle name="Normal 3 11 4 2 2" xfId="38480"/>
    <cellStyle name="Normal 3 11 4 3" xfId="38481"/>
    <cellStyle name="Normal 3 11 4 4" xfId="38482"/>
    <cellStyle name="Normal 3 11 5" xfId="38483"/>
    <cellStyle name="Normal 3 11 5 2" xfId="38484"/>
    <cellStyle name="Normal 3 11 6" xfId="38485"/>
    <cellStyle name="Normal 3 11 7" xfId="38486"/>
    <cellStyle name="Normal 3 11 8" xfId="38487"/>
    <cellStyle name="Normal 3 12" xfId="38488"/>
    <cellStyle name="Normal 3 12 2" xfId="38489"/>
    <cellStyle name="Normal 3 12 2 2" xfId="38490"/>
    <cellStyle name="Normal 3 12 2 2 2" xfId="38491"/>
    <cellStyle name="Normal 3 12 2 2 3" xfId="38492"/>
    <cellStyle name="Normal 3 12 2 3" xfId="38493"/>
    <cellStyle name="Normal 3 12 2 3 2" xfId="38494"/>
    <cellStyle name="Normal 3 12 2 4" xfId="38495"/>
    <cellStyle name="Normal 3 12 2 5" xfId="38496"/>
    <cellStyle name="Normal 3 12 3" xfId="38497"/>
    <cellStyle name="Normal 3 12 3 2" xfId="38498"/>
    <cellStyle name="Normal 3 12 3 2 2" xfId="38499"/>
    <cellStyle name="Normal 3 12 3 3" xfId="38500"/>
    <cellStyle name="Normal 3 12 3 4" xfId="38501"/>
    <cellStyle name="Normal 3 12 4" xfId="38502"/>
    <cellStyle name="Normal 3 12 4 2" xfId="38503"/>
    <cellStyle name="Normal 3 12 4 2 2" xfId="38504"/>
    <cellStyle name="Normal 3 12 4 3" xfId="38505"/>
    <cellStyle name="Normal 3 12 4 4" xfId="38506"/>
    <cellStyle name="Normal 3 12 5" xfId="38507"/>
    <cellStyle name="Normal 3 12 5 2" xfId="38508"/>
    <cellStyle name="Normal 3 12 6" xfId="38509"/>
    <cellStyle name="Normal 3 12 7" xfId="38510"/>
    <cellStyle name="Normal 3 12 8" xfId="38511"/>
    <cellStyle name="Normal 3 13" xfId="38512"/>
    <cellStyle name="Normal 3 13 2" xfId="38513"/>
    <cellStyle name="Normal 3 13 2 2" xfId="38514"/>
    <cellStyle name="Normal 3 13 2 2 2" xfId="38515"/>
    <cellStyle name="Normal 3 13 2 2 3" xfId="38516"/>
    <cellStyle name="Normal 3 13 2 3" xfId="38517"/>
    <cellStyle name="Normal 3 13 2 3 2" xfId="38518"/>
    <cellStyle name="Normal 3 13 2 4" xfId="38519"/>
    <cellStyle name="Normal 3 13 2 5" xfId="38520"/>
    <cellStyle name="Normal 3 13 3" xfId="38521"/>
    <cellStyle name="Normal 3 13 3 2" xfId="38522"/>
    <cellStyle name="Normal 3 13 3 2 2" xfId="38523"/>
    <cellStyle name="Normal 3 13 3 3" xfId="38524"/>
    <cellStyle name="Normal 3 13 3 4" xfId="38525"/>
    <cellStyle name="Normal 3 13 4" xfId="38526"/>
    <cellStyle name="Normal 3 13 4 2" xfId="38527"/>
    <cellStyle name="Normal 3 13 4 2 2" xfId="38528"/>
    <cellStyle name="Normal 3 13 4 3" xfId="38529"/>
    <cellStyle name="Normal 3 13 4 4" xfId="38530"/>
    <cellStyle name="Normal 3 13 5" xfId="38531"/>
    <cellStyle name="Normal 3 13 5 2" xfId="38532"/>
    <cellStyle name="Normal 3 13 6" xfId="38533"/>
    <cellStyle name="Normal 3 13 7" xfId="38534"/>
    <cellStyle name="Normal 3 13 8" xfId="38535"/>
    <cellStyle name="Normal 3 14" xfId="38536"/>
    <cellStyle name="Normal 3 15" xfId="38537"/>
    <cellStyle name="Normal 3 15 2" xfId="38538"/>
    <cellStyle name="Normal 3 15 2 2" xfId="38539"/>
    <cellStyle name="Normal 3 15 3" xfId="38540"/>
    <cellStyle name="Normal 3 15 4" xfId="38541"/>
    <cellStyle name="Normal 3 16" xfId="38542"/>
    <cellStyle name="Normal 3 16 2" xfId="38543"/>
    <cellStyle name="Normal 3 17" xfId="38544"/>
    <cellStyle name="Normal 3 2" xfId="38545"/>
    <cellStyle name="Normal 3 2 10" xfId="38546"/>
    <cellStyle name="Normal 3 2 10 2" xfId="38547"/>
    <cellStyle name="Normal 3 2 10 2 2" xfId="38548"/>
    <cellStyle name="Normal 3 2 10 2 2 2" xfId="38549"/>
    <cellStyle name="Normal 3 2 10 2 2 3" xfId="38550"/>
    <cellStyle name="Normal 3 2 10 2 3" xfId="38551"/>
    <cellStyle name="Normal 3 2 10 2 3 2" xfId="38552"/>
    <cellStyle name="Normal 3 2 10 2 4" xfId="38553"/>
    <cellStyle name="Normal 3 2 10 2 5" xfId="38554"/>
    <cellStyle name="Normal 3 2 10 3" xfId="38555"/>
    <cellStyle name="Normal 3 2 10 3 2" xfId="38556"/>
    <cellStyle name="Normal 3 2 10 3 2 2" xfId="38557"/>
    <cellStyle name="Normal 3 2 10 3 3" xfId="38558"/>
    <cellStyle name="Normal 3 2 10 3 4" xfId="38559"/>
    <cellStyle name="Normal 3 2 10 4" xfId="38560"/>
    <cellStyle name="Normal 3 2 10 4 2" xfId="38561"/>
    <cellStyle name="Normal 3 2 10 4 2 2" xfId="38562"/>
    <cellStyle name="Normal 3 2 10 4 3" xfId="38563"/>
    <cellStyle name="Normal 3 2 10 4 4" xfId="38564"/>
    <cellStyle name="Normal 3 2 10 5" xfId="38565"/>
    <cellStyle name="Normal 3 2 10 5 2" xfId="38566"/>
    <cellStyle name="Normal 3 2 10 6" xfId="38567"/>
    <cellStyle name="Normal 3 2 10 7" xfId="38568"/>
    <cellStyle name="Normal 3 2 10 8" xfId="38569"/>
    <cellStyle name="Normal 3 2 11" xfId="38570"/>
    <cellStyle name="Normal 3 2 11 2" xfId="38571"/>
    <cellStyle name="Normal 3 2 11 2 2" xfId="38572"/>
    <cellStyle name="Normal 3 2 11 2 2 2" xfId="38573"/>
    <cellStyle name="Normal 3 2 11 2 2 3" xfId="38574"/>
    <cellStyle name="Normal 3 2 11 2 3" xfId="38575"/>
    <cellStyle name="Normal 3 2 11 2 3 2" xfId="38576"/>
    <cellStyle name="Normal 3 2 11 2 4" xfId="38577"/>
    <cellStyle name="Normal 3 2 11 2 5" xfId="38578"/>
    <cellStyle name="Normal 3 2 11 3" xfId="38579"/>
    <cellStyle name="Normal 3 2 11 3 2" xfId="38580"/>
    <cellStyle name="Normal 3 2 11 3 2 2" xfId="38581"/>
    <cellStyle name="Normal 3 2 11 3 3" xfId="38582"/>
    <cellStyle name="Normal 3 2 11 3 4" xfId="38583"/>
    <cellStyle name="Normal 3 2 11 4" xfId="38584"/>
    <cellStyle name="Normal 3 2 11 4 2" xfId="38585"/>
    <cellStyle name="Normal 3 2 11 4 2 2" xfId="38586"/>
    <cellStyle name="Normal 3 2 11 4 3" xfId="38587"/>
    <cellStyle name="Normal 3 2 11 4 4" xfId="38588"/>
    <cellStyle name="Normal 3 2 11 5" xfId="38589"/>
    <cellStyle name="Normal 3 2 11 5 2" xfId="38590"/>
    <cellStyle name="Normal 3 2 11 6" xfId="38591"/>
    <cellStyle name="Normal 3 2 11 7" xfId="38592"/>
    <cellStyle name="Normal 3 2 11 8" xfId="38593"/>
    <cellStyle name="Normal 3 2 12" xfId="38594"/>
    <cellStyle name="Normal 3 2 12 2" xfId="38595"/>
    <cellStyle name="Normal 3 2 12 2 2" xfId="38596"/>
    <cellStyle name="Normal 3 2 12 2 2 2" xfId="38597"/>
    <cellStyle name="Normal 3 2 12 2 2 3" xfId="38598"/>
    <cellStyle name="Normal 3 2 12 2 3" xfId="38599"/>
    <cellStyle name="Normal 3 2 12 2 3 2" xfId="38600"/>
    <cellStyle name="Normal 3 2 12 2 4" xfId="38601"/>
    <cellStyle name="Normal 3 2 12 2 5" xfId="38602"/>
    <cellStyle name="Normal 3 2 12 3" xfId="38603"/>
    <cellStyle name="Normal 3 2 12 3 2" xfId="38604"/>
    <cellStyle name="Normal 3 2 12 3 2 2" xfId="38605"/>
    <cellStyle name="Normal 3 2 12 3 3" xfId="38606"/>
    <cellStyle name="Normal 3 2 12 3 4" xfId="38607"/>
    <cellStyle name="Normal 3 2 12 4" xfId="38608"/>
    <cellStyle name="Normal 3 2 12 4 2" xfId="38609"/>
    <cellStyle name="Normal 3 2 12 4 2 2" xfId="38610"/>
    <cellStyle name="Normal 3 2 12 4 3" xfId="38611"/>
    <cellStyle name="Normal 3 2 12 4 4" xfId="38612"/>
    <cellStyle name="Normal 3 2 12 5" xfId="38613"/>
    <cellStyle name="Normal 3 2 12 5 2" xfId="38614"/>
    <cellStyle name="Normal 3 2 12 6" xfId="38615"/>
    <cellStyle name="Normal 3 2 12 7" xfId="38616"/>
    <cellStyle name="Normal 3 2 12 8" xfId="38617"/>
    <cellStyle name="Normal 3 2 13" xfId="38618"/>
    <cellStyle name="Normal 3 2 2" xfId="38619"/>
    <cellStyle name="Normal 3 2 2 2" xfId="38620"/>
    <cellStyle name="Normal 3 2 2 2 2" xfId="38621"/>
    <cellStyle name="Normal 3 2 2 2 2 2" xfId="38622"/>
    <cellStyle name="Normal 3 2 2 2 2 2 2" xfId="38623"/>
    <cellStyle name="Normal 3 2 2 2 2 2 2 2" xfId="38624"/>
    <cellStyle name="Normal 3 2 2 2 2 2 2 2 2" xfId="38625"/>
    <cellStyle name="Normal 3 2 2 2 2 2 2 2 2 2" xfId="38626"/>
    <cellStyle name="Normal 3 2 2 2 2 2 2 2 2 3" xfId="38627"/>
    <cellStyle name="Normal 3 2 2 2 2 2 2 2 3" xfId="38628"/>
    <cellStyle name="Normal 3 2 2 2 2 2 2 2 3 2" xfId="38629"/>
    <cellStyle name="Normal 3 2 2 2 2 2 2 2 4" xfId="38630"/>
    <cellStyle name="Normal 3 2 2 2 2 2 2 2 5" xfId="38631"/>
    <cellStyle name="Normal 3 2 2 2 2 2 2 3" xfId="38632"/>
    <cellStyle name="Normal 3 2 2 2 2 2 2 3 2" xfId="38633"/>
    <cellStyle name="Normal 3 2 2 2 2 2 2 3 2 2" xfId="38634"/>
    <cellStyle name="Normal 3 2 2 2 2 2 2 3 3" xfId="38635"/>
    <cellStyle name="Normal 3 2 2 2 2 2 2 3 4" xfId="38636"/>
    <cellStyle name="Normal 3 2 2 2 2 2 2 4" xfId="38637"/>
    <cellStyle name="Normal 3 2 2 2 2 2 2 4 2" xfId="38638"/>
    <cellStyle name="Normal 3 2 2 2 2 2 2 4 2 2" xfId="38639"/>
    <cellStyle name="Normal 3 2 2 2 2 2 2 4 3" xfId="38640"/>
    <cellStyle name="Normal 3 2 2 2 2 2 2 4 4" xfId="38641"/>
    <cellStyle name="Normal 3 2 2 2 2 2 2 5" xfId="38642"/>
    <cellStyle name="Normal 3 2 2 2 2 2 2 5 2" xfId="38643"/>
    <cellStyle name="Normal 3 2 2 2 2 2 2 6" xfId="38644"/>
    <cellStyle name="Normal 3 2 2 2 2 2 2 7" xfId="38645"/>
    <cellStyle name="Normal 3 2 2 2 2 2 2 8" xfId="38646"/>
    <cellStyle name="Normal 3 2 2 2 2 2 3" xfId="38647"/>
    <cellStyle name="Normal 3 2 2 2 2 2 3 2" xfId="38648"/>
    <cellStyle name="Normal 3 2 2 2 2 2 3 2 2" xfId="38649"/>
    <cellStyle name="Normal 3 2 2 2 2 2 3 2 2 2" xfId="38650"/>
    <cellStyle name="Normal 3 2 2 2 2 2 3 2 2 3" xfId="38651"/>
    <cellStyle name="Normal 3 2 2 2 2 2 3 2 3" xfId="38652"/>
    <cellStyle name="Normal 3 2 2 2 2 2 3 2 3 2" xfId="38653"/>
    <cellStyle name="Normal 3 2 2 2 2 2 3 2 4" xfId="38654"/>
    <cellStyle name="Normal 3 2 2 2 2 2 3 2 5" xfId="38655"/>
    <cellStyle name="Normal 3 2 2 2 2 2 3 3" xfId="38656"/>
    <cellStyle name="Normal 3 2 2 2 2 2 3 3 2" xfId="38657"/>
    <cellStyle name="Normal 3 2 2 2 2 2 3 3 2 2" xfId="38658"/>
    <cellStyle name="Normal 3 2 2 2 2 2 3 3 3" xfId="38659"/>
    <cellStyle name="Normal 3 2 2 2 2 2 3 3 4" xfId="38660"/>
    <cellStyle name="Normal 3 2 2 2 2 2 3 4" xfId="38661"/>
    <cellStyle name="Normal 3 2 2 2 2 2 3 4 2" xfId="38662"/>
    <cellStyle name="Normal 3 2 2 2 2 2 3 4 2 2" xfId="38663"/>
    <cellStyle name="Normal 3 2 2 2 2 2 3 4 3" xfId="38664"/>
    <cellStyle name="Normal 3 2 2 2 2 2 3 4 4" xfId="38665"/>
    <cellStyle name="Normal 3 2 2 2 2 2 3 5" xfId="38666"/>
    <cellStyle name="Normal 3 2 2 2 2 2 3 5 2" xfId="38667"/>
    <cellStyle name="Normal 3 2 2 2 2 2 3 6" xfId="38668"/>
    <cellStyle name="Normal 3 2 2 2 2 2 3 7" xfId="38669"/>
    <cellStyle name="Normal 3 2 2 2 2 2 3 8" xfId="38670"/>
    <cellStyle name="Normal 3 2 2 2 2 2 4" xfId="38671"/>
    <cellStyle name="Normal 3 2 2 2 2 2 4 2" xfId="38672"/>
    <cellStyle name="Normal 3 2 2 2 2 2 4 2 2" xfId="38673"/>
    <cellStyle name="Normal 3 2 2 2 2 2 4 2 2 2" xfId="38674"/>
    <cellStyle name="Normal 3 2 2 2 2 2 4 2 2 3" xfId="38675"/>
    <cellStyle name="Normal 3 2 2 2 2 2 4 2 3" xfId="38676"/>
    <cellStyle name="Normal 3 2 2 2 2 2 4 2 3 2" xfId="38677"/>
    <cellStyle name="Normal 3 2 2 2 2 2 4 2 4" xfId="38678"/>
    <cellStyle name="Normal 3 2 2 2 2 2 4 2 5" xfId="38679"/>
    <cellStyle name="Normal 3 2 2 2 2 2 4 3" xfId="38680"/>
    <cellStyle name="Normal 3 2 2 2 2 2 4 3 2" xfId="38681"/>
    <cellStyle name="Normal 3 2 2 2 2 2 4 3 2 2" xfId="38682"/>
    <cellStyle name="Normal 3 2 2 2 2 2 4 3 3" xfId="38683"/>
    <cellStyle name="Normal 3 2 2 2 2 2 4 3 4" xfId="38684"/>
    <cellStyle name="Normal 3 2 2 2 2 2 4 4" xfId="38685"/>
    <cellStyle name="Normal 3 2 2 2 2 2 4 4 2" xfId="38686"/>
    <cellStyle name="Normal 3 2 2 2 2 2 4 4 2 2" xfId="38687"/>
    <cellStyle name="Normal 3 2 2 2 2 2 4 4 3" xfId="38688"/>
    <cellStyle name="Normal 3 2 2 2 2 2 4 4 4" xfId="38689"/>
    <cellStyle name="Normal 3 2 2 2 2 2 4 5" xfId="38690"/>
    <cellStyle name="Normal 3 2 2 2 2 2 4 5 2" xfId="38691"/>
    <cellStyle name="Normal 3 2 2 2 2 2 4 6" xfId="38692"/>
    <cellStyle name="Normal 3 2 2 2 2 2 4 7" xfId="38693"/>
    <cellStyle name="Normal 3 2 2 2 2 2 4 8" xfId="38694"/>
    <cellStyle name="Normal 3 2 2 2 2 2 5" xfId="38695"/>
    <cellStyle name="Normal 3 2 2 2 2 3" xfId="38696"/>
    <cellStyle name="Normal 3 2 2 2 2 3 2" xfId="38697"/>
    <cellStyle name="Normal 3 2 2 2 2 3 2 2" xfId="38698"/>
    <cellStyle name="Normal 3 2 2 2 2 3 2 2 2" xfId="38699"/>
    <cellStyle name="Normal 3 2 2 2 2 3 2 2 3" xfId="38700"/>
    <cellStyle name="Normal 3 2 2 2 2 3 2 3" xfId="38701"/>
    <cellStyle name="Normal 3 2 2 2 2 3 2 3 2" xfId="38702"/>
    <cellStyle name="Normal 3 2 2 2 2 3 2 4" xfId="38703"/>
    <cellStyle name="Normal 3 2 2 2 2 3 2 5" xfId="38704"/>
    <cellStyle name="Normal 3 2 2 2 2 3 3" xfId="38705"/>
    <cellStyle name="Normal 3 2 2 2 2 3 3 2" xfId="38706"/>
    <cellStyle name="Normal 3 2 2 2 2 3 3 2 2" xfId="38707"/>
    <cellStyle name="Normal 3 2 2 2 2 3 3 3" xfId="38708"/>
    <cellStyle name="Normal 3 2 2 2 2 3 3 4" xfId="38709"/>
    <cellStyle name="Normal 3 2 2 2 2 3 4" xfId="38710"/>
    <cellStyle name="Normal 3 2 2 2 2 3 4 2" xfId="38711"/>
    <cellStyle name="Normal 3 2 2 2 2 3 4 2 2" xfId="38712"/>
    <cellStyle name="Normal 3 2 2 2 2 3 4 3" xfId="38713"/>
    <cellStyle name="Normal 3 2 2 2 2 3 4 4" xfId="38714"/>
    <cellStyle name="Normal 3 2 2 2 2 3 5" xfId="38715"/>
    <cellStyle name="Normal 3 2 2 2 2 3 5 2" xfId="38716"/>
    <cellStyle name="Normal 3 2 2 2 2 3 6" xfId="38717"/>
    <cellStyle name="Normal 3 2 2 2 2 3 7" xfId="38718"/>
    <cellStyle name="Normal 3 2 2 2 2 3 8" xfId="38719"/>
    <cellStyle name="Normal 3 2 2 2 2 4" xfId="38720"/>
    <cellStyle name="Normal 3 2 2 2 2 4 2" xfId="38721"/>
    <cellStyle name="Normal 3 2 2 2 2 4 2 2" xfId="38722"/>
    <cellStyle name="Normal 3 2 2 2 2 4 2 2 2" xfId="38723"/>
    <cellStyle name="Normal 3 2 2 2 2 4 2 2 3" xfId="38724"/>
    <cellStyle name="Normal 3 2 2 2 2 4 2 3" xfId="38725"/>
    <cellStyle name="Normal 3 2 2 2 2 4 2 3 2" xfId="38726"/>
    <cellStyle name="Normal 3 2 2 2 2 4 2 4" xfId="38727"/>
    <cellStyle name="Normal 3 2 2 2 2 4 2 5" xfId="38728"/>
    <cellStyle name="Normal 3 2 2 2 2 4 3" xfId="38729"/>
    <cellStyle name="Normal 3 2 2 2 2 4 3 2" xfId="38730"/>
    <cellStyle name="Normal 3 2 2 2 2 4 3 2 2" xfId="38731"/>
    <cellStyle name="Normal 3 2 2 2 2 4 3 3" xfId="38732"/>
    <cellStyle name="Normal 3 2 2 2 2 4 3 4" xfId="38733"/>
    <cellStyle name="Normal 3 2 2 2 2 4 4" xfId="38734"/>
    <cellStyle name="Normal 3 2 2 2 2 4 4 2" xfId="38735"/>
    <cellStyle name="Normal 3 2 2 2 2 4 4 2 2" xfId="38736"/>
    <cellStyle name="Normal 3 2 2 2 2 4 4 3" xfId="38737"/>
    <cellStyle name="Normal 3 2 2 2 2 4 4 4" xfId="38738"/>
    <cellStyle name="Normal 3 2 2 2 2 4 5" xfId="38739"/>
    <cellStyle name="Normal 3 2 2 2 2 4 5 2" xfId="38740"/>
    <cellStyle name="Normal 3 2 2 2 2 4 6" xfId="38741"/>
    <cellStyle name="Normal 3 2 2 2 2 4 7" xfId="38742"/>
    <cellStyle name="Normal 3 2 2 2 2 4 8" xfId="38743"/>
    <cellStyle name="Normal 3 2 2 2 2 5" xfId="38744"/>
    <cellStyle name="Normal 3 2 2 2 2 5 2" xfId="38745"/>
    <cellStyle name="Normal 3 2 2 2 2 5 2 2" xfId="38746"/>
    <cellStyle name="Normal 3 2 2 2 2 5 2 2 2" xfId="38747"/>
    <cellStyle name="Normal 3 2 2 2 2 5 2 2 3" xfId="38748"/>
    <cellStyle name="Normal 3 2 2 2 2 5 2 3" xfId="38749"/>
    <cellStyle name="Normal 3 2 2 2 2 5 2 3 2" xfId="38750"/>
    <cellStyle name="Normal 3 2 2 2 2 5 2 4" xfId="38751"/>
    <cellStyle name="Normal 3 2 2 2 2 5 2 5" xfId="38752"/>
    <cellStyle name="Normal 3 2 2 2 2 5 3" xfId="38753"/>
    <cellStyle name="Normal 3 2 2 2 2 5 3 2" xfId="38754"/>
    <cellStyle name="Normal 3 2 2 2 2 5 3 2 2" xfId="38755"/>
    <cellStyle name="Normal 3 2 2 2 2 5 3 3" xfId="38756"/>
    <cellStyle name="Normal 3 2 2 2 2 5 3 4" xfId="38757"/>
    <cellStyle name="Normal 3 2 2 2 2 5 4" xfId="38758"/>
    <cellStyle name="Normal 3 2 2 2 2 5 4 2" xfId="38759"/>
    <cellStyle name="Normal 3 2 2 2 2 5 4 2 2" xfId="38760"/>
    <cellStyle name="Normal 3 2 2 2 2 5 4 3" xfId="38761"/>
    <cellStyle name="Normal 3 2 2 2 2 5 4 4" xfId="38762"/>
    <cellStyle name="Normal 3 2 2 2 2 5 5" xfId="38763"/>
    <cellStyle name="Normal 3 2 2 2 2 5 5 2" xfId="38764"/>
    <cellStyle name="Normal 3 2 2 2 2 5 6" xfId="38765"/>
    <cellStyle name="Normal 3 2 2 2 2 5 7" xfId="38766"/>
    <cellStyle name="Normal 3 2 2 2 2 5 8" xfId="38767"/>
    <cellStyle name="Normal 3 2 2 2 2 6" xfId="38768"/>
    <cellStyle name="Normal 3 2 2 2 3" xfId="38769"/>
    <cellStyle name="Normal 3 2 2 2 3 2" xfId="38770"/>
    <cellStyle name="Normal 3 2 2 2 3 2 2" xfId="38771"/>
    <cellStyle name="Normal 3 2 2 2 3 2 2 2" xfId="38772"/>
    <cellStyle name="Normal 3 2 2 2 3 2 2 2 2" xfId="38773"/>
    <cellStyle name="Normal 3 2 2 2 3 2 2 2 3" xfId="38774"/>
    <cellStyle name="Normal 3 2 2 2 3 2 2 3" xfId="38775"/>
    <cellStyle name="Normal 3 2 2 2 3 2 2 3 2" xfId="38776"/>
    <cellStyle name="Normal 3 2 2 2 3 2 2 4" xfId="38777"/>
    <cellStyle name="Normal 3 2 2 2 3 2 2 5" xfId="38778"/>
    <cellStyle name="Normal 3 2 2 2 3 2 3" xfId="38779"/>
    <cellStyle name="Normal 3 2 2 2 3 2 3 2" xfId="38780"/>
    <cellStyle name="Normal 3 2 2 2 3 2 3 2 2" xfId="38781"/>
    <cellStyle name="Normal 3 2 2 2 3 2 3 3" xfId="38782"/>
    <cellStyle name="Normal 3 2 2 2 3 2 3 4" xfId="38783"/>
    <cellStyle name="Normal 3 2 2 2 3 2 4" xfId="38784"/>
    <cellStyle name="Normal 3 2 2 2 3 2 4 2" xfId="38785"/>
    <cellStyle name="Normal 3 2 2 2 3 2 4 2 2" xfId="38786"/>
    <cellStyle name="Normal 3 2 2 2 3 2 4 3" xfId="38787"/>
    <cellStyle name="Normal 3 2 2 2 3 2 4 4" xfId="38788"/>
    <cellStyle name="Normal 3 2 2 2 3 2 5" xfId="38789"/>
    <cellStyle name="Normal 3 2 2 2 3 2 5 2" xfId="38790"/>
    <cellStyle name="Normal 3 2 2 2 3 2 6" xfId="38791"/>
    <cellStyle name="Normal 3 2 2 2 3 2 7" xfId="38792"/>
    <cellStyle name="Normal 3 2 2 2 3 2 8" xfId="38793"/>
    <cellStyle name="Normal 3 2 2 2 3 3" xfId="38794"/>
    <cellStyle name="Normal 3 2 2 2 3 3 2" xfId="38795"/>
    <cellStyle name="Normal 3 2 2 2 3 3 2 2" xfId="38796"/>
    <cellStyle name="Normal 3 2 2 2 3 3 2 2 2" xfId="38797"/>
    <cellStyle name="Normal 3 2 2 2 3 3 2 2 3" xfId="38798"/>
    <cellStyle name="Normal 3 2 2 2 3 3 2 3" xfId="38799"/>
    <cellStyle name="Normal 3 2 2 2 3 3 2 3 2" xfId="38800"/>
    <cellStyle name="Normal 3 2 2 2 3 3 2 4" xfId="38801"/>
    <cellStyle name="Normal 3 2 2 2 3 3 2 5" xfId="38802"/>
    <cellStyle name="Normal 3 2 2 2 3 3 3" xfId="38803"/>
    <cellStyle name="Normal 3 2 2 2 3 3 3 2" xfId="38804"/>
    <cellStyle name="Normal 3 2 2 2 3 3 3 2 2" xfId="38805"/>
    <cellStyle name="Normal 3 2 2 2 3 3 3 3" xfId="38806"/>
    <cellStyle name="Normal 3 2 2 2 3 3 3 4" xfId="38807"/>
    <cellStyle name="Normal 3 2 2 2 3 3 4" xfId="38808"/>
    <cellStyle name="Normal 3 2 2 2 3 3 4 2" xfId="38809"/>
    <cellStyle name="Normal 3 2 2 2 3 3 4 2 2" xfId="38810"/>
    <cellStyle name="Normal 3 2 2 2 3 3 4 3" xfId="38811"/>
    <cellStyle name="Normal 3 2 2 2 3 3 4 4" xfId="38812"/>
    <cellStyle name="Normal 3 2 2 2 3 3 5" xfId="38813"/>
    <cellStyle name="Normal 3 2 2 2 3 3 5 2" xfId="38814"/>
    <cellStyle name="Normal 3 2 2 2 3 3 6" xfId="38815"/>
    <cellStyle name="Normal 3 2 2 2 3 3 7" xfId="38816"/>
    <cellStyle name="Normal 3 2 2 2 3 3 8" xfId="38817"/>
    <cellStyle name="Normal 3 2 2 2 3 4" xfId="38818"/>
    <cellStyle name="Normal 3 2 2 2 3 4 2" xfId="38819"/>
    <cellStyle name="Normal 3 2 2 2 3 4 2 2" xfId="38820"/>
    <cellStyle name="Normal 3 2 2 2 3 4 2 2 2" xfId="38821"/>
    <cellStyle name="Normal 3 2 2 2 3 4 2 2 3" xfId="38822"/>
    <cellStyle name="Normal 3 2 2 2 3 4 2 3" xfId="38823"/>
    <cellStyle name="Normal 3 2 2 2 3 4 2 3 2" xfId="38824"/>
    <cellStyle name="Normal 3 2 2 2 3 4 2 4" xfId="38825"/>
    <cellStyle name="Normal 3 2 2 2 3 4 2 5" xfId="38826"/>
    <cellStyle name="Normal 3 2 2 2 3 4 3" xfId="38827"/>
    <cellStyle name="Normal 3 2 2 2 3 4 3 2" xfId="38828"/>
    <cellStyle name="Normal 3 2 2 2 3 4 3 2 2" xfId="38829"/>
    <cellStyle name="Normal 3 2 2 2 3 4 3 3" xfId="38830"/>
    <cellStyle name="Normal 3 2 2 2 3 4 3 4" xfId="38831"/>
    <cellStyle name="Normal 3 2 2 2 3 4 4" xfId="38832"/>
    <cellStyle name="Normal 3 2 2 2 3 4 4 2" xfId="38833"/>
    <cellStyle name="Normal 3 2 2 2 3 4 4 2 2" xfId="38834"/>
    <cellStyle name="Normal 3 2 2 2 3 4 4 3" xfId="38835"/>
    <cellStyle name="Normal 3 2 2 2 3 4 4 4" xfId="38836"/>
    <cellStyle name="Normal 3 2 2 2 3 4 5" xfId="38837"/>
    <cellStyle name="Normal 3 2 2 2 3 4 5 2" xfId="38838"/>
    <cellStyle name="Normal 3 2 2 2 3 4 6" xfId="38839"/>
    <cellStyle name="Normal 3 2 2 2 3 4 7" xfId="38840"/>
    <cellStyle name="Normal 3 2 2 2 3 4 8" xfId="38841"/>
    <cellStyle name="Normal 3 2 2 2 3 5" xfId="38842"/>
    <cellStyle name="Normal 3 2 2 2 4" xfId="38843"/>
    <cellStyle name="Normal 3 2 2 2 4 2" xfId="38844"/>
    <cellStyle name="Normal 3 2 2 2 4 2 2" xfId="38845"/>
    <cellStyle name="Normal 3 2 2 2 4 2 2 2" xfId="38846"/>
    <cellStyle name="Normal 3 2 2 2 4 2 2 3" xfId="38847"/>
    <cellStyle name="Normal 3 2 2 2 4 2 3" xfId="38848"/>
    <cellStyle name="Normal 3 2 2 2 4 2 3 2" xfId="38849"/>
    <cellStyle name="Normal 3 2 2 2 4 2 4" xfId="38850"/>
    <cellStyle name="Normal 3 2 2 2 4 2 5" xfId="38851"/>
    <cellStyle name="Normal 3 2 2 2 4 3" xfId="38852"/>
    <cellStyle name="Normal 3 2 2 2 4 3 2" xfId="38853"/>
    <cellStyle name="Normal 3 2 2 2 4 3 2 2" xfId="38854"/>
    <cellStyle name="Normal 3 2 2 2 4 3 3" xfId="38855"/>
    <cellStyle name="Normal 3 2 2 2 4 3 4" xfId="38856"/>
    <cellStyle name="Normal 3 2 2 2 4 4" xfId="38857"/>
    <cellStyle name="Normal 3 2 2 2 4 4 2" xfId="38858"/>
    <cellStyle name="Normal 3 2 2 2 4 4 2 2" xfId="38859"/>
    <cellStyle name="Normal 3 2 2 2 4 4 3" xfId="38860"/>
    <cellStyle name="Normal 3 2 2 2 4 4 4" xfId="38861"/>
    <cellStyle name="Normal 3 2 2 2 4 5" xfId="38862"/>
    <cellStyle name="Normal 3 2 2 2 4 5 2" xfId="38863"/>
    <cellStyle name="Normal 3 2 2 2 4 6" xfId="38864"/>
    <cellStyle name="Normal 3 2 2 2 4 7" xfId="38865"/>
    <cellStyle name="Normal 3 2 2 2 4 8" xfId="38866"/>
    <cellStyle name="Normal 3 2 2 2 5" xfId="38867"/>
    <cellStyle name="Normal 3 2 2 2 5 2" xfId="38868"/>
    <cellStyle name="Normal 3 2 2 2 5 2 2" xfId="38869"/>
    <cellStyle name="Normal 3 2 2 2 5 2 2 2" xfId="38870"/>
    <cellStyle name="Normal 3 2 2 2 5 2 2 3" xfId="38871"/>
    <cellStyle name="Normal 3 2 2 2 5 2 3" xfId="38872"/>
    <cellStyle name="Normal 3 2 2 2 5 2 3 2" xfId="38873"/>
    <cellStyle name="Normal 3 2 2 2 5 2 4" xfId="38874"/>
    <cellStyle name="Normal 3 2 2 2 5 2 5" xfId="38875"/>
    <cellStyle name="Normal 3 2 2 2 5 3" xfId="38876"/>
    <cellStyle name="Normal 3 2 2 2 5 3 2" xfId="38877"/>
    <cellStyle name="Normal 3 2 2 2 5 3 2 2" xfId="38878"/>
    <cellStyle name="Normal 3 2 2 2 5 3 3" xfId="38879"/>
    <cellStyle name="Normal 3 2 2 2 5 3 4" xfId="38880"/>
    <cellStyle name="Normal 3 2 2 2 5 4" xfId="38881"/>
    <cellStyle name="Normal 3 2 2 2 5 4 2" xfId="38882"/>
    <cellStyle name="Normal 3 2 2 2 5 4 2 2" xfId="38883"/>
    <cellStyle name="Normal 3 2 2 2 5 4 3" xfId="38884"/>
    <cellStyle name="Normal 3 2 2 2 5 4 4" xfId="38885"/>
    <cellStyle name="Normal 3 2 2 2 5 5" xfId="38886"/>
    <cellStyle name="Normal 3 2 2 2 5 5 2" xfId="38887"/>
    <cellStyle name="Normal 3 2 2 2 5 6" xfId="38888"/>
    <cellStyle name="Normal 3 2 2 2 5 7" xfId="38889"/>
    <cellStyle name="Normal 3 2 2 2 5 8" xfId="38890"/>
    <cellStyle name="Normal 3 2 2 2 6" xfId="38891"/>
    <cellStyle name="Normal 3 2 2 2 6 2" xfId="38892"/>
    <cellStyle name="Normal 3 2 2 2 6 2 2" xfId="38893"/>
    <cellStyle name="Normal 3 2 2 2 6 2 2 2" xfId="38894"/>
    <cellStyle name="Normal 3 2 2 2 6 2 2 3" xfId="38895"/>
    <cellStyle name="Normal 3 2 2 2 6 2 3" xfId="38896"/>
    <cellStyle name="Normal 3 2 2 2 6 2 3 2" xfId="38897"/>
    <cellStyle name="Normal 3 2 2 2 6 2 4" xfId="38898"/>
    <cellStyle name="Normal 3 2 2 2 6 2 5" xfId="38899"/>
    <cellStyle name="Normal 3 2 2 2 6 3" xfId="38900"/>
    <cellStyle name="Normal 3 2 2 2 6 3 2" xfId="38901"/>
    <cellStyle name="Normal 3 2 2 2 6 3 2 2" xfId="38902"/>
    <cellStyle name="Normal 3 2 2 2 6 3 3" xfId="38903"/>
    <cellStyle name="Normal 3 2 2 2 6 3 4" xfId="38904"/>
    <cellStyle name="Normal 3 2 2 2 6 4" xfId="38905"/>
    <cellStyle name="Normal 3 2 2 2 6 4 2" xfId="38906"/>
    <cellStyle name="Normal 3 2 2 2 6 4 2 2" xfId="38907"/>
    <cellStyle name="Normal 3 2 2 2 6 4 3" xfId="38908"/>
    <cellStyle name="Normal 3 2 2 2 6 4 4" xfId="38909"/>
    <cellStyle name="Normal 3 2 2 2 6 5" xfId="38910"/>
    <cellStyle name="Normal 3 2 2 2 6 5 2" xfId="38911"/>
    <cellStyle name="Normal 3 2 2 2 6 6" xfId="38912"/>
    <cellStyle name="Normal 3 2 2 2 6 7" xfId="38913"/>
    <cellStyle name="Normal 3 2 2 2 6 8" xfId="38914"/>
    <cellStyle name="Normal 3 2 2 2 7" xfId="38915"/>
    <cellStyle name="Normal 3 2 2 2 8" xfId="38916"/>
    <cellStyle name="Normal 3 2 2 3" xfId="38917"/>
    <cellStyle name="Normal 3 2 2 3 2" xfId="38918"/>
    <cellStyle name="Normal 3 2 2 3 2 2" xfId="38919"/>
    <cellStyle name="Normal 3 2 2 3 2 2 2" xfId="38920"/>
    <cellStyle name="Normal 3 2 2 3 2 2 2 2" xfId="38921"/>
    <cellStyle name="Normal 3 2 2 3 2 2 2 2 2" xfId="38922"/>
    <cellStyle name="Normal 3 2 2 3 2 2 2 2 3" xfId="38923"/>
    <cellStyle name="Normal 3 2 2 3 2 2 2 3" xfId="38924"/>
    <cellStyle name="Normal 3 2 2 3 2 2 2 3 2" xfId="38925"/>
    <cellStyle name="Normal 3 2 2 3 2 2 2 4" xfId="38926"/>
    <cellStyle name="Normal 3 2 2 3 2 2 2 5" xfId="38927"/>
    <cellStyle name="Normal 3 2 2 3 2 2 3" xfId="38928"/>
    <cellStyle name="Normal 3 2 2 3 2 2 3 2" xfId="38929"/>
    <cellStyle name="Normal 3 2 2 3 2 2 3 2 2" xfId="38930"/>
    <cellStyle name="Normal 3 2 2 3 2 2 3 3" xfId="38931"/>
    <cellStyle name="Normal 3 2 2 3 2 2 3 4" xfId="38932"/>
    <cellStyle name="Normal 3 2 2 3 2 2 4" xfId="38933"/>
    <cellStyle name="Normal 3 2 2 3 2 2 4 2" xfId="38934"/>
    <cellStyle name="Normal 3 2 2 3 2 2 4 2 2" xfId="38935"/>
    <cellStyle name="Normal 3 2 2 3 2 2 4 3" xfId="38936"/>
    <cellStyle name="Normal 3 2 2 3 2 2 4 4" xfId="38937"/>
    <cellStyle name="Normal 3 2 2 3 2 2 5" xfId="38938"/>
    <cellStyle name="Normal 3 2 2 3 2 2 5 2" xfId="38939"/>
    <cellStyle name="Normal 3 2 2 3 2 2 6" xfId="38940"/>
    <cellStyle name="Normal 3 2 2 3 2 2 7" xfId="38941"/>
    <cellStyle name="Normal 3 2 2 3 2 2 8" xfId="38942"/>
    <cellStyle name="Normal 3 2 2 3 2 3" xfId="38943"/>
    <cellStyle name="Normal 3 2 2 3 2 3 2" xfId="38944"/>
    <cellStyle name="Normal 3 2 2 3 2 3 2 2" xfId="38945"/>
    <cellStyle name="Normal 3 2 2 3 2 3 2 2 2" xfId="38946"/>
    <cellStyle name="Normal 3 2 2 3 2 3 2 2 3" xfId="38947"/>
    <cellStyle name="Normal 3 2 2 3 2 3 2 3" xfId="38948"/>
    <cellStyle name="Normal 3 2 2 3 2 3 2 3 2" xfId="38949"/>
    <cellStyle name="Normal 3 2 2 3 2 3 2 4" xfId="38950"/>
    <cellStyle name="Normal 3 2 2 3 2 3 2 5" xfId="38951"/>
    <cellStyle name="Normal 3 2 2 3 2 3 3" xfId="38952"/>
    <cellStyle name="Normal 3 2 2 3 2 3 3 2" xfId="38953"/>
    <cellStyle name="Normal 3 2 2 3 2 3 3 2 2" xfId="38954"/>
    <cellStyle name="Normal 3 2 2 3 2 3 3 3" xfId="38955"/>
    <cellStyle name="Normal 3 2 2 3 2 3 3 4" xfId="38956"/>
    <cellStyle name="Normal 3 2 2 3 2 3 4" xfId="38957"/>
    <cellStyle name="Normal 3 2 2 3 2 3 4 2" xfId="38958"/>
    <cellStyle name="Normal 3 2 2 3 2 3 4 2 2" xfId="38959"/>
    <cellStyle name="Normal 3 2 2 3 2 3 4 3" xfId="38960"/>
    <cellStyle name="Normal 3 2 2 3 2 3 4 4" xfId="38961"/>
    <cellStyle name="Normal 3 2 2 3 2 3 5" xfId="38962"/>
    <cellStyle name="Normal 3 2 2 3 2 3 5 2" xfId="38963"/>
    <cellStyle name="Normal 3 2 2 3 2 3 6" xfId="38964"/>
    <cellStyle name="Normal 3 2 2 3 2 3 7" xfId="38965"/>
    <cellStyle name="Normal 3 2 2 3 2 3 8" xfId="38966"/>
    <cellStyle name="Normal 3 2 2 3 2 4" xfId="38967"/>
    <cellStyle name="Normal 3 2 2 3 2 4 2" xfId="38968"/>
    <cellStyle name="Normal 3 2 2 3 2 4 2 2" xfId="38969"/>
    <cellStyle name="Normal 3 2 2 3 2 4 2 2 2" xfId="38970"/>
    <cellStyle name="Normal 3 2 2 3 2 4 2 2 3" xfId="38971"/>
    <cellStyle name="Normal 3 2 2 3 2 4 2 3" xfId="38972"/>
    <cellStyle name="Normal 3 2 2 3 2 4 2 3 2" xfId="38973"/>
    <cellStyle name="Normal 3 2 2 3 2 4 2 4" xfId="38974"/>
    <cellStyle name="Normal 3 2 2 3 2 4 2 5" xfId="38975"/>
    <cellStyle name="Normal 3 2 2 3 2 4 3" xfId="38976"/>
    <cellStyle name="Normal 3 2 2 3 2 4 3 2" xfId="38977"/>
    <cellStyle name="Normal 3 2 2 3 2 4 3 2 2" xfId="38978"/>
    <cellStyle name="Normal 3 2 2 3 2 4 3 3" xfId="38979"/>
    <cellStyle name="Normal 3 2 2 3 2 4 3 4" xfId="38980"/>
    <cellStyle name="Normal 3 2 2 3 2 4 4" xfId="38981"/>
    <cellStyle name="Normal 3 2 2 3 2 4 4 2" xfId="38982"/>
    <cellStyle name="Normal 3 2 2 3 2 4 4 2 2" xfId="38983"/>
    <cellStyle name="Normal 3 2 2 3 2 4 4 3" xfId="38984"/>
    <cellStyle name="Normal 3 2 2 3 2 4 4 4" xfId="38985"/>
    <cellStyle name="Normal 3 2 2 3 2 4 5" xfId="38986"/>
    <cellStyle name="Normal 3 2 2 3 2 4 5 2" xfId="38987"/>
    <cellStyle name="Normal 3 2 2 3 2 4 6" xfId="38988"/>
    <cellStyle name="Normal 3 2 2 3 2 4 7" xfId="38989"/>
    <cellStyle name="Normal 3 2 2 3 2 4 8" xfId="38990"/>
    <cellStyle name="Normal 3 2 2 3 2 5" xfId="38991"/>
    <cellStyle name="Normal 3 2 2 3 3" xfId="38992"/>
    <cellStyle name="Normal 3 2 2 3 3 2" xfId="38993"/>
    <cellStyle name="Normal 3 2 2 3 3 2 2" xfId="38994"/>
    <cellStyle name="Normal 3 2 2 3 3 2 2 2" xfId="38995"/>
    <cellStyle name="Normal 3 2 2 3 3 2 2 3" xfId="38996"/>
    <cellStyle name="Normal 3 2 2 3 3 2 3" xfId="38997"/>
    <cellStyle name="Normal 3 2 2 3 3 2 3 2" xfId="38998"/>
    <cellStyle name="Normal 3 2 2 3 3 2 4" xfId="38999"/>
    <cellStyle name="Normal 3 2 2 3 3 2 5" xfId="39000"/>
    <cellStyle name="Normal 3 2 2 3 3 3" xfId="39001"/>
    <cellStyle name="Normal 3 2 2 3 3 3 2" xfId="39002"/>
    <cellStyle name="Normal 3 2 2 3 3 3 2 2" xfId="39003"/>
    <cellStyle name="Normal 3 2 2 3 3 3 3" xfId="39004"/>
    <cellStyle name="Normal 3 2 2 3 3 3 4" xfId="39005"/>
    <cellStyle name="Normal 3 2 2 3 3 4" xfId="39006"/>
    <cellStyle name="Normal 3 2 2 3 3 4 2" xfId="39007"/>
    <cellStyle name="Normal 3 2 2 3 3 4 2 2" xfId="39008"/>
    <cellStyle name="Normal 3 2 2 3 3 4 3" xfId="39009"/>
    <cellStyle name="Normal 3 2 2 3 3 4 4" xfId="39010"/>
    <cellStyle name="Normal 3 2 2 3 3 5" xfId="39011"/>
    <cellStyle name="Normal 3 2 2 3 3 5 2" xfId="39012"/>
    <cellStyle name="Normal 3 2 2 3 3 6" xfId="39013"/>
    <cellStyle name="Normal 3 2 2 3 3 7" xfId="39014"/>
    <cellStyle name="Normal 3 2 2 3 3 8" xfId="39015"/>
    <cellStyle name="Normal 3 2 2 3 4" xfId="39016"/>
    <cellStyle name="Normal 3 2 2 3 4 2" xfId="39017"/>
    <cellStyle name="Normal 3 2 2 3 4 2 2" xfId="39018"/>
    <cellStyle name="Normal 3 2 2 3 4 2 2 2" xfId="39019"/>
    <cellStyle name="Normal 3 2 2 3 4 2 2 3" xfId="39020"/>
    <cellStyle name="Normal 3 2 2 3 4 2 3" xfId="39021"/>
    <cellStyle name="Normal 3 2 2 3 4 2 3 2" xfId="39022"/>
    <cellStyle name="Normal 3 2 2 3 4 2 4" xfId="39023"/>
    <cellStyle name="Normal 3 2 2 3 4 2 5" xfId="39024"/>
    <cellStyle name="Normal 3 2 2 3 4 3" xfId="39025"/>
    <cellStyle name="Normal 3 2 2 3 4 3 2" xfId="39026"/>
    <cellStyle name="Normal 3 2 2 3 4 3 2 2" xfId="39027"/>
    <cellStyle name="Normal 3 2 2 3 4 3 3" xfId="39028"/>
    <cellStyle name="Normal 3 2 2 3 4 3 4" xfId="39029"/>
    <cellStyle name="Normal 3 2 2 3 4 4" xfId="39030"/>
    <cellStyle name="Normal 3 2 2 3 4 4 2" xfId="39031"/>
    <cellStyle name="Normal 3 2 2 3 4 4 2 2" xfId="39032"/>
    <cellStyle name="Normal 3 2 2 3 4 4 3" xfId="39033"/>
    <cellStyle name="Normal 3 2 2 3 4 4 4" xfId="39034"/>
    <cellStyle name="Normal 3 2 2 3 4 5" xfId="39035"/>
    <cellStyle name="Normal 3 2 2 3 4 5 2" xfId="39036"/>
    <cellStyle name="Normal 3 2 2 3 4 6" xfId="39037"/>
    <cellStyle name="Normal 3 2 2 3 4 7" xfId="39038"/>
    <cellStyle name="Normal 3 2 2 3 4 8" xfId="39039"/>
    <cellStyle name="Normal 3 2 2 3 5" xfId="39040"/>
    <cellStyle name="Normal 3 2 2 3 5 2" xfId="39041"/>
    <cellStyle name="Normal 3 2 2 3 5 2 2" xfId="39042"/>
    <cellStyle name="Normal 3 2 2 3 5 2 2 2" xfId="39043"/>
    <cellStyle name="Normal 3 2 2 3 5 2 2 3" xfId="39044"/>
    <cellStyle name="Normal 3 2 2 3 5 2 3" xfId="39045"/>
    <cellStyle name="Normal 3 2 2 3 5 2 3 2" xfId="39046"/>
    <cellStyle name="Normal 3 2 2 3 5 2 4" xfId="39047"/>
    <cellStyle name="Normal 3 2 2 3 5 2 5" xfId="39048"/>
    <cellStyle name="Normal 3 2 2 3 5 3" xfId="39049"/>
    <cellStyle name="Normal 3 2 2 3 5 3 2" xfId="39050"/>
    <cellStyle name="Normal 3 2 2 3 5 3 2 2" xfId="39051"/>
    <cellStyle name="Normal 3 2 2 3 5 3 3" xfId="39052"/>
    <cellStyle name="Normal 3 2 2 3 5 3 4" xfId="39053"/>
    <cellStyle name="Normal 3 2 2 3 5 4" xfId="39054"/>
    <cellStyle name="Normal 3 2 2 3 5 4 2" xfId="39055"/>
    <cellStyle name="Normal 3 2 2 3 5 4 2 2" xfId="39056"/>
    <cellStyle name="Normal 3 2 2 3 5 4 3" xfId="39057"/>
    <cellStyle name="Normal 3 2 2 3 5 4 4" xfId="39058"/>
    <cellStyle name="Normal 3 2 2 3 5 5" xfId="39059"/>
    <cellStyle name="Normal 3 2 2 3 5 5 2" xfId="39060"/>
    <cellStyle name="Normal 3 2 2 3 5 6" xfId="39061"/>
    <cellStyle name="Normal 3 2 2 3 5 7" xfId="39062"/>
    <cellStyle name="Normal 3 2 2 3 5 8" xfId="39063"/>
    <cellStyle name="Normal 3 2 2 3 6" xfId="39064"/>
    <cellStyle name="Normal 3 2 2 4" xfId="39065"/>
    <cellStyle name="Normal 3 2 2 4 2" xfId="39066"/>
    <cellStyle name="Normal 3 2 2 4 2 2" xfId="39067"/>
    <cellStyle name="Normal 3 2 2 4 2 2 2" xfId="39068"/>
    <cellStyle name="Normal 3 2 2 4 2 2 2 2" xfId="39069"/>
    <cellStyle name="Normal 3 2 2 4 2 2 2 3" xfId="39070"/>
    <cellStyle name="Normal 3 2 2 4 2 2 3" xfId="39071"/>
    <cellStyle name="Normal 3 2 2 4 2 2 3 2" xfId="39072"/>
    <cellStyle name="Normal 3 2 2 4 2 2 4" xfId="39073"/>
    <cellStyle name="Normal 3 2 2 4 2 2 5" xfId="39074"/>
    <cellStyle name="Normal 3 2 2 4 2 3" xfId="39075"/>
    <cellStyle name="Normal 3 2 2 4 2 3 2" xfId="39076"/>
    <cellStyle name="Normal 3 2 2 4 2 3 2 2" xfId="39077"/>
    <cellStyle name="Normal 3 2 2 4 2 3 3" xfId="39078"/>
    <cellStyle name="Normal 3 2 2 4 2 3 4" xfId="39079"/>
    <cellStyle name="Normal 3 2 2 4 2 4" xfId="39080"/>
    <cellStyle name="Normal 3 2 2 4 2 4 2" xfId="39081"/>
    <cellStyle name="Normal 3 2 2 4 2 4 2 2" xfId="39082"/>
    <cellStyle name="Normal 3 2 2 4 2 4 3" xfId="39083"/>
    <cellStyle name="Normal 3 2 2 4 2 4 4" xfId="39084"/>
    <cellStyle name="Normal 3 2 2 4 2 5" xfId="39085"/>
    <cellStyle name="Normal 3 2 2 4 2 5 2" xfId="39086"/>
    <cellStyle name="Normal 3 2 2 4 2 6" xfId="39087"/>
    <cellStyle name="Normal 3 2 2 4 2 7" xfId="39088"/>
    <cellStyle name="Normal 3 2 2 4 2 8" xfId="39089"/>
    <cellStyle name="Normal 3 2 2 4 3" xfId="39090"/>
    <cellStyle name="Normal 3 2 2 4 3 2" xfId="39091"/>
    <cellStyle name="Normal 3 2 2 4 3 2 2" xfId="39092"/>
    <cellStyle name="Normal 3 2 2 4 3 2 2 2" xfId="39093"/>
    <cellStyle name="Normal 3 2 2 4 3 2 2 3" xfId="39094"/>
    <cellStyle name="Normal 3 2 2 4 3 2 3" xfId="39095"/>
    <cellStyle name="Normal 3 2 2 4 3 2 3 2" xfId="39096"/>
    <cellStyle name="Normal 3 2 2 4 3 2 4" xfId="39097"/>
    <cellStyle name="Normal 3 2 2 4 3 2 5" xfId="39098"/>
    <cellStyle name="Normal 3 2 2 4 3 3" xfId="39099"/>
    <cellStyle name="Normal 3 2 2 4 3 3 2" xfId="39100"/>
    <cellStyle name="Normal 3 2 2 4 3 3 2 2" xfId="39101"/>
    <cellStyle name="Normal 3 2 2 4 3 3 3" xfId="39102"/>
    <cellStyle name="Normal 3 2 2 4 3 3 4" xfId="39103"/>
    <cellStyle name="Normal 3 2 2 4 3 4" xfId="39104"/>
    <cellStyle name="Normal 3 2 2 4 3 4 2" xfId="39105"/>
    <cellStyle name="Normal 3 2 2 4 3 4 2 2" xfId="39106"/>
    <cellStyle name="Normal 3 2 2 4 3 4 3" xfId="39107"/>
    <cellStyle name="Normal 3 2 2 4 3 4 4" xfId="39108"/>
    <cellStyle name="Normal 3 2 2 4 3 5" xfId="39109"/>
    <cellStyle name="Normal 3 2 2 4 3 5 2" xfId="39110"/>
    <cellStyle name="Normal 3 2 2 4 3 6" xfId="39111"/>
    <cellStyle name="Normal 3 2 2 4 3 7" xfId="39112"/>
    <cellStyle name="Normal 3 2 2 4 3 8" xfId="39113"/>
    <cellStyle name="Normal 3 2 2 4 4" xfId="39114"/>
    <cellStyle name="Normal 3 2 2 4 4 2" xfId="39115"/>
    <cellStyle name="Normal 3 2 2 4 4 2 2" xfId="39116"/>
    <cellStyle name="Normal 3 2 2 4 4 2 2 2" xfId="39117"/>
    <cellStyle name="Normal 3 2 2 4 4 2 2 3" xfId="39118"/>
    <cellStyle name="Normal 3 2 2 4 4 2 3" xfId="39119"/>
    <cellStyle name="Normal 3 2 2 4 4 2 3 2" xfId="39120"/>
    <cellStyle name="Normal 3 2 2 4 4 2 4" xfId="39121"/>
    <cellStyle name="Normal 3 2 2 4 4 2 5" xfId="39122"/>
    <cellStyle name="Normal 3 2 2 4 4 3" xfId="39123"/>
    <cellStyle name="Normal 3 2 2 4 4 3 2" xfId="39124"/>
    <cellStyle name="Normal 3 2 2 4 4 3 2 2" xfId="39125"/>
    <cellStyle name="Normal 3 2 2 4 4 3 3" xfId="39126"/>
    <cellStyle name="Normal 3 2 2 4 4 3 4" xfId="39127"/>
    <cellStyle name="Normal 3 2 2 4 4 4" xfId="39128"/>
    <cellStyle name="Normal 3 2 2 4 4 4 2" xfId="39129"/>
    <cellStyle name="Normal 3 2 2 4 4 4 2 2" xfId="39130"/>
    <cellStyle name="Normal 3 2 2 4 4 4 3" xfId="39131"/>
    <cellStyle name="Normal 3 2 2 4 4 4 4" xfId="39132"/>
    <cellStyle name="Normal 3 2 2 4 4 5" xfId="39133"/>
    <cellStyle name="Normal 3 2 2 4 4 5 2" xfId="39134"/>
    <cellStyle name="Normal 3 2 2 4 4 6" xfId="39135"/>
    <cellStyle name="Normal 3 2 2 4 4 7" xfId="39136"/>
    <cellStyle name="Normal 3 2 2 4 4 8" xfId="39137"/>
    <cellStyle name="Normal 3 2 2 4 5" xfId="39138"/>
    <cellStyle name="Normal 3 2 2 5" xfId="39139"/>
    <cellStyle name="Normal 3 2 2 5 2" xfId="39140"/>
    <cellStyle name="Normal 3 2 2 6" xfId="39141"/>
    <cellStyle name="Normal 3 2 2 6 2" xfId="39142"/>
    <cellStyle name="Normal 3 2 2 6 2 2" xfId="39143"/>
    <cellStyle name="Normal 3 2 2 6 2 2 2" xfId="39144"/>
    <cellStyle name="Normal 3 2 2 6 2 2 3" xfId="39145"/>
    <cellStyle name="Normal 3 2 2 6 2 3" xfId="39146"/>
    <cellStyle name="Normal 3 2 2 6 2 3 2" xfId="39147"/>
    <cellStyle name="Normal 3 2 2 6 2 4" xfId="39148"/>
    <cellStyle name="Normal 3 2 2 6 2 5" xfId="39149"/>
    <cellStyle name="Normal 3 2 2 6 3" xfId="39150"/>
    <cellStyle name="Normal 3 2 2 6 3 2" xfId="39151"/>
    <cellStyle name="Normal 3 2 2 6 3 2 2" xfId="39152"/>
    <cellStyle name="Normal 3 2 2 6 3 3" xfId="39153"/>
    <cellStyle name="Normal 3 2 2 6 3 4" xfId="39154"/>
    <cellStyle name="Normal 3 2 2 6 4" xfId="39155"/>
    <cellStyle name="Normal 3 2 2 6 4 2" xfId="39156"/>
    <cellStyle name="Normal 3 2 2 6 4 2 2" xfId="39157"/>
    <cellStyle name="Normal 3 2 2 6 4 3" xfId="39158"/>
    <cellStyle name="Normal 3 2 2 6 4 4" xfId="39159"/>
    <cellStyle name="Normal 3 2 2 6 5" xfId="39160"/>
    <cellStyle name="Normal 3 2 2 6 5 2" xfId="39161"/>
    <cellStyle name="Normal 3 2 2 6 6" xfId="39162"/>
    <cellStyle name="Normal 3 2 2 6 7" xfId="39163"/>
    <cellStyle name="Normal 3 2 2 6 8" xfId="39164"/>
    <cellStyle name="Normal 3 2 2 7" xfId="39165"/>
    <cellStyle name="Normal 3 2 2 7 2" xfId="39166"/>
    <cellStyle name="Normal 3 2 2 7 2 2" xfId="39167"/>
    <cellStyle name="Normal 3 2 2 7 2 2 2" xfId="39168"/>
    <cellStyle name="Normal 3 2 2 7 2 2 3" xfId="39169"/>
    <cellStyle name="Normal 3 2 2 7 2 3" xfId="39170"/>
    <cellStyle name="Normal 3 2 2 7 2 3 2" xfId="39171"/>
    <cellStyle name="Normal 3 2 2 7 2 4" xfId="39172"/>
    <cellStyle name="Normal 3 2 2 7 2 5" xfId="39173"/>
    <cellStyle name="Normal 3 2 2 7 3" xfId="39174"/>
    <cellStyle name="Normal 3 2 2 7 3 2" xfId="39175"/>
    <cellStyle name="Normal 3 2 2 7 3 2 2" xfId="39176"/>
    <cellStyle name="Normal 3 2 2 7 3 3" xfId="39177"/>
    <cellStyle name="Normal 3 2 2 7 3 4" xfId="39178"/>
    <cellStyle name="Normal 3 2 2 7 4" xfId="39179"/>
    <cellStyle name="Normal 3 2 2 7 4 2" xfId="39180"/>
    <cellStyle name="Normal 3 2 2 7 4 2 2" xfId="39181"/>
    <cellStyle name="Normal 3 2 2 7 4 3" xfId="39182"/>
    <cellStyle name="Normal 3 2 2 7 4 4" xfId="39183"/>
    <cellStyle name="Normal 3 2 2 7 5" xfId="39184"/>
    <cellStyle name="Normal 3 2 2 7 5 2" xfId="39185"/>
    <cellStyle name="Normal 3 2 2 7 6" xfId="39186"/>
    <cellStyle name="Normal 3 2 2 7 7" xfId="39187"/>
    <cellStyle name="Normal 3 2 2 7 8" xfId="39188"/>
    <cellStyle name="Normal 3 2 2 8" xfId="39189"/>
    <cellStyle name="Normal 3 2 2 8 2" xfId="39190"/>
    <cellStyle name="Normal 3 2 2 8 2 2" xfId="39191"/>
    <cellStyle name="Normal 3 2 2 8 2 2 2" xfId="39192"/>
    <cellStyle name="Normal 3 2 2 8 2 2 3" xfId="39193"/>
    <cellStyle name="Normal 3 2 2 8 2 3" xfId="39194"/>
    <cellStyle name="Normal 3 2 2 8 2 3 2" xfId="39195"/>
    <cellStyle name="Normal 3 2 2 8 2 4" xfId="39196"/>
    <cellStyle name="Normal 3 2 2 8 2 5" xfId="39197"/>
    <cellStyle name="Normal 3 2 2 8 3" xfId="39198"/>
    <cellStyle name="Normal 3 2 2 8 3 2" xfId="39199"/>
    <cellStyle name="Normal 3 2 2 8 3 2 2" xfId="39200"/>
    <cellStyle name="Normal 3 2 2 8 3 3" xfId="39201"/>
    <cellStyle name="Normal 3 2 2 8 3 4" xfId="39202"/>
    <cellStyle name="Normal 3 2 2 8 4" xfId="39203"/>
    <cellStyle name="Normal 3 2 2 8 4 2" xfId="39204"/>
    <cellStyle name="Normal 3 2 2 8 4 2 2" xfId="39205"/>
    <cellStyle name="Normal 3 2 2 8 4 3" xfId="39206"/>
    <cellStyle name="Normal 3 2 2 8 4 4" xfId="39207"/>
    <cellStyle name="Normal 3 2 2 8 5" xfId="39208"/>
    <cellStyle name="Normal 3 2 2 8 5 2" xfId="39209"/>
    <cellStyle name="Normal 3 2 2 8 6" xfId="39210"/>
    <cellStyle name="Normal 3 2 2 8 7" xfId="39211"/>
    <cellStyle name="Normal 3 2 2 8 8" xfId="39212"/>
    <cellStyle name="Normal 3 2 3" xfId="39213"/>
    <cellStyle name="Normal 3 2 3 2" xfId="39214"/>
    <cellStyle name="Normal 3 2 3 2 2" xfId="39215"/>
    <cellStyle name="Normal 3 2 3 2 2 2" xfId="39216"/>
    <cellStyle name="Normal 3 2 3 2 2 2 2" xfId="39217"/>
    <cellStyle name="Normal 3 2 3 2 2 2 2 2" xfId="39218"/>
    <cellStyle name="Normal 3 2 3 2 2 2 2 2 2" xfId="39219"/>
    <cellStyle name="Normal 3 2 3 2 2 2 2 2 3" xfId="39220"/>
    <cellStyle name="Normal 3 2 3 2 2 2 2 3" xfId="39221"/>
    <cellStyle name="Normal 3 2 3 2 2 2 2 3 2" xfId="39222"/>
    <cellStyle name="Normal 3 2 3 2 2 2 2 4" xfId="39223"/>
    <cellStyle name="Normal 3 2 3 2 2 2 2 5" xfId="39224"/>
    <cellStyle name="Normal 3 2 3 2 2 2 3" xfId="39225"/>
    <cellStyle name="Normal 3 2 3 2 2 2 3 2" xfId="39226"/>
    <cellStyle name="Normal 3 2 3 2 2 2 3 2 2" xfId="39227"/>
    <cellStyle name="Normal 3 2 3 2 2 2 3 3" xfId="39228"/>
    <cellStyle name="Normal 3 2 3 2 2 2 3 4" xfId="39229"/>
    <cellStyle name="Normal 3 2 3 2 2 2 4" xfId="39230"/>
    <cellStyle name="Normal 3 2 3 2 2 2 4 2" xfId="39231"/>
    <cellStyle name="Normal 3 2 3 2 2 2 4 2 2" xfId="39232"/>
    <cellStyle name="Normal 3 2 3 2 2 2 4 3" xfId="39233"/>
    <cellStyle name="Normal 3 2 3 2 2 2 4 4" xfId="39234"/>
    <cellStyle name="Normal 3 2 3 2 2 2 5" xfId="39235"/>
    <cellStyle name="Normal 3 2 3 2 2 2 5 2" xfId="39236"/>
    <cellStyle name="Normal 3 2 3 2 2 2 6" xfId="39237"/>
    <cellStyle name="Normal 3 2 3 2 2 2 7" xfId="39238"/>
    <cellStyle name="Normal 3 2 3 2 2 2 8" xfId="39239"/>
    <cellStyle name="Normal 3 2 3 2 2 3" xfId="39240"/>
    <cellStyle name="Normal 3 2 3 2 2 3 2" xfId="39241"/>
    <cellStyle name="Normal 3 2 3 2 2 3 2 2" xfId="39242"/>
    <cellStyle name="Normal 3 2 3 2 2 3 2 2 2" xfId="39243"/>
    <cellStyle name="Normal 3 2 3 2 2 3 2 2 3" xfId="39244"/>
    <cellStyle name="Normal 3 2 3 2 2 3 2 3" xfId="39245"/>
    <cellStyle name="Normal 3 2 3 2 2 3 2 3 2" xfId="39246"/>
    <cellStyle name="Normal 3 2 3 2 2 3 2 4" xfId="39247"/>
    <cellStyle name="Normal 3 2 3 2 2 3 2 5" xfId="39248"/>
    <cellStyle name="Normal 3 2 3 2 2 3 3" xfId="39249"/>
    <cellStyle name="Normal 3 2 3 2 2 3 3 2" xfId="39250"/>
    <cellStyle name="Normal 3 2 3 2 2 3 3 2 2" xfId="39251"/>
    <cellStyle name="Normal 3 2 3 2 2 3 3 3" xfId="39252"/>
    <cellStyle name="Normal 3 2 3 2 2 3 3 4" xfId="39253"/>
    <cellStyle name="Normal 3 2 3 2 2 3 4" xfId="39254"/>
    <cellStyle name="Normal 3 2 3 2 2 3 4 2" xfId="39255"/>
    <cellStyle name="Normal 3 2 3 2 2 3 4 2 2" xfId="39256"/>
    <cellStyle name="Normal 3 2 3 2 2 3 4 3" xfId="39257"/>
    <cellStyle name="Normal 3 2 3 2 2 3 4 4" xfId="39258"/>
    <cellStyle name="Normal 3 2 3 2 2 3 5" xfId="39259"/>
    <cellStyle name="Normal 3 2 3 2 2 3 5 2" xfId="39260"/>
    <cellStyle name="Normal 3 2 3 2 2 3 6" xfId="39261"/>
    <cellStyle name="Normal 3 2 3 2 2 3 7" xfId="39262"/>
    <cellStyle name="Normal 3 2 3 2 2 3 8" xfId="39263"/>
    <cellStyle name="Normal 3 2 3 2 2 4" xfId="39264"/>
    <cellStyle name="Normal 3 2 3 2 2 4 2" xfId="39265"/>
    <cellStyle name="Normal 3 2 3 2 2 4 2 2" xfId="39266"/>
    <cellStyle name="Normal 3 2 3 2 2 4 2 2 2" xfId="39267"/>
    <cellStyle name="Normal 3 2 3 2 2 4 2 2 3" xfId="39268"/>
    <cellStyle name="Normal 3 2 3 2 2 4 2 3" xfId="39269"/>
    <cellStyle name="Normal 3 2 3 2 2 4 2 3 2" xfId="39270"/>
    <cellStyle name="Normal 3 2 3 2 2 4 2 4" xfId="39271"/>
    <cellStyle name="Normal 3 2 3 2 2 4 2 5" xfId="39272"/>
    <cellStyle name="Normal 3 2 3 2 2 4 3" xfId="39273"/>
    <cellStyle name="Normal 3 2 3 2 2 4 3 2" xfId="39274"/>
    <cellStyle name="Normal 3 2 3 2 2 4 3 2 2" xfId="39275"/>
    <cellStyle name="Normal 3 2 3 2 2 4 3 3" xfId="39276"/>
    <cellStyle name="Normal 3 2 3 2 2 4 3 4" xfId="39277"/>
    <cellStyle name="Normal 3 2 3 2 2 4 4" xfId="39278"/>
    <cellStyle name="Normal 3 2 3 2 2 4 4 2" xfId="39279"/>
    <cellStyle name="Normal 3 2 3 2 2 4 4 2 2" xfId="39280"/>
    <cellStyle name="Normal 3 2 3 2 2 4 4 3" xfId="39281"/>
    <cellStyle name="Normal 3 2 3 2 2 4 4 4" xfId="39282"/>
    <cellStyle name="Normal 3 2 3 2 2 4 5" xfId="39283"/>
    <cellStyle name="Normal 3 2 3 2 2 4 5 2" xfId="39284"/>
    <cellStyle name="Normal 3 2 3 2 2 4 6" xfId="39285"/>
    <cellStyle name="Normal 3 2 3 2 2 4 7" xfId="39286"/>
    <cellStyle name="Normal 3 2 3 2 2 4 8" xfId="39287"/>
    <cellStyle name="Normal 3 2 3 2 2 5" xfId="39288"/>
    <cellStyle name="Normal 3 2 3 2 3" xfId="39289"/>
    <cellStyle name="Normal 3 2 3 2 3 2" xfId="39290"/>
    <cellStyle name="Normal 3 2 3 2 3 2 2" xfId="39291"/>
    <cellStyle name="Normal 3 2 3 2 3 2 2 2" xfId="39292"/>
    <cellStyle name="Normal 3 2 3 2 3 2 2 3" xfId="39293"/>
    <cellStyle name="Normal 3 2 3 2 3 2 3" xfId="39294"/>
    <cellStyle name="Normal 3 2 3 2 3 2 3 2" xfId="39295"/>
    <cellStyle name="Normal 3 2 3 2 3 2 4" xfId="39296"/>
    <cellStyle name="Normal 3 2 3 2 3 2 5" xfId="39297"/>
    <cellStyle name="Normal 3 2 3 2 3 3" xfId="39298"/>
    <cellStyle name="Normal 3 2 3 2 3 3 2" xfId="39299"/>
    <cellStyle name="Normal 3 2 3 2 3 3 2 2" xfId="39300"/>
    <cellStyle name="Normal 3 2 3 2 3 3 3" xfId="39301"/>
    <cellStyle name="Normal 3 2 3 2 3 3 4" xfId="39302"/>
    <cellStyle name="Normal 3 2 3 2 3 4" xfId="39303"/>
    <cellStyle name="Normal 3 2 3 2 3 4 2" xfId="39304"/>
    <cellStyle name="Normal 3 2 3 2 3 4 2 2" xfId="39305"/>
    <cellStyle name="Normal 3 2 3 2 3 4 3" xfId="39306"/>
    <cellStyle name="Normal 3 2 3 2 3 4 4" xfId="39307"/>
    <cellStyle name="Normal 3 2 3 2 3 5" xfId="39308"/>
    <cellStyle name="Normal 3 2 3 2 3 5 2" xfId="39309"/>
    <cellStyle name="Normal 3 2 3 2 3 6" xfId="39310"/>
    <cellStyle name="Normal 3 2 3 2 3 7" xfId="39311"/>
    <cellStyle name="Normal 3 2 3 2 3 8" xfId="39312"/>
    <cellStyle name="Normal 3 2 3 2 4" xfId="39313"/>
    <cellStyle name="Normal 3 2 3 2 4 2" xfId="39314"/>
    <cellStyle name="Normal 3 2 3 2 4 2 2" xfId="39315"/>
    <cellStyle name="Normal 3 2 3 2 4 2 2 2" xfId="39316"/>
    <cellStyle name="Normal 3 2 3 2 4 2 2 3" xfId="39317"/>
    <cellStyle name="Normal 3 2 3 2 4 2 3" xfId="39318"/>
    <cellStyle name="Normal 3 2 3 2 4 2 3 2" xfId="39319"/>
    <cellStyle name="Normal 3 2 3 2 4 2 4" xfId="39320"/>
    <cellStyle name="Normal 3 2 3 2 4 2 5" xfId="39321"/>
    <cellStyle name="Normal 3 2 3 2 4 3" xfId="39322"/>
    <cellStyle name="Normal 3 2 3 2 4 3 2" xfId="39323"/>
    <cellStyle name="Normal 3 2 3 2 4 3 2 2" xfId="39324"/>
    <cellStyle name="Normal 3 2 3 2 4 3 3" xfId="39325"/>
    <cellStyle name="Normal 3 2 3 2 4 3 4" xfId="39326"/>
    <cellStyle name="Normal 3 2 3 2 4 4" xfId="39327"/>
    <cellStyle name="Normal 3 2 3 2 4 4 2" xfId="39328"/>
    <cellStyle name="Normal 3 2 3 2 4 4 2 2" xfId="39329"/>
    <cellStyle name="Normal 3 2 3 2 4 4 3" xfId="39330"/>
    <cellStyle name="Normal 3 2 3 2 4 4 4" xfId="39331"/>
    <cellStyle name="Normal 3 2 3 2 4 5" xfId="39332"/>
    <cellStyle name="Normal 3 2 3 2 4 5 2" xfId="39333"/>
    <cellStyle name="Normal 3 2 3 2 4 6" xfId="39334"/>
    <cellStyle name="Normal 3 2 3 2 4 7" xfId="39335"/>
    <cellStyle name="Normal 3 2 3 2 4 8" xfId="39336"/>
    <cellStyle name="Normal 3 2 3 2 5" xfId="39337"/>
    <cellStyle name="Normal 3 2 3 2 5 2" xfId="39338"/>
    <cellStyle name="Normal 3 2 3 2 5 2 2" xfId="39339"/>
    <cellStyle name="Normal 3 2 3 2 5 2 2 2" xfId="39340"/>
    <cellStyle name="Normal 3 2 3 2 5 2 2 3" xfId="39341"/>
    <cellStyle name="Normal 3 2 3 2 5 2 3" xfId="39342"/>
    <cellStyle name="Normal 3 2 3 2 5 2 3 2" xfId="39343"/>
    <cellStyle name="Normal 3 2 3 2 5 2 4" xfId="39344"/>
    <cellStyle name="Normal 3 2 3 2 5 2 5" xfId="39345"/>
    <cellStyle name="Normal 3 2 3 2 5 3" xfId="39346"/>
    <cellStyle name="Normal 3 2 3 2 5 3 2" xfId="39347"/>
    <cellStyle name="Normal 3 2 3 2 5 3 2 2" xfId="39348"/>
    <cellStyle name="Normal 3 2 3 2 5 3 3" xfId="39349"/>
    <cellStyle name="Normal 3 2 3 2 5 3 4" xfId="39350"/>
    <cellStyle name="Normal 3 2 3 2 5 4" xfId="39351"/>
    <cellStyle name="Normal 3 2 3 2 5 4 2" xfId="39352"/>
    <cellStyle name="Normal 3 2 3 2 5 4 2 2" xfId="39353"/>
    <cellStyle name="Normal 3 2 3 2 5 4 3" xfId="39354"/>
    <cellStyle name="Normal 3 2 3 2 5 4 4" xfId="39355"/>
    <cellStyle name="Normal 3 2 3 2 5 5" xfId="39356"/>
    <cellStyle name="Normal 3 2 3 2 5 5 2" xfId="39357"/>
    <cellStyle name="Normal 3 2 3 2 5 6" xfId="39358"/>
    <cellStyle name="Normal 3 2 3 2 5 7" xfId="39359"/>
    <cellStyle name="Normal 3 2 3 2 5 8" xfId="39360"/>
    <cellStyle name="Normal 3 2 3 2 6" xfId="39361"/>
    <cellStyle name="Normal 3 2 3 3" xfId="39362"/>
    <cellStyle name="Normal 3 2 3 3 2" xfId="39363"/>
    <cellStyle name="Normal 3 2 3 3 2 2" xfId="39364"/>
    <cellStyle name="Normal 3 2 3 3 2 2 2" xfId="39365"/>
    <cellStyle name="Normal 3 2 3 3 2 2 2 2" xfId="39366"/>
    <cellStyle name="Normal 3 2 3 3 2 2 2 3" xfId="39367"/>
    <cellStyle name="Normal 3 2 3 3 2 2 3" xfId="39368"/>
    <cellStyle name="Normal 3 2 3 3 2 2 3 2" xfId="39369"/>
    <cellStyle name="Normal 3 2 3 3 2 2 4" xfId="39370"/>
    <cellStyle name="Normal 3 2 3 3 2 2 5" xfId="39371"/>
    <cellStyle name="Normal 3 2 3 3 2 3" xfId="39372"/>
    <cellStyle name="Normal 3 2 3 3 2 3 2" xfId="39373"/>
    <cellStyle name="Normal 3 2 3 3 2 3 2 2" xfId="39374"/>
    <cellStyle name="Normal 3 2 3 3 2 3 3" xfId="39375"/>
    <cellStyle name="Normal 3 2 3 3 2 3 4" xfId="39376"/>
    <cellStyle name="Normal 3 2 3 3 2 4" xfId="39377"/>
    <cellStyle name="Normal 3 2 3 3 2 4 2" xfId="39378"/>
    <cellStyle name="Normal 3 2 3 3 2 4 2 2" xfId="39379"/>
    <cellStyle name="Normal 3 2 3 3 2 4 3" xfId="39380"/>
    <cellStyle name="Normal 3 2 3 3 2 4 4" xfId="39381"/>
    <cellStyle name="Normal 3 2 3 3 2 5" xfId="39382"/>
    <cellStyle name="Normal 3 2 3 3 2 5 2" xfId="39383"/>
    <cellStyle name="Normal 3 2 3 3 2 6" xfId="39384"/>
    <cellStyle name="Normal 3 2 3 3 2 7" xfId="39385"/>
    <cellStyle name="Normal 3 2 3 3 2 8" xfId="39386"/>
    <cellStyle name="Normal 3 2 3 3 3" xfId="39387"/>
    <cellStyle name="Normal 3 2 3 3 3 2" xfId="39388"/>
    <cellStyle name="Normal 3 2 3 3 3 2 2" xfId="39389"/>
    <cellStyle name="Normal 3 2 3 3 3 2 2 2" xfId="39390"/>
    <cellStyle name="Normal 3 2 3 3 3 2 2 3" xfId="39391"/>
    <cellStyle name="Normal 3 2 3 3 3 2 3" xfId="39392"/>
    <cellStyle name="Normal 3 2 3 3 3 2 3 2" xfId="39393"/>
    <cellStyle name="Normal 3 2 3 3 3 2 4" xfId="39394"/>
    <cellStyle name="Normal 3 2 3 3 3 2 5" xfId="39395"/>
    <cellStyle name="Normal 3 2 3 3 3 3" xfId="39396"/>
    <cellStyle name="Normal 3 2 3 3 3 3 2" xfId="39397"/>
    <cellStyle name="Normal 3 2 3 3 3 3 2 2" xfId="39398"/>
    <cellStyle name="Normal 3 2 3 3 3 3 3" xfId="39399"/>
    <cellStyle name="Normal 3 2 3 3 3 3 4" xfId="39400"/>
    <cellStyle name="Normal 3 2 3 3 3 4" xfId="39401"/>
    <cellStyle name="Normal 3 2 3 3 3 4 2" xfId="39402"/>
    <cellStyle name="Normal 3 2 3 3 3 4 2 2" xfId="39403"/>
    <cellStyle name="Normal 3 2 3 3 3 4 3" xfId="39404"/>
    <cellStyle name="Normal 3 2 3 3 3 4 4" xfId="39405"/>
    <cellStyle name="Normal 3 2 3 3 3 5" xfId="39406"/>
    <cellStyle name="Normal 3 2 3 3 3 5 2" xfId="39407"/>
    <cellStyle name="Normal 3 2 3 3 3 6" xfId="39408"/>
    <cellStyle name="Normal 3 2 3 3 3 7" xfId="39409"/>
    <cellStyle name="Normal 3 2 3 3 3 8" xfId="39410"/>
    <cellStyle name="Normal 3 2 3 3 4" xfId="39411"/>
    <cellStyle name="Normal 3 2 3 3 4 2" xfId="39412"/>
    <cellStyle name="Normal 3 2 3 3 4 2 2" xfId="39413"/>
    <cellStyle name="Normal 3 2 3 3 4 2 2 2" xfId="39414"/>
    <cellStyle name="Normal 3 2 3 3 4 2 2 3" xfId="39415"/>
    <cellStyle name="Normal 3 2 3 3 4 2 3" xfId="39416"/>
    <cellStyle name="Normal 3 2 3 3 4 2 3 2" xfId="39417"/>
    <cellStyle name="Normal 3 2 3 3 4 2 4" xfId="39418"/>
    <cellStyle name="Normal 3 2 3 3 4 2 5" xfId="39419"/>
    <cellStyle name="Normal 3 2 3 3 4 3" xfId="39420"/>
    <cellStyle name="Normal 3 2 3 3 4 3 2" xfId="39421"/>
    <cellStyle name="Normal 3 2 3 3 4 3 2 2" xfId="39422"/>
    <cellStyle name="Normal 3 2 3 3 4 3 3" xfId="39423"/>
    <cellStyle name="Normal 3 2 3 3 4 3 4" xfId="39424"/>
    <cellStyle name="Normal 3 2 3 3 4 4" xfId="39425"/>
    <cellStyle name="Normal 3 2 3 3 4 4 2" xfId="39426"/>
    <cellStyle name="Normal 3 2 3 3 4 4 2 2" xfId="39427"/>
    <cellStyle name="Normal 3 2 3 3 4 4 3" xfId="39428"/>
    <cellStyle name="Normal 3 2 3 3 4 4 4" xfId="39429"/>
    <cellStyle name="Normal 3 2 3 3 4 5" xfId="39430"/>
    <cellStyle name="Normal 3 2 3 3 4 5 2" xfId="39431"/>
    <cellStyle name="Normal 3 2 3 3 4 6" xfId="39432"/>
    <cellStyle name="Normal 3 2 3 3 4 7" xfId="39433"/>
    <cellStyle name="Normal 3 2 3 3 4 8" xfId="39434"/>
    <cellStyle name="Normal 3 2 3 3 5" xfId="39435"/>
    <cellStyle name="Normal 3 2 3 4" xfId="39436"/>
    <cellStyle name="Normal 3 2 3 4 2" xfId="39437"/>
    <cellStyle name="Normal 3 2 3 5" xfId="39438"/>
    <cellStyle name="Normal 3 2 3 5 2" xfId="39439"/>
    <cellStyle name="Normal 3 2 3 5 2 2" xfId="39440"/>
    <cellStyle name="Normal 3 2 3 5 2 2 2" xfId="39441"/>
    <cellStyle name="Normal 3 2 3 5 2 2 3" xfId="39442"/>
    <cellStyle name="Normal 3 2 3 5 2 3" xfId="39443"/>
    <cellStyle name="Normal 3 2 3 5 2 3 2" xfId="39444"/>
    <cellStyle name="Normal 3 2 3 5 2 4" xfId="39445"/>
    <cellStyle name="Normal 3 2 3 5 2 5" xfId="39446"/>
    <cellStyle name="Normal 3 2 3 5 3" xfId="39447"/>
    <cellStyle name="Normal 3 2 3 5 3 2" xfId="39448"/>
    <cellStyle name="Normal 3 2 3 5 3 2 2" xfId="39449"/>
    <cellStyle name="Normal 3 2 3 5 3 3" xfId="39450"/>
    <cellStyle name="Normal 3 2 3 5 3 4" xfId="39451"/>
    <cellStyle name="Normal 3 2 3 5 4" xfId="39452"/>
    <cellStyle name="Normal 3 2 3 5 4 2" xfId="39453"/>
    <cellStyle name="Normal 3 2 3 5 4 2 2" xfId="39454"/>
    <cellStyle name="Normal 3 2 3 5 4 3" xfId="39455"/>
    <cellStyle name="Normal 3 2 3 5 4 4" xfId="39456"/>
    <cellStyle name="Normal 3 2 3 5 5" xfId="39457"/>
    <cellStyle name="Normal 3 2 3 5 5 2" xfId="39458"/>
    <cellStyle name="Normal 3 2 3 5 6" xfId="39459"/>
    <cellStyle name="Normal 3 2 3 5 7" xfId="39460"/>
    <cellStyle name="Normal 3 2 3 5 8" xfId="39461"/>
    <cellStyle name="Normal 3 2 3 6" xfId="39462"/>
    <cellStyle name="Normal 3 2 3 6 2" xfId="39463"/>
    <cellStyle name="Normal 3 2 3 6 2 2" xfId="39464"/>
    <cellStyle name="Normal 3 2 3 6 2 2 2" xfId="39465"/>
    <cellStyle name="Normal 3 2 3 6 2 2 3" xfId="39466"/>
    <cellStyle name="Normal 3 2 3 6 2 3" xfId="39467"/>
    <cellStyle name="Normal 3 2 3 6 2 3 2" xfId="39468"/>
    <cellStyle name="Normal 3 2 3 6 2 4" xfId="39469"/>
    <cellStyle name="Normal 3 2 3 6 2 5" xfId="39470"/>
    <cellStyle name="Normal 3 2 3 6 3" xfId="39471"/>
    <cellStyle name="Normal 3 2 3 6 3 2" xfId="39472"/>
    <cellStyle name="Normal 3 2 3 6 3 2 2" xfId="39473"/>
    <cellStyle name="Normal 3 2 3 6 3 3" xfId="39474"/>
    <cellStyle name="Normal 3 2 3 6 3 4" xfId="39475"/>
    <cellStyle name="Normal 3 2 3 6 4" xfId="39476"/>
    <cellStyle name="Normal 3 2 3 6 4 2" xfId="39477"/>
    <cellStyle name="Normal 3 2 3 6 4 2 2" xfId="39478"/>
    <cellStyle name="Normal 3 2 3 6 4 3" xfId="39479"/>
    <cellStyle name="Normal 3 2 3 6 4 4" xfId="39480"/>
    <cellStyle name="Normal 3 2 3 6 5" xfId="39481"/>
    <cellStyle name="Normal 3 2 3 6 5 2" xfId="39482"/>
    <cellStyle name="Normal 3 2 3 6 6" xfId="39483"/>
    <cellStyle name="Normal 3 2 3 6 7" xfId="39484"/>
    <cellStyle name="Normal 3 2 3 6 8" xfId="39485"/>
    <cellStyle name="Normal 3 2 3 7" xfId="39486"/>
    <cellStyle name="Normal 3 2 3 7 2" xfId="39487"/>
    <cellStyle name="Normal 3 2 3 7 2 2" xfId="39488"/>
    <cellStyle name="Normal 3 2 3 7 2 2 2" xfId="39489"/>
    <cellStyle name="Normal 3 2 3 7 2 2 3" xfId="39490"/>
    <cellStyle name="Normal 3 2 3 7 2 3" xfId="39491"/>
    <cellStyle name="Normal 3 2 3 7 2 3 2" xfId="39492"/>
    <cellStyle name="Normal 3 2 3 7 2 4" xfId="39493"/>
    <cellStyle name="Normal 3 2 3 7 2 5" xfId="39494"/>
    <cellStyle name="Normal 3 2 3 7 3" xfId="39495"/>
    <cellStyle name="Normal 3 2 3 7 3 2" xfId="39496"/>
    <cellStyle name="Normal 3 2 3 7 3 2 2" xfId="39497"/>
    <cellStyle name="Normal 3 2 3 7 3 3" xfId="39498"/>
    <cellStyle name="Normal 3 2 3 7 3 4" xfId="39499"/>
    <cellStyle name="Normal 3 2 3 7 4" xfId="39500"/>
    <cellStyle name="Normal 3 2 3 7 4 2" xfId="39501"/>
    <cellStyle name="Normal 3 2 3 7 4 2 2" xfId="39502"/>
    <cellStyle name="Normal 3 2 3 7 4 3" xfId="39503"/>
    <cellStyle name="Normal 3 2 3 7 4 4" xfId="39504"/>
    <cellStyle name="Normal 3 2 3 7 5" xfId="39505"/>
    <cellStyle name="Normal 3 2 3 7 5 2" xfId="39506"/>
    <cellStyle name="Normal 3 2 3 7 6" xfId="39507"/>
    <cellStyle name="Normal 3 2 3 7 7" xfId="39508"/>
    <cellStyle name="Normal 3 2 3 7 8" xfId="39509"/>
    <cellStyle name="Normal 3 2 3 8" xfId="39510"/>
    <cellStyle name="Normal 3 2 4" xfId="39511"/>
    <cellStyle name="Normal 3 2 4 2" xfId="39512"/>
    <cellStyle name="Normal 3 2 4 2 2" xfId="39513"/>
    <cellStyle name="Normal 3 2 4 2 2 2" xfId="39514"/>
    <cellStyle name="Normal 3 2 4 2 2 2 2" xfId="39515"/>
    <cellStyle name="Normal 3 2 4 2 2 2 2 2" xfId="39516"/>
    <cellStyle name="Normal 3 2 4 2 2 2 2 3" xfId="39517"/>
    <cellStyle name="Normal 3 2 4 2 2 2 3" xfId="39518"/>
    <cellStyle name="Normal 3 2 4 2 2 2 3 2" xfId="39519"/>
    <cellStyle name="Normal 3 2 4 2 2 2 4" xfId="39520"/>
    <cellStyle name="Normal 3 2 4 2 2 2 5" xfId="39521"/>
    <cellStyle name="Normal 3 2 4 2 2 3" xfId="39522"/>
    <cellStyle name="Normal 3 2 4 2 2 3 2" xfId="39523"/>
    <cellStyle name="Normal 3 2 4 2 2 3 2 2" xfId="39524"/>
    <cellStyle name="Normal 3 2 4 2 2 3 3" xfId="39525"/>
    <cellStyle name="Normal 3 2 4 2 2 3 4" xfId="39526"/>
    <cellStyle name="Normal 3 2 4 2 2 4" xfId="39527"/>
    <cellStyle name="Normal 3 2 4 2 2 4 2" xfId="39528"/>
    <cellStyle name="Normal 3 2 4 2 2 4 2 2" xfId="39529"/>
    <cellStyle name="Normal 3 2 4 2 2 4 3" xfId="39530"/>
    <cellStyle name="Normal 3 2 4 2 2 4 4" xfId="39531"/>
    <cellStyle name="Normal 3 2 4 2 2 5" xfId="39532"/>
    <cellStyle name="Normal 3 2 4 2 2 5 2" xfId="39533"/>
    <cellStyle name="Normal 3 2 4 2 2 6" xfId="39534"/>
    <cellStyle name="Normal 3 2 4 2 2 7" xfId="39535"/>
    <cellStyle name="Normal 3 2 4 2 2 8" xfId="39536"/>
    <cellStyle name="Normal 3 2 4 2 3" xfId="39537"/>
    <cellStyle name="Normal 3 2 4 2 3 2" xfId="39538"/>
    <cellStyle name="Normal 3 2 4 2 3 2 2" xfId="39539"/>
    <cellStyle name="Normal 3 2 4 2 3 2 2 2" xfId="39540"/>
    <cellStyle name="Normal 3 2 4 2 3 2 2 3" xfId="39541"/>
    <cellStyle name="Normal 3 2 4 2 3 2 3" xfId="39542"/>
    <cellStyle name="Normal 3 2 4 2 3 2 3 2" xfId="39543"/>
    <cellStyle name="Normal 3 2 4 2 3 2 4" xfId="39544"/>
    <cellStyle name="Normal 3 2 4 2 3 2 5" xfId="39545"/>
    <cellStyle name="Normal 3 2 4 2 3 3" xfId="39546"/>
    <cellStyle name="Normal 3 2 4 2 3 3 2" xfId="39547"/>
    <cellStyle name="Normal 3 2 4 2 3 3 2 2" xfId="39548"/>
    <cellStyle name="Normal 3 2 4 2 3 3 3" xfId="39549"/>
    <cellStyle name="Normal 3 2 4 2 3 3 4" xfId="39550"/>
    <cellStyle name="Normal 3 2 4 2 3 4" xfId="39551"/>
    <cellStyle name="Normal 3 2 4 2 3 4 2" xfId="39552"/>
    <cellStyle name="Normal 3 2 4 2 3 4 2 2" xfId="39553"/>
    <cellStyle name="Normal 3 2 4 2 3 4 3" xfId="39554"/>
    <cellStyle name="Normal 3 2 4 2 3 4 4" xfId="39555"/>
    <cellStyle name="Normal 3 2 4 2 3 5" xfId="39556"/>
    <cellStyle name="Normal 3 2 4 2 3 5 2" xfId="39557"/>
    <cellStyle name="Normal 3 2 4 2 3 6" xfId="39558"/>
    <cellStyle name="Normal 3 2 4 2 3 7" xfId="39559"/>
    <cellStyle name="Normal 3 2 4 2 3 8" xfId="39560"/>
    <cellStyle name="Normal 3 2 4 2 4" xfId="39561"/>
    <cellStyle name="Normal 3 2 4 2 4 2" xfId="39562"/>
    <cellStyle name="Normal 3 2 4 2 4 2 2" xfId="39563"/>
    <cellStyle name="Normal 3 2 4 2 4 2 2 2" xfId="39564"/>
    <cellStyle name="Normal 3 2 4 2 4 2 2 3" xfId="39565"/>
    <cellStyle name="Normal 3 2 4 2 4 2 3" xfId="39566"/>
    <cellStyle name="Normal 3 2 4 2 4 2 3 2" xfId="39567"/>
    <cellStyle name="Normal 3 2 4 2 4 2 4" xfId="39568"/>
    <cellStyle name="Normal 3 2 4 2 4 2 5" xfId="39569"/>
    <cellStyle name="Normal 3 2 4 2 4 3" xfId="39570"/>
    <cellStyle name="Normal 3 2 4 2 4 3 2" xfId="39571"/>
    <cellStyle name="Normal 3 2 4 2 4 3 2 2" xfId="39572"/>
    <cellStyle name="Normal 3 2 4 2 4 3 3" xfId="39573"/>
    <cellStyle name="Normal 3 2 4 2 4 3 4" xfId="39574"/>
    <cellStyle name="Normal 3 2 4 2 4 4" xfId="39575"/>
    <cellStyle name="Normal 3 2 4 2 4 4 2" xfId="39576"/>
    <cellStyle name="Normal 3 2 4 2 4 4 2 2" xfId="39577"/>
    <cellStyle name="Normal 3 2 4 2 4 4 3" xfId="39578"/>
    <cellStyle name="Normal 3 2 4 2 4 4 4" xfId="39579"/>
    <cellStyle name="Normal 3 2 4 2 4 5" xfId="39580"/>
    <cellStyle name="Normal 3 2 4 2 4 5 2" xfId="39581"/>
    <cellStyle name="Normal 3 2 4 2 4 6" xfId="39582"/>
    <cellStyle name="Normal 3 2 4 2 4 7" xfId="39583"/>
    <cellStyle name="Normal 3 2 4 2 4 8" xfId="39584"/>
    <cellStyle name="Normal 3 2 4 2 5" xfId="39585"/>
    <cellStyle name="Normal 3 2 4 3" xfId="39586"/>
    <cellStyle name="Normal 3 2 4 3 2" xfId="39587"/>
    <cellStyle name="Normal 3 2 4 4" xfId="39588"/>
    <cellStyle name="Normal 3 2 4 4 2" xfId="39589"/>
    <cellStyle name="Normal 3 2 4 4 2 2" xfId="39590"/>
    <cellStyle name="Normal 3 2 4 4 2 2 2" xfId="39591"/>
    <cellStyle name="Normal 3 2 4 4 2 2 3" xfId="39592"/>
    <cellStyle name="Normal 3 2 4 4 2 3" xfId="39593"/>
    <cellStyle name="Normal 3 2 4 4 2 3 2" xfId="39594"/>
    <cellStyle name="Normal 3 2 4 4 2 4" xfId="39595"/>
    <cellStyle name="Normal 3 2 4 4 2 5" xfId="39596"/>
    <cellStyle name="Normal 3 2 4 4 3" xfId="39597"/>
    <cellStyle name="Normal 3 2 4 4 3 2" xfId="39598"/>
    <cellStyle name="Normal 3 2 4 4 3 2 2" xfId="39599"/>
    <cellStyle name="Normal 3 2 4 4 3 3" xfId="39600"/>
    <cellStyle name="Normal 3 2 4 4 3 4" xfId="39601"/>
    <cellStyle name="Normal 3 2 4 4 4" xfId="39602"/>
    <cellStyle name="Normal 3 2 4 4 4 2" xfId="39603"/>
    <cellStyle name="Normal 3 2 4 4 4 2 2" xfId="39604"/>
    <cellStyle name="Normal 3 2 4 4 4 3" xfId="39605"/>
    <cellStyle name="Normal 3 2 4 4 4 4" xfId="39606"/>
    <cellStyle name="Normal 3 2 4 4 5" xfId="39607"/>
    <cellStyle name="Normal 3 2 4 4 5 2" xfId="39608"/>
    <cellStyle name="Normal 3 2 4 4 6" xfId="39609"/>
    <cellStyle name="Normal 3 2 4 4 7" xfId="39610"/>
    <cellStyle name="Normal 3 2 4 4 8" xfId="39611"/>
    <cellStyle name="Normal 3 2 4 5" xfId="39612"/>
    <cellStyle name="Normal 3 2 4 5 2" xfId="39613"/>
    <cellStyle name="Normal 3 2 4 5 2 2" xfId="39614"/>
    <cellStyle name="Normal 3 2 4 5 2 2 2" xfId="39615"/>
    <cellStyle name="Normal 3 2 4 5 2 2 3" xfId="39616"/>
    <cellStyle name="Normal 3 2 4 5 2 3" xfId="39617"/>
    <cellStyle name="Normal 3 2 4 5 2 3 2" xfId="39618"/>
    <cellStyle name="Normal 3 2 4 5 2 4" xfId="39619"/>
    <cellStyle name="Normal 3 2 4 5 2 5" xfId="39620"/>
    <cellStyle name="Normal 3 2 4 5 3" xfId="39621"/>
    <cellStyle name="Normal 3 2 4 5 3 2" xfId="39622"/>
    <cellStyle name="Normal 3 2 4 5 3 2 2" xfId="39623"/>
    <cellStyle name="Normal 3 2 4 5 3 3" xfId="39624"/>
    <cellStyle name="Normal 3 2 4 5 3 4" xfId="39625"/>
    <cellStyle name="Normal 3 2 4 5 4" xfId="39626"/>
    <cellStyle name="Normal 3 2 4 5 4 2" xfId="39627"/>
    <cellStyle name="Normal 3 2 4 5 4 2 2" xfId="39628"/>
    <cellStyle name="Normal 3 2 4 5 4 3" xfId="39629"/>
    <cellStyle name="Normal 3 2 4 5 4 4" xfId="39630"/>
    <cellStyle name="Normal 3 2 4 5 5" xfId="39631"/>
    <cellStyle name="Normal 3 2 4 5 5 2" xfId="39632"/>
    <cellStyle name="Normal 3 2 4 5 6" xfId="39633"/>
    <cellStyle name="Normal 3 2 4 5 7" xfId="39634"/>
    <cellStyle name="Normal 3 2 4 5 8" xfId="39635"/>
    <cellStyle name="Normal 3 2 4 6" xfId="39636"/>
    <cellStyle name="Normal 3 2 4 6 2" xfId="39637"/>
    <cellStyle name="Normal 3 2 4 6 2 2" xfId="39638"/>
    <cellStyle name="Normal 3 2 4 6 2 2 2" xfId="39639"/>
    <cellStyle name="Normal 3 2 4 6 2 2 3" xfId="39640"/>
    <cellStyle name="Normal 3 2 4 6 2 3" xfId="39641"/>
    <cellStyle name="Normal 3 2 4 6 2 3 2" xfId="39642"/>
    <cellStyle name="Normal 3 2 4 6 2 4" xfId="39643"/>
    <cellStyle name="Normal 3 2 4 6 2 5" xfId="39644"/>
    <cellStyle name="Normal 3 2 4 6 3" xfId="39645"/>
    <cellStyle name="Normal 3 2 4 6 3 2" xfId="39646"/>
    <cellStyle name="Normal 3 2 4 6 3 2 2" xfId="39647"/>
    <cellStyle name="Normal 3 2 4 6 3 3" xfId="39648"/>
    <cellStyle name="Normal 3 2 4 6 3 4" xfId="39649"/>
    <cellStyle name="Normal 3 2 4 6 4" xfId="39650"/>
    <cellStyle name="Normal 3 2 4 6 4 2" xfId="39651"/>
    <cellStyle name="Normal 3 2 4 6 4 2 2" xfId="39652"/>
    <cellStyle name="Normal 3 2 4 6 4 3" xfId="39653"/>
    <cellStyle name="Normal 3 2 4 6 4 4" xfId="39654"/>
    <cellStyle name="Normal 3 2 4 6 5" xfId="39655"/>
    <cellStyle name="Normal 3 2 4 6 5 2" xfId="39656"/>
    <cellStyle name="Normal 3 2 4 6 6" xfId="39657"/>
    <cellStyle name="Normal 3 2 4 6 7" xfId="39658"/>
    <cellStyle name="Normal 3 2 4 6 8" xfId="39659"/>
    <cellStyle name="Normal 3 2 5" xfId="39660"/>
    <cellStyle name="Normal 3 2 5 2" xfId="39661"/>
    <cellStyle name="Normal 3 2 5 2 2" xfId="39662"/>
    <cellStyle name="Normal 3 2 5 3" xfId="39663"/>
    <cellStyle name="Normal 3 2 5 3 2" xfId="39664"/>
    <cellStyle name="Normal 3 2 5 3 2 2" xfId="39665"/>
    <cellStyle name="Normal 3 2 5 3 2 2 2" xfId="39666"/>
    <cellStyle name="Normal 3 2 5 3 2 2 3" xfId="39667"/>
    <cellStyle name="Normal 3 2 5 3 2 3" xfId="39668"/>
    <cellStyle name="Normal 3 2 5 3 2 3 2" xfId="39669"/>
    <cellStyle name="Normal 3 2 5 3 2 4" xfId="39670"/>
    <cellStyle name="Normal 3 2 5 3 2 5" xfId="39671"/>
    <cellStyle name="Normal 3 2 5 3 3" xfId="39672"/>
    <cellStyle name="Normal 3 2 5 3 3 2" xfId="39673"/>
    <cellStyle name="Normal 3 2 5 3 3 2 2" xfId="39674"/>
    <cellStyle name="Normal 3 2 5 3 3 3" xfId="39675"/>
    <cellStyle name="Normal 3 2 5 3 3 4" xfId="39676"/>
    <cellStyle name="Normal 3 2 5 3 4" xfId="39677"/>
    <cellStyle name="Normal 3 2 5 3 4 2" xfId="39678"/>
    <cellStyle name="Normal 3 2 5 3 4 2 2" xfId="39679"/>
    <cellStyle name="Normal 3 2 5 3 4 3" xfId="39680"/>
    <cellStyle name="Normal 3 2 5 3 4 4" xfId="39681"/>
    <cellStyle name="Normal 3 2 5 3 5" xfId="39682"/>
    <cellStyle name="Normal 3 2 5 3 5 2" xfId="39683"/>
    <cellStyle name="Normal 3 2 5 3 6" xfId="39684"/>
    <cellStyle name="Normal 3 2 5 3 7" xfId="39685"/>
    <cellStyle name="Normal 3 2 5 3 8" xfId="39686"/>
    <cellStyle name="Normal 3 2 5 4" xfId="39687"/>
    <cellStyle name="Normal 3 2 5 4 2" xfId="39688"/>
    <cellStyle name="Normal 3 2 5 4 2 2" xfId="39689"/>
    <cellStyle name="Normal 3 2 5 4 2 2 2" xfId="39690"/>
    <cellStyle name="Normal 3 2 5 4 2 2 3" xfId="39691"/>
    <cellStyle name="Normal 3 2 5 4 2 3" xfId="39692"/>
    <cellStyle name="Normal 3 2 5 4 2 3 2" xfId="39693"/>
    <cellStyle name="Normal 3 2 5 4 2 4" xfId="39694"/>
    <cellStyle name="Normal 3 2 5 4 2 5" xfId="39695"/>
    <cellStyle name="Normal 3 2 5 4 3" xfId="39696"/>
    <cellStyle name="Normal 3 2 5 4 3 2" xfId="39697"/>
    <cellStyle name="Normal 3 2 5 4 3 2 2" xfId="39698"/>
    <cellStyle name="Normal 3 2 5 4 3 3" xfId="39699"/>
    <cellStyle name="Normal 3 2 5 4 3 4" xfId="39700"/>
    <cellStyle name="Normal 3 2 5 4 4" xfId="39701"/>
    <cellStyle name="Normal 3 2 5 4 4 2" xfId="39702"/>
    <cellStyle name="Normal 3 2 5 4 4 2 2" xfId="39703"/>
    <cellStyle name="Normal 3 2 5 4 4 3" xfId="39704"/>
    <cellStyle name="Normal 3 2 5 4 4 4" xfId="39705"/>
    <cellStyle name="Normal 3 2 5 4 5" xfId="39706"/>
    <cellStyle name="Normal 3 2 5 4 5 2" xfId="39707"/>
    <cellStyle name="Normal 3 2 5 4 6" xfId="39708"/>
    <cellStyle name="Normal 3 2 5 4 7" xfId="39709"/>
    <cellStyle name="Normal 3 2 5 4 8" xfId="39710"/>
    <cellStyle name="Normal 3 2 5 5" xfId="39711"/>
    <cellStyle name="Normal 3 2 5 5 2" xfId="39712"/>
    <cellStyle name="Normal 3 2 5 5 2 2" xfId="39713"/>
    <cellStyle name="Normal 3 2 5 5 2 2 2" xfId="39714"/>
    <cellStyle name="Normal 3 2 5 5 2 2 3" xfId="39715"/>
    <cellStyle name="Normal 3 2 5 5 2 3" xfId="39716"/>
    <cellStyle name="Normal 3 2 5 5 2 3 2" xfId="39717"/>
    <cellStyle name="Normal 3 2 5 5 2 4" xfId="39718"/>
    <cellStyle name="Normal 3 2 5 5 2 5" xfId="39719"/>
    <cellStyle name="Normal 3 2 5 5 3" xfId="39720"/>
    <cellStyle name="Normal 3 2 5 5 3 2" xfId="39721"/>
    <cellStyle name="Normal 3 2 5 5 3 2 2" xfId="39722"/>
    <cellStyle name="Normal 3 2 5 5 3 3" xfId="39723"/>
    <cellStyle name="Normal 3 2 5 5 3 4" xfId="39724"/>
    <cellStyle name="Normal 3 2 5 5 4" xfId="39725"/>
    <cellStyle name="Normal 3 2 5 5 4 2" xfId="39726"/>
    <cellStyle name="Normal 3 2 5 5 4 2 2" xfId="39727"/>
    <cellStyle name="Normal 3 2 5 5 4 3" xfId="39728"/>
    <cellStyle name="Normal 3 2 5 5 4 4" xfId="39729"/>
    <cellStyle name="Normal 3 2 5 5 5" xfId="39730"/>
    <cellStyle name="Normal 3 2 5 5 5 2" xfId="39731"/>
    <cellStyle name="Normal 3 2 5 5 6" xfId="39732"/>
    <cellStyle name="Normal 3 2 5 5 7" xfId="39733"/>
    <cellStyle name="Normal 3 2 5 5 8" xfId="39734"/>
    <cellStyle name="Normal 3 2 6" xfId="39735"/>
    <cellStyle name="Normal 3 2 6 2" xfId="39736"/>
    <cellStyle name="Normal 3 2 6 3" xfId="39737"/>
    <cellStyle name="Normal 3 2 6 3 2" xfId="39738"/>
    <cellStyle name="Normal 3 2 6 3 2 2" xfId="39739"/>
    <cellStyle name="Normal 3 2 6 3 2 2 2" xfId="39740"/>
    <cellStyle name="Normal 3 2 6 3 2 2 3" xfId="39741"/>
    <cellStyle name="Normal 3 2 6 3 2 3" xfId="39742"/>
    <cellStyle name="Normal 3 2 6 3 2 3 2" xfId="39743"/>
    <cellStyle name="Normal 3 2 6 3 2 4" xfId="39744"/>
    <cellStyle name="Normal 3 2 6 3 2 5" xfId="39745"/>
    <cellStyle name="Normal 3 2 6 3 3" xfId="39746"/>
    <cellStyle name="Normal 3 2 6 3 3 2" xfId="39747"/>
    <cellStyle name="Normal 3 2 6 3 3 2 2" xfId="39748"/>
    <cellStyle name="Normal 3 2 6 3 3 3" xfId="39749"/>
    <cellStyle name="Normal 3 2 6 3 3 4" xfId="39750"/>
    <cellStyle name="Normal 3 2 6 3 4" xfId="39751"/>
    <cellStyle name="Normal 3 2 6 3 4 2" xfId="39752"/>
    <cellStyle name="Normal 3 2 6 3 4 2 2" xfId="39753"/>
    <cellStyle name="Normal 3 2 6 3 4 3" xfId="39754"/>
    <cellStyle name="Normal 3 2 6 3 4 4" xfId="39755"/>
    <cellStyle name="Normal 3 2 6 3 5" xfId="39756"/>
    <cellStyle name="Normal 3 2 6 3 5 2" xfId="39757"/>
    <cellStyle name="Normal 3 2 6 3 6" xfId="39758"/>
    <cellStyle name="Normal 3 2 6 3 7" xfId="39759"/>
    <cellStyle name="Normal 3 2 6 3 8" xfId="39760"/>
    <cellStyle name="Normal 3 2 7" xfId="39761"/>
    <cellStyle name="Normal 3 2 7 2" xfId="39762"/>
    <cellStyle name="Normal 3 2 8" xfId="39763"/>
    <cellStyle name="Normal 3 2 8 2" xfId="39764"/>
    <cellStyle name="Normal 3 2 9" xfId="39765"/>
    <cellStyle name="Normal 3 2 9 2" xfId="39766"/>
    <cellStyle name="Normal 3 2_Dakota Panel" xfId="39767"/>
    <cellStyle name="Normal 3 3" xfId="39768"/>
    <cellStyle name="Normal 3 3 10" xfId="39769"/>
    <cellStyle name="Normal 3 3 10 2" xfId="39770"/>
    <cellStyle name="Normal 3 3 10 2 2" xfId="39771"/>
    <cellStyle name="Normal 3 3 10 3" xfId="39772"/>
    <cellStyle name="Normal 3 3 10 4" xfId="39773"/>
    <cellStyle name="Normal 3 3 11" xfId="39774"/>
    <cellStyle name="Normal 3 3 11 2" xfId="39775"/>
    <cellStyle name="Normal 3 3 12" xfId="29"/>
    <cellStyle name="Normal 3 3 2" xfId="39776"/>
    <cellStyle name="Normal 3 3 2 2" xfId="39777"/>
    <cellStyle name="Normal 3 3 2 2 2" xfId="39778"/>
    <cellStyle name="Normal 3 3 2 2 2 2" xfId="39779"/>
    <cellStyle name="Normal 3 3 2 2 2 2 2" xfId="39780"/>
    <cellStyle name="Normal 3 3 2 2 2 2 2 2" xfId="39781"/>
    <cellStyle name="Normal 3 3 2 2 2 2 2 2 2" xfId="39782"/>
    <cellStyle name="Normal 3 3 2 2 2 2 2 2 3" xfId="39783"/>
    <cellStyle name="Normal 3 3 2 2 2 2 2 3" xfId="39784"/>
    <cellStyle name="Normal 3 3 2 2 2 2 2 3 2" xfId="39785"/>
    <cellStyle name="Normal 3 3 2 2 2 2 2 4" xfId="39786"/>
    <cellStyle name="Normal 3 3 2 2 2 2 2 5" xfId="39787"/>
    <cellStyle name="Normal 3 3 2 2 2 2 3" xfId="39788"/>
    <cellStyle name="Normal 3 3 2 2 2 2 3 2" xfId="39789"/>
    <cellStyle name="Normal 3 3 2 2 2 2 3 2 2" xfId="39790"/>
    <cellStyle name="Normal 3 3 2 2 2 2 3 3" xfId="39791"/>
    <cellStyle name="Normal 3 3 2 2 2 2 3 4" xfId="39792"/>
    <cellStyle name="Normal 3 3 2 2 2 2 4" xfId="39793"/>
    <cellStyle name="Normal 3 3 2 2 2 2 4 2" xfId="39794"/>
    <cellStyle name="Normal 3 3 2 2 2 2 4 2 2" xfId="39795"/>
    <cellStyle name="Normal 3 3 2 2 2 2 4 3" xfId="39796"/>
    <cellStyle name="Normal 3 3 2 2 2 2 4 4" xfId="39797"/>
    <cellStyle name="Normal 3 3 2 2 2 2 5" xfId="39798"/>
    <cellStyle name="Normal 3 3 2 2 2 2 5 2" xfId="39799"/>
    <cellStyle name="Normal 3 3 2 2 2 2 6" xfId="39800"/>
    <cellStyle name="Normal 3 3 2 2 2 2 7" xfId="39801"/>
    <cellStyle name="Normal 3 3 2 2 2 2 8" xfId="39802"/>
    <cellStyle name="Normal 3 3 2 2 2 3" xfId="39803"/>
    <cellStyle name="Normal 3 3 2 2 2 3 2" xfId="39804"/>
    <cellStyle name="Normal 3 3 2 2 2 3 2 2" xfId="39805"/>
    <cellStyle name="Normal 3 3 2 2 2 3 2 2 2" xfId="39806"/>
    <cellStyle name="Normal 3 3 2 2 2 3 2 2 3" xfId="39807"/>
    <cellStyle name="Normal 3 3 2 2 2 3 2 3" xfId="39808"/>
    <cellStyle name="Normal 3 3 2 2 2 3 2 3 2" xfId="39809"/>
    <cellStyle name="Normal 3 3 2 2 2 3 2 4" xfId="39810"/>
    <cellStyle name="Normal 3 3 2 2 2 3 2 5" xfId="39811"/>
    <cellStyle name="Normal 3 3 2 2 2 3 3" xfId="39812"/>
    <cellStyle name="Normal 3 3 2 2 2 3 3 2" xfId="39813"/>
    <cellStyle name="Normal 3 3 2 2 2 3 3 2 2" xfId="39814"/>
    <cellStyle name="Normal 3 3 2 2 2 3 3 3" xfId="39815"/>
    <cellStyle name="Normal 3 3 2 2 2 3 3 4" xfId="39816"/>
    <cellStyle name="Normal 3 3 2 2 2 3 4" xfId="39817"/>
    <cellStyle name="Normal 3 3 2 2 2 3 4 2" xfId="39818"/>
    <cellStyle name="Normal 3 3 2 2 2 3 4 2 2" xfId="39819"/>
    <cellStyle name="Normal 3 3 2 2 2 3 4 3" xfId="39820"/>
    <cellStyle name="Normal 3 3 2 2 2 3 4 4" xfId="39821"/>
    <cellStyle name="Normal 3 3 2 2 2 3 5" xfId="39822"/>
    <cellStyle name="Normal 3 3 2 2 2 3 5 2" xfId="39823"/>
    <cellStyle name="Normal 3 3 2 2 2 3 6" xfId="39824"/>
    <cellStyle name="Normal 3 3 2 2 2 3 7" xfId="39825"/>
    <cellStyle name="Normal 3 3 2 2 2 3 8" xfId="39826"/>
    <cellStyle name="Normal 3 3 2 2 2 4" xfId="39827"/>
    <cellStyle name="Normal 3 3 2 2 2 4 2" xfId="39828"/>
    <cellStyle name="Normal 3 3 2 2 2 4 2 2" xfId="39829"/>
    <cellStyle name="Normal 3 3 2 2 2 4 2 2 2" xfId="39830"/>
    <cellStyle name="Normal 3 3 2 2 2 4 2 2 3" xfId="39831"/>
    <cellStyle name="Normal 3 3 2 2 2 4 2 3" xfId="39832"/>
    <cellStyle name="Normal 3 3 2 2 2 4 2 3 2" xfId="39833"/>
    <cellStyle name="Normal 3 3 2 2 2 4 2 4" xfId="39834"/>
    <cellStyle name="Normal 3 3 2 2 2 4 2 5" xfId="39835"/>
    <cellStyle name="Normal 3 3 2 2 2 4 3" xfId="39836"/>
    <cellStyle name="Normal 3 3 2 2 2 4 3 2" xfId="39837"/>
    <cellStyle name="Normal 3 3 2 2 2 4 3 2 2" xfId="39838"/>
    <cellStyle name="Normal 3 3 2 2 2 4 3 3" xfId="39839"/>
    <cellStyle name="Normal 3 3 2 2 2 4 3 4" xfId="39840"/>
    <cellStyle name="Normal 3 3 2 2 2 4 4" xfId="39841"/>
    <cellStyle name="Normal 3 3 2 2 2 4 4 2" xfId="39842"/>
    <cellStyle name="Normal 3 3 2 2 2 4 4 2 2" xfId="39843"/>
    <cellStyle name="Normal 3 3 2 2 2 4 4 3" xfId="39844"/>
    <cellStyle name="Normal 3 3 2 2 2 4 4 4" xfId="39845"/>
    <cellStyle name="Normal 3 3 2 2 2 4 5" xfId="39846"/>
    <cellStyle name="Normal 3 3 2 2 2 4 5 2" xfId="39847"/>
    <cellStyle name="Normal 3 3 2 2 2 4 6" xfId="39848"/>
    <cellStyle name="Normal 3 3 2 2 2 4 7" xfId="39849"/>
    <cellStyle name="Normal 3 3 2 2 2 4 8" xfId="39850"/>
    <cellStyle name="Normal 3 3 2 2 2 5" xfId="39851"/>
    <cellStyle name="Normal 3 3 2 2 3" xfId="39852"/>
    <cellStyle name="Normal 3 3 2 2 3 2" xfId="39853"/>
    <cellStyle name="Normal 3 3 2 2 3 2 2" xfId="39854"/>
    <cellStyle name="Normal 3 3 2 2 3 2 2 2" xfId="39855"/>
    <cellStyle name="Normal 3 3 2 2 3 2 2 3" xfId="39856"/>
    <cellStyle name="Normal 3 3 2 2 3 2 3" xfId="39857"/>
    <cellStyle name="Normal 3 3 2 2 3 2 3 2" xfId="39858"/>
    <cellStyle name="Normal 3 3 2 2 3 2 4" xfId="39859"/>
    <cellStyle name="Normal 3 3 2 2 3 2 5" xfId="39860"/>
    <cellStyle name="Normal 3 3 2 2 3 3" xfId="39861"/>
    <cellStyle name="Normal 3 3 2 2 3 3 2" xfId="39862"/>
    <cellStyle name="Normal 3 3 2 2 3 3 2 2" xfId="39863"/>
    <cellStyle name="Normal 3 3 2 2 3 3 3" xfId="39864"/>
    <cellStyle name="Normal 3 3 2 2 3 3 4" xfId="39865"/>
    <cellStyle name="Normal 3 3 2 2 3 4" xfId="39866"/>
    <cellStyle name="Normal 3 3 2 2 3 4 2" xfId="39867"/>
    <cellStyle name="Normal 3 3 2 2 3 4 2 2" xfId="39868"/>
    <cellStyle name="Normal 3 3 2 2 3 4 3" xfId="39869"/>
    <cellStyle name="Normal 3 3 2 2 3 4 4" xfId="39870"/>
    <cellStyle name="Normal 3 3 2 2 3 5" xfId="39871"/>
    <cellStyle name="Normal 3 3 2 2 3 5 2" xfId="39872"/>
    <cellStyle name="Normal 3 3 2 2 3 6" xfId="39873"/>
    <cellStyle name="Normal 3 3 2 2 3 7" xfId="39874"/>
    <cellStyle name="Normal 3 3 2 2 3 8" xfId="39875"/>
    <cellStyle name="Normal 3 3 2 2 4" xfId="39876"/>
    <cellStyle name="Normal 3 3 2 2 4 2" xfId="39877"/>
    <cellStyle name="Normal 3 3 2 2 4 2 2" xfId="39878"/>
    <cellStyle name="Normal 3 3 2 2 4 2 2 2" xfId="39879"/>
    <cellStyle name="Normal 3 3 2 2 4 2 2 3" xfId="39880"/>
    <cellStyle name="Normal 3 3 2 2 4 2 3" xfId="39881"/>
    <cellStyle name="Normal 3 3 2 2 4 2 3 2" xfId="39882"/>
    <cellStyle name="Normal 3 3 2 2 4 2 4" xfId="39883"/>
    <cellStyle name="Normal 3 3 2 2 4 2 5" xfId="39884"/>
    <cellStyle name="Normal 3 3 2 2 4 3" xfId="39885"/>
    <cellStyle name="Normal 3 3 2 2 4 3 2" xfId="39886"/>
    <cellStyle name="Normal 3 3 2 2 4 3 2 2" xfId="39887"/>
    <cellStyle name="Normal 3 3 2 2 4 3 3" xfId="39888"/>
    <cellStyle name="Normal 3 3 2 2 4 3 4" xfId="39889"/>
    <cellStyle name="Normal 3 3 2 2 4 4" xfId="39890"/>
    <cellStyle name="Normal 3 3 2 2 4 4 2" xfId="39891"/>
    <cellStyle name="Normal 3 3 2 2 4 4 2 2" xfId="39892"/>
    <cellStyle name="Normal 3 3 2 2 4 4 3" xfId="39893"/>
    <cellStyle name="Normal 3 3 2 2 4 4 4" xfId="39894"/>
    <cellStyle name="Normal 3 3 2 2 4 5" xfId="39895"/>
    <cellStyle name="Normal 3 3 2 2 4 5 2" xfId="39896"/>
    <cellStyle name="Normal 3 3 2 2 4 6" xfId="39897"/>
    <cellStyle name="Normal 3 3 2 2 4 7" xfId="39898"/>
    <cellStyle name="Normal 3 3 2 2 4 8" xfId="39899"/>
    <cellStyle name="Normal 3 3 2 2 5" xfId="39900"/>
    <cellStyle name="Normal 3 3 2 2 5 2" xfId="39901"/>
    <cellStyle name="Normal 3 3 2 2 5 2 2" xfId="39902"/>
    <cellStyle name="Normal 3 3 2 2 5 2 2 2" xfId="39903"/>
    <cellStyle name="Normal 3 3 2 2 5 2 2 3" xfId="39904"/>
    <cellStyle name="Normal 3 3 2 2 5 2 3" xfId="39905"/>
    <cellStyle name="Normal 3 3 2 2 5 2 3 2" xfId="39906"/>
    <cellStyle name="Normal 3 3 2 2 5 2 4" xfId="39907"/>
    <cellStyle name="Normal 3 3 2 2 5 2 5" xfId="39908"/>
    <cellStyle name="Normal 3 3 2 2 5 3" xfId="39909"/>
    <cellStyle name="Normal 3 3 2 2 5 3 2" xfId="39910"/>
    <cellStyle name="Normal 3 3 2 2 5 3 2 2" xfId="39911"/>
    <cellStyle name="Normal 3 3 2 2 5 3 3" xfId="39912"/>
    <cellStyle name="Normal 3 3 2 2 5 3 4" xfId="39913"/>
    <cellStyle name="Normal 3 3 2 2 5 4" xfId="39914"/>
    <cellStyle name="Normal 3 3 2 2 5 4 2" xfId="39915"/>
    <cellStyle name="Normal 3 3 2 2 5 4 2 2" xfId="39916"/>
    <cellStyle name="Normal 3 3 2 2 5 4 3" xfId="39917"/>
    <cellStyle name="Normal 3 3 2 2 5 4 4" xfId="39918"/>
    <cellStyle name="Normal 3 3 2 2 5 5" xfId="39919"/>
    <cellStyle name="Normal 3 3 2 2 5 5 2" xfId="39920"/>
    <cellStyle name="Normal 3 3 2 2 5 6" xfId="39921"/>
    <cellStyle name="Normal 3 3 2 2 5 7" xfId="39922"/>
    <cellStyle name="Normal 3 3 2 2 5 8" xfId="39923"/>
    <cellStyle name="Normal 3 3 2 2 6" xfId="39924"/>
    <cellStyle name="Normal 3 3 2 2 7" xfId="39925"/>
    <cellStyle name="Normal 3 3 2 2 7 2" xfId="39926"/>
    <cellStyle name="Normal 3 3 2 3" xfId="39927"/>
    <cellStyle name="Normal 3 3 2 3 2" xfId="39928"/>
    <cellStyle name="Normal 3 3 2 3 2 2" xfId="39929"/>
    <cellStyle name="Normal 3 3 2 3 2 2 2" xfId="39930"/>
    <cellStyle name="Normal 3 3 2 3 2 2 2 2" xfId="39931"/>
    <cellStyle name="Normal 3 3 2 3 2 2 2 3" xfId="39932"/>
    <cellStyle name="Normal 3 3 2 3 2 2 3" xfId="39933"/>
    <cellStyle name="Normal 3 3 2 3 2 2 3 2" xfId="39934"/>
    <cellStyle name="Normal 3 3 2 3 2 2 4" xfId="39935"/>
    <cellStyle name="Normal 3 3 2 3 2 2 5" xfId="39936"/>
    <cellStyle name="Normal 3 3 2 3 2 3" xfId="39937"/>
    <cellStyle name="Normal 3 3 2 3 2 3 2" xfId="39938"/>
    <cellStyle name="Normal 3 3 2 3 2 3 2 2" xfId="39939"/>
    <cellStyle name="Normal 3 3 2 3 2 3 3" xfId="39940"/>
    <cellStyle name="Normal 3 3 2 3 2 3 4" xfId="39941"/>
    <cellStyle name="Normal 3 3 2 3 2 4" xfId="39942"/>
    <cellStyle name="Normal 3 3 2 3 2 4 2" xfId="39943"/>
    <cellStyle name="Normal 3 3 2 3 2 4 2 2" xfId="39944"/>
    <cellStyle name="Normal 3 3 2 3 2 4 3" xfId="39945"/>
    <cellStyle name="Normal 3 3 2 3 2 4 4" xfId="39946"/>
    <cellStyle name="Normal 3 3 2 3 2 5" xfId="39947"/>
    <cellStyle name="Normal 3 3 2 3 2 5 2" xfId="39948"/>
    <cellStyle name="Normal 3 3 2 3 2 6" xfId="39949"/>
    <cellStyle name="Normal 3 3 2 3 2 7" xfId="39950"/>
    <cellStyle name="Normal 3 3 2 3 2 8" xfId="39951"/>
    <cellStyle name="Normal 3 3 2 3 3" xfId="39952"/>
    <cellStyle name="Normal 3 3 2 3 3 2" xfId="39953"/>
    <cellStyle name="Normal 3 3 2 3 3 2 2" xfId="39954"/>
    <cellStyle name="Normal 3 3 2 3 3 2 2 2" xfId="39955"/>
    <cellStyle name="Normal 3 3 2 3 3 2 2 3" xfId="39956"/>
    <cellStyle name="Normal 3 3 2 3 3 2 3" xfId="39957"/>
    <cellStyle name="Normal 3 3 2 3 3 2 3 2" xfId="39958"/>
    <cellStyle name="Normal 3 3 2 3 3 2 4" xfId="39959"/>
    <cellStyle name="Normal 3 3 2 3 3 2 5" xfId="39960"/>
    <cellStyle name="Normal 3 3 2 3 3 3" xfId="39961"/>
    <cellStyle name="Normal 3 3 2 3 3 3 2" xfId="39962"/>
    <cellStyle name="Normal 3 3 2 3 3 3 2 2" xfId="39963"/>
    <cellStyle name="Normal 3 3 2 3 3 3 3" xfId="39964"/>
    <cellStyle name="Normal 3 3 2 3 3 3 4" xfId="39965"/>
    <cellStyle name="Normal 3 3 2 3 3 4" xfId="39966"/>
    <cellStyle name="Normal 3 3 2 3 3 4 2" xfId="39967"/>
    <cellStyle name="Normal 3 3 2 3 3 4 2 2" xfId="39968"/>
    <cellStyle name="Normal 3 3 2 3 3 4 3" xfId="39969"/>
    <cellStyle name="Normal 3 3 2 3 3 4 4" xfId="39970"/>
    <cellStyle name="Normal 3 3 2 3 3 5" xfId="39971"/>
    <cellStyle name="Normal 3 3 2 3 3 5 2" xfId="39972"/>
    <cellStyle name="Normal 3 3 2 3 3 6" xfId="39973"/>
    <cellStyle name="Normal 3 3 2 3 3 7" xfId="39974"/>
    <cellStyle name="Normal 3 3 2 3 3 8" xfId="39975"/>
    <cellStyle name="Normal 3 3 2 3 4" xfId="39976"/>
    <cellStyle name="Normal 3 3 2 3 4 2" xfId="39977"/>
    <cellStyle name="Normal 3 3 2 3 4 2 2" xfId="39978"/>
    <cellStyle name="Normal 3 3 2 3 4 2 2 2" xfId="39979"/>
    <cellStyle name="Normal 3 3 2 3 4 2 2 3" xfId="39980"/>
    <cellStyle name="Normal 3 3 2 3 4 2 3" xfId="39981"/>
    <cellStyle name="Normal 3 3 2 3 4 2 3 2" xfId="39982"/>
    <cellStyle name="Normal 3 3 2 3 4 2 4" xfId="39983"/>
    <cellStyle name="Normal 3 3 2 3 4 2 5" xfId="39984"/>
    <cellStyle name="Normal 3 3 2 3 4 3" xfId="39985"/>
    <cellStyle name="Normal 3 3 2 3 4 3 2" xfId="39986"/>
    <cellStyle name="Normal 3 3 2 3 4 3 2 2" xfId="39987"/>
    <cellStyle name="Normal 3 3 2 3 4 3 3" xfId="39988"/>
    <cellStyle name="Normal 3 3 2 3 4 3 4" xfId="39989"/>
    <cellStyle name="Normal 3 3 2 3 4 4" xfId="39990"/>
    <cellStyle name="Normal 3 3 2 3 4 4 2" xfId="39991"/>
    <cellStyle name="Normal 3 3 2 3 4 4 2 2" xfId="39992"/>
    <cellStyle name="Normal 3 3 2 3 4 4 3" xfId="39993"/>
    <cellStyle name="Normal 3 3 2 3 4 4 4" xfId="39994"/>
    <cellStyle name="Normal 3 3 2 3 4 5" xfId="39995"/>
    <cellStyle name="Normal 3 3 2 3 4 5 2" xfId="39996"/>
    <cellStyle name="Normal 3 3 2 3 4 6" xfId="39997"/>
    <cellStyle name="Normal 3 3 2 3 4 7" xfId="39998"/>
    <cellStyle name="Normal 3 3 2 3 4 8" xfId="39999"/>
    <cellStyle name="Normal 3 3 2 3 5" xfId="40000"/>
    <cellStyle name="Normal 3 3 2 3 6" xfId="40001"/>
    <cellStyle name="Normal 3 3 2 3 6 2" xfId="40002"/>
    <cellStyle name="Normal 3 3 2 4" xfId="40003"/>
    <cellStyle name="Normal 3 3 2 4 2" xfId="40004"/>
    <cellStyle name="Normal 3 3 2 4 2 2" xfId="40005"/>
    <cellStyle name="Normal 3 3 2 4 2 2 2" xfId="40006"/>
    <cellStyle name="Normal 3 3 2 4 2 2 3" xfId="40007"/>
    <cellStyle name="Normal 3 3 2 4 2 3" xfId="40008"/>
    <cellStyle name="Normal 3 3 2 4 2 3 2" xfId="40009"/>
    <cellStyle name="Normal 3 3 2 4 2 4" xfId="40010"/>
    <cellStyle name="Normal 3 3 2 4 2 5" xfId="40011"/>
    <cellStyle name="Normal 3 3 2 4 3" xfId="40012"/>
    <cellStyle name="Normal 3 3 2 4 3 2" xfId="40013"/>
    <cellStyle name="Normal 3 3 2 4 3 2 2" xfId="40014"/>
    <cellStyle name="Normal 3 3 2 4 3 3" xfId="40015"/>
    <cellStyle name="Normal 3 3 2 4 3 4" xfId="40016"/>
    <cellStyle name="Normal 3 3 2 4 4" xfId="40017"/>
    <cellStyle name="Normal 3 3 2 4 4 2" xfId="40018"/>
    <cellStyle name="Normal 3 3 2 4 4 2 2" xfId="40019"/>
    <cellStyle name="Normal 3 3 2 4 4 3" xfId="40020"/>
    <cellStyle name="Normal 3 3 2 4 4 4" xfId="40021"/>
    <cellStyle name="Normal 3 3 2 4 5" xfId="40022"/>
    <cellStyle name="Normal 3 3 2 4 5 2" xfId="40023"/>
    <cellStyle name="Normal 3 3 2 4 6" xfId="40024"/>
    <cellStyle name="Normal 3 3 2 4 7" xfId="40025"/>
    <cellStyle name="Normal 3 3 2 4 8" xfId="40026"/>
    <cellStyle name="Normal 3 3 2 5" xfId="40027"/>
    <cellStyle name="Normal 3 3 2 5 2" xfId="40028"/>
    <cellStyle name="Normal 3 3 2 5 2 2" xfId="40029"/>
    <cellStyle name="Normal 3 3 2 5 2 2 2" xfId="40030"/>
    <cellStyle name="Normal 3 3 2 5 2 2 3" xfId="40031"/>
    <cellStyle name="Normal 3 3 2 5 2 3" xfId="40032"/>
    <cellStyle name="Normal 3 3 2 5 2 3 2" xfId="40033"/>
    <cellStyle name="Normal 3 3 2 5 2 4" xfId="40034"/>
    <cellStyle name="Normal 3 3 2 5 2 5" xfId="40035"/>
    <cellStyle name="Normal 3 3 2 5 3" xfId="40036"/>
    <cellStyle name="Normal 3 3 2 5 3 2" xfId="40037"/>
    <cellStyle name="Normal 3 3 2 5 3 2 2" xfId="40038"/>
    <cellStyle name="Normal 3 3 2 5 3 3" xfId="40039"/>
    <cellStyle name="Normal 3 3 2 5 3 4" xfId="40040"/>
    <cellStyle name="Normal 3 3 2 5 4" xfId="40041"/>
    <cellStyle name="Normal 3 3 2 5 4 2" xfId="40042"/>
    <cellStyle name="Normal 3 3 2 5 4 2 2" xfId="40043"/>
    <cellStyle name="Normal 3 3 2 5 4 3" xfId="40044"/>
    <cellStyle name="Normal 3 3 2 5 4 4" xfId="40045"/>
    <cellStyle name="Normal 3 3 2 5 5" xfId="40046"/>
    <cellStyle name="Normal 3 3 2 5 5 2" xfId="40047"/>
    <cellStyle name="Normal 3 3 2 5 6" xfId="40048"/>
    <cellStyle name="Normal 3 3 2 5 7" xfId="40049"/>
    <cellStyle name="Normal 3 3 2 5 8" xfId="40050"/>
    <cellStyle name="Normal 3 3 2 6" xfId="40051"/>
    <cellStyle name="Normal 3 3 2 6 2" xfId="40052"/>
    <cellStyle name="Normal 3 3 2 6 2 2" xfId="40053"/>
    <cellStyle name="Normal 3 3 2 6 2 2 2" xfId="40054"/>
    <cellStyle name="Normal 3 3 2 6 2 2 3" xfId="40055"/>
    <cellStyle name="Normal 3 3 2 6 2 3" xfId="40056"/>
    <cellStyle name="Normal 3 3 2 6 2 3 2" xfId="40057"/>
    <cellStyle name="Normal 3 3 2 6 2 4" xfId="40058"/>
    <cellStyle name="Normal 3 3 2 6 2 5" xfId="40059"/>
    <cellStyle name="Normal 3 3 2 6 3" xfId="40060"/>
    <cellStyle name="Normal 3 3 2 6 3 2" xfId="40061"/>
    <cellStyle name="Normal 3 3 2 6 3 2 2" xfId="40062"/>
    <cellStyle name="Normal 3 3 2 6 3 3" xfId="40063"/>
    <cellStyle name="Normal 3 3 2 6 3 4" xfId="40064"/>
    <cellStyle name="Normal 3 3 2 6 4" xfId="40065"/>
    <cellStyle name="Normal 3 3 2 6 4 2" xfId="40066"/>
    <cellStyle name="Normal 3 3 2 6 4 2 2" xfId="40067"/>
    <cellStyle name="Normal 3 3 2 6 4 3" xfId="40068"/>
    <cellStyle name="Normal 3 3 2 6 4 4" xfId="40069"/>
    <cellStyle name="Normal 3 3 2 6 5" xfId="40070"/>
    <cellStyle name="Normal 3 3 2 6 5 2" xfId="40071"/>
    <cellStyle name="Normal 3 3 2 6 6" xfId="40072"/>
    <cellStyle name="Normal 3 3 2 6 7" xfId="40073"/>
    <cellStyle name="Normal 3 3 2 6 8" xfId="40074"/>
    <cellStyle name="Normal 3 3 2 7" xfId="40075"/>
    <cellStyle name="Normal 3 3 2 7 2" xfId="40076"/>
    <cellStyle name="Normal 3 3 2 7 2 2" xfId="40077"/>
    <cellStyle name="Normal 3 3 2 8" xfId="40078"/>
    <cellStyle name="Normal 3 3 2 8 2" xfId="40079"/>
    <cellStyle name="Normal 3 3 2 9" xfId="40080"/>
    <cellStyle name="Normal 3 3 2 9 2" xfId="40081"/>
    <cellStyle name="Normal 3 3 2_Dakota Panel" xfId="40082"/>
    <cellStyle name="Normal 3 3 3" xfId="40083"/>
    <cellStyle name="Normal 3 3 3 2" xfId="40084"/>
    <cellStyle name="Normal 3 3 3 2 2" xfId="40085"/>
    <cellStyle name="Normal 3 3 3 2 2 2" xfId="40086"/>
    <cellStyle name="Normal 3 3 3 2 2 2 2" xfId="40087"/>
    <cellStyle name="Normal 3 3 3 2 2 2 2 2" xfId="40088"/>
    <cellStyle name="Normal 3 3 3 2 2 2 2 3" xfId="40089"/>
    <cellStyle name="Normal 3 3 3 2 2 2 3" xfId="40090"/>
    <cellStyle name="Normal 3 3 3 2 2 2 3 2" xfId="40091"/>
    <cellStyle name="Normal 3 3 3 2 2 2 4" xfId="40092"/>
    <cellStyle name="Normal 3 3 3 2 2 2 5" xfId="40093"/>
    <cellStyle name="Normal 3 3 3 2 2 3" xfId="40094"/>
    <cellStyle name="Normal 3 3 3 2 2 3 2" xfId="40095"/>
    <cellStyle name="Normal 3 3 3 2 2 3 2 2" xfId="40096"/>
    <cellStyle name="Normal 3 3 3 2 2 3 3" xfId="40097"/>
    <cellStyle name="Normal 3 3 3 2 2 3 4" xfId="40098"/>
    <cellStyle name="Normal 3 3 3 2 2 4" xfId="40099"/>
    <cellStyle name="Normal 3 3 3 2 2 4 2" xfId="40100"/>
    <cellStyle name="Normal 3 3 3 2 2 4 2 2" xfId="40101"/>
    <cellStyle name="Normal 3 3 3 2 2 4 3" xfId="40102"/>
    <cellStyle name="Normal 3 3 3 2 2 4 4" xfId="40103"/>
    <cellStyle name="Normal 3 3 3 2 2 5" xfId="40104"/>
    <cellStyle name="Normal 3 3 3 2 2 5 2" xfId="40105"/>
    <cellStyle name="Normal 3 3 3 2 2 6" xfId="40106"/>
    <cellStyle name="Normal 3 3 3 2 2 7" xfId="40107"/>
    <cellStyle name="Normal 3 3 3 2 2 8" xfId="40108"/>
    <cellStyle name="Normal 3 3 3 2 3" xfId="40109"/>
    <cellStyle name="Normal 3 3 3 2 3 2" xfId="40110"/>
    <cellStyle name="Normal 3 3 3 2 3 2 2" xfId="40111"/>
    <cellStyle name="Normal 3 3 3 2 3 2 2 2" xfId="40112"/>
    <cellStyle name="Normal 3 3 3 2 3 2 2 3" xfId="40113"/>
    <cellStyle name="Normal 3 3 3 2 3 2 3" xfId="40114"/>
    <cellStyle name="Normal 3 3 3 2 3 2 3 2" xfId="40115"/>
    <cellStyle name="Normal 3 3 3 2 3 2 4" xfId="40116"/>
    <cellStyle name="Normal 3 3 3 2 3 2 5" xfId="40117"/>
    <cellStyle name="Normal 3 3 3 2 3 3" xfId="40118"/>
    <cellStyle name="Normal 3 3 3 2 3 3 2" xfId="40119"/>
    <cellStyle name="Normal 3 3 3 2 3 3 2 2" xfId="40120"/>
    <cellStyle name="Normal 3 3 3 2 3 3 3" xfId="40121"/>
    <cellStyle name="Normal 3 3 3 2 3 3 4" xfId="40122"/>
    <cellStyle name="Normal 3 3 3 2 3 4" xfId="40123"/>
    <cellStyle name="Normal 3 3 3 2 3 4 2" xfId="40124"/>
    <cellStyle name="Normal 3 3 3 2 3 4 2 2" xfId="40125"/>
    <cellStyle name="Normal 3 3 3 2 3 4 3" xfId="40126"/>
    <cellStyle name="Normal 3 3 3 2 3 4 4" xfId="40127"/>
    <cellStyle name="Normal 3 3 3 2 3 5" xfId="40128"/>
    <cellStyle name="Normal 3 3 3 2 3 5 2" xfId="40129"/>
    <cellStyle name="Normal 3 3 3 2 3 6" xfId="40130"/>
    <cellStyle name="Normal 3 3 3 2 3 7" xfId="40131"/>
    <cellStyle name="Normal 3 3 3 2 3 8" xfId="40132"/>
    <cellStyle name="Normal 3 3 3 2 4" xfId="40133"/>
    <cellStyle name="Normal 3 3 3 2 4 2" xfId="40134"/>
    <cellStyle name="Normal 3 3 3 2 4 2 2" xfId="40135"/>
    <cellStyle name="Normal 3 3 3 2 4 2 2 2" xfId="40136"/>
    <cellStyle name="Normal 3 3 3 2 4 2 2 3" xfId="40137"/>
    <cellStyle name="Normal 3 3 3 2 4 2 3" xfId="40138"/>
    <cellStyle name="Normal 3 3 3 2 4 2 3 2" xfId="40139"/>
    <cellStyle name="Normal 3 3 3 2 4 2 4" xfId="40140"/>
    <cellStyle name="Normal 3 3 3 2 4 2 5" xfId="40141"/>
    <cellStyle name="Normal 3 3 3 2 4 3" xfId="40142"/>
    <cellStyle name="Normal 3 3 3 2 4 3 2" xfId="40143"/>
    <cellStyle name="Normal 3 3 3 2 4 3 2 2" xfId="40144"/>
    <cellStyle name="Normal 3 3 3 2 4 3 3" xfId="40145"/>
    <cellStyle name="Normal 3 3 3 2 4 3 4" xfId="40146"/>
    <cellStyle name="Normal 3 3 3 2 4 4" xfId="40147"/>
    <cellStyle name="Normal 3 3 3 2 4 4 2" xfId="40148"/>
    <cellStyle name="Normal 3 3 3 2 4 4 2 2" xfId="40149"/>
    <cellStyle name="Normal 3 3 3 2 4 4 3" xfId="40150"/>
    <cellStyle name="Normal 3 3 3 2 4 4 4" xfId="40151"/>
    <cellStyle name="Normal 3 3 3 2 4 5" xfId="40152"/>
    <cellStyle name="Normal 3 3 3 2 4 5 2" xfId="40153"/>
    <cellStyle name="Normal 3 3 3 2 4 6" xfId="40154"/>
    <cellStyle name="Normal 3 3 3 2 4 7" xfId="40155"/>
    <cellStyle name="Normal 3 3 3 2 4 8" xfId="40156"/>
    <cellStyle name="Normal 3 3 3 2 5" xfId="40157"/>
    <cellStyle name="Normal 3 3 3 3" xfId="40158"/>
    <cellStyle name="Normal 3 3 3 3 2" xfId="40159"/>
    <cellStyle name="Normal 3 3 3 3 2 2" xfId="40160"/>
    <cellStyle name="Normal 3 3 3 3 2 2 2" xfId="40161"/>
    <cellStyle name="Normal 3 3 3 3 2 2 3" xfId="40162"/>
    <cellStyle name="Normal 3 3 3 3 2 3" xfId="40163"/>
    <cellStyle name="Normal 3 3 3 3 2 3 2" xfId="40164"/>
    <cellStyle name="Normal 3 3 3 3 2 4" xfId="40165"/>
    <cellStyle name="Normal 3 3 3 3 2 5" xfId="40166"/>
    <cellStyle name="Normal 3 3 3 3 3" xfId="40167"/>
    <cellStyle name="Normal 3 3 3 3 3 2" xfId="40168"/>
    <cellStyle name="Normal 3 3 3 3 3 2 2" xfId="40169"/>
    <cellStyle name="Normal 3 3 3 3 3 3" xfId="40170"/>
    <cellStyle name="Normal 3 3 3 3 3 4" xfId="40171"/>
    <cellStyle name="Normal 3 3 3 3 4" xfId="40172"/>
    <cellStyle name="Normal 3 3 3 3 4 2" xfId="40173"/>
    <cellStyle name="Normal 3 3 3 3 4 2 2" xfId="40174"/>
    <cellStyle name="Normal 3 3 3 3 4 3" xfId="40175"/>
    <cellStyle name="Normal 3 3 3 3 4 4" xfId="40176"/>
    <cellStyle name="Normal 3 3 3 3 5" xfId="40177"/>
    <cellStyle name="Normal 3 3 3 3 5 2" xfId="40178"/>
    <cellStyle name="Normal 3 3 3 3 6" xfId="40179"/>
    <cellStyle name="Normal 3 3 3 3 7" xfId="40180"/>
    <cellStyle name="Normal 3 3 3 3 8" xfId="40181"/>
    <cellStyle name="Normal 3 3 3 4" xfId="40182"/>
    <cellStyle name="Normal 3 3 3 4 2" xfId="40183"/>
    <cellStyle name="Normal 3 3 3 4 2 2" xfId="40184"/>
    <cellStyle name="Normal 3 3 3 4 2 2 2" xfId="40185"/>
    <cellStyle name="Normal 3 3 3 4 2 2 3" xfId="40186"/>
    <cellStyle name="Normal 3 3 3 4 2 3" xfId="40187"/>
    <cellStyle name="Normal 3 3 3 4 2 3 2" xfId="40188"/>
    <cellStyle name="Normal 3 3 3 4 2 4" xfId="40189"/>
    <cellStyle name="Normal 3 3 3 4 2 5" xfId="40190"/>
    <cellStyle name="Normal 3 3 3 4 3" xfId="40191"/>
    <cellStyle name="Normal 3 3 3 4 3 2" xfId="40192"/>
    <cellStyle name="Normal 3 3 3 4 3 2 2" xfId="40193"/>
    <cellStyle name="Normal 3 3 3 4 3 3" xfId="40194"/>
    <cellStyle name="Normal 3 3 3 4 3 4" xfId="40195"/>
    <cellStyle name="Normal 3 3 3 4 4" xfId="40196"/>
    <cellStyle name="Normal 3 3 3 4 4 2" xfId="40197"/>
    <cellStyle name="Normal 3 3 3 4 4 2 2" xfId="40198"/>
    <cellStyle name="Normal 3 3 3 4 4 3" xfId="40199"/>
    <cellStyle name="Normal 3 3 3 4 4 4" xfId="40200"/>
    <cellStyle name="Normal 3 3 3 4 5" xfId="40201"/>
    <cellStyle name="Normal 3 3 3 4 5 2" xfId="40202"/>
    <cellStyle name="Normal 3 3 3 4 6" xfId="40203"/>
    <cellStyle name="Normal 3 3 3 4 7" xfId="40204"/>
    <cellStyle name="Normal 3 3 3 4 8" xfId="40205"/>
    <cellStyle name="Normal 3 3 3 5" xfId="40206"/>
    <cellStyle name="Normal 3 3 3 5 2" xfId="40207"/>
    <cellStyle name="Normal 3 3 3 5 2 2" xfId="40208"/>
    <cellStyle name="Normal 3 3 3 5 2 2 2" xfId="40209"/>
    <cellStyle name="Normal 3 3 3 5 2 2 3" xfId="40210"/>
    <cellStyle name="Normal 3 3 3 5 2 3" xfId="40211"/>
    <cellStyle name="Normal 3 3 3 5 2 3 2" xfId="40212"/>
    <cellStyle name="Normal 3 3 3 5 2 4" xfId="40213"/>
    <cellStyle name="Normal 3 3 3 5 2 5" xfId="40214"/>
    <cellStyle name="Normal 3 3 3 5 3" xfId="40215"/>
    <cellStyle name="Normal 3 3 3 5 3 2" xfId="40216"/>
    <cellStyle name="Normal 3 3 3 5 3 2 2" xfId="40217"/>
    <cellStyle name="Normal 3 3 3 5 3 3" xfId="40218"/>
    <cellStyle name="Normal 3 3 3 5 3 4" xfId="40219"/>
    <cellStyle name="Normal 3 3 3 5 4" xfId="40220"/>
    <cellStyle name="Normal 3 3 3 5 4 2" xfId="40221"/>
    <cellStyle name="Normal 3 3 3 5 4 2 2" xfId="40222"/>
    <cellStyle name="Normal 3 3 3 5 4 3" xfId="40223"/>
    <cellStyle name="Normal 3 3 3 5 4 4" xfId="40224"/>
    <cellStyle name="Normal 3 3 3 5 5" xfId="40225"/>
    <cellStyle name="Normal 3 3 3 5 5 2" xfId="40226"/>
    <cellStyle name="Normal 3 3 3 5 6" xfId="40227"/>
    <cellStyle name="Normal 3 3 3 5 7" xfId="40228"/>
    <cellStyle name="Normal 3 3 3 5 8" xfId="40229"/>
    <cellStyle name="Normal 3 3 3 6" xfId="40230"/>
    <cellStyle name="Normal 3 3 3 7" xfId="40231"/>
    <cellStyle name="Normal 3 3 3 7 2" xfId="40232"/>
    <cellStyle name="Normal 3 3 4" xfId="40233"/>
    <cellStyle name="Normal 3 3 4 2" xfId="40234"/>
    <cellStyle name="Normal 3 3 4 2 2" xfId="40235"/>
    <cellStyle name="Normal 3 3 4 2 2 2" xfId="40236"/>
    <cellStyle name="Normal 3 3 4 2 2 2 2" xfId="40237"/>
    <cellStyle name="Normal 3 3 4 2 2 2 3" xfId="40238"/>
    <cellStyle name="Normal 3 3 4 2 2 3" xfId="40239"/>
    <cellStyle name="Normal 3 3 4 2 2 3 2" xfId="40240"/>
    <cellStyle name="Normal 3 3 4 2 2 4" xfId="40241"/>
    <cellStyle name="Normal 3 3 4 2 2 5" xfId="40242"/>
    <cellStyle name="Normal 3 3 4 2 3" xfId="40243"/>
    <cellStyle name="Normal 3 3 4 2 3 2" xfId="40244"/>
    <cellStyle name="Normal 3 3 4 2 3 2 2" xfId="40245"/>
    <cellStyle name="Normal 3 3 4 2 3 3" xfId="40246"/>
    <cellStyle name="Normal 3 3 4 2 3 4" xfId="40247"/>
    <cellStyle name="Normal 3 3 4 2 4" xfId="40248"/>
    <cellStyle name="Normal 3 3 4 2 4 2" xfId="40249"/>
    <cellStyle name="Normal 3 3 4 2 4 2 2" xfId="40250"/>
    <cellStyle name="Normal 3 3 4 2 4 3" xfId="40251"/>
    <cellStyle name="Normal 3 3 4 2 4 4" xfId="40252"/>
    <cellStyle name="Normal 3 3 4 2 5" xfId="40253"/>
    <cellStyle name="Normal 3 3 4 2 5 2" xfId="40254"/>
    <cellStyle name="Normal 3 3 4 2 6" xfId="40255"/>
    <cellStyle name="Normal 3 3 4 2 7" xfId="40256"/>
    <cellStyle name="Normal 3 3 4 2 8" xfId="40257"/>
    <cellStyle name="Normal 3 3 4 3" xfId="40258"/>
    <cellStyle name="Normal 3 3 4 3 2" xfId="40259"/>
    <cellStyle name="Normal 3 3 4 3 2 2" xfId="40260"/>
    <cellStyle name="Normal 3 3 4 3 2 2 2" xfId="40261"/>
    <cellStyle name="Normal 3 3 4 3 2 2 3" xfId="40262"/>
    <cellStyle name="Normal 3 3 4 3 2 3" xfId="40263"/>
    <cellStyle name="Normal 3 3 4 3 2 3 2" xfId="40264"/>
    <cellStyle name="Normal 3 3 4 3 2 4" xfId="40265"/>
    <cellStyle name="Normal 3 3 4 3 2 5" xfId="40266"/>
    <cellStyle name="Normal 3 3 4 3 3" xfId="40267"/>
    <cellStyle name="Normal 3 3 4 3 3 2" xfId="40268"/>
    <cellStyle name="Normal 3 3 4 3 3 2 2" xfId="40269"/>
    <cellStyle name="Normal 3 3 4 3 3 3" xfId="40270"/>
    <cellStyle name="Normal 3 3 4 3 3 4" xfId="40271"/>
    <cellStyle name="Normal 3 3 4 3 4" xfId="40272"/>
    <cellStyle name="Normal 3 3 4 3 4 2" xfId="40273"/>
    <cellStyle name="Normal 3 3 4 3 4 2 2" xfId="40274"/>
    <cellStyle name="Normal 3 3 4 3 4 3" xfId="40275"/>
    <cellStyle name="Normal 3 3 4 3 4 4" xfId="40276"/>
    <cellStyle name="Normal 3 3 4 3 5" xfId="40277"/>
    <cellStyle name="Normal 3 3 4 3 5 2" xfId="40278"/>
    <cellStyle name="Normal 3 3 4 3 6" xfId="40279"/>
    <cellStyle name="Normal 3 3 4 3 7" xfId="40280"/>
    <cellStyle name="Normal 3 3 4 3 8" xfId="40281"/>
    <cellStyle name="Normal 3 3 4 4" xfId="40282"/>
    <cellStyle name="Normal 3 3 4 4 2" xfId="40283"/>
    <cellStyle name="Normal 3 3 4 4 2 2" xfId="40284"/>
    <cellStyle name="Normal 3 3 4 4 2 2 2" xfId="40285"/>
    <cellStyle name="Normal 3 3 4 4 2 2 3" xfId="40286"/>
    <cellStyle name="Normal 3 3 4 4 2 3" xfId="40287"/>
    <cellStyle name="Normal 3 3 4 4 2 3 2" xfId="40288"/>
    <cellStyle name="Normal 3 3 4 4 2 4" xfId="40289"/>
    <cellStyle name="Normal 3 3 4 4 2 5" xfId="40290"/>
    <cellStyle name="Normal 3 3 4 4 3" xfId="40291"/>
    <cellStyle name="Normal 3 3 4 4 3 2" xfId="40292"/>
    <cellStyle name="Normal 3 3 4 4 3 2 2" xfId="40293"/>
    <cellStyle name="Normal 3 3 4 4 3 3" xfId="40294"/>
    <cellStyle name="Normal 3 3 4 4 3 4" xfId="40295"/>
    <cellStyle name="Normal 3 3 4 4 4" xfId="40296"/>
    <cellStyle name="Normal 3 3 4 4 4 2" xfId="40297"/>
    <cellStyle name="Normal 3 3 4 4 4 2 2" xfId="40298"/>
    <cellStyle name="Normal 3 3 4 4 4 3" xfId="40299"/>
    <cellStyle name="Normal 3 3 4 4 4 4" xfId="40300"/>
    <cellStyle name="Normal 3 3 4 4 5" xfId="40301"/>
    <cellStyle name="Normal 3 3 4 4 5 2" xfId="40302"/>
    <cellStyle name="Normal 3 3 4 4 6" xfId="40303"/>
    <cellStyle name="Normal 3 3 4 4 7" xfId="40304"/>
    <cellStyle name="Normal 3 3 4 4 8" xfId="40305"/>
    <cellStyle name="Normal 3 3 4 5" xfId="40306"/>
    <cellStyle name="Normal 3 3 4 6" xfId="40307"/>
    <cellStyle name="Normal 3 3 4 6 2" xfId="40308"/>
    <cellStyle name="Normal 3 3 5" xfId="40309"/>
    <cellStyle name="Normal 3 3 5 2" xfId="40310"/>
    <cellStyle name="Normal 3 3 5 3" xfId="40311"/>
    <cellStyle name="Normal 3 3 5 3 2" xfId="40312"/>
    <cellStyle name="Normal 3 3 6" xfId="40313"/>
    <cellStyle name="Normal 3 3 6 2" xfId="40314"/>
    <cellStyle name="Normal 3 3 6 2 2" xfId="40315"/>
    <cellStyle name="Normal 3 3 6 2 2 2" xfId="40316"/>
    <cellStyle name="Normal 3 3 6 2 2 3" xfId="40317"/>
    <cellStyle name="Normal 3 3 6 2 3" xfId="40318"/>
    <cellStyle name="Normal 3 3 6 2 3 2" xfId="40319"/>
    <cellStyle name="Normal 3 3 6 2 4" xfId="40320"/>
    <cellStyle name="Normal 3 3 6 2 5" xfId="40321"/>
    <cellStyle name="Normal 3 3 6 3" xfId="40322"/>
    <cellStyle name="Normal 3 3 6 3 2" xfId="40323"/>
    <cellStyle name="Normal 3 3 6 3 2 2" xfId="40324"/>
    <cellStyle name="Normal 3 3 6 3 3" xfId="40325"/>
    <cellStyle name="Normal 3 3 6 3 4" xfId="40326"/>
    <cellStyle name="Normal 3 3 6 4" xfId="40327"/>
    <cellStyle name="Normal 3 3 6 4 2" xfId="40328"/>
    <cellStyle name="Normal 3 3 6 4 2 2" xfId="40329"/>
    <cellStyle name="Normal 3 3 6 4 3" xfId="40330"/>
    <cellStyle name="Normal 3 3 6 4 4" xfId="40331"/>
    <cellStyle name="Normal 3 3 6 5" xfId="40332"/>
    <cellStyle name="Normal 3 3 6 5 2" xfId="40333"/>
    <cellStyle name="Normal 3 3 6 6" xfId="40334"/>
    <cellStyle name="Normal 3 3 6 7" xfId="40335"/>
    <cellStyle name="Normal 3 3 6 8" xfId="40336"/>
    <cellStyle name="Normal 3 3 7" xfId="40337"/>
    <cellStyle name="Normal 3 3 7 2" xfId="40338"/>
    <cellStyle name="Normal 3 3 7 2 2" xfId="40339"/>
    <cellStyle name="Normal 3 3 7 2 2 2" xfId="40340"/>
    <cellStyle name="Normal 3 3 7 2 2 3" xfId="40341"/>
    <cellStyle name="Normal 3 3 7 2 3" xfId="40342"/>
    <cellStyle name="Normal 3 3 7 2 3 2" xfId="40343"/>
    <cellStyle name="Normal 3 3 7 2 4" xfId="40344"/>
    <cellStyle name="Normal 3 3 7 2 5" xfId="40345"/>
    <cellStyle name="Normal 3 3 7 3" xfId="40346"/>
    <cellStyle name="Normal 3 3 7 3 2" xfId="40347"/>
    <cellStyle name="Normal 3 3 7 3 2 2" xfId="40348"/>
    <cellStyle name="Normal 3 3 7 3 3" xfId="40349"/>
    <cellStyle name="Normal 3 3 7 3 4" xfId="40350"/>
    <cellStyle name="Normal 3 3 7 4" xfId="40351"/>
    <cellStyle name="Normal 3 3 7 4 2" xfId="40352"/>
    <cellStyle name="Normal 3 3 7 4 2 2" xfId="40353"/>
    <cellStyle name="Normal 3 3 7 4 3" xfId="40354"/>
    <cellStyle name="Normal 3 3 7 4 4" xfId="40355"/>
    <cellStyle name="Normal 3 3 7 5" xfId="40356"/>
    <cellStyle name="Normal 3 3 7 5 2" xfId="40357"/>
    <cellStyle name="Normal 3 3 7 6" xfId="40358"/>
    <cellStyle name="Normal 3 3 7 7" xfId="40359"/>
    <cellStyle name="Normal 3 3 7 8" xfId="40360"/>
    <cellStyle name="Normal 3 3 8" xfId="40361"/>
    <cellStyle name="Normal 3 3 8 2" xfId="40362"/>
    <cellStyle name="Normal 3 3 8 2 2" xfId="40363"/>
    <cellStyle name="Normal 3 3 8 2 2 2" xfId="40364"/>
    <cellStyle name="Normal 3 3 8 2 2 3" xfId="40365"/>
    <cellStyle name="Normal 3 3 8 2 3" xfId="40366"/>
    <cellStyle name="Normal 3 3 8 2 3 2" xfId="40367"/>
    <cellStyle name="Normal 3 3 8 2 4" xfId="40368"/>
    <cellStyle name="Normal 3 3 8 2 5" xfId="40369"/>
    <cellStyle name="Normal 3 3 8 3" xfId="40370"/>
    <cellStyle name="Normal 3 3 8 3 2" xfId="40371"/>
    <cellStyle name="Normal 3 3 8 3 2 2" xfId="40372"/>
    <cellStyle name="Normal 3 3 8 3 3" xfId="40373"/>
    <cellStyle name="Normal 3 3 8 3 4" xfId="40374"/>
    <cellStyle name="Normal 3 3 8 4" xfId="40375"/>
    <cellStyle name="Normal 3 3 8 4 2" xfId="40376"/>
    <cellStyle name="Normal 3 3 8 4 2 2" xfId="40377"/>
    <cellStyle name="Normal 3 3 8 4 3" xfId="40378"/>
    <cellStyle name="Normal 3 3 8 4 4" xfId="40379"/>
    <cellStyle name="Normal 3 3 8 5" xfId="40380"/>
    <cellStyle name="Normal 3 3 8 5 2" xfId="40381"/>
    <cellStyle name="Normal 3 3 8 6" xfId="40382"/>
    <cellStyle name="Normal 3 3 8 7" xfId="40383"/>
    <cellStyle name="Normal 3 3 8 8" xfId="40384"/>
    <cellStyle name="Normal 3 3 9" xfId="40385"/>
    <cellStyle name="Normal 3 3 9 2" xfId="40386"/>
    <cellStyle name="Normal 3 3 9 2 2" xfId="40387"/>
    <cellStyle name="Normal 3 3_Dakota Panel" xfId="40388"/>
    <cellStyle name="Normal 3 4" xfId="40389"/>
    <cellStyle name="Normal 3 4 2" xfId="40390"/>
    <cellStyle name="Normal 3 4 2 2" xfId="40391"/>
    <cellStyle name="Normal 3 4 2 2 2" xfId="40392"/>
    <cellStyle name="Normal 3 4 2 2 2 2" xfId="40393"/>
    <cellStyle name="Normal 3 4 2 2 2 2 2" xfId="40394"/>
    <cellStyle name="Normal 3 4 2 2 2 2 2 2" xfId="40395"/>
    <cellStyle name="Normal 3 4 2 2 2 2 2 3" xfId="40396"/>
    <cellStyle name="Normal 3 4 2 2 2 2 3" xfId="40397"/>
    <cellStyle name="Normal 3 4 2 2 2 2 3 2" xfId="40398"/>
    <cellStyle name="Normal 3 4 2 2 2 2 4" xfId="40399"/>
    <cellStyle name="Normal 3 4 2 2 2 2 5" xfId="40400"/>
    <cellStyle name="Normal 3 4 2 2 2 3" xfId="40401"/>
    <cellStyle name="Normal 3 4 2 2 2 3 2" xfId="40402"/>
    <cellStyle name="Normal 3 4 2 2 2 3 2 2" xfId="40403"/>
    <cellStyle name="Normal 3 4 2 2 2 3 3" xfId="40404"/>
    <cellStyle name="Normal 3 4 2 2 2 3 4" xfId="40405"/>
    <cellStyle name="Normal 3 4 2 2 2 4" xfId="40406"/>
    <cellStyle name="Normal 3 4 2 2 2 4 2" xfId="40407"/>
    <cellStyle name="Normal 3 4 2 2 2 4 2 2" xfId="40408"/>
    <cellStyle name="Normal 3 4 2 2 2 4 3" xfId="40409"/>
    <cellStyle name="Normal 3 4 2 2 2 4 4" xfId="40410"/>
    <cellStyle name="Normal 3 4 2 2 2 5" xfId="40411"/>
    <cellStyle name="Normal 3 4 2 2 2 5 2" xfId="40412"/>
    <cellStyle name="Normal 3 4 2 2 2 6" xfId="40413"/>
    <cellStyle name="Normal 3 4 2 2 2 7" xfId="40414"/>
    <cellStyle name="Normal 3 4 2 2 2 8" xfId="40415"/>
    <cellStyle name="Normal 3 4 2 2 3" xfId="40416"/>
    <cellStyle name="Normal 3 4 2 2 3 2" xfId="40417"/>
    <cellStyle name="Normal 3 4 2 2 3 2 2" xfId="40418"/>
    <cellStyle name="Normal 3 4 2 2 3 2 2 2" xfId="40419"/>
    <cellStyle name="Normal 3 4 2 2 3 2 2 3" xfId="40420"/>
    <cellStyle name="Normal 3 4 2 2 3 2 3" xfId="40421"/>
    <cellStyle name="Normal 3 4 2 2 3 2 3 2" xfId="40422"/>
    <cellStyle name="Normal 3 4 2 2 3 2 4" xfId="40423"/>
    <cellStyle name="Normal 3 4 2 2 3 2 5" xfId="40424"/>
    <cellStyle name="Normal 3 4 2 2 3 3" xfId="40425"/>
    <cellStyle name="Normal 3 4 2 2 3 3 2" xfId="40426"/>
    <cellStyle name="Normal 3 4 2 2 3 3 2 2" xfId="40427"/>
    <cellStyle name="Normal 3 4 2 2 3 3 3" xfId="40428"/>
    <cellStyle name="Normal 3 4 2 2 3 3 4" xfId="40429"/>
    <cellStyle name="Normal 3 4 2 2 3 4" xfId="40430"/>
    <cellStyle name="Normal 3 4 2 2 3 4 2" xfId="40431"/>
    <cellStyle name="Normal 3 4 2 2 3 4 2 2" xfId="40432"/>
    <cellStyle name="Normal 3 4 2 2 3 4 3" xfId="40433"/>
    <cellStyle name="Normal 3 4 2 2 3 4 4" xfId="40434"/>
    <cellStyle name="Normal 3 4 2 2 3 5" xfId="40435"/>
    <cellStyle name="Normal 3 4 2 2 3 5 2" xfId="40436"/>
    <cellStyle name="Normal 3 4 2 2 3 6" xfId="40437"/>
    <cellStyle name="Normal 3 4 2 2 3 7" xfId="40438"/>
    <cellStyle name="Normal 3 4 2 2 3 8" xfId="40439"/>
    <cellStyle name="Normal 3 4 2 2 4" xfId="40440"/>
    <cellStyle name="Normal 3 4 2 2 4 2" xfId="40441"/>
    <cellStyle name="Normal 3 4 2 2 4 2 2" xfId="40442"/>
    <cellStyle name="Normal 3 4 2 2 4 2 2 2" xfId="40443"/>
    <cellStyle name="Normal 3 4 2 2 4 2 2 3" xfId="40444"/>
    <cellStyle name="Normal 3 4 2 2 4 2 3" xfId="40445"/>
    <cellStyle name="Normal 3 4 2 2 4 2 3 2" xfId="40446"/>
    <cellStyle name="Normal 3 4 2 2 4 2 4" xfId="40447"/>
    <cellStyle name="Normal 3 4 2 2 4 2 5" xfId="40448"/>
    <cellStyle name="Normal 3 4 2 2 4 3" xfId="40449"/>
    <cellStyle name="Normal 3 4 2 2 4 3 2" xfId="40450"/>
    <cellStyle name="Normal 3 4 2 2 4 3 2 2" xfId="40451"/>
    <cellStyle name="Normal 3 4 2 2 4 3 3" xfId="40452"/>
    <cellStyle name="Normal 3 4 2 2 4 3 4" xfId="40453"/>
    <cellStyle name="Normal 3 4 2 2 4 4" xfId="40454"/>
    <cellStyle name="Normal 3 4 2 2 4 4 2" xfId="40455"/>
    <cellStyle name="Normal 3 4 2 2 4 4 2 2" xfId="40456"/>
    <cellStyle name="Normal 3 4 2 2 4 4 3" xfId="40457"/>
    <cellStyle name="Normal 3 4 2 2 4 4 4" xfId="40458"/>
    <cellStyle name="Normal 3 4 2 2 4 5" xfId="40459"/>
    <cellStyle name="Normal 3 4 2 2 4 5 2" xfId="40460"/>
    <cellStyle name="Normal 3 4 2 2 4 6" xfId="40461"/>
    <cellStyle name="Normal 3 4 2 2 4 7" xfId="40462"/>
    <cellStyle name="Normal 3 4 2 2 4 8" xfId="40463"/>
    <cellStyle name="Normal 3 4 2 2 5" xfId="40464"/>
    <cellStyle name="Normal 3 4 2 3" xfId="40465"/>
    <cellStyle name="Normal 3 4 2 3 2" xfId="40466"/>
    <cellStyle name="Normal 3 4 2 3 2 2" xfId="40467"/>
    <cellStyle name="Normal 3 4 2 3 2 2 2" xfId="40468"/>
    <cellStyle name="Normal 3 4 2 3 2 2 3" xfId="40469"/>
    <cellStyle name="Normal 3 4 2 3 2 3" xfId="40470"/>
    <cellStyle name="Normal 3 4 2 3 2 3 2" xfId="40471"/>
    <cellStyle name="Normal 3 4 2 3 2 4" xfId="40472"/>
    <cellStyle name="Normal 3 4 2 3 2 5" xfId="40473"/>
    <cellStyle name="Normal 3 4 2 3 3" xfId="40474"/>
    <cellStyle name="Normal 3 4 2 3 3 2" xfId="40475"/>
    <cellStyle name="Normal 3 4 2 3 3 2 2" xfId="40476"/>
    <cellStyle name="Normal 3 4 2 3 3 3" xfId="40477"/>
    <cellStyle name="Normal 3 4 2 3 3 4" xfId="40478"/>
    <cellStyle name="Normal 3 4 2 3 4" xfId="40479"/>
    <cellStyle name="Normal 3 4 2 3 4 2" xfId="40480"/>
    <cellStyle name="Normal 3 4 2 3 4 2 2" xfId="40481"/>
    <cellStyle name="Normal 3 4 2 3 4 3" xfId="40482"/>
    <cellStyle name="Normal 3 4 2 3 4 4" xfId="40483"/>
    <cellStyle name="Normal 3 4 2 3 5" xfId="40484"/>
    <cellStyle name="Normal 3 4 2 3 5 2" xfId="40485"/>
    <cellStyle name="Normal 3 4 2 3 6" xfId="40486"/>
    <cellStyle name="Normal 3 4 2 3 7" xfId="40487"/>
    <cellStyle name="Normal 3 4 2 3 8" xfId="40488"/>
    <cellStyle name="Normal 3 4 2 4" xfId="40489"/>
    <cellStyle name="Normal 3 4 2 4 2" xfId="40490"/>
    <cellStyle name="Normal 3 4 2 4 2 2" xfId="40491"/>
    <cellStyle name="Normal 3 4 2 4 2 2 2" xfId="40492"/>
    <cellStyle name="Normal 3 4 2 4 2 2 3" xfId="40493"/>
    <cellStyle name="Normal 3 4 2 4 2 3" xfId="40494"/>
    <cellStyle name="Normal 3 4 2 4 2 3 2" xfId="40495"/>
    <cellStyle name="Normal 3 4 2 4 2 4" xfId="40496"/>
    <cellStyle name="Normal 3 4 2 4 2 5" xfId="40497"/>
    <cellStyle name="Normal 3 4 2 4 3" xfId="40498"/>
    <cellStyle name="Normal 3 4 2 4 3 2" xfId="40499"/>
    <cellStyle name="Normal 3 4 2 4 3 2 2" xfId="40500"/>
    <cellStyle name="Normal 3 4 2 4 3 3" xfId="40501"/>
    <cellStyle name="Normal 3 4 2 4 3 4" xfId="40502"/>
    <cellStyle name="Normal 3 4 2 4 4" xfId="40503"/>
    <cellStyle name="Normal 3 4 2 4 4 2" xfId="40504"/>
    <cellStyle name="Normal 3 4 2 4 4 2 2" xfId="40505"/>
    <cellStyle name="Normal 3 4 2 4 4 3" xfId="40506"/>
    <cellStyle name="Normal 3 4 2 4 4 4" xfId="40507"/>
    <cellStyle name="Normal 3 4 2 4 5" xfId="40508"/>
    <cellStyle name="Normal 3 4 2 4 5 2" xfId="40509"/>
    <cellStyle name="Normal 3 4 2 4 6" xfId="40510"/>
    <cellStyle name="Normal 3 4 2 4 7" xfId="40511"/>
    <cellStyle name="Normal 3 4 2 4 8" xfId="40512"/>
    <cellStyle name="Normal 3 4 2 5" xfId="40513"/>
    <cellStyle name="Normal 3 4 2 5 2" xfId="40514"/>
    <cellStyle name="Normal 3 4 2 5 2 2" xfId="40515"/>
    <cellStyle name="Normal 3 4 2 5 2 2 2" xfId="40516"/>
    <cellStyle name="Normal 3 4 2 5 2 2 3" xfId="40517"/>
    <cellStyle name="Normal 3 4 2 5 2 3" xfId="40518"/>
    <cellStyle name="Normal 3 4 2 5 2 3 2" xfId="40519"/>
    <cellStyle name="Normal 3 4 2 5 2 4" xfId="40520"/>
    <cellStyle name="Normal 3 4 2 5 2 5" xfId="40521"/>
    <cellStyle name="Normal 3 4 2 5 3" xfId="40522"/>
    <cellStyle name="Normal 3 4 2 5 3 2" xfId="40523"/>
    <cellStyle name="Normal 3 4 2 5 3 2 2" xfId="40524"/>
    <cellStyle name="Normal 3 4 2 5 3 3" xfId="40525"/>
    <cellStyle name="Normal 3 4 2 5 3 4" xfId="40526"/>
    <cellStyle name="Normal 3 4 2 5 4" xfId="40527"/>
    <cellStyle name="Normal 3 4 2 5 4 2" xfId="40528"/>
    <cellStyle name="Normal 3 4 2 5 4 2 2" xfId="40529"/>
    <cellStyle name="Normal 3 4 2 5 4 3" xfId="40530"/>
    <cellStyle name="Normal 3 4 2 5 4 4" xfId="40531"/>
    <cellStyle name="Normal 3 4 2 5 5" xfId="40532"/>
    <cellStyle name="Normal 3 4 2 5 5 2" xfId="40533"/>
    <cellStyle name="Normal 3 4 2 5 6" xfId="40534"/>
    <cellStyle name="Normal 3 4 2 5 7" xfId="40535"/>
    <cellStyle name="Normal 3 4 2 5 8" xfId="40536"/>
    <cellStyle name="Normal 3 4 2 6" xfId="40537"/>
    <cellStyle name="Normal 3 4 2 7" xfId="40538"/>
    <cellStyle name="Normal 3 4 2 7 2" xfId="40539"/>
    <cellStyle name="Normal 3 4 3" xfId="40540"/>
    <cellStyle name="Normal 3 4 3 2" xfId="40541"/>
    <cellStyle name="Normal 3 4 3 2 2" xfId="40542"/>
    <cellStyle name="Normal 3 4 3 2 2 2" xfId="40543"/>
    <cellStyle name="Normal 3 4 3 2 2 2 2" xfId="40544"/>
    <cellStyle name="Normal 3 4 3 2 2 2 3" xfId="40545"/>
    <cellStyle name="Normal 3 4 3 2 2 3" xfId="40546"/>
    <cellStyle name="Normal 3 4 3 2 2 3 2" xfId="40547"/>
    <cellStyle name="Normal 3 4 3 2 2 4" xfId="40548"/>
    <cellStyle name="Normal 3 4 3 2 2 5" xfId="40549"/>
    <cellStyle name="Normal 3 4 3 2 3" xfId="40550"/>
    <cellStyle name="Normal 3 4 3 2 3 2" xfId="40551"/>
    <cellStyle name="Normal 3 4 3 2 3 2 2" xfId="40552"/>
    <cellStyle name="Normal 3 4 3 2 3 3" xfId="40553"/>
    <cellStyle name="Normal 3 4 3 2 3 4" xfId="40554"/>
    <cellStyle name="Normal 3 4 3 2 4" xfId="40555"/>
    <cellStyle name="Normal 3 4 3 2 4 2" xfId="40556"/>
    <cellStyle name="Normal 3 4 3 2 4 2 2" xfId="40557"/>
    <cellStyle name="Normal 3 4 3 2 4 3" xfId="40558"/>
    <cellStyle name="Normal 3 4 3 2 4 4" xfId="40559"/>
    <cellStyle name="Normal 3 4 3 2 5" xfId="40560"/>
    <cellStyle name="Normal 3 4 3 2 5 2" xfId="40561"/>
    <cellStyle name="Normal 3 4 3 2 6" xfId="40562"/>
    <cellStyle name="Normal 3 4 3 2 7" xfId="40563"/>
    <cellStyle name="Normal 3 4 3 2 8" xfId="40564"/>
    <cellStyle name="Normal 3 4 3 3" xfId="40565"/>
    <cellStyle name="Normal 3 4 3 3 2" xfId="40566"/>
    <cellStyle name="Normal 3 4 3 3 2 2" xfId="40567"/>
    <cellStyle name="Normal 3 4 3 3 2 2 2" xfId="40568"/>
    <cellStyle name="Normal 3 4 3 3 2 2 3" xfId="40569"/>
    <cellStyle name="Normal 3 4 3 3 2 3" xfId="40570"/>
    <cellStyle name="Normal 3 4 3 3 2 3 2" xfId="40571"/>
    <cellStyle name="Normal 3 4 3 3 2 4" xfId="40572"/>
    <cellStyle name="Normal 3 4 3 3 2 5" xfId="40573"/>
    <cellStyle name="Normal 3 4 3 3 3" xfId="40574"/>
    <cellStyle name="Normal 3 4 3 3 3 2" xfId="40575"/>
    <cellStyle name="Normal 3 4 3 3 3 2 2" xfId="40576"/>
    <cellStyle name="Normal 3 4 3 3 3 3" xfId="40577"/>
    <cellStyle name="Normal 3 4 3 3 3 4" xfId="40578"/>
    <cellStyle name="Normal 3 4 3 3 4" xfId="40579"/>
    <cellStyle name="Normal 3 4 3 3 4 2" xfId="40580"/>
    <cellStyle name="Normal 3 4 3 3 4 2 2" xfId="40581"/>
    <cellStyle name="Normal 3 4 3 3 4 3" xfId="40582"/>
    <cellStyle name="Normal 3 4 3 3 4 4" xfId="40583"/>
    <cellStyle name="Normal 3 4 3 3 5" xfId="40584"/>
    <cellStyle name="Normal 3 4 3 3 5 2" xfId="40585"/>
    <cellStyle name="Normal 3 4 3 3 6" xfId="40586"/>
    <cellStyle name="Normal 3 4 3 3 7" xfId="40587"/>
    <cellStyle name="Normal 3 4 3 3 8" xfId="40588"/>
    <cellStyle name="Normal 3 4 3 4" xfId="40589"/>
    <cellStyle name="Normal 3 4 3 4 2" xfId="40590"/>
    <cellStyle name="Normal 3 4 3 4 2 2" xfId="40591"/>
    <cellStyle name="Normal 3 4 3 4 2 2 2" xfId="40592"/>
    <cellStyle name="Normal 3 4 3 4 2 2 3" xfId="40593"/>
    <cellStyle name="Normal 3 4 3 4 2 3" xfId="40594"/>
    <cellStyle name="Normal 3 4 3 4 2 3 2" xfId="40595"/>
    <cellStyle name="Normal 3 4 3 4 2 4" xfId="40596"/>
    <cellStyle name="Normal 3 4 3 4 2 5" xfId="40597"/>
    <cellStyle name="Normal 3 4 3 4 3" xfId="40598"/>
    <cellStyle name="Normal 3 4 3 4 3 2" xfId="40599"/>
    <cellStyle name="Normal 3 4 3 4 3 2 2" xfId="40600"/>
    <cellStyle name="Normal 3 4 3 4 3 3" xfId="40601"/>
    <cellStyle name="Normal 3 4 3 4 3 4" xfId="40602"/>
    <cellStyle name="Normal 3 4 3 4 4" xfId="40603"/>
    <cellStyle name="Normal 3 4 3 4 4 2" xfId="40604"/>
    <cellStyle name="Normal 3 4 3 4 4 2 2" xfId="40605"/>
    <cellStyle name="Normal 3 4 3 4 4 3" xfId="40606"/>
    <cellStyle name="Normal 3 4 3 4 4 4" xfId="40607"/>
    <cellStyle name="Normal 3 4 3 4 5" xfId="40608"/>
    <cellStyle name="Normal 3 4 3 4 5 2" xfId="40609"/>
    <cellStyle name="Normal 3 4 3 4 6" xfId="40610"/>
    <cellStyle name="Normal 3 4 3 4 7" xfId="40611"/>
    <cellStyle name="Normal 3 4 3 4 8" xfId="40612"/>
    <cellStyle name="Normal 3 4 3 5" xfId="40613"/>
    <cellStyle name="Normal 3 4 3 6" xfId="40614"/>
    <cellStyle name="Normal 3 4 3 6 2" xfId="40615"/>
    <cellStyle name="Normal 3 4 4" xfId="40616"/>
    <cellStyle name="Normal 3 4 4 2" xfId="40617"/>
    <cellStyle name="Normal 3 4 4 3" xfId="40618"/>
    <cellStyle name="Normal 3 4 4 3 2" xfId="40619"/>
    <cellStyle name="Normal 3 4 5" xfId="40620"/>
    <cellStyle name="Normal 3 4 5 2" xfId="40621"/>
    <cellStyle name="Normal 3 4 5 2 2" xfId="40622"/>
    <cellStyle name="Normal 3 4 5 2 2 2" xfId="40623"/>
    <cellStyle name="Normal 3 4 5 2 2 3" xfId="40624"/>
    <cellStyle name="Normal 3 4 5 2 3" xfId="40625"/>
    <cellStyle name="Normal 3 4 5 2 3 2" xfId="40626"/>
    <cellStyle name="Normal 3 4 5 2 4" xfId="40627"/>
    <cellStyle name="Normal 3 4 5 2 5" xfId="40628"/>
    <cellStyle name="Normal 3 4 5 3" xfId="40629"/>
    <cellStyle name="Normal 3 4 5 3 2" xfId="40630"/>
    <cellStyle name="Normal 3 4 5 3 2 2" xfId="40631"/>
    <cellStyle name="Normal 3 4 5 3 3" xfId="40632"/>
    <cellStyle name="Normal 3 4 5 3 4" xfId="40633"/>
    <cellStyle name="Normal 3 4 5 4" xfId="40634"/>
    <cellStyle name="Normal 3 4 5 4 2" xfId="40635"/>
    <cellStyle name="Normal 3 4 5 4 2 2" xfId="40636"/>
    <cellStyle name="Normal 3 4 5 4 3" xfId="40637"/>
    <cellStyle name="Normal 3 4 5 4 4" xfId="40638"/>
    <cellStyle name="Normal 3 4 5 5" xfId="40639"/>
    <cellStyle name="Normal 3 4 5 5 2" xfId="40640"/>
    <cellStyle name="Normal 3 4 5 6" xfId="40641"/>
    <cellStyle name="Normal 3 4 5 7" xfId="40642"/>
    <cellStyle name="Normal 3 4 5 8" xfId="40643"/>
    <cellStyle name="Normal 3 4 6" xfId="40644"/>
    <cellStyle name="Normal 3 4 6 2" xfId="40645"/>
    <cellStyle name="Normal 3 4 6 2 2" xfId="40646"/>
    <cellStyle name="Normal 3 4 6 2 2 2" xfId="40647"/>
    <cellStyle name="Normal 3 4 6 2 2 3" xfId="40648"/>
    <cellStyle name="Normal 3 4 6 2 3" xfId="40649"/>
    <cellStyle name="Normal 3 4 6 2 3 2" xfId="40650"/>
    <cellStyle name="Normal 3 4 6 2 4" xfId="40651"/>
    <cellStyle name="Normal 3 4 6 2 5" xfId="40652"/>
    <cellStyle name="Normal 3 4 6 3" xfId="40653"/>
    <cellStyle name="Normal 3 4 6 3 2" xfId="40654"/>
    <cellStyle name="Normal 3 4 6 3 2 2" xfId="40655"/>
    <cellStyle name="Normal 3 4 6 3 3" xfId="40656"/>
    <cellStyle name="Normal 3 4 6 3 4" xfId="40657"/>
    <cellStyle name="Normal 3 4 6 4" xfId="40658"/>
    <cellStyle name="Normal 3 4 6 4 2" xfId="40659"/>
    <cellStyle name="Normal 3 4 6 4 2 2" xfId="40660"/>
    <cellStyle name="Normal 3 4 6 4 3" xfId="40661"/>
    <cellStyle name="Normal 3 4 6 4 4" xfId="40662"/>
    <cellStyle name="Normal 3 4 6 5" xfId="40663"/>
    <cellStyle name="Normal 3 4 6 5 2" xfId="40664"/>
    <cellStyle name="Normal 3 4 6 6" xfId="40665"/>
    <cellStyle name="Normal 3 4 6 7" xfId="40666"/>
    <cellStyle name="Normal 3 4 6 8" xfId="40667"/>
    <cellStyle name="Normal 3 4 7" xfId="40668"/>
    <cellStyle name="Normal 3 4 7 2" xfId="40669"/>
    <cellStyle name="Normal 3 4 7 2 2" xfId="40670"/>
    <cellStyle name="Normal 3 4 7 2 2 2" xfId="40671"/>
    <cellStyle name="Normal 3 4 7 2 2 3" xfId="40672"/>
    <cellStyle name="Normal 3 4 7 2 3" xfId="40673"/>
    <cellStyle name="Normal 3 4 7 2 3 2" xfId="40674"/>
    <cellStyle name="Normal 3 4 7 2 4" xfId="40675"/>
    <cellStyle name="Normal 3 4 7 2 5" xfId="40676"/>
    <cellStyle name="Normal 3 4 7 3" xfId="40677"/>
    <cellStyle name="Normal 3 4 7 3 2" xfId="40678"/>
    <cellStyle name="Normal 3 4 7 3 2 2" xfId="40679"/>
    <cellStyle name="Normal 3 4 7 3 3" xfId="40680"/>
    <cellStyle name="Normal 3 4 7 3 4" xfId="40681"/>
    <cellStyle name="Normal 3 4 7 4" xfId="40682"/>
    <cellStyle name="Normal 3 4 7 4 2" xfId="40683"/>
    <cellStyle name="Normal 3 4 7 4 2 2" xfId="40684"/>
    <cellStyle name="Normal 3 4 7 4 3" xfId="40685"/>
    <cellStyle name="Normal 3 4 7 4 4" xfId="40686"/>
    <cellStyle name="Normal 3 4 7 5" xfId="40687"/>
    <cellStyle name="Normal 3 4 7 5 2" xfId="40688"/>
    <cellStyle name="Normal 3 4 7 6" xfId="40689"/>
    <cellStyle name="Normal 3 4 7 7" xfId="40690"/>
    <cellStyle name="Normal 3 4 7 8" xfId="40691"/>
    <cellStyle name="Normal 3 4 8" xfId="40692"/>
    <cellStyle name="Normal 3 4 8 2" xfId="40693"/>
    <cellStyle name="Normal 3 4 9" xfId="40694"/>
    <cellStyle name="Normal 3 4 9 2" xfId="40695"/>
    <cellStyle name="Normal 3 4_Dakota Panel" xfId="40696"/>
    <cellStyle name="Normal 3 5" xfId="40697"/>
    <cellStyle name="Normal 3 5 2" xfId="40698"/>
    <cellStyle name="Normal 3 5 2 2" xfId="40699"/>
    <cellStyle name="Normal 3 5 2 2 2" xfId="40700"/>
    <cellStyle name="Normal 3 5 2 2 2 2" xfId="40701"/>
    <cellStyle name="Normal 3 5 2 2 2 2 2" xfId="40702"/>
    <cellStyle name="Normal 3 5 2 2 2 2 3" xfId="40703"/>
    <cellStyle name="Normal 3 5 2 2 2 3" xfId="40704"/>
    <cellStyle name="Normal 3 5 2 2 2 3 2" xfId="40705"/>
    <cellStyle name="Normal 3 5 2 2 2 4" xfId="40706"/>
    <cellStyle name="Normal 3 5 2 2 2 5" xfId="40707"/>
    <cellStyle name="Normal 3 5 2 2 3" xfId="40708"/>
    <cellStyle name="Normal 3 5 2 2 3 2" xfId="40709"/>
    <cellStyle name="Normal 3 5 2 2 3 2 2" xfId="40710"/>
    <cellStyle name="Normal 3 5 2 2 3 3" xfId="40711"/>
    <cellStyle name="Normal 3 5 2 2 3 4" xfId="40712"/>
    <cellStyle name="Normal 3 5 2 2 4" xfId="40713"/>
    <cellStyle name="Normal 3 5 2 2 4 2" xfId="40714"/>
    <cellStyle name="Normal 3 5 2 2 4 2 2" xfId="40715"/>
    <cellStyle name="Normal 3 5 2 2 4 3" xfId="40716"/>
    <cellStyle name="Normal 3 5 2 2 4 4" xfId="40717"/>
    <cellStyle name="Normal 3 5 2 2 5" xfId="40718"/>
    <cellStyle name="Normal 3 5 2 2 5 2" xfId="40719"/>
    <cellStyle name="Normal 3 5 2 2 6" xfId="40720"/>
    <cellStyle name="Normal 3 5 2 2 7" xfId="40721"/>
    <cellStyle name="Normal 3 5 2 2 8" xfId="40722"/>
    <cellStyle name="Normal 3 5 2 3" xfId="40723"/>
    <cellStyle name="Normal 3 5 2 3 2" xfId="40724"/>
    <cellStyle name="Normal 3 5 2 3 2 2" xfId="40725"/>
    <cellStyle name="Normal 3 5 2 3 2 2 2" xfId="40726"/>
    <cellStyle name="Normal 3 5 2 3 2 2 3" xfId="40727"/>
    <cellStyle name="Normal 3 5 2 3 2 3" xfId="40728"/>
    <cellStyle name="Normal 3 5 2 3 2 3 2" xfId="40729"/>
    <cellStyle name="Normal 3 5 2 3 2 4" xfId="40730"/>
    <cellStyle name="Normal 3 5 2 3 2 5" xfId="40731"/>
    <cellStyle name="Normal 3 5 2 3 3" xfId="40732"/>
    <cellStyle name="Normal 3 5 2 3 3 2" xfId="40733"/>
    <cellStyle name="Normal 3 5 2 3 3 2 2" xfId="40734"/>
    <cellStyle name="Normal 3 5 2 3 3 3" xfId="40735"/>
    <cellStyle name="Normal 3 5 2 3 3 4" xfId="40736"/>
    <cellStyle name="Normal 3 5 2 3 4" xfId="40737"/>
    <cellStyle name="Normal 3 5 2 3 4 2" xfId="40738"/>
    <cellStyle name="Normal 3 5 2 3 4 2 2" xfId="40739"/>
    <cellStyle name="Normal 3 5 2 3 4 3" xfId="40740"/>
    <cellStyle name="Normal 3 5 2 3 4 4" xfId="40741"/>
    <cellStyle name="Normal 3 5 2 3 5" xfId="40742"/>
    <cellStyle name="Normal 3 5 2 3 5 2" xfId="40743"/>
    <cellStyle name="Normal 3 5 2 3 6" xfId="40744"/>
    <cellStyle name="Normal 3 5 2 3 7" xfId="40745"/>
    <cellStyle name="Normal 3 5 2 3 8" xfId="40746"/>
    <cellStyle name="Normal 3 5 2 4" xfId="40747"/>
    <cellStyle name="Normal 3 5 2 4 2" xfId="40748"/>
    <cellStyle name="Normal 3 5 2 4 2 2" xfId="40749"/>
    <cellStyle name="Normal 3 5 2 4 2 2 2" xfId="40750"/>
    <cellStyle name="Normal 3 5 2 4 2 2 3" xfId="40751"/>
    <cellStyle name="Normal 3 5 2 4 2 3" xfId="40752"/>
    <cellStyle name="Normal 3 5 2 4 2 3 2" xfId="40753"/>
    <cellStyle name="Normal 3 5 2 4 2 4" xfId="40754"/>
    <cellStyle name="Normal 3 5 2 4 2 5" xfId="40755"/>
    <cellStyle name="Normal 3 5 2 4 3" xfId="40756"/>
    <cellStyle name="Normal 3 5 2 4 3 2" xfId="40757"/>
    <cellStyle name="Normal 3 5 2 4 3 2 2" xfId="40758"/>
    <cellStyle name="Normal 3 5 2 4 3 3" xfId="40759"/>
    <cellStyle name="Normal 3 5 2 4 3 4" xfId="40760"/>
    <cellStyle name="Normal 3 5 2 4 4" xfId="40761"/>
    <cellStyle name="Normal 3 5 2 4 4 2" xfId="40762"/>
    <cellStyle name="Normal 3 5 2 4 4 2 2" xfId="40763"/>
    <cellStyle name="Normal 3 5 2 4 4 3" xfId="40764"/>
    <cellStyle name="Normal 3 5 2 4 4 4" xfId="40765"/>
    <cellStyle name="Normal 3 5 2 4 5" xfId="40766"/>
    <cellStyle name="Normal 3 5 2 4 5 2" xfId="40767"/>
    <cellStyle name="Normal 3 5 2 4 6" xfId="40768"/>
    <cellStyle name="Normal 3 5 2 4 7" xfId="40769"/>
    <cellStyle name="Normal 3 5 2 4 8" xfId="40770"/>
    <cellStyle name="Normal 3 5 2 5" xfId="40771"/>
    <cellStyle name="Normal 3 5 3" xfId="40772"/>
    <cellStyle name="Normal 3 5 3 2" xfId="40773"/>
    <cellStyle name="Normal 3 5 4" xfId="40774"/>
    <cellStyle name="Normal 3 5 4 2" xfId="40775"/>
    <cellStyle name="Normal 3 5 4 2 2" xfId="40776"/>
    <cellStyle name="Normal 3 5 4 2 2 2" xfId="40777"/>
    <cellStyle name="Normal 3 5 4 2 2 3" xfId="40778"/>
    <cellStyle name="Normal 3 5 4 2 3" xfId="40779"/>
    <cellStyle name="Normal 3 5 4 2 3 2" xfId="40780"/>
    <cellStyle name="Normal 3 5 4 2 4" xfId="40781"/>
    <cellStyle name="Normal 3 5 4 2 5" xfId="40782"/>
    <cellStyle name="Normal 3 5 4 3" xfId="40783"/>
    <cellStyle name="Normal 3 5 4 3 2" xfId="40784"/>
    <cellStyle name="Normal 3 5 4 3 2 2" xfId="40785"/>
    <cellStyle name="Normal 3 5 4 3 3" xfId="40786"/>
    <cellStyle name="Normal 3 5 4 3 4" xfId="40787"/>
    <cellStyle name="Normal 3 5 4 4" xfId="40788"/>
    <cellStyle name="Normal 3 5 4 4 2" xfId="40789"/>
    <cellStyle name="Normal 3 5 4 4 2 2" xfId="40790"/>
    <cellStyle name="Normal 3 5 4 4 3" xfId="40791"/>
    <cellStyle name="Normal 3 5 4 4 4" xfId="40792"/>
    <cellStyle name="Normal 3 5 4 5" xfId="40793"/>
    <cellStyle name="Normal 3 5 4 5 2" xfId="40794"/>
    <cellStyle name="Normal 3 5 4 6" xfId="40795"/>
    <cellStyle name="Normal 3 5 4 7" xfId="40796"/>
    <cellStyle name="Normal 3 5 4 8" xfId="40797"/>
    <cellStyle name="Normal 3 5 5" xfId="40798"/>
    <cellStyle name="Normal 3 5 5 2" xfId="40799"/>
    <cellStyle name="Normal 3 5 5 2 2" xfId="40800"/>
    <cellStyle name="Normal 3 5 5 2 2 2" xfId="40801"/>
    <cellStyle name="Normal 3 5 5 2 2 3" xfId="40802"/>
    <cellStyle name="Normal 3 5 5 2 3" xfId="40803"/>
    <cellStyle name="Normal 3 5 5 2 3 2" xfId="40804"/>
    <cellStyle name="Normal 3 5 5 2 4" xfId="40805"/>
    <cellStyle name="Normal 3 5 5 2 5" xfId="40806"/>
    <cellStyle name="Normal 3 5 5 3" xfId="40807"/>
    <cellStyle name="Normal 3 5 5 3 2" xfId="40808"/>
    <cellStyle name="Normal 3 5 5 3 2 2" xfId="40809"/>
    <cellStyle name="Normal 3 5 5 3 3" xfId="40810"/>
    <cellStyle name="Normal 3 5 5 3 4" xfId="40811"/>
    <cellStyle name="Normal 3 5 5 4" xfId="40812"/>
    <cellStyle name="Normal 3 5 5 4 2" xfId="40813"/>
    <cellStyle name="Normal 3 5 5 4 2 2" xfId="40814"/>
    <cellStyle name="Normal 3 5 5 4 3" xfId="40815"/>
    <cellStyle name="Normal 3 5 5 4 4" xfId="40816"/>
    <cellStyle name="Normal 3 5 5 5" xfId="40817"/>
    <cellStyle name="Normal 3 5 5 5 2" xfId="40818"/>
    <cellStyle name="Normal 3 5 5 6" xfId="40819"/>
    <cellStyle name="Normal 3 5 5 7" xfId="40820"/>
    <cellStyle name="Normal 3 5 5 8" xfId="40821"/>
    <cellStyle name="Normal 3 5 6" xfId="40822"/>
    <cellStyle name="Normal 3 5 6 2" xfId="40823"/>
    <cellStyle name="Normal 3 5 6 2 2" xfId="40824"/>
    <cellStyle name="Normal 3 5 6 2 2 2" xfId="40825"/>
    <cellStyle name="Normal 3 5 6 2 2 3" xfId="40826"/>
    <cellStyle name="Normal 3 5 6 2 3" xfId="40827"/>
    <cellStyle name="Normal 3 5 6 2 3 2" xfId="40828"/>
    <cellStyle name="Normal 3 5 6 2 4" xfId="40829"/>
    <cellStyle name="Normal 3 5 6 2 5" xfId="40830"/>
    <cellStyle name="Normal 3 5 6 3" xfId="40831"/>
    <cellStyle name="Normal 3 5 6 3 2" xfId="40832"/>
    <cellStyle name="Normal 3 5 6 3 2 2" xfId="40833"/>
    <cellStyle name="Normal 3 5 6 3 3" xfId="40834"/>
    <cellStyle name="Normal 3 5 6 3 4" xfId="40835"/>
    <cellStyle name="Normal 3 5 6 4" xfId="40836"/>
    <cellStyle name="Normal 3 5 6 4 2" xfId="40837"/>
    <cellStyle name="Normal 3 5 6 4 2 2" xfId="40838"/>
    <cellStyle name="Normal 3 5 6 4 3" xfId="40839"/>
    <cellStyle name="Normal 3 5 6 4 4" xfId="40840"/>
    <cellStyle name="Normal 3 5 6 5" xfId="40841"/>
    <cellStyle name="Normal 3 5 6 5 2" xfId="40842"/>
    <cellStyle name="Normal 3 5 6 6" xfId="40843"/>
    <cellStyle name="Normal 3 5 6 7" xfId="40844"/>
    <cellStyle name="Normal 3 5 6 8" xfId="40845"/>
    <cellStyle name="Normal 3 5 7" xfId="40846"/>
    <cellStyle name="Normal 3 5 7 2" xfId="40847"/>
    <cellStyle name="Normal 3 6" xfId="40848"/>
    <cellStyle name="Normal 3 6 2" xfId="40849"/>
    <cellStyle name="Normal 3 6 2 2" xfId="40850"/>
    <cellStyle name="Normal 3 6 2 2 2" xfId="40851"/>
    <cellStyle name="Normal 3 6 2 3" xfId="40852"/>
    <cellStyle name="Normal 3 6 3" xfId="40853"/>
    <cellStyle name="Normal 3 6 3 2" xfId="40854"/>
    <cellStyle name="Normal 3 6 3 2 2" xfId="40855"/>
    <cellStyle name="Normal 3 6 3 2 2 2" xfId="40856"/>
    <cellStyle name="Normal 3 6 3 2 2 3" xfId="40857"/>
    <cellStyle name="Normal 3 6 3 2 3" xfId="40858"/>
    <cellStyle name="Normal 3 6 3 2 3 2" xfId="40859"/>
    <cellStyle name="Normal 3 6 3 2 4" xfId="40860"/>
    <cellStyle name="Normal 3 6 3 2 5" xfId="40861"/>
    <cellStyle name="Normal 3 6 3 3" xfId="40862"/>
    <cellStyle name="Normal 3 6 3 3 2" xfId="40863"/>
    <cellStyle name="Normal 3 6 3 3 2 2" xfId="40864"/>
    <cellStyle name="Normal 3 6 3 3 3" xfId="40865"/>
    <cellStyle name="Normal 3 6 3 3 4" xfId="40866"/>
    <cellStyle name="Normal 3 6 3 4" xfId="40867"/>
    <cellStyle name="Normal 3 6 3 4 2" xfId="40868"/>
    <cellStyle name="Normal 3 6 3 4 2 2" xfId="40869"/>
    <cellStyle name="Normal 3 6 3 4 3" xfId="40870"/>
    <cellStyle name="Normal 3 6 3 4 4" xfId="40871"/>
    <cellStyle name="Normal 3 6 3 5" xfId="40872"/>
    <cellStyle name="Normal 3 6 3 5 2" xfId="40873"/>
    <cellStyle name="Normal 3 6 3 6" xfId="40874"/>
    <cellStyle name="Normal 3 6 3 7" xfId="40875"/>
    <cellStyle name="Normal 3 6 3 8" xfId="40876"/>
    <cellStyle name="Normal 3 6 4" xfId="40877"/>
    <cellStyle name="Normal 3 6 4 2" xfId="40878"/>
    <cellStyle name="Normal 3 6 4 2 2" xfId="40879"/>
    <cellStyle name="Normal 3 6 4 2 2 2" xfId="40880"/>
    <cellStyle name="Normal 3 6 4 2 2 3" xfId="40881"/>
    <cellStyle name="Normal 3 6 4 2 3" xfId="40882"/>
    <cellStyle name="Normal 3 6 4 2 3 2" xfId="40883"/>
    <cellStyle name="Normal 3 6 4 2 4" xfId="40884"/>
    <cellStyle name="Normal 3 6 4 2 5" xfId="40885"/>
    <cellStyle name="Normal 3 6 4 3" xfId="40886"/>
    <cellStyle name="Normal 3 6 4 3 2" xfId="40887"/>
    <cellStyle name="Normal 3 6 4 3 2 2" xfId="40888"/>
    <cellStyle name="Normal 3 6 4 3 3" xfId="40889"/>
    <cellStyle name="Normal 3 6 4 3 4" xfId="40890"/>
    <cellStyle name="Normal 3 6 4 4" xfId="40891"/>
    <cellStyle name="Normal 3 6 4 4 2" xfId="40892"/>
    <cellStyle name="Normal 3 6 4 4 2 2" xfId="40893"/>
    <cellStyle name="Normal 3 6 4 4 3" xfId="40894"/>
    <cellStyle name="Normal 3 6 4 4 4" xfId="40895"/>
    <cellStyle name="Normal 3 6 4 5" xfId="40896"/>
    <cellStyle name="Normal 3 6 4 5 2" xfId="40897"/>
    <cellStyle name="Normal 3 6 4 6" xfId="40898"/>
    <cellStyle name="Normal 3 6 4 7" xfId="40899"/>
    <cellStyle name="Normal 3 6 4 8" xfId="40900"/>
    <cellStyle name="Normal 3 6 5" xfId="40901"/>
    <cellStyle name="Normal 3 6 5 2" xfId="40902"/>
    <cellStyle name="Normal 3 6 5 2 2" xfId="40903"/>
    <cellStyle name="Normal 3 6 5 2 2 2" xfId="40904"/>
    <cellStyle name="Normal 3 6 5 2 2 3" xfId="40905"/>
    <cellStyle name="Normal 3 6 5 2 3" xfId="40906"/>
    <cellStyle name="Normal 3 6 5 2 3 2" xfId="40907"/>
    <cellStyle name="Normal 3 6 5 2 4" xfId="40908"/>
    <cellStyle name="Normal 3 6 5 2 5" xfId="40909"/>
    <cellStyle name="Normal 3 6 5 3" xfId="40910"/>
    <cellStyle name="Normal 3 6 5 3 2" xfId="40911"/>
    <cellStyle name="Normal 3 6 5 3 2 2" xfId="40912"/>
    <cellStyle name="Normal 3 6 5 3 3" xfId="40913"/>
    <cellStyle name="Normal 3 6 5 3 4" xfId="40914"/>
    <cellStyle name="Normal 3 6 5 4" xfId="40915"/>
    <cellStyle name="Normal 3 6 5 4 2" xfId="40916"/>
    <cellStyle name="Normal 3 6 5 4 2 2" xfId="40917"/>
    <cellStyle name="Normal 3 6 5 4 3" xfId="40918"/>
    <cellStyle name="Normal 3 6 5 4 4" xfId="40919"/>
    <cellStyle name="Normal 3 6 5 5" xfId="40920"/>
    <cellStyle name="Normal 3 6 5 5 2" xfId="40921"/>
    <cellStyle name="Normal 3 6 5 6" xfId="40922"/>
    <cellStyle name="Normal 3 6 5 7" xfId="40923"/>
    <cellStyle name="Normal 3 6 5 8" xfId="40924"/>
    <cellStyle name="Normal 3 6 6" xfId="40925"/>
    <cellStyle name="Normal 3 6 6 2" xfId="40926"/>
    <cellStyle name="Normal 3 7" xfId="40927"/>
    <cellStyle name="Normal 3 7 2" xfId="40928"/>
    <cellStyle name="Normal 3 7 2 2" xfId="40929"/>
    <cellStyle name="Normal 3 7 3" xfId="40930"/>
    <cellStyle name="Normal 3 7 4" xfId="40931"/>
    <cellStyle name="Normal 3 7 4 2" xfId="40932"/>
    <cellStyle name="Normal 3 7 4 2 2" xfId="40933"/>
    <cellStyle name="Normal 3 7 4 2 2 2" xfId="40934"/>
    <cellStyle name="Normal 3 7 4 2 2 3" xfId="40935"/>
    <cellStyle name="Normal 3 7 4 2 3" xfId="40936"/>
    <cellStyle name="Normal 3 7 4 2 3 2" xfId="40937"/>
    <cellStyle name="Normal 3 7 4 2 4" xfId="40938"/>
    <cellStyle name="Normal 3 7 4 2 5" xfId="40939"/>
    <cellStyle name="Normal 3 7 4 3" xfId="40940"/>
    <cellStyle name="Normal 3 7 4 3 2" xfId="40941"/>
    <cellStyle name="Normal 3 7 4 3 2 2" xfId="40942"/>
    <cellStyle name="Normal 3 7 4 3 3" xfId="40943"/>
    <cellStyle name="Normal 3 7 4 3 4" xfId="40944"/>
    <cellStyle name="Normal 3 7 4 4" xfId="40945"/>
    <cellStyle name="Normal 3 7 4 4 2" xfId="40946"/>
    <cellStyle name="Normal 3 7 4 4 2 2" xfId="40947"/>
    <cellStyle name="Normal 3 7 4 4 3" xfId="40948"/>
    <cellStyle name="Normal 3 7 4 4 4" xfId="40949"/>
    <cellStyle name="Normal 3 7 4 5" xfId="40950"/>
    <cellStyle name="Normal 3 7 4 5 2" xfId="40951"/>
    <cellStyle name="Normal 3 7 4 6" xfId="40952"/>
    <cellStyle name="Normal 3 7 4 7" xfId="40953"/>
    <cellStyle name="Normal 3 7 4 8" xfId="40954"/>
    <cellStyle name="Normal 3 7 5" xfId="40955"/>
    <cellStyle name="Normal 3 7 5 2" xfId="40956"/>
    <cellStyle name="Normal 3 8" xfId="40957"/>
    <cellStyle name="Normal 3 8 2" xfId="40958"/>
    <cellStyle name="Normal 3 8 2 2" xfId="40959"/>
    <cellStyle name="Normal 3 8 3" xfId="40960"/>
    <cellStyle name="Normal 3 8 4" xfId="40961"/>
    <cellStyle name="Normal 3 8 4 2" xfId="40962"/>
    <cellStyle name="Normal 3 9" xfId="40963"/>
    <cellStyle name="Normal 3 9 2" xfId="40964"/>
    <cellStyle name="Normal 3 9 3" xfId="40965"/>
    <cellStyle name="Normal 3 9 4" xfId="40966"/>
    <cellStyle name="Normal 3 9 4 2" xfId="40967"/>
    <cellStyle name="Normal 3_1-10 BHU IS" xfId="40968"/>
    <cellStyle name="Normal 30" xfId="40969"/>
    <cellStyle name="Normal 30 10" xfId="40970"/>
    <cellStyle name="Normal 30 10 2" xfId="40971"/>
    <cellStyle name="Normal 30 11" xfId="40972"/>
    <cellStyle name="Normal 30 11 2" xfId="40973"/>
    <cellStyle name="Normal 30 12" xfId="40974"/>
    <cellStyle name="Normal 30 2" xfId="40975"/>
    <cellStyle name="Normal 30 2 2" xfId="40976"/>
    <cellStyle name="Normal 30 2 2 2" xfId="40977"/>
    <cellStyle name="Normal 30 2 3" xfId="40978"/>
    <cellStyle name="Normal 30 3" xfId="40979"/>
    <cellStyle name="Normal 30 3 2" xfId="40980"/>
    <cellStyle name="Normal 30 3 2 2" xfId="40981"/>
    <cellStyle name="Normal 30 3 2 2 2" xfId="40982"/>
    <cellStyle name="Normal 30 3 2 2 2 2" xfId="40983"/>
    <cellStyle name="Normal 30 3 2 2 3" xfId="40984"/>
    <cellStyle name="Normal 30 3 2 3" xfId="40985"/>
    <cellStyle name="Normal 30 3 2 3 2" xfId="40986"/>
    <cellStyle name="Normal 30 3 2 4" xfId="40987"/>
    <cellStyle name="Normal 30 3 3" xfId="40988"/>
    <cellStyle name="Normal 30 3 3 2" xfId="40989"/>
    <cellStyle name="Normal 30 3 3 2 2" xfId="40990"/>
    <cellStyle name="Normal 30 3 3 3" xfId="40991"/>
    <cellStyle name="Normal 30 3 4" xfId="40992"/>
    <cellStyle name="Normal 30 3 4 2" xfId="40993"/>
    <cellStyle name="Normal 30 3 5" xfId="40994"/>
    <cellStyle name="Normal 30 4" xfId="40995"/>
    <cellStyle name="Normal 30 4 2" xfId="40996"/>
    <cellStyle name="Normal 30 4 2 2" xfId="40997"/>
    <cellStyle name="Normal 30 4 3" xfId="40998"/>
    <cellStyle name="Normal 30 4 3 2" xfId="40999"/>
    <cellStyle name="Normal 30 4 4" xfId="41000"/>
    <cellStyle name="Normal 30 4 4 2" xfId="41001"/>
    <cellStyle name="Normal 30 4 5" xfId="41002"/>
    <cellStyle name="Normal 30 4 5 2" xfId="41003"/>
    <cellStyle name="Normal 30 4 6" xfId="41004"/>
    <cellStyle name="Normal 30 4 6 2" xfId="41005"/>
    <cellStyle name="Normal 30 4 7" xfId="41006"/>
    <cellStyle name="Normal 30 4 7 2" xfId="41007"/>
    <cellStyle name="Normal 30 4 8" xfId="41008"/>
    <cellStyle name="Normal 30 4 8 2" xfId="41009"/>
    <cellStyle name="Normal 30 4 9" xfId="41010"/>
    <cellStyle name="Normal 30 4 9 2" xfId="41011"/>
    <cellStyle name="Normal 30 4_Dakota Panel" xfId="41012"/>
    <cellStyle name="Normal 30 5" xfId="41013"/>
    <cellStyle name="Normal 30 5 2" xfId="41014"/>
    <cellStyle name="Normal 30 5 2 2" xfId="41015"/>
    <cellStyle name="Normal 30 5 3" xfId="41016"/>
    <cellStyle name="Normal 30 5 3 2" xfId="41017"/>
    <cellStyle name="Normal 30 5 4" xfId="41018"/>
    <cellStyle name="Normal 30 5 5" xfId="41019"/>
    <cellStyle name="Normal 30 6" xfId="41020"/>
    <cellStyle name="Normal 30 6 2" xfId="41021"/>
    <cellStyle name="Normal 30 7" xfId="41022"/>
    <cellStyle name="Normal 30 7 2" xfId="41023"/>
    <cellStyle name="Normal 30 8" xfId="41024"/>
    <cellStyle name="Normal 30 8 2" xfId="41025"/>
    <cellStyle name="Normal 30 9" xfId="41026"/>
    <cellStyle name="Normal 30 9 2" xfId="41027"/>
    <cellStyle name="Normal 30_Dakota Panel" xfId="41028"/>
    <cellStyle name="Normal 300" xfId="41029"/>
    <cellStyle name="Normal 301" xfId="41030"/>
    <cellStyle name="Normal 302" xfId="41031"/>
    <cellStyle name="Normal 303" xfId="41032"/>
    <cellStyle name="Normal 304" xfId="41033"/>
    <cellStyle name="Normal 305" xfId="41034"/>
    <cellStyle name="Normal 306" xfId="41035"/>
    <cellStyle name="Normal 31" xfId="41036"/>
    <cellStyle name="Normal 31 10" xfId="41037"/>
    <cellStyle name="Normal 31 10 2" xfId="41038"/>
    <cellStyle name="Normal 31 11" xfId="41039"/>
    <cellStyle name="Normal 31 11 2" xfId="41040"/>
    <cellStyle name="Normal 31 12" xfId="41041"/>
    <cellStyle name="Normal 31 2" xfId="41042"/>
    <cellStyle name="Normal 31 2 2" xfId="41043"/>
    <cellStyle name="Normal 31 2 2 2" xfId="41044"/>
    <cellStyle name="Normal 31 2 3" xfId="41045"/>
    <cellStyle name="Normal 31 3" xfId="41046"/>
    <cellStyle name="Normal 31 3 10" xfId="41047"/>
    <cellStyle name="Normal 31 3 10 2" xfId="41048"/>
    <cellStyle name="Normal 31 3 11" xfId="41049"/>
    <cellStyle name="Normal 31 3 11 2" xfId="41050"/>
    <cellStyle name="Normal 31 3 12" xfId="41051"/>
    <cellStyle name="Normal 31 3 2" xfId="41052"/>
    <cellStyle name="Normal 31 3 2 2" xfId="41053"/>
    <cellStyle name="Normal 31 3 2 2 2" xfId="41054"/>
    <cellStyle name="Normal 31 3 2 3" xfId="41055"/>
    <cellStyle name="Normal 31 3 2 3 2" xfId="41056"/>
    <cellStyle name="Normal 31 3 2 4" xfId="41057"/>
    <cellStyle name="Normal 31 3 2 4 2" xfId="41058"/>
    <cellStyle name="Normal 31 3 2 5" xfId="41059"/>
    <cellStyle name="Normal 31 3 2 5 2" xfId="41060"/>
    <cellStyle name="Normal 31 3 2 6" xfId="41061"/>
    <cellStyle name="Normal 31 3 2 6 2" xfId="41062"/>
    <cellStyle name="Normal 31 3 2 7" xfId="41063"/>
    <cellStyle name="Normal 31 3 2 7 2" xfId="41064"/>
    <cellStyle name="Normal 31 3 2 8" xfId="41065"/>
    <cellStyle name="Normal 31 3 2 8 2" xfId="41066"/>
    <cellStyle name="Normal 31 3 2 9" xfId="41067"/>
    <cellStyle name="Normal 31 3 2 9 2" xfId="41068"/>
    <cellStyle name="Normal 31 3 2_Dakota Panel" xfId="41069"/>
    <cellStyle name="Normal 31 3 3" xfId="41070"/>
    <cellStyle name="Normal 31 3 3 2" xfId="41071"/>
    <cellStyle name="Normal 31 3 3 2 2" xfId="41072"/>
    <cellStyle name="Normal 31 3 3 3" xfId="41073"/>
    <cellStyle name="Normal 31 3 3 3 2" xfId="41074"/>
    <cellStyle name="Normal 31 3 3 4" xfId="41075"/>
    <cellStyle name="Normal 31 3 3 5" xfId="41076"/>
    <cellStyle name="Normal 31 3 4" xfId="41077"/>
    <cellStyle name="Normal 31 3 4 2" xfId="41078"/>
    <cellStyle name="Normal 31 3 5" xfId="41079"/>
    <cellStyle name="Normal 31 3 5 2" xfId="41080"/>
    <cellStyle name="Normal 31 3 6" xfId="41081"/>
    <cellStyle name="Normal 31 3 6 2" xfId="41082"/>
    <cellStyle name="Normal 31 3 7" xfId="41083"/>
    <cellStyle name="Normal 31 3 7 2" xfId="41084"/>
    <cellStyle name="Normal 31 3 8" xfId="41085"/>
    <cellStyle name="Normal 31 3 8 2" xfId="41086"/>
    <cellStyle name="Normal 31 3 9" xfId="41087"/>
    <cellStyle name="Normal 31 3 9 2" xfId="41088"/>
    <cellStyle name="Normal 31 3_Dakota Panel" xfId="41089"/>
    <cellStyle name="Normal 31 4" xfId="41090"/>
    <cellStyle name="Normal 31 4 2" xfId="41091"/>
    <cellStyle name="Normal 31 4 2 2" xfId="41092"/>
    <cellStyle name="Normal 31 4 3" xfId="41093"/>
    <cellStyle name="Normal 31 5" xfId="41094"/>
    <cellStyle name="Normal 31 5 2" xfId="41095"/>
    <cellStyle name="Normal 31 5 2 2" xfId="41096"/>
    <cellStyle name="Normal 31 5 3" xfId="41097"/>
    <cellStyle name="Normal 31 5 3 2" xfId="41098"/>
    <cellStyle name="Normal 31 5 4" xfId="41099"/>
    <cellStyle name="Normal 31 5 4 2" xfId="41100"/>
    <cellStyle name="Normal 31 5 5" xfId="41101"/>
    <cellStyle name="Normal 31 5 5 2" xfId="41102"/>
    <cellStyle name="Normal 31 5 6" xfId="41103"/>
    <cellStyle name="Normal 31 5 6 2" xfId="41104"/>
    <cellStyle name="Normal 31 5 7" xfId="41105"/>
    <cellStyle name="Normal 31 5 7 2" xfId="41106"/>
    <cellStyle name="Normal 31 5 8" xfId="41107"/>
    <cellStyle name="Normal 31 5 8 2" xfId="41108"/>
    <cellStyle name="Normal 31 5 9" xfId="41109"/>
    <cellStyle name="Normal 31 5 9 2" xfId="41110"/>
    <cellStyle name="Normal 31 5_Dakota Panel" xfId="41111"/>
    <cellStyle name="Normal 31 6" xfId="41112"/>
    <cellStyle name="Normal 31 6 2" xfId="41113"/>
    <cellStyle name="Normal 31 6 2 2" xfId="41114"/>
    <cellStyle name="Normal 31 6 3" xfId="41115"/>
    <cellStyle name="Normal 31 6 3 2" xfId="41116"/>
    <cellStyle name="Normal 31 6 4" xfId="41117"/>
    <cellStyle name="Normal 31 6 5" xfId="41118"/>
    <cellStyle name="Normal 31 7" xfId="41119"/>
    <cellStyle name="Normal 31 7 2" xfId="41120"/>
    <cellStyle name="Normal 31 8" xfId="41121"/>
    <cellStyle name="Normal 31 8 2" xfId="41122"/>
    <cellStyle name="Normal 31 9" xfId="41123"/>
    <cellStyle name="Normal 31 9 2" xfId="41124"/>
    <cellStyle name="Normal 31_Dakota Panel" xfId="41125"/>
    <cellStyle name="Normal 32" xfId="41126"/>
    <cellStyle name="Normal 32 10" xfId="41127"/>
    <cellStyle name="Normal 32 10 2" xfId="41128"/>
    <cellStyle name="Normal 32 11" xfId="41129"/>
    <cellStyle name="Normal 32 11 2" xfId="41130"/>
    <cellStyle name="Normal 32 12" xfId="41131"/>
    <cellStyle name="Normal 32 2" xfId="41132"/>
    <cellStyle name="Normal 32 2 2" xfId="41133"/>
    <cellStyle name="Normal 32 2 2 2" xfId="41134"/>
    <cellStyle name="Normal 32 2 3" xfId="41135"/>
    <cellStyle name="Normal 32 3" xfId="41136"/>
    <cellStyle name="Normal 32 3 2" xfId="41137"/>
    <cellStyle name="Normal 32 3 2 2" xfId="41138"/>
    <cellStyle name="Normal 32 3 3" xfId="41139"/>
    <cellStyle name="Normal 32 3 3 2" xfId="41140"/>
    <cellStyle name="Normal 32 3 4" xfId="41141"/>
    <cellStyle name="Normal 32 3 4 2" xfId="41142"/>
    <cellStyle name="Normal 32 3 5" xfId="41143"/>
    <cellStyle name="Normal 32 3 5 2" xfId="41144"/>
    <cellStyle name="Normal 32 3 6" xfId="41145"/>
    <cellStyle name="Normal 32 3 6 2" xfId="41146"/>
    <cellStyle name="Normal 32 3 7" xfId="41147"/>
    <cellStyle name="Normal 32 3 7 2" xfId="41148"/>
    <cellStyle name="Normal 32 3 8" xfId="41149"/>
    <cellStyle name="Normal 32 3 8 2" xfId="41150"/>
    <cellStyle name="Normal 32 3 9" xfId="41151"/>
    <cellStyle name="Normal 32 3 9 2" xfId="41152"/>
    <cellStyle name="Normal 32 3_Dakota Panel" xfId="41153"/>
    <cellStyle name="Normal 32 4" xfId="41154"/>
    <cellStyle name="Normal 32 4 2" xfId="41155"/>
    <cellStyle name="Normal 32 4 2 2" xfId="41156"/>
    <cellStyle name="Normal 32 4 3" xfId="41157"/>
    <cellStyle name="Normal 32 4 3 2" xfId="41158"/>
    <cellStyle name="Normal 32 4 4" xfId="41159"/>
    <cellStyle name="Normal 32 4 5" xfId="41160"/>
    <cellStyle name="Normal 32 5" xfId="41161"/>
    <cellStyle name="Normal 32 5 2" xfId="41162"/>
    <cellStyle name="Normal 32 6" xfId="41163"/>
    <cellStyle name="Normal 32 6 2" xfId="41164"/>
    <cellStyle name="Normal 32 7" xfId="41165"/>
    <cellStyle name="Normal 32 7 2" xfId="41166"/>
    <cellStyle name="Normal 32 8" xfId="41167"/>
    <cellStyle name="Normal 32 8 2" xfId="41168"/>
    <cellStyle name="Normal 32 9" xfId="41169"/>
    <cellStyle name="Normal 32 9 2" xfId="41170"/>
    <cellStyle name="Normal 32_Dakota Panel" xfId="41171"/>
    <cellStyle name="Normal 33" xfId="41172"/>
    <cellStyle name="Normal 33 10" xfId="41173"/>
    <cellStyle name="Normal 33 10 2" xfId="41174"/>
    <cellStyle name="Normal 33 11" xfId="41175"/>
    <cellStyle name="Normal 33 11 2" xfId="41176"/>
    <cellStyle name="Normal 33 12" xfId="41177"/>
    <cellStyle name="Normal 33 2" xfId="41178"/>
    <cellStyle name="Normal 33 2 2" xfId="41179"/>
    <cellStyle name="Normal 33 2 2 2" xfId="41180"/>
    <cellStyle name="Normal 33 2 3" xfId="41181"/>
    <cellStyle name="Normal 33 3" xfId="41182"/>
    <cellStyle name="Normal 33 3 2" xfId="41183"/>
    <cellStyle name="Normal 33 3 2 2" xfId="41184"/>
    <cellStyle name="Normal 33 3 3" xfId="41185"/>
    <cellStyle name="Normal 33 3 3 2" xfId="41186"/>
    <cellStyle name="Normal 33 3 4" xfId="41187"/>
    <cellStyle name="Normal 33 3 4 2" xfId="41188"/>
    <cellStyle name="Normal 33 3 5" xfId="41189"/>
    <cellStyle name="Normal 33 3 5 2" xfId="41190"/>
    <cellStyle name="Normal 33 3 6" xfId="41191"/>
    <cellStyle name="Normal 33 3 6 2" xfId="41192"/>
    <cellStyle name="Normal 33 3 7" xfId="41193"/>
    <cellStyle name="Normal 33 3 7 2" xfId="41194"/>
    <cellStyle name="Normal 33 3 8" xfId="41195"/>
    <cellStyle name="Normal 33 3 8 2" xfId="41196"/>
    <cellStyle name="Normal 33 3 9" xfId="41197"/>
    <cellStyle name="Normal 33 3 9 2" xfId="41198"/>
    <cellStyle name="Normal 33 3_Dakota Panel" xfId="41199"/>
    <cellStyle name="Normal 33 4" xfId="41200"/>
    <cellStyle name="Normal 33 4 2" xfId="41201"/>
    <cellStyle name="Normal 33 4 2 2" xfId="41202"/>
    <cellStyle name="Normal 33 4 3" xfId="41203"/>
    <cellStyle name="Normal 33 4 3 2" xfId="41204"/>
    <cellStyle name="Normal 33 4 4" xfId="41205"/>
    <cellStyle name="Normal 33 4 5" xfId="41206"/>
    <cellStyle name="Normal 33 5" xfId="41207"/>
    <cellStyle name="Normal 33 5 2" xfId="41208"/>
    <cellStyle name="Normal 33 6" xfId="41209"/>
    <cellStyle name="Normal 33 6 2" xfId="41210"/>
    <cellStyle name="Normal 33 7" xfId="41211"/>
    <cellStyle name="Normal 33 7 2" xfId="41212"/>
    <cellStyle name="Normal 33 8" xfId="41213"/>
    <cellStyle name="Normal 33 8 2" xfId="41214"/>
    <cellStyle name="Normal 33 9" xfId="41215"/>
    <cellStyle name="Normal 33 9 2" xfId="41216"/>
    <cellStyle name="Normal 33_Dakota Panel" xfId="41217"/>
    <cellStyle name="Normal 34" xfId="41218"/>
    <cellStyle name="Normal 34 10" xfId="41219"/>
    <cellStyle name="Normal 34 10 2" xfId="41220"/>
    <cellStyle name="Normal 34 11" xfId="41221"/>
    <cellStyle name="Normal 34 11 2" xfId="41222"/>
    <cellStyle name="Normal 34 12" xfId="41223"/>
    <cellStyle name="Normal 34 2" xfId="41224"/>
    <cellStyle name="Normal 34 2 2" xfId="41225"/>
    <cellStyle name="Normal 34 2 2 2" xfId="41226"/>
    <cellStyle name="Normal 34 2 3" xfId="41227"/>
    <cellStyle name="Normal 34 3" xfId="41228"/>
    <cellStyle name="Normal 34 3 2" xfId="41229"/>
    <cellStyle name="Normal 34 3 2 2" xfId="41230"/>
    <cellStyle name="Normal 34 3 3" xfId="41231"/>
    <cellStyle name="Normal 34 3 3 2" xfId="41232"/>
    <cellStyle name="Normal 34 3 4" xfId="41233"/>
    <cellStyle name="Normal 34 3 4 2" xfId="41234"/>
    <cellStyle name="Normal 34 3 5" xfId="41235"/>
    <cellStyle name="Normal 34 3 5 2" xfId="41236"/>
    <cellStyle name="Normal 34 3 6" xfId="41237"/>
    <cellStyle name="Normal 34 3 6 2" xfId="41238"/>
    <cellStyle name="Normal 34 3 7" xfId="41239"/>
    <cellStyle name="Normal 34 3 7 2" xfId="41240"/>
    <cellStyle name="Normal 34 3 8" xfId="41241"/>
    <cellStyle name="Normal 34 3 8 2" xfId="41242"/>
    <cellStyle name="Normal 34 3 9" xfId="41243"/>
    <cellStyle name="Normal 34 3 9 2" xfId="41244"/>
    <cellStyle name="Normal 34 3_Dakota Panel" xfId="41245"/>
    <cellStyle name="Normal 34 4" xfId="41246"/>
    <cellStyle name="Normal 34 4 2" xfId="41247"/>
    <cellStyle name="Normal 34 4 2 2" xfId="41248"/>
    <cellStyle name="Normal 34 4 3" xfId="41249"/>
    <cellStyle name="Normal 34 4 3 2" xfId="41250"/>
    <cellStyle name="Normal 34 4 4" xfId="41251"/>
    <cellStyle name="Normal 34 4 5" xfId="41252"/>
    <cellStyle name="Normal 34 5" xfId="41253"/>
    <cellStyle name="Normal 34 5 2" xfId="41254"/>
    <cellStyle name="Normal 34 6" xfId="41255"/>
    <cellStyle name="Normal 34 6 2" xfId="41256"/>
    <cellStyle name="Normal 34 7" xfId="41257"/>
    <cellStyle name="Normal 34 7 2" xfId="41258"/>
    <cellStyle name="Normal 34 8" xfId="41259"/>
    <cellStyle name="Normal 34 8 2" xfId="41260"/>
    <cellStyle name="Normal 34 9" xfId="41261"/>
    <cellStyle name="Normal 34 9 2" xfId="41262"/>
    <cellStyle name="Normal 34_Dakota Panel" xfId="41263"/>
    <cellStyle name="Normal 35" xfId="41264"/>
    <cellStyle name="Normal 35 10" xfId="41265"/>
    <cellStyle name="Normal 35 10 2" xfId="41266"/>
    <cellStyle name="Normal 35 11" xfId="41267"/>
    <cellStyle name="Normal 35 11 2" xfId="41268"/>
    <cellStyle name="Normal 35 12" xfId="41269"/>
    <cellStyle name="Normal 35 2" xfId="41270"/>
    <cellStyle name="Normal 35 2 2" xfId="41271"/>
    <cellStyle name="Normal 35 2 2 2" xfId="41272"/>
    <cellStyle name="Normal 35 2 3" xfId="41273"/>
    <cellStyle name="Normal 35 3" xfId="41274"/>
    <cellStyle name="Normal 35 3 2" xfId="41275"/>
    <cellStyle name="Normal 35 3 2 2" xfId="41276"/>
    <cellStyle name="Normal 35 3 3" xfId="41277"/>
    <cellStyle name="Normal 35 3 3 2" xfId="41278"/>
    <cellStyle name="Normal 35 3 4" xfId="41279"/>
    <cellStyle name="Normal 35 3 4 2" xfId="41280"/>
    <cellStyle name="Normal 35 3 5" xfId="41281"/>
    <cellStyle name="Normal 35 3 5 2" xfId="41282"/>
    <cellStyle name="Normal 35 3 6" xfId="41283"/>
    <cellStyle name="Normal 35 3 6 2" xfId="41284"/>
    <cellStyle name="Normal 35 3 7" xfId="41285"/>
    <cellStyle name="Normal 35 3 7 2" xfId="41286"/>
    <cellStyle name="Normal 35 3 8" xfId="41287"/>
    <cellStyle name="Normal 35 3 8 2" xfId="41288"/>
    <cellStyle name="Normal 35 3 9" xfId="41289"/>
    <cellStyle name="Normal 35 3 9 2" xfId="41290"/>
    <cellStyle name="Normal 35 3_Dakota Panel" xfId="41291"/>
    <cellStyle name="Normal 35 4" xfId="41292"/>
    <cellStyle name="Normal 35 4 2" xfId="41293"/>
    <cellStyle name="Normal 35 4 2 2" xfId="41294"/>
    <cellStyle name="Normal 35 4 3" xfId="41295"/>
    <cellStyle name="Normal 35 4 3 2" xfId="41296"/>
    <cellStyle name="Normal 35 4 4" xfId="41297"/>
    <cellStyle name="Normal 35 4 5" xfId="41298"/>
    <cellStyle name="Normal 35 5" xfId="41299"/>
    <cellStyle name="Normal 35 5 2" xfId="41300"/>
    <cellStyle name="Normal 35 6" xfId="41301"/>
    <cellStyle name="Normal 35 6 2" xfId="41302"/>
    <cellStyle name="Normal 35 7" xfId="41303"/>
    <cellStyle name="Normal 35 7 2" xfId="41304"/>
    <cellStyle name="Normal 35 8" xfId="41305"/>
    <cellStyle name="Normal 35 8 2" xfId="41306"/>
    <cellStyle name="Normal 35 9" xfId="41307"/>
    <cellStyle name="Normal 35 9 2" xfId="41308"/>
    <cellStyle name="Normal 35_Dakota Panel" xfId="41309"/>
    <cellStyle name="Normal 36" xfId="41310"/>
    <cellStyle name="Normal 36 10" xfId="41311"/>
    <cellStyle name="Normal 36 10 2" xfId="41312"/>
    <cellStyle name="Normal 36 11" xfId="41313"/>
    <cellStyle name="Normal 36 11 2" xfId="41314"/>
    <cellStyle name="Normal 36 12" xfId="41315"/>
    <cellStyle name="Normal 36 2" xfId="41316"/>
    <cellStyle name="Normal 36 2 2" xfId="41317"/>
    <cellStyle name="Normal 36 2 2 2" xfId="41318"/>
    <cellStyle name="Normal 36 2 3" xfId="41319"/>
    <cellStyle name="Normal 36 3" xfId="41320"/>
    <cellStyle name="Normal 36 3 2" xfId="41321"/>
    <cellStyle name="Normal 36 3 2 2" xfId="41322"/>
    <cellStyle name="Normal 36 3 3" xfId="41323"/>
    <cellStyle name="Normal 36 3 3 2" xfId="41324"/>
    <cellStyle name="Normal 36 3 4" xfId="41325"/>
    <cellStyle name="Normal 36 3 4 2" xfId="41326"/>
    <cellStyle name="Normal 36 3 5" xfId="41327"/>
    <cellStyle name="Normal 36 3 5 2" xfId="41328"/>
    <cellStyle name="Normal 36 3 6" xfId="41329"/>
    <cellStyle name="Normal 36 3 6 2" xfId="41330"/>
    <cellStyle name="Normal 36 3 7" xfId="41331"/>
    <cellStyle name="Normal 36 3 7 2" xfId="41332"/>
    <cellStyle name="Normal 36 3 8" xfId="41333"/>
    <cellStyle name="Normal 36 3 8 2" xfId="41334"/>
    <cellStyle name="Normal 36 3 9" xfId="41335"/>
    <cellStyle name="Normal 36 3 9 2" xfId="41336"/>
    <cellStyle name="Normal 36 3_Dakota Panel" xfId="41337"/>
    <cellStyle name="Normal 36 4" xfId="41338"/>
    <cellStyle name="Normal 36 4 2" xfId="41339"/>
    <cellStyle name="Normal 36 4 2 2" xfId="41340"/>
    <cellStyle name="Normal 36 4 3" xfId="41341"/>
    <cellStyle name="Normal 36 4 3 2" xfId="41342"/>
    <cellStyle name="Normal 36 4 4" xfId="41343"/>
    <cellStyle name="Normal 36 4 5" xfId="41344"/>
    <cellStyle name="Normal 36 5" xfId="41345"/>
    <cellStyle name="Normal 36 5 2" xfId="41346"/>
    <cellStyle name="Normal 36 6" xfId="41347"/>
    <cellStyle name="Normal 36 6 2" xfId="41348"/>
    <cellStyle name="Normal 36 7" xfId="41349"/>
    <cellStyle name="Normal 36 7 2" xfId="41350"/>
    <cellStyle name="Normal 36 8" xfId="41351"/>
    <cellStyle name="Normal 36 8 2" xfId="41352"/>
    <cellStyle name="Normal 36 9" xfId="41353"/>
    <cellStyle name="Normal 36 9 2" xfId="41354"/>
    <cellStyle name="Normal 36_Dakota Panel" xfId="41355"/>
    <cellStyle name="Normal 37" xfId="41356"/>
    <cellStyle name="Normal 37 10" xfId="41357"/>
    <cellStyle name="Normal 37 10 2" xfId="41358"/>
    <cellStyle name="Normal 37 11" xfId="41359"/>
    <cellStyle name="Normal 37 11 2" xfId="41360"/>
    <cellStyle name="Normal 37 12" xfId="41361"/>
    <cellStyle name="Normal 37 2" xfId="41362"/>
    <cellStyle name="Normal 37 2 2" xfId="41363"/>
    <cellStyle name="Normal 37 2 2 2" xfId="41364"/>
    <cellStyle name="Normal 37 2 3" xfId="41365"/>
    <cellStyle name="Normal 37 3" xfId="41366"/>
    <cellStyle name="Normal 37 3 2" xfId="41367"/>
    <cellStyle name="Normal 37 3 2 2" xfId="41368"/>
    <cellStyle name="Normal 37 3 3" xfId="41369"/>
    <cellStyle name="Normal 37 3 3 2" xfId="41370"/>
    <cellStyle name="Normal 37 3 4" xfId="41371"/>
    <cellStyle name="Normal 37 3 4 2" xfId="41372"/>
    <cellStyle name="Normal 37 3 5" xfId="41373"/>
    <cellStyle name="Normal 37 3 5 2" xfId="41374"/>
    <cellStyle name="Normal 37 3 6" xfId="41375"/>
    <cellStyle name="Normal 37 3 6 2" xfId="41376"/>
    <cellStyle name="Normal 37 3 7" xfId="41377"/>
    <cellStyle name="Normal 37 3 7 2" xfId="41378"/>
    <cellStyle name="Normal 37 3 8" xfId="41379"/>
    <cellStyle name="Normal 37 3 8 2" xfId="41380"/>
    <cellStyle name="Normal 37 3 9" xfId="41381"/>
    <cellStyle name="Normal 37 3 9 2" xfId="41382"/>
    <cellStyle name="Normal 37 3_Dakota Panel" xfId="41383"/>
    <cellStyle name="Normal 37 4" xfId="41384"/>
    <cellStyle name="Normal 37 4 2" xfId="41385"/>
    <cellStyle name="Normal 37 4 2 2" xfId="41386"/>
    <cellStyle name="Normal 37 4 3" xfId="41387"/>
    <cellStyle name="Normal 37 4 3 2" xfId="41388"/>
    <cellStyle name="Normal 37 4 4" xfId="41389"/>
    <cellStyle name="Normal 37 4 5" xfId="41390"/>
    <cellStyle name="Normal 37 5" xfId="41391"/>
    <cellStyle name="Normal 37 5 2" xfId="41392"/>
    <cellStyle name="Normal 37 6" xfId="41393"/>
    <cellStyle name="Normal 37 6 2" xfId="41394"/>
    <cellStyle name="Normal 37 7" xfId="41395"/>
    <cellStyle name="Normal 37 7 2" xfId="41396"/>
    <cellStyle name="Normal 37 8" xfId="41397"/>
    <cellStyle name="Normal 37 8 2" xfId="41398"/>
    <cellStyle name="Normal 37 9" xfId="41399"/>
    <cellStyle name="Normal 37 9 2" xfId="41400"/>
    <cellStyle name="Normal 37_Dakota Panel" xfId="41401"/>
    <cellStyle name="Normal 38" xfId="41402"/>
    <cellStyle name="Normal 38 10" xfId="41403"/>
    <cellStyle name="Normal 38 10 2" xfId="41404"/>
    <cellStyle name="Normal 38 11" xfId="41405"/>
    <cellStyle name="Normal 38 11 2" xfId="41406"/>
    <cellStyle name="Normal 38 12" xfId="41407"/>
    <cellStyle name="Normal 38 2" xfId="41408"/>
    <cellStyle name="Normal 38 2 2" xfId="41409"/>
    <cellStyle name="Normal 38 2 2 2" xfId="41410"/>
    <cellStyle name="Normal 38 2 3" xfId="41411"/>
    <cellStyle name="Normal 38 3" xfId="41412"/>
    <cellStyle name="Normal 38 3 10" xfId="41413"/>
    <cellStyle name="Normal 38 3 10 2" xfId="41414"/>
    <cellStyle name="Normal 38 3 11" xfId="41415"/>
    <cellStyle name="Normal 38 3 11 2" xfId="41416"/>
    <cellStyle name="Normal 38 3 12" xfId="41417"/>
    <cellStyle name="Normal 38 3 2" xfId="41418"/>
    <cellStyle name="Normal 38 3 2 2" xfId="41419"/>
    <cellStyle name="Normal 38 3 2 2 2" xfId="41420"/>
    <cellStyle name="Normal 38 3 2 3" xfId="41421"/>
    <cellStyle name="Normal 38 3 2 3 2" xfId="41422"/>
    <cellStyle name="Normal 38 3 2 4" xfId="41423"/>
    <cellStyle name="Normal 38 3 2 4 2" xfId="41424"/>
    <cellStyle name="Normal 38 3 2 5" xfId="41425"/>
    <cellStyle name="Normal 38 3 2 5 2" xfId="41426"/>
    <cellStyle name="Normal 38 3 2 6" xfId="41427"/>
    <cellStyle name="Normal 38 3 2 6 2" xfId="41428"/>
    <cellStyle name="Normal 38 3 2 7" xfId="41429"/>
    <cellStyle name="Normal 38 3 2 7 2" xfId="41430"/>
    <cellStyle name="Normal 38 3 2 8" xfId="41431"/>
    <cellStyle name="Normal 38 3 2 8 2" xfId="41432"/>
    <cellStyle name="Normal 38 3 2 9" xfId="41433"/>
    <cellStyle name="Normal 38 3 2 9 2" xfId="41434"/>
    <cellStyle name="Normal 38 3 2_Dakota Panel" xfId="41435"/>
    <cellStyle name="Normal 38 3 3" xfId="41436"/>
    <cellStyle name="Normal 38 3 3 2" xfId="41437"/>
    <cellStyle name="Normal 38 3 3 2 2" xfId="41438"/>
    <cellStyle name="Normal 38 3 3 3" xfId="41439"/>
    <cellStyle name="Normal 38 3 3 3 2" xfId="41440"/>
    <cellStyle name="Normal 38 3 3 4" xfId="41441"/>
    <cellStyle name="Normal 38 3 3 5" xfId="41442"/>
    <cellStyle name="Normal 38 3 4" xfId="41443"/>
    <cellStyle name="Normal 38 3 4 2" xfId="41444"/>
    <cellStyle name="Normal 38 3 5" xfId="41445"/>
    <cellStyle name="Normal 38 3 5 2" xfId="41446"/>
    <cellStyle name="Normal 38 3 6" xfId="41447"/>
    <cellStyle name="Normal 38 3 6 2" xfId="41448"/>
    <cellStyle name="Normal 38 3 7" xfId="41449"/>
    <cellStyle name="Normal 38 3 7 2" xfId="41450"/>
    <cellStyle name="Normal 38 3 8" xfId="41451"/>
    <cellStyle name="Normal 38 3 8 2" xfId="41452"/>
    <cellStyle name="Normal 38 3 9" xfId="41453"/>
    <cellStyle name="Normal 38 3 9 2" xfId="41454"/>
    <cellStyle name="Normal 38 3_Dakota Panel" xfId="41455"/>
    <cellStyle name="Normal 38 4" xfId="41456"/>
    <cellStyle name="Normal 38 4 2" xfId="41457"/>
    <cellStyle name="Normal 38 4 2 2" xfId="41458"/>
    <cellStyle name="Normal 38 4 3" xfId="41459"/>
    <cellStyle name="Normal 38 5" xfId="41460"/>
    <cellStyle name="Normal 38 5 2" xfId="41461"/>
    <cellStyle name="Normal 38 5 2 2" xfId="41462"/>
    <cellStyle name="Normal 38 5 3" xfId="41463"/>
    <cellStyle name="Normal 38 5 3 2" xfId="41464"/>
    <cellStyle name="Normal 38 5 4" xfId="41465"/>
    <cellStyle name="Normal 38 5 4 2" xfId="41466"/>
    <cellStyle name="Normal 38 5 5" xfId="41467"/>
    <cellStyle name="Normal 38 5 5 2" xfId="41468"/>
    <cellStyle name="Normal 38 5 6" xfId="41469"/>
    <cellStyle name="Normal 38 5 6 2" xfId="41470"/>
    <cellStyle name="Normal 38 5 7" xfId="41471"/>
    <cellStyle name="Normal 38 5 7 2" xfId="41472"/>
    <cellStyle name="Normal 38 5 8" xfId="41473"/>
    <cellStyle name="Normal 38 5 8 2" xfId="41474"/>
    <cellStyle name="Normal 38 5 9" xfId="41475"/>
    <cellStyle name="Normal 38 5 9 2" xfId="41476"/>
    <cellStyle name="Normal 38 5_Dakota Panel" xfId="41477"/>
    <cellStyle name="Normal 38 6" xfId="41478"/>
    <cellStyle name="Normal 38 6 2" xfId="41479"/>
    <cellStyle name="Normal 38 6 2 2" xfId="41480"/>
    <cellStyle name="Normal 38 6 3" xfId="41481"/>
    <cellStyle name="Normal 38 6 3 2" xfId="41482"/>
    <cellStyle name="Normal 38 6 4" xfId="41483"/>
    <cellStyle name="Normal 38 6 5" xfId="41484"/>
    <cellStyle name="Normal 38 7" xfId="41485"/>
    <cellStyle name="Normal 38 7 2" xfId="41486"/>
    <cellStyle name="Normal 38 8" xfId="41487"/>
    <cellStyle name="Normal 38 8 2" xfId="41488"/>
    <cellStyle name="Normal 38 9" xfId="41489"/>
    <cellStyle name="Normal 38 9 2" xfId="41490"/>
    <cellStyle name="Normal 38_Dakota Panel" xfId="41491"/>
    <cellStyle name="Normal 39" xfId="41492"/>
    <cellStyle name="Normal 39 10" xfId="41493"/>
    <cellStyle name="Normal 39 10 2" xfId="41494"/>
    <cellStyle name="Normal 39 11" xfId="41495"/>
    <cellStyle name="Normal 39 11 2" xfId="41496"/>
    <cellStyle name="Normal 39 12" xfId="41497"/>
    <cellStyle name="Normal 39 2" xfId="41498"/>
    <cellStyle name="Normal 39 2 2" xfId="41499"/>
    <cellStyle name="Normal 39 2 2 2" xfId="41500"/>
    <cellStyle name="Normal 39 2 3" xfId="41501"/>
    <cellStyle name="Normal 39 3" xfId="41502"/>
    <cellStyle name="Normal 39 3 2" xfId="41503"/>
    <cellStyle name="Normal 39 3 2 2" xfId="41504"/>
    <cellStyle name="Normal 39 3 3" xfId="41505"/>
    <cellStyle name="Normal 39 4" xfId="41506"/>
    <cellStyle name="Normal 39 4 2" xfId="41507"/>
    <cellStyle name="Normal 39 4 2 2" xfId="41508"/>
    <cellStyle name="Normal 39 4 3" xfId="41509"/>
    <cellStyle name="Normal 39 4 3 2" xfId="41510"/>
    <cellStyle name="Normal 39 4 4" xfId="41511"/>
    <cellStyle name="Normal 39 4 4 2" xfId="41512"/>
    <cellStyle name="Normal 39 4 5" xfId="41513"/>
    <cellStyle name="Normal 39 4 5 2" xfId="41514"/>
    <cellStyle name="Normal 39 4 6" xfId="41515"/>
    <cellStyle name="Normal 39 4 6 2" xfId="41516"/>
    <cellStyle name="Normal 39 4 7" xfId="41517"/>
    <cellStyle name="Normal 39 4 7 2" xfId="41518"/>
    <cellStyle name="Normal 39 4 8" xfId="41519"/>
    <cellStyle name="Normal 39 4 8 2" xfId="41520"/>
    <cellStyle name="Normal 39 4 9" xfId="41521"/>
    <cellStyle name="Normal 39 4 9 2" xfId="41522"/>
    <cellStyle name="Normal 39 4_Dakota Panel" xfId="41523"/>
    <cellStyle name="Normal 39 5" xfId="41524"/>
    <cellStyle name="Normal 39 5 2" xfId="41525"/>
    <cellStyle name="Normal 39 5 2 2" xfId="41526"/>
    <cellStyle name="Normal 39 5 3" xfId="41527"/>
    <cellStyle name="Normal 39 5 3 2" xfId="41528"/>
    <cellStyle name="Normal 39 5 4" xfId="41529"/>
    <cellStyle name="Normal 39 5 5" xfId="41530"/>
    <cellStyle name="Normal 39 6" xfId="41531"/>
    <cellStyle name="Normal 39 6 2" xfId="41532"/>
    <cellStyle name="Normal 39 7" xfId="41533"/>
    <cellStyle name="Normal 39 7 2" xfId="41534"/>
    <cellStyle name="Normal 39 8" xfId="41535"/>
    <cellStyle name="Normal 39 8 2" xfId="41536"/>
    <cellStyle name="Normal 39 9" xfId="41537"/>
    <cellStyle name="Normal 39 9 2" xfId="41538"/>
    <cellStyle name="Normal 39_Dakota Panel" xfId="41539"/>
    <cellStyle name="Normal 4" xfId="41540"/>
    <cellStyle name="Normal 4 10" xfId="41541"/>
    <cellStyle name="Normal 4 11" xfId="41542"/>
    <cellStyle name="Normal 4 12" xfId="41543"/>
    <cellStyle name="Normal 4 2" xfId="41544"/>
    <cellStyle name="Normal 4 2 10" xfId="41545"/>
    <cellStyle name="Normal 4 2 10 2" xfId="41546"/>
    <cellStyle name="Normal 4 2 11" xfId="41547"/>
    <cellStyle name="Normal 4 2 11 2" xfId="41548"/>
    <cellStyle name="Normal 4 2 11 2 2" xfId="41549"/>
    <cellStyle name="Normal 4 2 11 2 2 2" xfId="41550"/>
    <cellStyle name="Normal 4 2 11 2 2 3" xfId="41551"/>
    <cellStyle name="Normal 4 2 11 2 3" xfId="41552"/>
    <cellStyle name="Normal 4 2 11 2 3 2" xfId="41553"/>
    <cellStyle name="Normal 4 2 11 2 4" xfId="41554"/>
    <cellStyle name="Normal 4 2 11 2 5" xfId="41555"/>
    <cellStyle name="Normal 4 2 11 3" xfId="41556"/>
    <cellStyle name="Normal 4 2 11 3 2" xfId="41557"/>
    <cellStyle name="Normal 4 2 11 3 2 2" xfId="41558"/>
    <cellStyle name="Normal 4 2 11 3 3" xfId="41559"/>
    <cellStyle name="Normal 4 2 11 3 4" xfId="41560"/>
    <cellStyle name="Normal 4 2 11 4" xfId="41561"/>
    <cellStyle name="Normal 4 2 11 4 2" xfId="41562"/>
    <cellStyle name="Normal 4 2 11 4 2 2" xfId="41563"/>
    <cellStyle name="Normal 4 2 11 4 3" xfId="41564"/>
    <cellStyle name="Normal 4 2 11 4 4" xfId="41565"/>
    <cellStyle name="Normal 4 2 11 5" xfId="41566"/>
    <cellStyle name="Normal 4 2 11 5 2" xfId="41567"/>
    <cellStyle name="Normal 4 2 11 6" xfId="41568"/>
    <cellStyle name="Normal 4 2 11 7" xfId="41569"/>
    <cellStyle name="Normal 4 2 11 8" xfId="41570"/>
    <cellStyle name="Normal 4 2 12" xfId="41571"/>
    <cellStyle name="Normal 4 2 12 2" xfId="41572"/>
    <cellStyle name="Normal 4 2 12 2 2" xfId="41573"/>
    <cellStyle name="Normal 4 2 12 2 2 2" xfId="41574"/>
    <cellStyle name="Normal 4 2 12 2 2 3" xfId="41575"/>
    <cellStyle name="Normal 4 2 12 2 3" xfId="41576"/>
    <cellStyle name="Normal 4 2 12 2 3 2" xfId="41577"/>
    <cellStyle name="Normal 4 2 12 2 4" xfId="41578"/>
    <cellStyle name="Normal 4 2 12 2 5" xfId="41579"/>
    <cellStyle name="Normal 4 2 12 3" xfId="41580"/>
    <cellStyle name="Normal 4 2 12 3 2" xfId="41581"/>
    <cellStyle name="Normal 4 2 12 3 2 2" xfId="41582"/>
    <cellStyle name="Normal 4 2 12 3 3" xfId="41583"/>
    <cellStyle name="Normal 4 2 12 3 4" xfId="41584"/>
    <cellStyle name="Normal 4 2 12 4" xfId="41585"/>
    <cellStyle name="Normal 4 2 12 4 2" xfId="41586"/>
    <cellStyle name="Normal 4 2 12 4 2 2" xfId="41587"/>
    <cellStyle name="Normal 4 2 12 4 3" xfId="41588"/>
    <cellStyle name="Normal 4 2 12 4 4" xfId="41589"/>
    <cellStyle name="Normal 4 2 12 5" xfId="41590"/>
    <cellStyle name="Normal 4 2 12 5 2" xfId="41591"/>
    <cellStyle name="Normal 4 2 12 6" xfId="41592"/>
    <cellStyle name="Normal 4 2 12 7" xfId="41593"/>
    <cellStyle name="Normal 4 2 12 8" xfId="41594"/>
    <cellStyle name="Normal 4 2 13" xfId="41595"/>
    <cellStyle name="Normal 4 2 13 2" xfId="41596"/>
    <cellStyle name="Normal 4 2 13 2 2" xfId="41597"/>
    <cellStyle name="Normal 4 2 13 2 2 2" xfId="41598"/>
    <cellStyle name="Normal 4 2 13 2 2 3" xfId="41599"/>
    <cellStyle name="Normal 4 2 13 2 3" xfId="41600"/>
    <cellStyle name="Normal 4 2 13 2 3 2" xfId="41601"/>
    <cellStyle name="Normal 4 2 13 2 4" xfId="41602"/>
    <cellStyle name="Normal 4 2 13 2 5" xfId="41603"/>
    <cellStyle name="Normal 4 2 13 3" xfId="41604"/>
    <cellStyle name="Normal 4 2 13 3 2" xfId="41605"/>
    <cellStyle name="Normal 4 2 13 3 2 2" xfId="41606"/>
    <cellStyle name="Normal 4 2 13 3 3" xfId="41607"/>
    <cellStyle name="Normal 4 2 13 3 4" xfId="41608"/>
    <cellStyle name="Normal 4 2 13 4" xfId="41609"/>
    <cellStyle name="Normal 4 2 13 4 2" xfId="41610"/>
    <cellStyle name="Normal 4 2 13 4 2 2" xfId="41611"/>
    <cellStyle name="Normal 4 2 13 4 3" xfId="41612"/>
    <cellStyle name="Normal 4 2 13 4 4" xfId="41613"/>
    <cellStyle name="Normal 4 2 13 5" xfId="41614"/>
    <cellStyle name="Normal 4 2 13 5 2" xfId="41615"/>
    <cellStyle name="Normal 4 2 13 6" xfId="41616"/>
    <cellStyle name="Normal 4 2 13 7" xfId="41617"/>
    <cellStyle name="Normal 4 2 13 8" xfId="41618"/>
    <cellStyle name="Normal 4 2 14" xfId="41619"/>
    <cellStyle name="Normal 4 2 15" xfId="41620"/>
    <cellStyle name="Normal 4 2 2" xfId="41621"/>
    <cellStyle name="Normal 4 2 2 2" xfId="41622"/>
    <cellStyle name="Normal 4 2 2 2 2" xfId="41623"/>
    <cellStyle name="Normal 4 2 2 2 2 2" xfId="41624"/>
    <cellStyle name="Normal 4 2 2 2 2 2 2" xfId="41625"/>
    <cellStyle name="Normal 4 2 2 2 2 2 2 2" xfId="41626"/>
    <cellStyle name="Normal 4 2 2 2 2 2 2 2 2" xfId="41627"/>
    <cellStyle name="Normal 4 2 2 2 2 2 2 2 3" xfId="41628"/>
    <cellStyle name="Normal 4 2 2 2 2 2 2 3" xfId="41629"/>
    <cellStyle name="Normal 4 2 2 2 2 2 2 3 2" xfId="41630"/>
    <cellStyle name="Normal 4 2 2 2 2 2 2 4" xfId="41631"/>
    <cellStyle name="Normal 4 2 2 2 2 2 2 5" xfId="41632"/>
    <cellStyle name="Normal 4 2 2 2 2 2 3" xfId="41633"/>
    <cellStyle name="Normal 4 2 2 2 2 2 3 2" xfId="41634"/>
    <cellStyle name="Normal 4 2 2 2 2 2 3 2 2" xfId="41635"/>
    <cellStyle name="Normal 4 2 2 2 2 2 3 3" xfId="41636"/>
    <cellStyle name="Normal 4 2 2 2 2 2 3 4" xfId="41637"/>
    <cellStyle name="Normal 4 2 2 2 2 2 4" xfId="41638"/>
    <cellStyle name="Normal 4 2 2 2 2 2 4 2" xfId="41639"/>
    <cellStyle name="Normal 4 2 2 2 2 2 4 2 2" xfId="41640"/>
    <cellStyle name="Normal 4 2 2 2 2 2 4 3" xfId="41641"/>
    <cellStyle name="Normal 4 2 2 2 2 2 4 4" xfId="41642"/>
    <cellStyle name="Normal 4 2 2 2 2 2 5" xfId="41643"/>
    <cellStyle name="Normal 4 2 2 2 2 2 5 2" xfId="41644"/>
    <cellStyle name="Normal 4 2 2 2 2 2 6" xfId="41645"/>
    <cellStyle name="Normal 4 2 2 2 2 2 7" xfId="41646"/>
    <cellStyle name="Normal 4 2 2 2 2 2 8" xfId="41647"/>
    <cellStyle name="Normal 4 2 2 2 2 3" xfId="41648"/>
    <cellStyle name="Normal 4 2 2 2 2 3 2" xfId="41649"/>
    <cellStyle name="Normal 4 2 2 2 2 3 2 2" xfId="41650"/>
    <cellStyle name="Normal 4 2 2 2 2 3 2 2 2" xfId="41651"/>
    <cellStyle name="Normal 4 2 2 2 2 3 2 2 3" xfId="41652"/>
    <cellStyle name="Normal 4 2 2 2 2 3 2 3" xfId="41653"/>
    <cellStyle name="Normal 4 2 2 2 2 3 2 3 2" xfId="41654"/>
    <cellStyle name="Normal 4 2 2 2 2 3 2 4" xfId="41655"/>
    <cellStyle name="Normal 4 2 2 2 2 3 2 5" xfId="41656"/>
    <cellStyle name="Normal 4 2 2 2 2 3 3" xfId="41657"/>
    <cellStyle name="Normal 4 2 2 2 2 3 3 2" xfId="41658"/>
    <cellStyle name="Normal 4 2 2 2 2 3 3 2 2" xfId="41659"/>
    <cellStyle name="Normal 4 2 2 2 2 3 3 3" xfId="41660"/>
    <cellStyle name="Normal 4 2 2 2 2 3 3 4" xfId="41661"/>
    <cellStyle name="Normal 4 2 2 2 2 3 4" xfId="41662"/>
    <cellStyle name="Normal 4 2 2 2 2 3 4 2" xfId="41663"/>
    <cellStyle name="Normal 4 2 2 2 2 3 4 2 2" xfId="41664"/>
    <cellStyle name="Normal 4 2 2 2 2 3 4 3" xfId="41665"/>
    <cellStyle name="Normal 4 2 2 2 2 3 4 4" xfId="41666"/>
    <cellStyle name="Normal 4 2 2 2 2 3 5" xfId="41667"/>
    <cellStyle name="Normal 4 2 2 2 2 3 5 2" xfId="41668"/>
    <cellStyle name="Normal 4 2 2 2 2 3 6" xfId="41669"/>
    <cellStyle name="Normal 4 2 2 2 2 3 7" xfId="41670"/>
    <cellStyle name="Normal 4 2 2 2 2 3 8" xfId="41671"/>
    <cellStyle name="Normal 4 2 2 2 2 4" xfId="41672"/>
    <cellStyle name="Normal 4 2 2 2 2 4 2" xfId="41673"/>
    <cellStyle name="Normal 4 2 2 2 2 4 2 2" xfId="41674"/>
    <cellStyle name="Normal 4 2 2 2 2 4 2 2 2" xfId="41675"/>
    <cellStyle name="Normal 4 2 2 2 2 4 2 2 3" xfId="41676"/>
    <cellStyle name="Normal 4 2 2 2 2 4 2 3" xfId="41677"/>
    <cellStyle name="Normal 4 2 2 2 2 4 2 3 2" xfId="41678"/>
    <cellStyle name="Normal 4 2 2 2 2 4 2 4" xfId="41679"/>
    <cellStyle name="Normal 4 2 2 2 2 4 2 5" xfId="41680"/>
    <cellStyle name="Normal 4 2 2 2 2 4 3" xfId="41681"/>
    <cellStyle name="Normal 4 2 2 2 2 4 3 2" xfId="41682"/>
    <cellStyle name="Normal 4 2 2 2 2 4 3 2 2" xfId="41683"/>
    <cellStyle name="Normal 4 2 2 2 2 4 3 3" xfId="41684"/>
    <cellStyle name="Normal 4 2 2 2 2 4 3 4" xfId="41685"/>
    <cellStyle name="Normal 4 2 2 2 2 4 4" xfId="41686"/>
    <cellStyle name="Normal 4 2 2 2 2 4 4 2" xfId="41687"/>
    <cellStyle name="Normal 4 2 2 2 2 4 4 2 2" xfId="41688"/>
    <cellStyle name="Normal 4 2 2 2 2 4 4 3" xfId="41689"/>
    <cellStyle name="Normal 4 2 2 2 2 4 4 4" xfId="41690"/>
    <cellStyle name="Normal 4 2 2 2 2 4 5" xfId="41691"/>
    <cellStyle name="Normal 4 2 2 2 2 4 5 2" xfId="41692"/>
    <cellStyle name="Normal 4 2 2 2 2 4 6" xfId="41693"/>
    <cellStyle name="Normal 4 2 2 2 2 4 7" xfId="41694"/>
    <cellStyle name="Normal 4 2 2 2 2 4 8" xfId="41695"/>
    <cellStyle name="Normal 4 2 2 2 2 5" xfId="41696"/>
    <cellStyle name="Normal 4 2 2 2 3" xfId="41697"/>
    <cellStyle name="Normal 4 2 2 2 3 2" xfId="41698"/>
    <cellStyle name="Normal 4 2 2 2 3 2 2" xfId="41699"/>
    <cellStyle name="Normal 4 2 2 2 3 2 2 2" xfId="41700"/>
    <cellStyle name="Normal 4 2 2 2 3 2 2 3" xfId="41701"/>
    <cellStyle name="Normal 4 2 2 2 3 2 3" xfId="41702"/>
    <cellStyle name="Normal 4 2 2 2 3 2 3 2" xfId="41703"/>
    <cellStyle name="Normal 4 2 2 2 3 2 4" xfId="41704"/>
    <cellStyle name="Normal 4 2 2 2 3 2 5" xfId="41705"/>
    <cellStyle name="Normal 4 2 2 2 3 3" xfId="41706"/>
    <cellStyle name="Normal 4 2 2 2 3 3 2" xfId="41707"/>
    <cellStyle name="Normal 4 2 2 2 3 3 2 2" xfId="41708"/>
    <cellStyle name="Normal 4 2 2 2 3 3 3" xfId="41709"/>
    <cellStyle name="Normal 4 2 2 2 3 3 4" xfId="41710"/>
    <cellStyle name="Normal 4 2 2 2 3 4" xfId="41711"/>
    <cellStyle name="Normal 4 2 2 2 3 4 2" xfId="41712"/>
    <cellStyle name="Normal 4 2 2 2 3 4 2 2" xfId="41713"/>
    <cellStyle name="Normal 4 2 2 2 3 4 3" xfId="41714"/>
    <cellStyle name="Normal 4 2 2 2 3 4 4" xfId="41715"/>
    <cellStyle name="Normal 4 2 2 2 3 5" xfId="41716"/>
    <cellStyle name="Normal 4 2 2 2 3 5 2" xfId="41717"/>
    <cellStyle name="Normal 4 2 2 2 3 6" xfId="41718"/>
    <cellStyle name="Normal 4 2 2 2 3 7" xfId="41719"/>
    <cellStyle name="Normal 4 2 2 2 3 8" xfId="41720"/>
    <cellStyle name="Normal 4 2 2 2 4" xfId="41721"/>
    <cellStyle name="Normal 4 2 2 2 4 2" xfId="41722"/>
    <cellStyle name="Normal 4 2 2 2 4 2 2" xfId="41723"/>
    <cellStyle name="Normal 4 2 2 2 4 2 2 2" xfId="41724"/>
    <cellStyle name="Normal 4 2 2 2 4 2 2 3" xfId="41725"/>
    <cellStyle name="Normal 4 2 2 2 4 2 3" xfId="41726"/>
    <cellStyle name="Normal 4 2 2 2 4 2 3 2" xfId="41727"/>
    <cellStyle name="Normal 4 2 2 2 4 2 4" xfId="41728"/>
    <cellStyle name="Normal 4 2 2 2 4 2 5" xfId="41729"/>
    <cellStyle name="Normal 4 2 2 2 4 3" xfId="41730"/>
    <cellStyle name="Normal 4 2 2 2 4 3 2" xfId="41731"/>
    <cellStyle name="Normal 4 2 2 2 4 3 2 2" xfId="41732"/>
    <cellStyle name="Normal 4 2 2 2 4 3 3" xfId="41733"/>
    <cellStyle name="Normal 4 2 2 2 4 3 4" xfId="41734"/>
    <cellStyle name="Normal 4 2 2 2 4 4" xfId="41735"/>
    <cellStyle name="Normal 4 2 2 2 4 4 2" xfId="41736"/>
    <cellStyle name="Normal 4 2 2 2 4 4 2 2" xfId="41737"/>
    <cellStyle name="Normal 4 2 2 2 4 4 3" xfId="41738"/>
    <cellStyle name="Normal 4 2 2 2 4 4 4" xfId="41739"/>
    <cellStyle name="Normal 4 2 2 2 4 5" xfId="41740"/>
    <cellStyle name="Normal 4 2 2 2 4 5 2" xfId="41741"/>
    <cellStyle name="Normal 4 2 2 2 4 6" xfId="41742"/>
    <cellStyle name="Normal 4 2 2 2 4 7" xfId="41743"/>
    <cellStyle name="Normal 4 2 2 2 4 8" xfId="41744"/>
    <cellStyle name="Normal 4 2 2 2 5" xfId="41745"/>
    <cellStyle name="Normal 4 2 2 2 5 2" xfId="41746"/>
    <cellStyle name="Normal 4 2 2 2 5 2 2" xfId="41747"/>
    <cellStyle name="Normal 4 2 2 2 5 2 2 2" xfId="41748"/>
    <cellStyle name="Normal 4 2 2 2 5 2 2 3" xfId="41749"/>
    <cellStyle name="Normal 4 2 2 2 5 2 3" xfId="41750"/>
    <cellStyle name="Normal 4 2 2 2 5 2 3 2" xfId="41751"/>
    <cellStyle name="Normal 4 2 2 2 5 2 4" xfId="41752"/>
    <cellStyle name="Normal 4 2 2 2 5 2 5" xfId="41753"/>
    <cellStyle name="Normal 4 2 2 2 5 3" xfId="41754"/>
    <cellStyle name="Normal 4 2 2 2 5 3 2" xfId="41755"/>
    <cellStyle name="Normal 4 2 2 2 5 3 2 2" xfId="41756"/>
    <cellStyle name="Normal 4 2 2 2 5 3 3" xfId="41757"/>
    <cellStyle name="Normal 4 2 2 2 5 3 4" xfId="41758"/>
    <cellStyle name="Normal 4 2 2 2 5 4" xfId="41759"/>
    <cellStyle name="Normal 4 2 2 2 5 4 2" xfId="41760"/>
    <cellStyle name="Normal 4 2 2 2 5 4 2 2" xfId="41761"/>
    <cellStyle name="Normal 4 2 2 2 5 4 3" xfId="41762"/>
    <cellStyle name="Normal 4 2 2 2 5 4 4" xfId="41763"/>
    <cellStyle name="Normal 4 2 2 2 5 5" xfId="41764"/>
    <cellStyle name="Normal 4 2 2 2 5 5 2" xfId="41765"/>
    <cellStyle name="Normal 4 2 2 2 5 6" xfId="41766"/>
    <cellStyle name="Normal 4 2 2 2 5 7" xfId="41767"/>
    <cellStyle name="Normal 4 2 2 2 5 8" xfId="41768"/>
    <cellStyle name="Normal 4 2 2 2 6" xfId="41769"/>
    <cellStyle name="Normal 4 2 2 3" xfId="41770"/>
    <cellStyle name="Normal 4 2 2 3 2" xfId="41771"/>
    <cellStyle name="Normal 4 2 2 3 2 2" xfId="41772"/>
    <cellStyle name="Normal 4 2 2 3 2 2 2" xfId="41773"/>
    <cellStyle name="Normal 4 2 2 3 2 2 2 2" xfId="41774"/>
    <cellStyle name="Normal 4 2 2 3 2 2 2 3" xfId="41775"/>
    <cellStyle name="Normal 4 2 2 3 2 2 3" xfId="41776"/>
    <cellStyle name="Normal 4 2 2 3 2 2 3 2" xfId="41777"/>
    <cellStyle name="Normal 4 2 2 3 2 2 4" xfId="41778"/>
    <cellStyle name="Normal 4 2 2 3 2 2 5" xfId="41779"/>
    <cellStyle name="Normal 4 2 2 3 2 3" xfId="41780"/>
    <cellStyle name="Normal 4 2 2 3 2 3 2" xfId="41781"/>
    <cellStyle name="Normal 4 2 2 3 2 3 2 2" xfId="41782"/>
    <cellStyle name="Normal 4 2 2 3 2 3 3" xfId="41783"/>
    <cellStyle name="Normal 4 2 2 3 2 3 4" xfId="41784"/>
    <cellStyle name="Normal 4 2 2 3 2 4" xfId="41785"/>
    <cellStyle name="Normal 4 2 2 3 2 4 2" xfId="41786"/>
    <cellStyle name="Normal 4 2 2 3 2 4 2 2" xfId="41787"/>
    <cellStyle name="Normal 4 2 2 3 2 4 3" xfId="41788"/>
    <cellStyle name="Normal 4 2 2 3 2 4 4" xfId="41789"/>
    <cellStyle name="Normal 4 2 2 3 2 5" xfId="41790"/>
    <cellStyle name="Normal 4 2 2 3 2 5 2" xfId="41791"/>
    <cellStyle name="Normal 4 2 2 3 2 6" xfId="41792"/>
    <cellStyle name="Normal 4 2 2 3 2 7" xfId="41793"/>
    <cellStyle name="Normal 4 2 2 3 2 8" xfId="41794"/>
    <cellStyle name="Normal 4 2 2 3 3" xfId="41795"/>
    <cellStyle name="Normal 4 2 2 3 3 2" xfId="41796"/>
    <cellStyle name="Normal 4 2 2 3 3 2 2" xfId="41797"/>
    <cellStyle name="Normal 4 2 2 3 3 2 2 2" xfId="41798"/>
    <cellStyle name="Normal 4 2 2 3 3 2 2 3" xfId="41799"/>
    <cellStyle name="Normal 4 2 2 3 3 2 3" xfId="41800"/>
    <cellStyle name="Normal 4 2 2 3 3 2 3 2" xfId="41801"/>
    <cellStyle name="Normal 4 2 2 3 3 2 4" xfId="41802"/>
    <cellStyle name="Normal 4 2 2 3 3 2 5" xfId="41803"/>
    <cellStyle name="Normal 4 2 2 3 3 3" xfId="41804"/>
    <cellStyle name="Normal 4 2 2 3 3 3 2" xfId="41805"/>
    <cellStyle name="Normal 4 2 2 3 3 3 2 2" xfId="41806"/>
    <cellStyle name="Normal 4 2 2 3 3 3 3" xfId="41807"/>
    <cellStyle name="Normal 4 2 2 3 3 3 4" xfId="41808"/>
    <cellStyle name="Normal 4 2 2 3 3 4" xfId="41809"/>
    <cellStyle name="Normal 4 2 2 3 3 4 2" xfId="41810"/>
    <cellStyle name="Normal 4 2 2 3 3 4 2 2" xfId="41811"/>
    <cellStyle name="Normal 4 2 2 3 3 4 3" xfId="41812"/>
    <cellStyle name="Normal 4 2 2 3 3 4 4" xfId="41813"/>
    <cellStyle name="Normal 4 2 2 3 3 5" xfId="41814"/>
    <cellStyle name="Normal 4 2 2 3 3 5 2" xfId="41815"/>
    <cellStyle name="Normal 4 2 2 3 3 6" xfId="41816"/>
    <cellStyle name="Normal 4 2 2 3 3 7" xfId="41817"/>
    <cellStyle name="Normal 4 2 2 3 3 8" xfId="41818"/>
    <cellStyle name="Normal 4 2 2 3 4" xfId="41819"/>
    <cellStyle name="Normal 4 2 2 3 4 2" xfId="41820"/>
    <cellStyle name="Normal 4 2 2 3 4 2 2" xfId="41821"/>
    <cellStyle name="Normal 4 2 2 3 4 2 2 2" xfId="41822"/>
    <cellStyle name="Normal 4 2 2 3 4 2 2 3" xfId="41823"/>
    <cellStyle name="Normal 4 2 2 3 4 2 3" xfId="41824"/>
    <cellStyle name="Normal 4 2 2 3 4 2 3 2" xfId="41825"/>
    <cellStyle name="Normal 4 2 2 3 4 2 4" xfId="41826"/>
    <cellStyle name="Normal 4 2 2 3 4 2 5" xfId="41827"/>
    <cellStyle name="Normal 4 2 2 3 4 3" xfId="41828"/>
    <cellStyle name="Normal 4 2 2 3 4 3 2" xfId="41829"/>
    <cellStyle name="Normal 4 2 2 3 4 3 2 2" xfId="41830"/>
    <cellStyle name="Normal 4 2 2 3 4 3 3" xfId="41831"/>
    <cellStyle name="Normal 4 2 2 3 4 3 4" xfId="41832"/>
    <cellStyle name="Normal 4 2 2 3 4 4" xfId="41833"/>
    <cellStyle name="Normal 4 2 2 3 4 4 2" xfId="41834"/>
    <cellStyle name="Normal 4 2 2 3 4 4 2 2" xfId="41835"/>
    <cellStyle name="Normal 4 2 2 3 4 4 3" xfId="41836"/>
    <cellStyle name="Normal 4 2 2 3 4 4 4" xfId="41837"/>
    <cellStyle name="Normal 4 2 2 3 4 5" xfId="41838"/>
    <cellStyle name="Normal 4 2 2 3 4 5 2" xfId="41839"/>
    <cellStyle name="Normal 4 2 2 3 4 6" xfId="41840"/>
    <cellStyle name="Normal 4 2 2 3 4 7" xfId="41841"/>
    <cellStyle name="Normal 4 2 2 3 4 8" xfId="41842"/>
    <cellStyle name="Normal 4 2 2 3 5" xfId="41843"/>
    <cellStyle name="Normal 4 2 2 4" xfId="41844"/>
    <cellStyle name="Normal 4 2 2 4 2" xfId="41845"/>
    <cellStyle name="Normal 4 2 2 5" xfId="41846"/>
    <cellStyle name="Normal 4 2 2 5 2" xfId="41847"/>
    <cellStyle name="Normal 4 2 2 6" xfId="41848"/>
    <cellStyle name="Normal 4 2 2 6 2" xfId="41849"/>
    <cellStyle name="Normal 4 2 2 6 2 2" xfId="41850"/>
    <cellStyle name="Normal 4 2 2 6 2 2 2" xfId="41851"/>
    <cellStyle name="Normal 4 2 2 6 2 2 3" xfId="41852"/>
    <cellStyle name="Normal 4 2 2 6 2 3" xfId="41853"/>
    <cellStyle name="Normal 4 2 2 6 2 3 2" xfId="41854"/>
    <cellStyle name="Normal 4 2 2 6 2 4" xfId="41855"/>
    <cellStyle name="Normal 4 2 2 6 2 5" xfId="41856"/>
    <cellStyle name="Normal 4 2 2 6 3" xfId="41857"/>
    <cellStyle name="Normal 4 2 2 6 3 2" xfId="41858"/>
    <cellStyle name="Normal 4 2 2 6 3 2 2" xfId="41859"/>
    <cellStyle name="Normal 4 2 2 6 3 3" xfId="41860"/>
    <cellStyle name="Normal 4 2 2 6 3 4" xfId="41861"/>
    <cellStyle name="Normal 4 2 2 6 4" xfId="41862"/>
    <cellStyle name="Normal 4 2 2 6 4 2" xfId="41863"/>
    <cellStyle name="Normal 4 2 2 6 4 2 2" xfId="41864"/>
    <cellStyle name="Normal 4 2 2 6 4 3" xfId="41865"/>
    <cellStyle name="Normal 4 2 2 6 4 4" xfId="41866"/>
    <cellStyle name="Normal 4 2 2 6 5" xfId="41867"/>
    <cellStyle name="Normal 4 2 2 6 5 2" xfId="41868"/>
    <cellStyle name="Normal 4 2 2 6 6" xfId="41869"/>
    <cellStyle name="Normal 4 2 2 6 7" xfId="41870"/>
    <cellStyle name="Normal 4 2 2 6 8" xfId="41871"/>
    <cellStyle name="Normal 4 2 2 7" xfId="41872"/>
    <cellStyle name="Normal 4 2 2 7 2" xfId="41873"/>
    <cellStyle name="Normal 4 2 2 7 2 2" xfId="41874"/>
    <cellStyle name="Normal 4 2 2 7 2 2 2" xfId="41875"/>
    <cellStyle name="Normal 4 2 2 7 2 2 3" xfId="41876"/>
    <cellStyle name="Normal 4 2 2 7 2 3" xfId="41877"/>
    <cellStyle name="Normal 4 2 2 7 2 3 2" xfId="41878"/>
    <cellStyle name="Normal 4 2 2 7 2 4" xfId="41879"/>
    <cellStyle name="Normal 4 2 2 7 2 5" xfId="41880"/>
    <cellStyle name="Normal 4 2 2 7 3" xfId="41881"/>
    <cellStyle name="Normal 4 2 2 7 3 2" xfId="41882"/>
    <cellStyle name="Normal 4 2 2 7 3 2 2" xfId="41883"/>
    <cellStyle name="Normal 4 2 2 7 3 3" xfId="41884"/>
    <cellStyle name="Normal 4 2 2 7 3 4" xfId="41885"/>
    <cellStyle name="Normal 4 2 2 7 4" xfId="41886"/>
    <cellStyle name="Normal 4 2 2 7 4 2" xfId="41887"/>
    <cellStyle name="Normal 4 2 2 7 4 2 2" xfId="41888"/>
    <cellStyle name="Normal 4 2 2 7 4 3" xfId="41889"/>
    <cellStyle name="Normal 4 2 2 7 4 4" xfId="41890"/>
    <cellStyle name="Normal 4 2 2 7 5" xfId="41891"/>
    <cellStyle name="Normal 4 2 2 7 5 2" xfId="41892"/>
    <cellStyle name="Normal 4 2 2 7 6" xfId="41893"/>
    <cellStyle name="Normal 4 2 2 7 7" xfId="41894"/>
    <cellStyle name="Normal 4 2 2 7 8" xfId="41895"/>
    <cellStyle name="Normal 4 2 2 8" xfId="41896"/>
    <cellStyle name="Normal 4 2 2 8 2" xfId="41897"/>
    <cellStyle name="Normal 4 2 2 8 2 2" xfId="41898"/>
    <cellStyle name="Normal 4 2 2 8 2 2 2" xfId="41899"/>
    <cellStyle name="Normal 4 2 2 8 2 2 3" xfId="41900"/>
    <cellStyle name="Normal 4 2 2 8 2 3" xfId="41901"/>
    <cellStyle name="Normal 4 2 2 8 2 3 2" xfId="41902"/>
    <cellStyle name="Normal 4 2 2 8 2 4" xfId="41903"/>
    <cellStyle name="Normal 4 2 2 8 2 5" xfId="41904"/>
    <cellStyle name="Normal 4 2 2 8 3" xfId="41905"/>
    <cellStyle name="Normal 4 2 2 8 3 2" xfId="41906"/>
    <cellStyle name="Normal 4 2 2 8 3 2 2" xfId="41907"/>
    <cellStyle name="Normal 4 2 2 8 3 3" xfId="41908"/>
    <cellStyle name="Normal 4 2 2 8 3 4" xfId="41909"/>
    <cellStyle name="Normal 4 2 2 8 4" xfId="41910"/>
    <cellStyle name="Normal 4 2 2 8 4 2" xfId="41911"/>
    <cellStyle name="Normal 4 2 2 8 4 2 2" xfId="41912"/>
    <cellStyle name="Normal 4 2 2 8 4 3" xfId="41913"/>
    <cellStyle name="Normal 4 2 2 8 4 4" xfId="41914"/>
    <cellStyle name="Normal 4 2 2 8 5" xfId="41915"/>
    <cellStyle name="Normal 4 2 2 8 5 2" xfId="41916"/>
    <cellStyle name="Normal 4 2 2 8 6" xfId="41917"/>
    <cellStyle name="Normal 4 2 2 8 7" xfId="41918"/>
    <cellStyle name="Normal 4 2 2 8 8" xfId="41919"/>
    <cellStyle name="Normal 4 2 2 9" xfId="41920"/>
    <cellStyle name="Normal 4 2 3" xfId="41921"/>
    <cellStyle name="Normal 4 2 3 2" xfId="41922"/>
    <cellStyle name="Normal 4 2 3 2 2" xfId="41923"/>
    <cellStyle name="Normal 4 2 3 2 2 2" xfId="41924"/>
    <cellStyle name="Normal 4 2 3 2 2 2 2" xfId="41925"/>
    <cellStyle name="Normal 4 2 3 2 2 2 2 2" xfId="41926"/>
    <cellStyle name="Normal 4 2 3 2 2 2 2 3" xfId="41927"/>
    <cellStyle name="Normal 4 2 3 2 2 2 3" xfId="41928"/>
    <cellStyle name="Normal 4 2 3 2 2 2 3 2" xfId="41929"/>
    <cellStyle name="Normal 4 2 3 2 2 2 4" xfId="41930"/>
    <cellStyle name="Normal 4 2 3 2 2 2 5" xfId="41931"/>
    <cellStyle name="Normal 4 2 3 2 2 3" xfId="41932"/>
    <cellStyle name="Normal 4 2 3 2 2 3 2" xfId="41933"/>
    <cellStyle name="Normal 4 2 3 2 2 3 2 2" xfId="41934"/>
    <cellStyle name="Normal 4 2 3 2 2 3 3" xfId="41935"/>
    <cellStyle name="Normal 4 2 3 2 2 3 4" xfId="41936"/>
    <cellStyle name="Normal 4 2 3 2 2 4" xfId="41937"/>
    <cellStyle name="Normal 4 2 3 2 2 4 2" xfId="41938"/>
    <cellStyle name="Normal 4 2 3 2 2 4 2 2" xfId="41939"/>
    <cellStyle name="Normal 4 2 3 2 2 4 3" xfId="41940"/>
    <cellStyle name="Normal 4 2 3 2 2 4 4" xfId="41941"/>
    <cellStyle name="Normal 4 2 3 2 2 5" xfId="41942"/>
    <cellStyle name="Normal 4 2 3 2 2 5 2" xfId="41943"/>
    <cellStyle name="Normal 4 2 3 2 2 6" xfId="41944"/>
    <cellStyle name="Normal 4 2 3 2 2 7" xfId="41945"/>
    <cellStyle name="Normal 4 2 3 2 2 8" xfId="41946"/>
    <cellStyle name="Normal 4 2 3 2 3" xfId="41947"/>
    <cellStyle name="Normal 4 2 3 2 3 2" xfId="41948"/>
    <cellStyle name="Normal 4 2 3 2 3 2 2" xfId="41949"/>
    <cellStyle name="Normal 4 2 3 2 3 2 2 2" xfId="41950"/>
    <cellStyle name="Normal 4 2 3 2 3 2 2 3" xfId="41951"/>
    <cellStyle name="Normal 4 2 3 2 3 2 3" xfId="41952"/>
    <cellStyle name="Normal 4 2 3 2 3 2 3 2" xfId="41953"/>
    <cellStyle name="Normal 4 2 3 2 3 2 4" xfId="41954"/>
    <cellStyle name="Normal 4 2 3 2 3 2 5" xfId="41955"/>
    <cellStyle name="Normal 4 2 3 2 3 3" xfId="41956"/>
    <cellStyle name="Normal 4 2 3 2 3 3 2" xfId="41957"/>
    <cellStyle name="Normal 4 2 3 2 3 3 2 2" xfId="41958"/>
    <cellStyle name="Normal 4 2 3 2 3 3 3" xfId="41959"/>
    <cellStyle name="Normal 4 2 3 2 3 3 4" xfId="41960"/>
    <cellStyle name="Normal 4 2 3 2 3 4" xfId="41961"/>
    <cellStyle name="Normal 4 2 3 2 3 4 2" xfId="41962"/>
    <cellStyle name="Normal 4 2 3 2 3 4 2 2" xfId="41963"/>
    <cellStyle name="Normal 4 2 3 2 3 4 3" xfId="41964"/>
    <cellStyle name="Normal 4 2 3 2 3 4 4" xfId="41965"/>
    <cellStyle name="Normal 4 2 3 2 3 5" xfId="41966"/>
    <cellStyle name="Normal 4 2 3 2 3 5 2" xfId="41967"/>
    <cellStyle name="Normal 4 2 3 2 3 6" xfId="41968"/>
    <cellStyle name="Normal 4 2 3 2 3 7" xfId="41969"/>
    <cellStyle name="Normal 4 2 3 2 3 8" xfId="41970"/>
    <cellStyle name="Normal 4 2 3 2 4" xfId="41971"/>
    <cellStyle name="Normal 4 2 3 2 4 2" xfId="41972"/>
    <cellStyle name="Normal 4 2 3 2 4 2 2" xfId="41973"/>
    <cellStyle name="Normal 4 2 3 2 4 2 2 2" xfId="41974"/>
    <cellStyle name="Normal 4 2 3 2 4 2 2 3" xfId="41975"/>
    <cellStyle name="Normal 4 2 3 2 4 2 3" xfId="41976"/>
    <cellStyle name="Normal 4 2 3 2 4 2 3 2" xfId="41977"/>
    <cellStyle name="Normal 4 2 3 2 4 2 4" xfId="41978"/>
    <cellStyle name="Normal 4 2 3 2 4 2 5" xfId="41979"/>
    <cellStyle name="Normal 4 2 3 2 4 3" xfId="41980"/>
    <cellStyle name="Normal 4 2 3 2 4 3 2" xfId="41981"/>
    <cellStyle name="Normal 4 2 3 2 4 3 2 2" xfId="41982"/>
    <cellStyle name="Normal 4 2 3 2 4 3 3" xfId="41983"/>
    <cellStyle name="Normal 4 2 3 2 4 3 4" xfId="41984"/>
    <cellStyle name="Normal 4 2 3 2 4 4" xfId="41985"/>
    <cellStyle name="Normal 4 2 3 2 4 4 2" xfId="41986"/>
    <cellStyle name="Normal 4 2 3 2 4 4 2 2" xfId="41987"/>
    <cellStyle name="Normal 4 2 3 2 4 4 3" xfId="41988"/>
    <cellStyle name="Normal 4 2 3 2 4 4 4" xfId="41989"/>
    <cellStyle name="Normal 4 2 3 2 4 5" xfId="41990"/>
    <cellStyle name="Normal 4 2 3 2 4 5 2" xfId="41991"/>
    <cellStyle name="Normal 4 2 3 2 4 6" xfId="41992"/>
    <cellStyle name="Normal 4 2 3 2 4 7" xfId="41993"/>
    <cellStyle name="Normal 4 2 3 2 4 8" xfId="41994"/>
    <cellStyle name="Normal 4 2 3 2 5" xfId="41995"/>
    <cellStyle name="Normal 4 2 3 3" xfId="41996"/>
    <cellStyle name="Normal 4 2 3 3 2" xfId="41997"/>
    <cellStyle name="Normal 4 2 3 4" xfId="41998"/>
    <cellStyle name="Normal 4 2 3 4 2" xfId="41999"/>
    <cellStyle name="Normal 4 2 3 4 2 2" xfId="42000"/>
    <cellStyle name="Normal 4 2 3 4 2 2 2" xfId="42001"/>
    <cellStyle name="Normal 4 2 3 4 2 2 3" xfId="42002"/>
    <cellStyle name="Normal 4 2 3 4 2 3" xfId="42003"/>
    <cellStyle name="Normal 4 2 3 4 2 3 2" xfId="42004"/>
    <cellStyle name="Normal 4 2 3 4 2 4" xfId="42005"/>
    <cellStyle name="Normal 4 2 3 4 2 5" xfId="42006"/>
    <cellStyle name="Normal 4 2 3 4 3" xfId="42007"/>
    <cellStyle name="Normal 4 2 3 4 3 2" xfId="42008"/>
    <cellStyle name="Normal 4 2 3 4 3 2 2" xfId="42009"/>
    <cellStyle name="Normal 4 2 3 4 3 3" xfId="42010"/>
    <cellStyle name="Normal 4 2 3 4 3 4" xfId="42011"/>
    <cellStyle name="Normal 4 2 3 4 4" xfId="42012"/>
    <cellStyle name="Normal 4 2 3 4 4 2" xfId="42013"/>
    <cellStyle name="Normal 4 2 3 4 4 2 2" xfId="42014"/>
    <cellStyle name="Normal 4 2 3 4 4 3" xfId="42015"/>
    <cellStyle name="Normal 4 2 3 4 4 4" xfId="42016"/>
    <cellStyle name="Normal 4 2 3 4 5" xfId="42017"/>
    <cellStyle name="Normal 4 2 3 4 5 2" xfId="42018"/>
    <cellStyle name="Normal 4 2 3 4 6" xfId="42019"/>
    <cellStyle name="Normal 4 2 3 4 7" xfId="42020"/>
    <cellStyle name="Normal 4 2 3 4 8" xfId="42021"/>
    <cellStyle name="Normal 4 2 3 5" xfId="42022"/>
    <cellStyle name="Normal 4 2 3 5 2" xfId="42023"/>
    <cellStyle name="Normal 4 2 3 5 2 2" xfId="42024"/>
    <cellStyle name="Normal 4 2 3 5 2 2 2" xfId="42025"/>
    <cellStyle name="Normal 4 2 3 5 2 2 3" xfId="42026"/>
    <cellStyle name="Normal 4 2 3 5 2 3" xfId="42027"/>
    <cellStyle name="Normal 4 2 3 5 2 3 2" xfId="42028"/>
    <cellStyle name="Normal 4 2 3 5 2 4" xfId="42029"/>
    <cellStyle name="Normal 4 2 3 5 2 5" xfId="42030"/>
    <cellStyle name="Normal 4 2 3 5 3" xfId="42031"/>
    <cellStyle name="Normal 4 2 3 5 3 2" xfId="42032"/>
    <cellStyle name="Normal 4 2 3 5 3 2 2" xfId="42033"/>
    <cellStyle name="Normal 4 2 3 5 3 3" xfId="42034"/>
    <cellStyle name="Normal 4 2 3 5 3 4" xfId="42035"/>
    <cellStyle name="Normal 4 2 3 5 4" xfId="42036"/>
    <cellStyle name="Normal 4 2 3 5 4 2" xfId="42037"/>
    <cellStyle name="Normal 4 2 3 5 4 2 2" xfId="42038"/>
    <cellStyle name="Normal 4 2 3 5 4 3" xfId="42039"/>
    <cellStyle name="Normal 4 2 3 5 4 4" xfId="42040"/>
    <cellStyle name="Normal 4 2 3 5 5" xfId="42041"/>
    <cellStyle name="Normal 4 2 3 5 5 2" xfId="42042"/>
    <cellStyle name="Normal 4 2 3 5 6" xfId="42043"/>
    <cellStyle name="Normal 4 2 3 5 7" xfId="42044"/>
    <cellStyle name="Normal 4 2 3 5 8" xfId="42045"/>
    <cellStyle name="Normal 4 2 3 6" xfId="42046"/>
    <cellStyle name="Normal 4 2 3 6 2" xfId="42047"/>
    <cellStyle name="Normal 4 2 3 6 2 2" xfId="42048"/>
    <cellStyle name="Normal 4 2 3 6 2 2 2" xfId="42049"/>
    <cellStyle name="Normal 4 2 3 6 2 2 3" xfId="42050"/>
    <cellStyle name="Normal 4 2 3 6 2 3" xfId="42051"/>
    <cellStyle name="Normal 4 2 3 6 2 3 2" xfId="42052"/>
    <cellStyle name="Normal 4 2 3 6 2 4" xfId="42053"/>
    <cellStyle name="Normal 4 2 3 6 2 5" xfId="42054"/>
    <cellStyle name="Normal 4 2 3 6 3" xfId="42055"/>
    <cellStyle name="Normal 4 2 3 6 3 2" xfId="42056"/>
    <cellStyle name="Normal 4 2 3 6 3 2 2" xfId="42057"/>
    <cellStyle name="Normal 4 2 3 6 3 3" xfId="42058"/>
    <cellStyle name="Normal 4 2 3 6 3 4" xfId="42059"/>
    <cellStyle name="Normal 4 2 3 6 4" xfId="42060"/>
    <cellStyle name="Normal 4 2 3 6 4 2" xfId="42061"/>
    <cellStyle name="Normal 4 2 3 6 4 2 2" xfId="42062"/>
    <cellStyle name="Normal 4 2 3 6 4 3" xfId="42063"/>
    <cellStyle name="Normal 4 2 3 6 4 4" xfId="42064"/>
    <cellStyle name="Normal 4 2 3 6 5" xfId="42065"/>
    <cellStyle name="Normal 4 2 3 6 5 2" xfId="42066"/>
    <cellStyle name="Normal 4 2 3 6 6" xfId="42067"/>
    <cellStyle name="Normal 4 2 3 6 7" xfId="42068"/>
    <cellStyle name="Normal 4 2 3 6 8" xfId="42069"/>
    <cellStyle name="Normal 4 2 4" xfId="42070"/>
    <cellStyle name="Normal 4 2 4 2" xfId="42071"/>
    <cellStyle name="Normal 4 2 4 2 2" xfId="42072"/>
    <cellStyle name="Normal 4 2 4 3" xfId="42073"/>
    <cellStyle name="Normal 4 2 4 3 2" xfId="42074"/>
    <cellStyle name="Normal 4 2 4 3 2 2" xfId="42075"/>
    <cellStyle name="Normal 4 2 4 3 2 2 2" xfId="42076"/>
    <cellStyle name="Normal 4 2 4 3 2 2 3" xfId="42077"/>
    <cellStyle name="Normal 4 2 4 3 2 3" xfId="42078"/>
    <cellStyle name="Normal 4 2 4 3 2 3 2" xfId="42079"/>
    <cellStyle name="Normal 4 2 4 3 2 4" xfId="42080"/>
    <cellStyle name="Normal 4 2 4 3 2 5" xfId="42081"/>
    <cellStyle name="Normal 4 2 4 3 3" xfId="42082"/>
    <cellStyle name="Normal 4 2 4 3 3 2" xfId="42083"/>
    <cellStyle name="Normal 4 2 4 3 3 2 2" xfId="42084"/>
    <cellStyle name="Normal 4 2 4 3 3 3" xfId="42085"/>
    <cellStyle name="Normal 4 2 4 3 3 4" xfId="42086"/>
    <cellStyle name="Normal 4 2 4 3 4" xfId="42087"/>
    <cellStyle name="Normal 4 2 4 3 4 2" xfId="42088"/>
    <cellStyle name="Normal 4 2 4 3 4 2 2" xfId="42089"/>
    <cellStyle name="Normal 4 2 4 3 4 3" xfId="42090"/>
    <cellStyle name="Normal 4 2 4 3 4 4" xfId="42091"/>
    <cellStyle name="Normal 4 2 4 3 5" xfId="42092"/>
    <cellStyle name="Normal 4 2 4 3 5 2" xfId="42093"/>
    <cellStyle name="Normal 4 2 4 3 6" xfId="42094"/>
    <cellStyle name="Normal 4 2 4 3 7" xfId="42095"/>
    <cellStyle name="Normal 4 2 4 3 8" xfId="42096"/>
    <cellStyle name="Normal 4 2 4 4" xfId="42097"/>
    <cellStyle name="Normal 4 2 4 4 2" xfId="42098"/>
    <cellStyle name="Normal 4 2 4 4 2 2" xfId="42099"/>
    <cellStyle name="Normal 4 2 4 4 2 2 2" xfId="42100"/>
    <cellStyle name="Normal 4 2 4 4 2 2 3" xfId="42101"/>
    <cellStyle name="Normal 4 2 4 4 2 3" xfId="42102"/>
    <cellStyle name="Normal 4 2 4 4 2 3 2" xfId="42103"/>
    <cellStyle name="Normal 4 2 4 4 2 4" xfId="42104"/>
    <cellStyle name="Normal 4 2 4 4 2 5" xfId="42105"/>
    <cellStyle name="Normal 4 2 4 4 3" xfId="42106"/>
    <cellStyle name="Normal 4 2 4 4 3 2" xfId="42107"/>
    <cellStyle name="Normal 4 2 4 4 3 2 2" xfId="42108"/>
    <cellStyle name="Normal 4 2 4 4 3 3" xfId="42109"/>
    <cellStyle name="Normal 4 2 4 4 3 4" xfId="42110"/>
    <cellStyle name="Normal 4 2 4 4 4" xfId="42111"/>
    <cellStyle name="Normal 4 2 4 4 4 2" xfId="42112"/>
    <cellStyle name="Normal 4 2 4 4 4 2 2" xfId="42113"/>
    <cellStyle name="Normal 4 2 4 4 4 3" xfId="42114"/>
    <cellStyle name="Normal 4 2 4 4 4 4" xfId="42115"/>
    <cellStyle name="Normal 4 2 4 4 5" xfId="42116"/>
    <cellStyle name="Normal 4 2 4 4 5 2" xfId="42117"/>
    <cellStyle name="Normal 4 2 4 4 6" xfId="42118"/>
    <cellStyle name="Normal 4 2 4 4 7" xfId="42119"/>
    <cellStyle name="Normal 4 2 4 4 8" xfId="42120"/>
    <cellStyle name="Normal 4 2 4 5" xfId="42121"/>
    <cellStyle name="Normal 4 2 4 5 2" xfId="42122"/>
    <cellStyle name="Normal 4 2 4 5 2 2" xfId="42123"/>
    <cellStyle name="Normal 4 2 4 5 2 2 2" xfId="42124"/>
    <cellStyle name="Normal 4 2 4 5 2 2 3" xfId="42125"/>
    <cellStyle name="Normal 4 2 4 5 2 3" xfId="42126"/>
    <cellStyle name="Normal 4 2 4 5 2 3 2" xfId="42127"/>
    <cellStyle name="Normal 4 2 4 5 2 4" xfId="42128"/>
    <cellStyle name="Normal 4 2 4 5 2 5" xfId="42129"/>
    <cellStyle name="Normal 4 2 4 5 3" xfId="42130"/>
    <cellStyle name="Normal 4 2 4 5 3 2" xfId="42131"/>
    <cellStyle name="Normal 4 2 4 5 3 2 2" xfId="42132"/>
    <cellStyle name="Normal 4 2 4 5 3 3" xfId="42133"/>
    <cellStyle name="Normal 4 2 4 5 3 4" xfId="42134"/>
    <cellStyle name="Normal 4 2 4 5 4" xfId="42135"/>
    <cellStyle name="Normal 4 2 4 5 4 2" xfId="42136"/>
    <cellStyle name="Normal 4 2 4 5 4 2 2" xfId="42137"/>
    <cellStyle name="Normal 4 2 4 5 4 3" xfId="42138"/>
    <cellStyle name="Normal 4 2 4 5 4 4" xfId="42139"/>
    <cellStyle name="Normal 4 2 4 5 5" xfId="42140"/>
    <cellStyle name="Normal 4 2 4 5 5 2" xfId="42141"/>
    <cellStyle name="Normal 4 2 4 5 6" xfId="42142"/>
    <cellStyle name="Normal 4 2 4 5 7" xfId="42143"/>
    <cellStyle name="Normal 4 2 4 5 8" xfId="42144"/>
    <cellStyle name="Normal 4 2 5" xfId="42145"/>
    <cellStyle name="Normal 4 2 5 2" xfId="42146"/>
    <cellStyle name="Normal 4 2 6" xfId="42147"/>
    <cellStyle name="Normal 4 2 6 2" xfId="42148"/>
    <cellStyle name="Normal 4 2 7" xfId="42149"/>
    <cellStyle name="Normal 4 2 7 2" xfId="42150"/>
    <cellStyle name="Normal 4 2 8" xfId="42151"/>
    <cellStyle name="Normal 4 2 8 2" xfId="42152"/>
    <cellStyle name="Normal 4 2 9" xfId="42153"/>
    <cellStyle name="Normal 4 2 9 2" xfId="42154"/>
    <cellStyle name="Normal 4 3" xfId="42155"/>
    <cellStyle name="Normal 4 3 2" xfId="42156"/>
    <cellStyle name="Normal 4 3 2 2" xfId="42157"/>
    <cellStyle name="Normal 4 3 2 2 2" xfId="42158"/>
    <cellStyle name="Normal 4 3 2 2 2 2" xfId="42159"/>
    <cellStyle name="Normal 4 3 2 2 2 2 2" xfId="42160"/>
    <cellStyle name="Normal 4 3 2 2 2 2 2 2" xfId="42161"/>
    <cellStyle name="Normal 4 3 2 2 2 2 2 3" xfId="42162"/>
    <cellStyle name="Normal 4 3 2 2 2 2 3" xfId="42163"/>
    <cellStyle name="Normal 4 3 2 2 2 2 3 2" xfId="42164"/>
    <cellStyle name="Normal 4 3 2 2 2 2 4" xfId="42165"/>
    <cellStyle name="Normal 4 3 2 2 2 2 5" xfId="42166"/>
    <cellStyle name="Normal 4 3 2 2 2 3" xfId="42167"/>
    <cellStyle name="Normal 4 3 2 2 2 3 2" xfId="42168"/>
    <cellStyle name="Normal 4 3 2 2 2 3 2 2" xfId="42169"/>
    <cellStyle name="Normal 4 3 2 2 2 3 3" xfId="42170"/>
    <cellStyle name="Normal 4 3 2 2 2 3 4" xfId="42171"/>
    <cellStyle name="Normal 4 3 2 2 2 4" xfId="42172"/>
    <cellStyle name="Normal 4 3 2 2 2 4 2" xfId="42173"/>
    <cellStyle name="Normal 4 3 2 2 2 4 2 2" xfId="42174"/>
    <cellStyle name="Normal 4 3 2 2 2 4 3" xfId="42175"/>
    <cellStyle name="Normal 4 3 2 2 2 4 4" xfId="42176"/>
    <cellStyle name="Normal 4 3 2 2 2 5" xfId="42177"/>
    <cellStyle name="Normal 4 3 2 2 2 5 2" xfId="42178"/>
    <cellStyle name="Normal 4 3 2 2 2 6" xfId="42179"/>
    <cellStyle name="Normal 4 3 2 2 2 7" xfId="42180"/>
    <cellStyle name="Normal 4 3 2 2 2 8" xfId="42181"/>
    <cellStyle name="Normal 4 3 2 2 3" xfId="42182"/>
    <cellStyle name="Normal 4 3 2 2 3 2" xfId="42183"/>
    <cellStyle name="Normal 4 3 2 2 3 2 2" xfId="42184"/>
    <cellStyle name="Normal 4 3 2 2 3 2 2 2" xfId="42185"/>
    <cellStyle name="Normal 4 3 2 2 3 2 2 3" xfId="42186"/>
    <cellStyle name="Normal 4 3 2 2 3 2 3" xfId="42187"/>
    <cellStyle name="Normal 4 3 2 2 3 2 3 2" xfId="42188"/>
    <cellStyle name="Normal 4 3 2 2 3 2 4" xfId="42189"/>
    <cellStyle name="Normal 4 3 2 2 3 2 5" xfId="42190"/>
    <cellStyle name="Normal 4 3 2 2 3 3" xfId="42191"/>
    <cellStyle name="Normal 4 3 2 2 3 3 2" xfId="42192"/>
    <cellStyle name="Normal 4 3 2 2 3 3 2 2" xfId="42193"/>
    <cellStyle name="Normal 4 3 2 2 3 3 3" xfId="42194"/>
    <cellStyle name="Normal 4 3 2 2 3 3 4" xfId="42195"/>
    <cellStyle name="Normal 4 3 2 2 3 4" xfId="42196"/>
    <cellStyle name="Normal 4 3 2 2 3 4 2" xfId="42197"/>
    <cellStyle name="Normal 4 3 2 2 3 4 2 2" xfId="42198"/>
    <cellStyle name="Normal 4 3 2 2 3 4 3" xfId="42199"/>
    <cellStyle name="Normal 4 3 2 2 3 4 4" xfId="42200"/>
    <cellStyle name="Normal 4 3 2 2 3 5" xfId="42201"/>
    <cellStyle name="Normal 4 3 2 2 3 5 2" xfId="42202"/>
    <cellStyle name="Normal 4 3 2 2 3 6" xfId="42203"/>
    <cellStyle name="Normal 4 3 2 2 3 7" xfId="42204"/>
    <cellStyle name="Normal 4 3 2 2 3 8" xfId="42205"/>
    <cellStyle name="Normal 4 3 2 2 4" xfId="42206"/>
    <cellStyle name="Normal 4 3 2 2 4 2" xfId="42207"/>
    <cellStyle name="Normal 4 3 2 2 4 2 2" xfId="42208"/>
    <cellStyle name="Normal 4 3 2 2 4 2 2 2" xfId="42209"/>
    <cellStyle name="Normal 4 3 2 2 4 2 2 3" xfId="42210"/>
    <cellStyle name="Normal 4 3 2 2 4 2 3" xfId="42211"/>
    <cellStyle name="Normal 4 3 2 2 4 2 3 2" xfId="42212"/>
    <cellStyle name="Normal 4 3 2 2 4 2 4" xfId="42213"/>
    <cellStyle name="Normal 4 3 2 2 4 2 5" xfId="42214"/>
    <cellStyle name="Normal 4 3 2 2 4 3" xfId="42215"/>
    <cellStyle name="Normal 4 3 2 2 4 3 2" xfId="42216"/>
    <cellStyle name="Normal 4 3 2 2 4 3 2 2" xfId="42217"/>
    <cellStyle name="Normal 4 3 2 2 4 3 3" xfId="42218"/>
    <cellStyle name="Normal 4 3 2 2 4 3 4" xfId="42219"/>
    <cellStyle name="Normal 4 3 2 2 4 4" xfId="42220"/>
    <cellStyle name="Normal 4 3 2 2 4 4 2" xfId="42221"/>
    <cellStyle name="Normal 4 3 2 2 4 4 2 2" xfId="42222"/>
    <cellStyle name="Normal 4 3 2 2 4 4 3" xfId="42223"/>
    <cellStyle name="Normal 4 3 2 2 4 4 4" xfId="42224"/>
    <cellStyle name="Normal 4 3 2 2 4 5" xfId="42225"/>
    <cellStyle name="Normal 4 3 2 2 4 5 2" xfId="42226"/>
    <cellStyle name="Normal 4 3 2 2 4 6" xfId="42227"/>
    <cellStyle name="Normal 4 3 2 2 4 7" xfId="42228"/>
    <cellStyle name="Normal 4 3 2 2 4 8" xfId="42229"/>
    <cellStyle name="Normal 4 3 2 2 5" xfId="42230"/>
    <cellStyle name="Normal 4 3 2 2 6" xfId="42231"/>
    <cellStyle name="Normal 4 3 2 3" xfId="42232"/>
    <cellStyle name="Normal 4 3 2 3 2" xfId="42233"/>
    <cellStyle name="Normal 4 3 2 3 2 2" xfId="42234"/>
    <cellStyle name="Normal 4 3 2 3 2 2 2" xfId="42235"/>
    <cellStyle name="Normal 4 3 2 3 2 2 3" xfId="42236"/>
    <cellStyle name="Normal 4 3 2 3 2 3" xfId="42237"/>
    <cellStyle name="Normal 4 3 2 3 2 3 2" xfId="42238"/>
    <cellStyle name="Normal 4 3 2 3 2 4" xfId="42239"/>
    <cellStyle name="Normal 4 3 2 3 2 5" xfId="42240"/>
    <cellStyle name="Normal 4 3 2 3 3" xfId="42241"/>
    <cellStyle name="Normal 4 3 2 3 3 2" xfId="42242"/>
    <cellStyle name="Normal 4 3 2 3 3 2 2" xfId="42243"/>
    <cellStyle name="Normal 4 3 2 3 3 3" xfId="42244"/>
    <cellStyle name="Normal 4 3 2 3 3 4" xfId="42245"/>
    <cellStyle name="Normal 4 3 2 3 4" xfId="42246"/>
    <cellStyle name="Normal 4 3 2 3 4 2" xfId="42247"/>
    <cellStyle name="Normal 4 3 2 3 4 2 2" xfId="42248"/>
    <cellStyle name="Normal 4 3 2 3 4 3" xfId="42249"/>
    <cellStyle name="Normal 4 3 2 3 4 4" xfId="42250"/>
    <cellStyle name="Normal 4 3 2 3 5" xfId="42251"/>
    <cellStyle name="Normal 4 3 2 3 5 2" xfId="42252"/>
    <cellStyle name="Normal 4 3 2 3 6" xfId="42253"/>
    <cellStyle name="Normal 4 3 2 3 7" xfId="42254"/>
    <cellStyle name="Normal 4 3 2 3 8" xfId="42255"/>
    <cellStyle name="Normal 4 3 2 4" xfId="42256"/>
    <cellStyle name="Normal 4 3 2 4 2" xfId="42257"/>
    <cellStyle name="Normal 4 3 2 4 2 2" xfId="42258"/>
    <cellStyle name="Normal 4 3 2 4 2 2 2" xfId="42259"/>
    <cellStyle name="Normal 4 3 2 4 2 2 3" xfId="42260"/>
    <cellStyle name="Normal 4 3 2 4 2 3" xfId="42261"/>
    <cellStyle name="Normal 4 3 2 4 2 3 2" xfId="42262"/>
    <cellStyle name="Normal 4 3 2 4 2 4" xfId="42263"/>
    <cellStyle name="Normal 4 3 2 4 2 5" xfId="42264"/>
    <cellStyle name="Normal 4 3 2 4 3" xfId="42265"/>
    <cellStyle name="Normal 4 3 2 4 3 2" xfId="42266"/>
    <cellStyle name="Normal 4 3 2 4 3 2 2" xfId="42267"/>
    <cellStyle name="Normal 4 3 2 4 3 3" xfId="42268"/>
    <cellStyle name="Normal 4 3 2 4 3 4" xfId="42269"/>
    <cellStyle name="Normal 4 3 2 4 4" xfId="42270"/>
    <cellStyle name="Normal 4 3 2 4 4 2" xfId="42271"/>
    <cellStyle name="Normal 4 3 2 4 4 2 2" xfId="42272"/>
    <cellStyle name="Normal 4 3 2 4 4 3" xfId="42273"/>
    <cellStyle name="Normal 4 3 2 4 4 4" xfId="42274"/>
    <cellStyle name="Normal 4 3 2 4 5" xfId="42275"/>
    <cellStyle name="Normal 4 3 2 4 5 2" xfId="42276"/>
    <cellStyle name="Normal 4 3 2 4 6" xfId="42277"/>
    <cellStyle name="Normal 4 3 2 4 7" xfId="42278"/>
    <cellStyle name="Normal 4 3 2 4 8" xfId="42279"/>
    <cellStyle name="Normal 4 3 2 5" xfId="42280"/>
    <cellStyle name="Normal 4 3 2 5 2" xfId="42281"/>
    <cellStyle name="Normal 4 3 2 5 2 2" xfId="42282"/>
    <cellStyle name="Normal 4 3 2 5 2 2 2" xfId="42283"/>
    <cellStyle name="Normal 4 3 2 5 2 2 3" xfId="42284"/>
    <cellStyle name="Normal 4 3 2 5 2 3" xfId="42285"/>
    <cellStyle name="Normal 4 3 2 5 2 3 2" xfId="42286"/>
    <cellStyle name="Normal 4 3 2 5 2 4" xfId="42287"/>
    <cellStyle name="Normal 4 3 2 5 2 5" xfId="42288"/>
    <cellStyle name="Normal 4 3 2 5 3" xfId="42289"/>
    <cellStyle name="Normal 4 3 2 5 3 2" xfId="42290"/>
    <cellStyle name="Normal 4 3 2 5 3 2 2" xfId="42291"/>
    <cellStyle name="Normal 4 3 2 5 3 3" xfId="42292"/>
    <cellStyle name="Normal 4 3 2 5 3 4" xfId="42293"/>
    <cellStyle name="Normal 4 3 2 5 4" xfId="42294"/>
    <cellStyle name="Normal 4 3 2 5 4 2" xfId="42295"/>
    <cellStyle name="Normal 4 3 2 5 4 2 2" xfId="42296"/>
    <cellStyle name="Normal 4 3 2 5 4 3" xfId="42297"/>
    <cellStyle name="Normal 4 3 2 5 4 4" xfId="42298"/>
    <cellStyle name="Normal 4 3 2 5 5" xfId="42299"/>
    <cellStyle name="Normal 4 3 2 5 5 2" xfId="42300"/>
    <cellStyle name="Normal 4 3 2 5 6" xfId="42301"/>
    <cellStyle name="Normal 4 3 2 5 7" xfId="42302"/>
    <cellStyle name="Normal 4 3 2 5 8" xfId="42303"/>
    <cellStyle name="Normal 4 3 2 6" xfId="42304"/>
    <cellStyle name="Normal 4 3 3" xfId="42305"/>
    <cellStyle name="Normal 4 3 3 2" xfId="42306"/>
    <cellStyle name="Normal 4 3 3 2 2" xfId="42307"/>
    <cellStyle name="Normal 4 3 3 2 2 2" xfId="42308"/>
    <cellStyle name="Normal 4 3 3 2 2 2 2" xfId="42309"/>
    <cellStyle name="Normal 4 3 3 2 2 2 3" xfId="42310"/>
    <cellStyle name="Normal 4 3 3 2 2 3" xfId="42311"/>
    <cellStyle name="Normal 4 3 3 2 2 3 2" xfId="42312"/>
    <cellStyle name="Normal 4 3 3 2 2 4" xfId="42313"/>
    <cellStyle name="Normal 4 3 3 2 2 5" xfId="42314"/>
    <cellStyle name="Normal 4 3 3 2 3" xfId="42315"/>
    <cellStyle name="Normal 4 3 3 2 3 2" xfId="42316"/>
    <cellStyle name="Normal 4 3 3 2 3 2 2" xfId="42317"/>
    <cellStyle name="Normal 4 3 3 2 3 3" xfId="42318"/>
    <cellStyle name="Normal 4 3 3 2 3 4" xfId="42319"/>
    <cellStyle name="Normal 4 3 3 2 4" xfId="42320"/>
    <cellStyle name="Normal 4 3 3 2 4 2" xfId="42321"/>
    <cellStyle name="Normal 4 3 3 2 4 2 2" xfId="42322"/>
    <cellStyle name="Normal 4 3 3 2 4 3" xfId="42323"/>
    <cellStyle name="Normal 4 3 3 2 4 4" xfId="42324"/>
    <cellStyle name="Normal 4 3 3 2 5" xfId="42325"/>
    <cellStyle name="Normal 4 3 3 2 5 2" xfId="42326"/>
    <cellStyle name="Normal 4 3 3 2 6" xfId="42327"/>
    <cellStyle name="Normal 4 3 3 2 7" xfId="42328"/>
    <cellStyle name="Normal 4 3 3 2 8" xfId="42329"/>
    <cellStyle name="Normal 4 3 3 3" xfId="42330"/>
    <cellStyle name="Normal 4 3 3 3 2" xfId="42331"/>
    <cellStyle name="Normal 4 3 3 3 2 2" xfId="42332"/>
    <cellStyle name="Normal 4 3 3 3 2 2 2" xfId="42333"/>
    <cellStyle name="Normal 4 3 3 3 2 2 3" xfId="42334"/>
    <cellStyle name="Normal 4 3 3 3 2 3" xfId="42335"/>
    <cellStyle name="Normal 4 3 3 3 2 3 2" xfId="42336"/>
    <cellStyle name="Normal 4 3 3 3 2 4" xfId="42337"/>
    <cellStyle name="Normal 4 3 3 3 2 5" xfId="42338"/>
    <cellStyle name="Normal 4 3 3 3 3" xfId="42339"/>
    <cellStyle name="Normal 4 3 3 3 3 2" xfId="42340"/>
    <cellStyle name="Normal 4 3 3 3 3 2 2" xfId="42341"/>
    <cellStyle name="Normal 4 3 3 3 3 3" xfId="42342"/>
    <cellStyle name="Normal 4 3 3 3 3 4" xfId="42343"/>
    <cellStyle name="Normal 4 3 3 3 4" xfId="42344"/>
    <cellStyle name="Normal 4 3 3 3 4 2" xfId="42345"/>
    <cellStyle name="Normal 4 3 3 3 4 2 2" xfId="42346"/>
    <cellStyle name="Normal 4 3 3 3 4 3" xfId="42347"/>
    <cellStyle name="Normal 4 3 3 3 4 4" xfId="42348"/>
    <cellStyle name="Normal 4 3 3 3 5" xfId="42349"/>
    <cellStyle name="Normal 4 3 3 3 5 2" xfId="42350"/>
    <cellStyle name="Normal 4 3 3 3 6" xfId="42351"/>
    <cellStyle name="Normal 4 3 3 3 7" xfId="42352"/>
    <cellStyle name="Normal 4 3 3 3 8" xfId="42353"/>
    <cellStyle name="Normal 4 3 3 4" xfId="42354"/>
    <cellStyle name="Normal 4 3 3 4 2" xfId="42355"/>
    <cellStyle name="Normal 4 3 3 4 2 2" xfId="42356"/>
    <cellStyle name="Normal 4 3 3 4 2 2 2" xfId="42357"/>
    <cellStyle name="Normal 4 3 3 4 2 2 3" xfId="42358"/>
    <cellStyle name="Normal 4 3 3 4 2 3" xfId="42359"/>
    <cellStyle name="Normal 4 3 3 4 2 3 2" xfId="42360"/>
    <cellStyle name="Normal 4 3 3 4 2 4" xfId="42361"/>
    <cellStyle name="Normal 4 3 3 4 2 5" xfId="42362"/>
    <cellStyle name="Normal 4 3 3 4 3" xfId="42363"/>
    <cellStyle name="Normal 4 3 3 4 3 2" xfId="42364"/>
    <cellStyle name="Normal 4 3 3 4 3 2 2" xfId="42365"/>
    <cellStyle name="Normal 4 3 3 4 3 3" xfId="42366"/>
    <cellStyle name="Normal 4 3 3 4 3 4" xfId="42367"/>
    <cellStyle name="Normal 4 3 3 4 4" xfId="42368"/>
    <cellStyle name="Normal 4 3 3 4 4 2" xfId="42369"/>
    <cellStyle name="Normal 4 3 3 4 4 2 2" xfId="42370"/>
    <cellStyle name="Normal 4 3 3 4 4 3" xfId="42371"/>
    <cellStyle name="Normal 4 3 3 4 4 4" xfId="42372"/>
    <cellStyle name="Normal 4 3 3 4 5" xfId="42373"/>
    <cellStyle name="Normal 4 3 3 4 5 2" xfId="42374"/>
    <cellStyle name="Normal 4 3 3 4 6" xfId="42375"/>
    <cellStyle name="Normal 4 3 3 4 7" xfId="42376"/>
    <cellStyle name="Normal 4 3 3 4 8" xfId="42377"/>
    <cellStyle name="Normal 4 3 3 5" xfId="42378"/>
    <cellStyle name="Normal 4 3 3 6" xfId="42379"/>
    <cellStyle name="Normal 4 3 4" xfId="42380"/>
    <cellStyle name="Normal 4 3 4 2" xfId="42381"/>
    <cellStyle name="Normal 4 3 5" xfId="42382"/>
    <cellStyle name="Normal 4 3 5 2" xfId="42383"/>
    <cellStyle name="Normal 4 3 6" xfId="42384"/>
    <cellStyle name="Normal 4 3 6 2" xfId="42385"/>
    <cellStyle name="Normal 4 3 6 2 2" xfId="42386"/>
    <cellStyle name="Normal 4 3 6 2 2 2" xfId="42387"/>
    <cellStyle name="Normal 4 3 6 2 2 3" xfId="42388"/>
    <cellStyle name="Normal 4 3 6 2 3" xfId="42389"/>
    <cellStyle name="Normal 4 3 6 2 3 2" xfId="42390"/>
    <cellStyle name="Normal 4 3 6 2 4" xfId="42391"/>
    <cellStyle name="Normal 4 3 6 2 5" xfId="42392"/>
    <cellStyle name="Normal 4 3 6 3" xfId="42393"/>
    <cellStyle name="Normal 4 3 6 3 2" xfId="42394"/>
    <cellStyle name="Normal 4 3 6 3 2 2" xfId="42395"/>
    <cellStyle name="Normal 4 3 6 3 3" xfId="42396"/>
    <cellStyle name="Normal 4 3 6 3 4" xfId="42397"/>
    <cellStyle name="Normal 4 3 6 4" xfId="42398"/>
    <cellStyle name="Normal 4 3 6 4 2" xfId="42399"/>
    <cellStyle name="Normal 4 3 6 4 2 2" xfId="42400"/>
    <cellStyle name="Normal 4 3 6 4 3" xfId="42401"/>
    <cellStyle name="Normal 4 3 6 4 4" xfId="42402"/>
    <cellStyle name="Normal 4 3 6 5" xfId="42403"/>
    <cellStyle name="Normal 4 3 6 5 2" xfId="42404"/>
    <cellStyle name="Normal 4 3 6 6" xfId="42405"/>
    <cellStyle name="Normal 4 3 6 7" xfId="42406"/>
    <cellStyle name="Normal 4 3 6 8" xfId="42407"/>
    <cellStyle name="Normal 4 3 7" xfId="42408"/>
    <cellStyle name="Normal 4 3 7 2" xfId="42409"/>
    <cellStyle name="Normal 4 3 7 2 2" xfId="42410"/>
    <cellStyle name="Normal 4 3 7 2 2 2" xfId="42411"/>
    <cellStyle name="Normal 4 3 7 2 2 3" xfId="42412"/>
    <cellStyle name="Normal 4 3 7 2 3" xfId="42413"/>
    <cellStyle name="Normal 4 3 7 2 3 2" xfId="42414"/>
    <cellStyle name="Normal 4 3 7 2 4" xfId="42415"/>
    <cellStyle name="Normal 4 3 7 2 5" xfId="42416"/>
    <cellStyle name="Normal 4 3 7 3" xfId="42417"/>
    <cellStyle name="Normal 4 3 7 3 2" xfId="42418"/>
    <cellStyle name="Normal 4 3 7 3 2 2" xfId="42419"/>
    <cellStyle name="Normal 4 3 7 3 3" xfId="42420"/>
    <cellStyle name="Normal 4 3 7 3 4" xfId="42421"/>
    <cellStyle name="Normal 4 3 7 4" xfId="42422"/>
    <cellStyle name="Normal 4 3 7 4 2" xfId="42423"/>
    <cellStyle name="Normal 4 3 7 4 2 2" xfId="42424"/>
    <cellStyle name="Normal 4 3 7 4 3" xfId="42425"/>
    <cellStyle name="Normal 4 3 7 4 4" xfId="42426"/>
    <cellStyle name="Normal 4 3 7 5" xfId="42427"/>
    <cellStyle name="Normal 4 3 7 5 2" xfId="42428"/>
    <cellStyle name="Normal 4 3 7 6" xfId="42429"/>
    <cellStyle name="Normal 4 3 7 7" xfId="42430"/>
    <cellStyle name="Normal 4 3 7 8" xfId="42431"/>
    <cellStyle name="Normal 4 3 8" xfId="42432"/>
    <cellStyle name="Normal 4 3 8 2" xfId="42433"/>
    <cellStyle name="Normal 4 3 8 2 2" xfId="42434"/>
    <cellStyle name="Normal 4 3 8 2 2 2" xfId="42435"/>
    <cellStyle name="Normal 4 3 8 2 2 3" xfId="42436"/>
    <cellStyle name="Normal 4 3 8 2 3" xfId="42437"/>
    <cellStyle name="Normal 4 3 8 2 3 2" xfId="42438"/>
    <cellStyle name="Normal 4 3 8 2 4" xfId="42439"/>
    <cellStyle name="Normal 4 3 8 2 5" xfId="42440"/>
    <cellStyle name="Normal 4 3 8 3" xfId="42441"/>
    <cellStyle name="Normal 4 3 8 3 2" xfId="42442"/>
    <cellStyle name="Normal 4 3 8 3 2 2" xfId="42443"/>
    <cellStyle name="Normal 4 3 8 3 3" xfId="42444"/>
    <cellStyle name="Normal 4 3 8 3 4" xfId="42445"/>
    <cellStyle name="Normal 4 3 8 4" xfId="42446"/>
    <cellStyle name="Normal 4 3 8 4 2" xfId="42447"/>
    <cellStyle name="Normal 4 3 8 4 2 2" xfId="42448"/>
    <cellStyle name="Normal 4 3 8 4 3" xfId="42449"/>
    <cellStyle name="Normal 4 3 8 4 4" xfId="42450"/>
    <cellStyle name="Normal 4 3 8 5" xfId="42451"/>
    <cellStyle name="Normal 4 3 8 5 2" xfId="42452"/>
    <cellStyle name="Normal 4 3 8 6" xfId="42453"/>
    <cellStyle name="Normal 4 3 8 7" xfId="42454"/>
    <cellStyle name="Normal 4 3 8 8" xfId="42455"/>
    <cellStyle name="Normal 4 3 9" xfId="42456"/>
    <cellStyle name="Normal 4 3_Dakota Panel" xfId="42457"/>
    <cellStyle name="Normal 4 4" xfId="42458"/>
    <cellStyle name="Normal 4 4 2" xfId="42459"/>
    <cellStyle name="Normal 4 4 2 2" xfId="42460"/>
    <cellStyle name="Normal 4 4 2 2 2" xfId="42461"/>
    <cellStyle name="Normal 4 4 2 2 2 2" xfId="42462"/>
    <cellStyle name="Normal 4 4 2 2 2 2 2" xfId="42463"/>
    <cellStyle name="Normal 4 4 2 2 2 2 3" xfId="42464"/>
    <cellStyle name="Normal 4 4 2 2 2 3" xfId="42465"/>
    <cellStyle name="Normal 4 4 2 2 2 3 2" xfId="42466"/>
    <cellStyle name="Normal 4 4 2 2 2 4" xfId="42467"/>
    <cellStyle name="Normal 4 4 2 2 2 5" xfId="42468"/>
    <cellStyle name="Normal 4 4 2 2 3" xfId="42469"/>
    <cellStyle name="Normal 4 4 2 2 3 2" xfId="42470"/>
    <cellStyle name="Normal 4 4 2 2 3 2 2" xfId="42471"/>
    <cellStyle name="Normal 4 4 2 2 3 3" xfId="42472"/>
    <cellStyle name="Normal 4 4 2 2 3 4" xfId="42473"/>
    <cellStyle name="Normal 4 4 2 2 4" xfId="42474"/>
    <cellStyle name="Normal 4 4 2 2 4 2" xfId="42475"/>
    <cellStyle name="Normal 4 4 2 2 4 2 2" xfId="42476"/>
    <cellStyle name="Normal 4 4 2 2 4 3" xfId="42477"/>
    <cellStyle name="Normal 4 4 2 2 4 4" xfId="42478"/>
    <cellStyle name="Normal 4 4 2 2 5" xfId="42479"/>
    <cellStyle name="Normal 4 4 2 2 5 2" xfId="42480"/>
    <cellStyle name="Normal 4 4 2 2 6" xfId="42481"/>
    <cellStyle name="Normal 4 4 2 2 7" xfId="42482"/>
    <cellStyle name="Normal 4 4 2 2 8" xfId="42483"/>
    <cellStyle name="Normal 4 4 2 3" xfId="42484"/>
    <cellStyle name="Normal 4 4 2 3 2" xfId="42485"/>
    <cellStyle name="Normal 4 4 2 3 2 2" xfId="42486"/>
    <cellStyle name="Normal 4 4 2 3 2 2 2" xfId="42487"/>
    <cellStyle name="Normal 4 4 2 3 2 2 3" xfId="42488"/>
    <cellStyle name="Normal 4 4 2 3 2 3" xfId="42489"/>
    <cellStyle name="Normal 4 4 2 3 2 3 2" xfId="42490"/>
    <cellStyle name="Normal 4 4 2 3 2 4" xfId="42491"/>
    <cellStyle name="Normal 4 4 2 3 2 5" xfId="42492"/>
    <cellStyle name="Normal 4 4 2 3 3" xfId="42493"/>
    <cellStyle name="Normal 4 4 2 3 3 2" xfId="42494"/>
    <cellStyle name="Normal 4 4 2 3 3 2 2" xfId="42495"/>
    <cellStyle name="Normal 4 4 2 3 3 3" xfId="42496"/>
    <cellStyle name="Normal 4 4 2 3 3 4" xfId="42497"/>
    <cellStyle name="Normal 4 4 2 3 4" xfId="42498"/>
    <cellStyle name="Normal 4 4 2 3 4 2" xfId="42499"/>
    <cellStyle name="Normal 4 4 2 3 4 2 2" xfId="42500"/>
    <cellStyle name="Normal 4 4 2 3 4 3" xfId="42501"/>
    <cellStyle name="Normal 4 4 2 3 4 4" xfId="42502"/>
    <cellStyle name="Normal 4 4 2 3 5" xfId="42503"/>
    <cellStyle name="Normal 4 4 2 3 5 2" xfId="42504"/>
    <cellStyle name="Normal 4 4 2 3 6" xfId="42505"/>
    <cellStyle name="Normal 4 4 2 3 7" xfId="42506"/>
    <cellStyle name="Normal 4 4 2 3 8" xfId="42507"/>
    <cellStyle name="Normal 4 4 2 4" xfId="42508"/>
    <cellStyle name="Normal 4 4 2 4 2" xfId="42509"/>
    <cellStyle name="Normal 4 4 2 4 2 2" xfId="42510"/>
    <cellStyle name="Normal 4 4 2 4 2 2 2" xfId="42511"/>
    <cellStyle name="Normal 4 4 2 4 2 2 3" xfId="42512"/>
    <cellStyle name="Normal 4 4 2 4 2 3" xfId="42513"/>
    <cellStyle name="Normal 4 4 2 4 2 3 2" xfId="42514"/>
    <cellStyle name="Normal 4 4 2 4 2 4" xfId="42515"/>
    <cellStyle name="Normal 4 4 2 4 2 5" xfId="42516"/>
    <cellStyle name="Normal 4 4 2 4 3" xfId="42517"/>
    <cellStyle name="Normal 4 4 2 4 3 2" xfId="42518"/>
    <cellStyle name="Normal 4 4 2 4 3 2 2" xfId="42519"/>
    <cellStyle name="Normal 4 4 2 4 3 3" xfId="42520"/>
    <cellStyle name="Normal 4 4 2 4 3 4" xfId="42521"/>
    <cellStyle name="Normal 4 4 2 4 4" xfId="42522"/>
    <cellStyle name="Normal 4 4 2 4 4 2" xfId="42523"/>
    <cellStyle name="Normal 4 4 2 4 4 2 2" xfId="42524"/>
    <cellStyle name="Normal 4 4 2 4 4 3" xfId="42525"/>
    <cellStyle name="Normal 4 4 2 4 4 4" xfId="42526"/>
    <cellStyle name="Normal 4 4 2 4 5" xfId="42527"/>
    <cellStyle name="Normal 4 4 2 4 5 2" xfId="42528"/>
    <cellStyle name="Normal 4 4 2 4 6" xfId="42529"/>
    <cellStyle name="Normal 4 4 2 4 7" xfId="42530"/>
    <cellStyle name="Normal 4 4 2 4 8" xfId="42531"/>
    <cellStyle name="Normal 4 4 2 5" xfId="42532"/>
    <cellStyle name="Normal 4 4 3" xfId="42533"/>
    <cellStyle name="Normal 4 4 3 2" xfId="42534"/>
    <cellStyle name="Normal 4 4 4" xfId="42535"/>
    <cellStyle name="Normal 4 4 4 2" xfId="42536"/>
    <cellStyle name="Normal 4 4 5" xfId="42537"/>
    <cellStyle name="Normal 4 4 5 2" xfId="42538"/>
    <cellStyle name="Normal 4 4 5 2 2" xfId="42539"/>
    <cellStyle name="Normal 4 4 5 2 2 2" xfId="42540"/>
    <cellStyle name="Normal 4 4 5 2 2 3" xfId="42541"/>
    <cellStyle name="Normal 4 4 5 2 3" xfId="42542"/>
    <cellStyle name="Normal 4 4 5 2 3 2" xfId="42543"/>
    <cellStyle name="Normal 4 4 5 2 4" xfId="42544"/>
    <cellStyle name="Normal 4 4 5 2 5" xfId="42545"/>
    <cellStyle name="Normal 4 4 5 3" xfId="42546"/>
    <cellStyle name="Normal 4 4 5 3 2" xfId="42547"/>
    <cellStyle name="Normal 4 4 5 3 2 2" xfId="42548"/>
    <cellStyle name="Normal 4 4 5 3 3" xfId="42549"/>
    <cellStyle name="Normal 4 4 5 3 4" xfId="42550"/>
    <cellStyle name="Normal 4 4 5 4" xfId="42551"/>
    <cellStyle name="Normal 4 4 5 4 2" xfId="42552"/>
    <cellStyle name="Normal 4 4 5 4 2 2" xfId="42553"/>
    <cellStyle name="Normal 4 4 5 4 3" xfId="42554"/>
    <cellStyle name="Normal 4 4 5 4 4" xfId="42555"/>
    <cellStyle name="Normal 4 4 5 5" xfId="42556"/>
    <cellStyle name="Normal 4 4 5 5 2" xfId="42557"/>
    <cellStyle name="Normal 4 4 5 6" xfId="42558"/>
    <cellStyle name="Normal 4 4 5 7" xfId="42559"/>
    <cellStyle name="Normal 4 4 5 8" xfId="42560"/>
    <cellStyle name="Normal 4 4 6" xfId="42561"/>
    <cellStyle name="Normal 4 4 6 2" xfId="42562"/>
    <cellStyle name="Normal 4 4 6 2 2" xfId="42563"/>
    <cellStyle name="Normal 4 4 6 2 2 2" xfId="42564"/>
    <cellStyle name="Normal 4 4 6 2 2 3" xfId="42565"/>
    <cellStyle name="Normal 4 4 6 2 3" xfId="42566"/>
    <cellStyle name="Normal 4 4 6 2 3 2" xfId="42567"/>
    <cellStyle name="Normal 4 4 6 2 4" xfId="42568"/>
    <cellStyle name="Normal 4 4 6 2 5" xfId="42569"/>
    <cellStyle name="Normal 4 4 6 3" xfId="42570"/>
    <cellStyle name="Normal 4 4 6 3 2" xfId="42571"/>
    <cellStyle name="Normal 4 4 6 3 2 2" xfId="42572"/>
    <cellStyle name="Normal 4 4 6 3 3" xfId="42573"/>
    <cellStyle name="Normal 4 4 6 3 4" xfId="42574"/>
    <cellStyle name="Normal 4 4 6 4" xfId="42575"/>
    <cellStyle name="Normal 4 4 6 4 2" xfId="42576"/>
    <cellStyle name="Normal 4 4 6 4 2 2" xfId="42577"/>
    <cellStyle name="Normal 4 4 6 4 3" xfId="42578"/>
    <cellStyle name="Normal 4 4 6 4 4" xfId="42579"/>
    <cellStyle name="Normal 4 4 6 5" xfId="42580"/>
    <cellStyle name="Normal 4 4 6 5 2" xfId="42581"/>
    <cellStyle name="Normal 4 4 6 6" xfId="42582"/>
    <cellStyle name="Normal 4 4 6 7" xfId="42583"/>
    <cellStyle name="Normal 4 4 6 8" xfId="42584"/>
    <cellStyle name="Normal 4 4 7" xfId="42585"/>
    <cellStyle name="Normal 4 4 7 2" xfId="42586"/>
    <cellStyle name="Normal 4 4 7 2 2" xfId="42587"/>
    <cellStyle name="Normal 4 4 7 2 2 2" xfId="42588"/>
    <cellStyle name="Normal 4 4 7 2 2 3" xfId="42589"/>
    <cellStyle name="Normal 4 4 7 2 3" xfId="42590"/>
    <cellStyle name="Normal 4 4 7 2 3 2" xfId="42591"/>
    <cellStyle name="Normal 4 4 7 2 4" xfId="42592"/>
    <cellStyle name="Normal 4 4 7 2 5" xfId="42593"/>
    <cellStyle name="Normal 4 4 7 3" xfId="42594"/>
    <cellStyle name="Normal 4 4 7 3 2" xfId="42595"/>
    <cellStyle name="Normal 4 4 7 3 2 2" xfId="42596"/>
    <cellStyle name="Normal 4 4 7 3 3" xfId="42597"/>
    <cellStyle name="Normal 4 4 7 3 4" xfId="42598"/>
    <cellStyle name="Normal 4 4 7 4" xfId="42599"/>
    <cellStyle name="Normal 4 4 7 4 2" xfId="42600"/>
    <cellStyle name="Normal 4 4 7 4 2 2" xfId="42601"/>
    <cellStyle name="Normal 4 4 7 4 3" xfId="42602"/>
    <cellStyle name="Normal 4 4 7 4 4" xfId="42603"/>
    <cellStyle name="Normal 4 4 7 5" xfId="42604"/>
    <cellStyle name="Normal 4 4 7 5 2" xfId="42605"/>
    <cellStyle name="Normal 4 4 7 6" xfId="42606"/>
    <cellStyle name="Normal 4 4 7 7" xfId="42607"/>
    <cellStyle name="Normal 4 4 7 8" xfId="42608"/>
    <cellStyle name="Normal 4 4 8" xfId="42609"/>
    <cellStyle name="Normal 4 5" xfId="42610"/>
    <cellStyle name="Normal 4 5 2" xfId="42611"/>
    <cellStyle name="Normal 4 5 2 2" xfId="42612"/>
    <cellStyle name="Normal 4 5 3" xfId="42613"/>
    <cellStyle name="Normal 4 5 3 2" xfId="42614"/>
    <cellStyle name="Normal 4 5 3 2 2" xfId="42615"/>
    <cellStyle name="Normal 4 5 3 2 2 2" xfId="42616"/>
    <cellStyle name="Normal 4 5 3 2 2 3" xfId="42617"/>
    <cellStyle name="Normal 4 5 3 2 3" xfId="42618"/>
    <cellStyle name="Normal 4 5 3 2 3 2" xfId="42619"/>
    <cellStyle name="Normal 4 5 3 2 4" xfId="42620"/>
    <cellStyle name="Normal 4 5 3 2 5" xfId="42621"/>
    <cellStyle name="Normal 4 5 3 3" xfId="42622"/>
    <cellStyle name="Normal 4 5 3 3 2" xfId="42623"/>
    <cellStyle name="Normal 4 5 3 3 2 2" xfId="42624"/>
    <cellStyle name="Normal 4 5 3 3 3" xfId="42625"/>
    <cellStyle name="Normal 4 5 3 3 4" xfId="42626"/>
    <cellStyle name="Normal 4 5 3 4" xfId="42627"/>
    <cellStyle name="Normal 4 5 3 4 2" xfId="42628"/>
    <cellStyle name="Normal 4 5 3 4 2 2" xfId="42629"/>
    <cellStyle name="Normal 4 5 3 4 3" xfId="42630"/>
    <cellStyle name="Normal 4 5 3 4 4" xfId="42631"/>
    <cellStyle name="Normal 4 5 3 5" xfId="42632"/>
    <cellStyle name="Normal 4 5 3 5 2" xfId="42633"/>
    <cellStyle name="Normal 4 5 3 6" xfId="42634"/>
    <cellStyle name="Normal 4 5 3 7" xfId="42635"/>
    <cellStyle name="Normal 4 5 3 8" xfId="42636"/>
    <cellStyle name="Normal 4 5 4" xfId="42637"/>
    <cellStyle name="Normal 4 5 4 2" xfId="42638"/>
    <cellStyle name="Normal 4 5 4 2 2" xfId="42639"/>
    <cellStyle name="Normal 4 5 4 2 2 2" xfId="42640"/>
    <cellStyle name="Normal 4 5 4 2 2 3" xfId="42641"/>
    <cellStyle name="Normal 4 5 4 2 3" xfId="42642"/>
    <cellStyle name="Normal 4 5 4 2 3 2" xfId="42643"/>
    <cellStyle name="Normal 4 5 4 2 4" xfId="42644"/>
    <cellStyle name="Normal 4 5 4 2 5" xfId="42645"/>
    <cellStyle name="Normal 4 5 4 3" xfId="42646"/>
    <cellStyle name="Normal 4 5 4 3 2" xfId="42647"/>
    <cellStyle name="Normal 4 5 4 3 2 2" xfId="42648"/>
    <cellStyle name="Normal 4 5 4 3 3" xfId="42649"/>
    <cellStyle name="Normal 4 5 4 3 4" xfId="42650"/>
    <cellStyle name="Normal 4 5 4 4" xfId="42651"/>
    <cellStyle name="Normal 4 5 4 4 2" xfId="42652"/>
    <cellStyle name="Normal 4 5 4 4 2 2" xfId="42653"/>
    <cellStyle name="Normal 4 5 4 4 3" xfId="42654"/>
    <cellStyle name="Normal 4 5 4 4 4" xfId="42655"/>
    <cellStyle name="Normal 4 5 4 5" xfId="42656"/>
    <cellStyle name="Normal 4 5 4 5 2" xfId="42657"/>
    <cellStyle name="Normal 4 5 4 6" xfId="42658"/>
    <cellStyle name="Normal 4 5 4 7" xfId="42659"/>
    <cellStyle name="Normal 4 5 4 8" xfId="42660"/>
    <cellStyle name="Normal 4 5 5" xfId="42661"/>
    <cellStyle name="Normal 4 5 5 2" xfId="42662"/>
    <cellStyle name="Normal 4 5 5 2 2" xfId="42663"/>
    <cellStyle name="Normal 4 5 5 2 2 2" xfId="42664"/>
    <cellStyle name="Normal 4 5 5 2 2 3" xfId="42665"/>
    <cellStyle name="Normal 4 5 5 2 3" xfId="42666"/>
    <cellStyle name="Normal 4 5 5 2 3 2" xfId="42667"/>
    <cellStyle name="Normal 4 5 5 2 4" xfId="42668"/>
    <cellStyle name="Normal 4 5 5 2 5" xfId="42669"/>
    <cellStyle name="Normal 4 5 5 3" xfId="42670"/>
    <cellStyle name="Normal 4 5 5 3 2" xfId="42671"/>
    <cellStyle name="Normal 4 5 5 3 2 2" xfId="42672"/>
    <cellStyle name="Normal 4 5 5 3 3" xfId="42673"/>
    <cellStyle name="Normal 4 5 5 3 4" xfId="42674"/>
    <cellStyle name="Normal 4 5 5 4" xfId="42675"/>
    <cellStyle name="Normal 4 5 5 4 2" xfId="42676"/>
    <cellStyle name="Normal 4 5 5 4 2 2" xfId="42677"/>
    <cellStyle name="Normal 4 5 5 4 3" xfId="42678"/>
    <cellStyle name="Normal 4 5 5 4 4" xfId="42679"/>
    <cellStyle name="Normal 4 5 5 5" xfId="42680"/>
    <cellStyle name="Normal 4 5 5 5 2" xfId="42681"/>
    <cellStyle name="Normal 4 5 5 6" xfId="42682"/>
    <cellStyle name="Normal 4 5 5 7" xfId="42683"/>
    <cellStyle name="Normal 4 5 5 8" xfId="42684"/>
    <cellStyle name="Normal 4 6" xfId="42685"/>
    <cellStyle name="Normal 4 6 2" xfId="42686"/>
    <cellStyle name="Normal 4 6 2 2" xfId="42687"/>
    <cellStyle name="Normal 4 6 3" xfId="42688"/>
    <cellStyle name="Normal 4 7" xfId="42689"/>
    <cellStyle name="Normal 4 7 2" xfId="42690"/>
    <cellStyle name="Normal 4 7 2 2" xfId="42691"/>
    <cellStyle name="Normal 4 7 3" xfId="42692"/>
    <cellStyle name="Normal 4 7 3 2" xfId="42693"/>
    <cellStyle name="Normal 4 7 3 2 2" xfId="42694"/>
    <cellStyle name="Normal 4 7 3 2 2 2" xfId="42695"/>
    <cellStyle name="Normal 4 7 3 2 2 3" xfId="42696"/>
    <cellStyle name="Normal 4 7 3 2 3" xfId="42697"/>
    <cellStyle name="Normal 4 7 3 2 3 2" xfId="42698"/>
    <cellStyle name="Normal 4 7 3 2 4" xfId="42699"/>
    <cellStyle name="Normal 4 7 3 2 5" xfId="42700"/>
    <cellStyle name="Normal 4 7 3 3" xfId="42701"/>
    <cellStyle name="Normal 4 7 3 3 2" xfId="42702"/>
    <cellStyle name="Normal 4 7 3 3 2 2" xfId="42703"/>
    <cellStyle name="Normal 4 7 3 3 3" xfId="42704"/>
    <cellStyle name="Normal 4 7 3 3 4" xfId="42705"/>
    <cellStyle name="Normal 4 7 3 4" xfId="42706"/>
    <cellStyle name="Normal 4 7 3 4 2" xfId="42707"/>
    <cellStyle name="Normal 4 7 3 4 2 2" xfId="42708"/>
    <cellStyle name="Normal 4 7 3 4 3" xfId="42709"/>
    <cellStyle name="Normal 4 7 3 4 4" xfId="42710"/>
    <cellStyle name="Normal 4 7 3 5" xfId="42711"/>
    <cellStyle name="Normal 4 7 3 5 2" xfId="42712"/>
    <cellStyle name="Normal 4 7 3 6" xfId="42713"/>
    <cellStyle name="Normal 4 7 3 7" xfId="42714"/>
    <cellStyle name="Normal 4 7 3 8" xfId="42715"/>
    <cellStyle name="Normal 4 7 4" xfId="42716"/>
    <cellStyle name="Normal 4 7 4 2" xfId="42717"/>
    <cellStyle name="Normal 4 7 4 2 2" xfId="42718"/>
    <cellStyle name="Normal 4 7 4 2 2 2" xfId="42719"/>
    <cellStyle name="Normal 4 7 4 2 2 3" xfId="42720"/>
    <cellStyle name="Normal 4 7 4 2 3" xfId="42721"/>
    <cellStyle name="Normal 4 7 4 2 3 2" xfId="42722"/>
    <cellStyle name="Normal 4 7 4 2 4" xfId="42723"/>
    <cellStyle name="Normal 4 7 4 2 5" xfId="42724"/>
    <cellStyle name="Normal 4 7 4 3" xfId="42725"/>
    <cellStyle name="Normal 4 7 4 3 2" xfId="42726"/>
    <cellStyle name="Normal 4 7 4 3 2 2" xfId="42727"/>
    <cellStyle name="Normal 4 7 4 3 3" xfId="42728"/>
    <cellStyle name="Normal 4 7 4 3 4" xfId="42729"/>
    <cellStyle name="Normal 4 7 4 4" xfId="42730"/>
    <cellStyle name="Normal 4 7 4 4 2" xfId="42731"/>
    <cellStyle name="Normal 4 7 4 4 2 2" xfId="42732"/>
    <cellStyle name="Normal 4 7 4 4 3" xfId="42733"/>
    <cellStyle name="Normal 4 7 4 4 4" xfId="42734"/>
    <cellStyle name="Normal 4 7 4 5" xfId="42735"/>
    <cellStyle name="Normal 4 7 4 5 2" xfId="42736"/>
    <cellStyle name="Normal 4 7 4 6" xfId="42737"/>
    <cellStyle name="Normal 4 7 4 7" xfId="42738"/>
    <cellStyle name="Normal 4 7 4 8" xfId="42739"/>
    <cellStyle name="Normal 4 7 5" xfId="42740"/>
    <cellStyle name="Normal 4 7 5 2" xfId="42741"/>
    <cellStyle name="Normal 4 7 5 2 2" xfId="42742"/>
    <cellStyle name="Normal 4 7 5 2 2 2" xfId="42743"/>
    <cellStyle name="Normal 4 7 5 2 2 3" xfId="42744"/>
    <cellStyle name="Normal 4 7 5 2 3" xfId="42745"/>
    <cellStyle name="Normal 4 7 5 2 3 2" xfId="42746"/>
    <cellStyle name="Normal 4 7 5 2 4" xfId="42747"/>
    <cellStyle name="Normal 4 7 5 2 5" xfId="42748"/>
    <cellStyle name="Normal 4 7 5 3" xfId="42749"/>
    <cellStyle name="Normal 4 7 5 3 2" xfId="42750"/>
    <cellStyle name="Normal 4 7 5 3 2 2" xfId="42751"/>
    <cellStyle name="Normal 4 7 5 3 3" xfId="42752"/>
    <cellStyle name="Normal 4 7 5 3 4" xfId="42753"/>
    <cellStyle name="Normal 4 7 5 4" xfId="42754"/>
    <cellStyle name="Normal 4 7 5 4 2" xfId="42755"/>
    <cellStyle name="Normal 4 7 5 4 2 2" xfId="42756"/>
    <cellStyle name="Normal 4 7 5 4 3" xfId="42757"/>
    <cellStyle name="Normal 4 7 5 4 4" xfId="42758"/>
    <cellStyle name="Normal 4 7 5 5" xfId="42759"/>
    <cellStyle name="Normal 4 7 5 5 2" xfId="42760"/>
    <cellStyle name="Normal 4 7 5 6" xfId="42761"/>
    <cellStyle name="Normal 4 7 5 7" xfId="42762"/>
    <cellStyle name="Normal 4 7 5 8" xfId="42763"/>
    <cellStyle name="Normal 4 8" xfId="42764"/>
    <cellStyle name="Normal 4 8 2" xfId="42765"/>
    <cellStyle name="Normal 4 9" xfId="42766"/>
    <cellStyle name="Normal 4 9 2" xfId="42767"/>
    <cellStyle name="Normal 4_1-10 BHU IS" xfId="42768"/>
    <cellStyle name="Normal 40" xfId="42769"/>
    <cellStyle name="Normal 40 10" xfId="42770"/>
    <cellStyle name="Normal 40 10 2" xfId="42771"/>
    <cellStyle name="Normal 40 11" xfId="42772"/>
    <cellStyle name="Normal 40 11 2" xfId="42773"/>
    <cellStyle name="Normal 40 12" xfId="42774"/>
    <cellStyle name="Normal 40 2" xfId="42775"/>
    <cellStyle name="Normal 40 2 2" xfId="42776"/>
    <cellStyle name="Normal 40 2 2 2" xfId="42777"/>
    <cellStyle name="Normal 40 2 3" xfId="42778"/>
    <cellStyle name="Normal 40 3" xfId="42779"/>
    <cellStyle name="Normal 40 3 2" xfId="42780"/>
    <cellStyle name="Normal 40 3 2 2" xfId="42781"/>
    <cellStyle name="Normal 40 3 3" xfId="42782"/>
    <cellStyle name="Normal 40 4" xfId="42783"/>
    <cellStyle name="Normal 40 4 2" xfId="42784"/>
    <cellStyle name="Normal 40 4 2 2" xfId="42785"/>
    <cellStyle name="Normal 40 4 3" xfId="42786"/>
    <cellStyle name="Normal 40 4 3 2" xfId="42787"/>
    <cellStyle name="Normal 40 4 4" xfId="42788"/>
    <cellStyle name="Normal 40 4 4 2" xfId="42789"/>
    <cellStyle name="Normal 40 4 5" xfId="42790"/>
    <cellStyle name="Normal 40 4 5 2" xfId="42791"/>
    <cellStyle name="Normal 40 4 6" xfId="42792"/>
    <cellStyle name="Normal 40 4 6 2" xfId="42793"/>
    <cellStyle name="Normal 40 4 7" xfId="42794"/>
    <cellStyle name="Normal 40 4 7 2" xfId="42795"/>
    <cellStyle name="Normal 40 4 8" xfId="42796"/>
    <cellStyle name="Normal 40 4 8 2" xfId="42797"/>
    <cellStyle name="Normal 40 4 9" xfId="42798"/>
    <cellStyle name="Normal 40 4 9 2" xfId="42799"/>
    <cellStyle name="Normal 40 4_Dakota Panel" xfId="42800"/>
    <cellStyle name="Normal 40 5" xfId="42801"/>
    <cellStyle name="Normal 40 5 2" xfId="42802"/>
    <cellStyle name="Normal 40 5 2 2" xfId="42803"/>
    <cellStyle name="Normal 40 5 3" xfId="42804"/>
    <cellStyle name="Normal 40 5 3 2" xfId="42805"/>
    <cellStyle name="Normal 40 5 4" xfId="42806"/>
    <cellStyle name="Normal 40 5 5" xfId="42807"/>
    <cellStyle name="Normal 40 6" xfId="42808"/>
    <cellStyle name="Normal 40 6 2" xfId="42809"/>
    <cellStyle name="Normal 40 7" xfId="42810"/>
    <cellStyle name="Normal 40 7 2" xfId="42811"/>
    <cellStyle name="Normal 40 8" xfId="42812"/>
    <cellStyle name="Normal 40 8 2" xfId="42813"/>
    <cellStyle name="Normal 40 9" xfId="42814"/>
    <cellStyle name="Normal 40 9 2" xfId="42815"/>
    <cellStyle name="Normal 40_Dakota Panel" xfId="42816"/>
    <cellStyle name="Normal 41" xfId="42817"/>
    <cellStyle name="Normal 41 10" xfId="42818"/>
    <cellStyle name="Normal 41 10 2" xfId="42819"/>
    <cellStyle name="Normal 41 11" xfId="42820"/>
    <cellStyle name="Normal 41 11 2" xfId="42821"/>
    <cellStyle name="Normal 41 12" xfId="42822"/>
    <cellStyle name="Normal 41 2" xfId="42823"/>
    <cellStyle name="Normal 41 2 2" xfId="42824"/>
    <cellStyle name="Normal 41 2 2 2" xfId="42825"/>
    <cellStyle name="Normal 41 2 3" xfId="42826"/>
    <cellStyle name="Normal 41 3" xfId="42827"/>
    <cellStyle name="Normal 41 3 2" xfId="42828"/>
    <cellStyle name="Normal 41 3 2 2" xfId="42829"/>
    <cellStyle name="Normal 41 3 3" xfId="42830"/>
    <cellStyle name="Normal 41 4" xfId="42831"/>
    <cellStyle name="Normal 41 4 2" xfId="42832"/>
    <cellStyle name="Normal 41 4 2 2" xfId="42833"/>
    <cellStyle name="Normal 41 4 3" xfId="42834"/>
    <cellStyle name="Normal 41 4 3 2" xfId="42835"/>
    <cellStyle name="Normal 41 4 4" xfId="42836"/>
    <cellStyle name="Normal 41 4 4 2" xfId="42837"/>
    <cellStyle name="Normal 41 4 5" xfId="42838"/>
    <cellStyle name="Normal 41 4 5 2" xfId="42839"/>
    <cellStyle name="Normal 41 4 6" xfId="42840"/>
    <cellStyle name="Normal 41 4 6 2" xfId="42841"/>
    <cellStyle name="Normal 41 4 7" xfId="42842"/>
    <cellStyle name="Normal 41 4 7 2" xfId="42843"/>
    <cellStyle name="Normal 41 4 8" xfId="42844"/>
    <cellStyle name="Normal 41 4 8 2" xfId="42845"/>
    <cellStyle name="Normal 41 4 9" xfId="42846"/>
    <cellStyle name="Normal 41 4 9 2" xfId="42847"/>
    <cellStyle name="Normal 41 4_Dakota Panel" xfId="42848"/>
    <cellStyle name="Normal 41 5" xfId="42849"/>
    <cellStyle name="Normal 41 5 2" xfId="42850"/>
    <cellStyle name="Normal 41 5 2 2" xfId="42851"/>
    <cellStyle name="Normal 41 5 3" xfId="42852"/>
    <cellStyle name="Normal 41 5 3 2" xfId="42853"/>
    <cellStyle name="Normal 41 5 4" xfId="42854"/>
    <cellStyle name="Normal 41 5 5" xfId="42855"/>
    <cellStyle name="Normal 41 6" xfId="42856"/>
    <cellStyle name="Normal 41 6 2" xfId="42857"/>
    <cellStyle name="Normal 41 7" xfId="42858"/>
    <cellStyle name="Normal 41 7 2" xfId="42859"/>
    <cellStyle name="Normal 41 8" xfId="42860"/>
    <cellStyle name="Normal 41 8 2" xfId="42861"/>
    <cellStyle name="Normal 41 9" xfId="42862"/>
    <cellStyle name="Normal 41 9 2" xfId="42863"/>
    <cellStyle name="Normal 41_Dakota Panel" xfId="42864"/>
    <cellStyle name="Normal 42" xfId="42865"/>
    <cellStyle name="Normal 42 10" xfId="42866"/>
    <cellStyle name="Normal 42 10 2" xfId="42867"/>
    <cellStyle name="Normal 42 11" xfId="42868"/>
    <cellStyle name="Normal 42 11 2" xfId="42869"/>
    <cellStyle name="Normal 42 12" xfId="42870"/>
    <cellStyle name="Normal 42 2" xfId="42871"/>
    <cellStyle name="Normal 42 2 2" xfId="42872"/>
    <cellStyle name="Normal 42 2 2 2" xfId="42873"/>
    <cellStyle name="Normal 42 2 3" xfId="42874"/>
    <cellStyle name="Normal 42 3" xfId="42875"/>
    <cellStyle name="Normal 42 3 2" xfId="42876"/>
    <cellStyle name="Normal 42 3 2 2" xfId="42877"/>
    <cellStyle name="Normal 42 3 3" xfId="42878"/>
    <cellStyle name="Normal 42 3 3 2" xfId="42879"/>
    <cellStyle name="Normal 42 3 4" xfId="42880"/>
    <cellStyle name="Normal 42 3 4 2" xfId="42881"/>
    <cellStyle name="Normal 42 3 5" xfId="42882"/>
    <cellStyle name="Normal 42 3 5 2" xfId="42883"/>
    <cellStyle name="Normal 42 3 6" xfId="42884"/>
    <cellStyle name="Normal 42 3 6 2" xfId="42885"/>
    <cellStyle name="Normal 42 3 7" xfId="42886"/>
    <cellStyle name="Normal 42 3 7 2" xfId="42887"/>
    <cellStyle name="Normal 42 3 8" xfId="42888"/>
    <cellStyle name="Normal 42 3 8 2" xfId="42889"/>
    <cellStyle name="Normal 42 3 9" xfId="42890"/>
    <cellStyle name="Normal 42 3 9 2" xfId="42891"/>
    <cellStyle name="Normal 42 3_Dakota Panel" xfId="42892"/>
    <cellStyle name="Normal 42 4" xfId="42893"/>
    <cellStyle name="Normal 42 4 2" xfId="42894"/>
    <cellStyle name="Normal 42 4 2 2" xfId="42895"/>
    <cellStyle name="Normal 42 4 3" xfId="42896"/>
    <cellStyle name="Normal 42 4 3 2" xfId="42897"/>
    <cellStyle name="Normal 42 4 4" xfId="42898"/>
    <cellStyle name="Normal 42 4 5" xfId="42899"/>
    <cellStyle name="Normal 42 5" xfId="42900"/>
    <cellStyle name="Normal 42 5 2" xfId="42901"/>
    <cellStyle name="Normal 42 6" xfId="42902"/>
    <cellStyle name="Normal 42 6 2" xfId="42903"/>
    <cellStyle name="Normal 42 7" xfId="42904"/>
    <cellStyle name="Normal 42 7 2" xfId="42905"/>
    <cellStyle name="Normal 42 8" xfId="42906"/>
    <cellStyle name="Normal 42 8 2" xfId="42907"/>
    <cellStyle name="Normal 42 9" xfId="42908"/>
    <cellStyle name="Normal 42 9 2" xfId="42909"/>
    <cellStyle name="Normal 42_Dakota Panel" xfId="42910"/>
    <cellStyle name="Normal 43" xfId="42911"/>
    <cellStyle name="Normal 43 10" xfId="42912"/>
    <cellStyle name="Normal 43 10 2" xfId="42913"/>
    <cellStyle name="Normal 43 11" xfId="42914"/>
    <cellStyle name="Normal 43 11 2" xfId="42915"/>
    <cellStyle name="Normal 43 12" xfId="42916"/>
    <cellStyle name="Normal 43 2" xfId="42917"/>
    <cellStyle name="Normal 43 2 2" xfId="42918"/>
    <cellStyle name="Normal 43 2 2 2" xfId="42919"/>
    <cellStyle name="Normal 43 2 3" xfId="42920"/>
    <cellStyle name="Normal 43 3" xfId="42921"/>
    <cellStyle name="Normal 43 3 2" xfId="42922"/>
    <cellStyle name="Normal 43 3 2 2" xfId="42923"/>
    <cellStyle name="Normal 43 3 3" xfId="42924"/>
    <cellStyle name="Normal 43 3 3 2" xfId="42925"/>
    <cellStyle name="Normal 43 3 4" xfId="42926"/>
    <cellStyle name="Normal 43 3 4 2" xfId="42927"/>
    <cellStyle name="Normal 43 3 5" xfId="42928"/>
    <cellStyle name="Normal 43 3 5 2" xfId="42929"/>
    <cellStyle name="Normal 43 3 6" xfId="42930"/>
    <cellStyle name="Normal 43 3 6 2" xfId="42931"/>
    <cellStyle name="Normal 43 3 7" xfId="42932"/>
    <cellStyle name="Normal 43 3 7 2" xfId="42933"/>
    <cellStyle name="Normal 43 3 8" xfId="42934"/>
    <cellStyle name="Normal 43 3 8 2" xfId="42935"/>
    <cellStyle name="Normal 43 3 9" xfId="42936"/>
    <cellStyle name="Normal 43 3 9 2" xfId="42937"/>
    <cellStyle name="Normal 43 3_Dakota Panel" xfId="42938"/>
    <cellStyle name="Normal 43 4" xfId="42939"/>
    <cellStyle name="Normal 43 4 2" xfId="42940"/>
    <cellStyle name="Normal 43 4 2 2" xfId="42941"/>
    <cellStyle name="Normal 43 4 3" xfId="42942"/>
    <cellStyle name="Normal 43 4 3 2" xfId="42943"/>
    <cellStyle name="Normal 43 4 4" xfId="42944"/>
    <cellStyle name="Normal 43 4 5" xfId="42945"/>
    <cellStyle name="Normal 43 5" xfId="42946"/>
    <cellStyle name="Normal 43 5 2" xfId="42947"/>
    <cellStyle name="Normal 43 6" xfId="42948"/>
    <cellStyle name="Normal 43 6 2" xfId="42949"/>
    <cellStyle name="Normal 43 7" xfId="42950"/>
    <cellStyle name="Normal 43 7 2" xfId="42951"/>
    <cellStyle name="Normal 43 8" xfId="42952"/>
    <cellStyle name="Normal 43 8 2" xfId="42953"/>
    <cellStyle name="Normal 43 9" xfId="42954"/>
    <cellStyle name="Normal 43 9 2" xfId="42955"/>
    <cellStyle name="Normal 43_Dakota Panel" xfId="42956"/>
    <cellStyle name="Normal 44" xfId="42957"/>
    <cellStyle name="Normal 44 10" xfId="42958"/>
    <cellStyle name="Normal 44 10 2" xfId="42959"/>
    <cellStyle name="Normal 44 11" xfId="42960"/>
    <cellStyle name="Normal 44 11 2" xfId="42961"/>
    <cellStyle name="Normal 44 12" xfId="42962"/>
    <cellStyle name="Normal 44 2" xfId="42963"/>
    <cellStyle name="Normal 44 2 2" xfId="42964"/>
    <cellStyle name="Normal 44 2 2 2" xfId="42965"/>
    <cellStyle name="Normal 44 2 3" xfId="42966"/>
    <cellStyle name="Normal 44 3" xfId="42967"/>
    <cellStyle name="Normal 44 3 2" xfId="42968"/>
    <cellStyle name="Normal 44 3 2 2" xfId="42969"/>
    <cellStyle name="Normal 44 3 3" xfId="42970"/>
    <cellStyle name="Normal 44 3 3 2" xfId="42971"/>
    <cellStyle name="Normal 44 3 4" xfId="42972"/>
    <cellStyle name="Normal 44 3 4 2" xfId="42973"/>
    <cellStyle name="Normal 44 3 5" xfId="42974"/>
    <cellStyle name="Normal 44 3 5 2" xfId="42975"/>
    <cellStyle name="Normal 44 3 6" xfId="42976"/>
    <cellStyle name="Normal 44 3 6 2" xfId="42977"/>
    <cellStyle name="Normal 44 3 7" xfId="42978"/>
    <cellStyle name="Normal 44 3 7 2" xfId="42979"/>
    <cellStyle name="Normal 44 3 8" xfId="42980"/>
    <cellStyle name="Normal 44 3 8 2" xfId="42981"/>
    <cellStyle name="Normal 44 3 9" xfId="42982"/>
    <cellStyle name="Normal 44 3 9 2" xfId="42983"/>
    <cellStyle name="Normal 44 3_Dakota Panel" xfId="42984"/>
    <cellStyle name="Normal 44 4" xfId="42985"/>
    <cellStyle name="Normal 44 4 2" xfId="42986"/>
    <cellStyle name="Normal 44 4 2 2" xfId="42987"/>
    <cellStyle name="Normal 44 4 3" xfId="42988"/>
    <cellStyle name="Normal 44 4 3 2" xfId="42989"/>
    <cellStyle name="Normal 44 4 4" xfId="42990"/>
    <cellStyle name="Normal 44 4 5" xfId="42991"/>
    <cellStyle name="Normal 44 5" xfId="42992"/>
    <cellStyle name="Normal 44 5 2" xfId="42993"/>
    <cellStyle name="Normal 44 6" xfId="42994"/>
    <cellStyle name="Normal 44 6 2" xfId="42995"/>
    <cellStyle name="Normal 44 7" xfId="42996"/>
    <cellStyle name="Normal 44 7 2" xfId="42997"/>
    <cellStyle name="Normal 44 8" xfId="42998"/>
    <cellStyle name="Normal 44 8 2" xfId="42999"/>
    <cellStyle name="Normal 44 9" xfId="43000"/>
    <cellStyle name="Normal 44 9 2" xfId="43001"/>
    <cellStyle name="Normal 44_Dakota Panel" xfId="43002"/>
    <cellStyle name="Normal 45" xfId="43003"/>
    <cellStyle name="Normal 45 10" xfId="43004"/>
    <cellStyle name="Normal 45 10 2" xfId="43005"/>
    <cellStyle name="Normal 45 11" xfId="43006"/>
    <cellStyle name="Normal 45 11 2" xfId="43007"/>
    <cellStyle name="Normal 45 12" xfId="43008"/>
    <cellStyle name="Normal 45 2" xfId="43009"/>
    <cellStyle name="Normal 45 2 2" xfId="43010"/>
    <cellStyle name="Normal 45 2 2 2" xfId="43011"/>
    <cellStyle name="Normal 45 2 3" xfId="43012"/>
    <cellStyle name="Normal 45 3" xfId="43013"/>
    <cellStyle name="Normal 45 3 2" xfId="43014"/>
    <cellStyle name="Normal 45 3 2 2" xfId="43015"/>
    <cellStyle name="Normal 45 3 3" xfId="43016"/>
    <cellStyle name="Normal 45 3 3 2" xfId="43017"/>
    <cellStyle name="Normal 45 3 4" xfId="43018"/>
    <cellStyle name="Normal 45 3 4 2" xfId="43019"/>
    <cellStyle name="Normal 45 3 5" xfId="43020"/>
    <cellStyle name="Normal 45 3 5 2" xfId="43021"/>
    <cellStyle name="Normal 45 3 6" xfId="43022"/>
    <cellStyle name="Normal 45 3 6 2" xfId="43023"/>
    <cellStyle name="Normal 45 3 7" xfId="43024"/>
    <cellStyle name="Normal 45 3 7 2" xfId="43025"/>
    <cellStyle name="Normal 45 3 8" xfId="43026"/>
    <cellStyle name="Normal 45 3 8 2" xfId="43027"/>
    <cellStyle name="Normal 45 3 9" xfId="43028"/>
    <cellStyle name="Normal 45 3 9 2" xfId="43029"/>
    <cellStyle name="Normal 45 3_Dakota Panel" xfId="43030"/>
    <cellStyle name="Normal 45 4" xfId="43031"/>
    <cellStyle name="Normal 45 4 2" xfId="43032"/>
    <cellStyle name="Normal 45 4 2 2" xfId="43033"/>
    <cellStyle name="Normal 45 4 3" xfId="43034"/>
    <cellStyle name="Normal 45 4 3 2" xfId="43035"/>
    <cellStyle name="Normal 45 4 4" xfId="43036"/>
    <cellStyle name="Normal 45 4 5" xfId="43037"/>
    <cellStyle name="Normal 45 5" xfId="43038"/>
    <cellStyle name="Normal 45 5 2" xfId="43039"/>
    <cellStyle name="Normal 45 6" xfId="43040"/>
    <cellStyle name="Normal 45 6 2" xfId="43041"/>
    <cellStyle name="Normal 45 7" xfId="43042"/>
    <cellStyle name="Normal 45 7 2" xfId="43043"/>
    <cellStyle name="Normal 45 8" xfId="43044"/>
    <cellStyle name="Normal 45 8 2" xfId="43045"/>
    <cellStyle name="Normal 45 9" xfId="43046"/>
    <cellStyle name="Normal 45 9 2" xfId="43047"/>
    <cellStyle name="Normal 45_Dakota Panel" xfId="43048"/>
    <cellStyle name="Normal 46" xfId="43049"/>
    <cellStyle name="Normal 46 10" xfId="43050"/>
    <cellStyle name="Normal 46 10 2" xfId="43051"/>
    <cellStyle name="Normal 46 11" xfId="43052"/>
    <cellStyle name="Normal 46 11 2" xfId="43053"/>
    <cellStyle name="Normal 46 12" xfId="43054"/>
    <cellStyle name="Normal 46 2" xfId="43055"/>
    <cellStyle name="Normal 46 2 2" xfId="43056"/>
    <cellStyle name="Normal 46 2 2 2" xfId="43057"/>
    <cellStyle name="Normal 46 2 3" xfId="43058"/>
    <cellStyle name="Normal 46 3" xfId="43059"/>
    <cellStyle name="Normal 46 3 2" xfId="43060"/>
    <cellStyle name="Normal 46 3 2 2" xfId="43061"/>
    <cellStyle name="Normal 46 3 3" xfId="43062"/>
    <cellStyle name="Normal 46 3 3 2" xfId="43063"/>
    <cellStyle name="Normal 46 3 4" xfId="43064"/>
    <cellStyle name="Normal 46 3 4 2" xfId="43065"/>
    <cellStyle name="Normal 46 3 5" xfId="43066"/>
    <cellStyle name="Normal 46 3 5 2" xfId="43067"/>
    <cellStyle name="Normal 46 3 6" xfId="43068"/>
    <cellStyle name="Normal 46 3 6 2" xfId="43069"/>
    <cellStyle name="Normal 46 3 7" xfId="43070"/>
    <cellStyle name="Normal 46 3 7 2" xfId="43071"/>
    <cellStyle name="Normal 46 3 8" xfId="43072"/>
    <cellStyle name="Normal 46 3 8 2" xfId="43073"/>
    <cellStyle name="Normal 46 3 9" xfId="43074"/>
    <cellStyle name="Normal 46 3 9 2" xfId="43075"/>
    <cellStyle name="Normal 46 3_Dakota Panel" xfId="43076"/>
    <cellStyle name="Normal 46 4" xfId="43077"/>
    <cellStyle name="Normal 46 4 2" xfId="43078"/>
    <cellStyle name="Normal 46 4 2 2" xfId="43079"/>
    <cellStyle name="Normal 46 4 3" xfId="43080"/>
    <cellStyle name="Normal 46 4 3 2" xfId="43081"/>
    <cellStyle name="Normal 46 4 4" xfId="43082"/>
    <cellStyle name="Normal 46 4 5" xfId="43083"/>
    <cellStyle name="Normal 46 5" xfId="43084"/>
    <cellStyle name="Normal 46 5 2" xfId="43085"/>
    <cellStyle name="Normal 46 6" xfId="43086"/>
    <cellStyle name="Normal 46 6 2" xfId="43087"/>
    <cellStyle name="Normal 46 7" xfId="43088"/>
    <cellStyle name="Normal 46 7 2" xfId="43089"/>
    <cellStyle name="Normal 46 8" xfId="43090"/>
    <cellStyle name="Normal 46 8 2" xfId="43091"/>
    <cellStyle name="Normal 46 9" xfId="43092"/>
    <cellStyle name="Normal 46 9 2" xfId="43093"/>
    <cellStyle name="Normal 46_Dakota Panel" xfId="43094"/>
    <cellStyle name="Normal 47" xfId="43095"/>
    <cellStyle name="Normal 47 10" xfId="43096"/>
    <cellStyle name="Normal 47 10 2" xfId="43097"/>
    <cellStyle name="Normal 47 11" xfId="43098"/>
    <cellStyle name="Normal 47 11 2" xfId="43099"/>
    <cellStyle name="Normal 47 12" xfId="43100"/>
    <cellStyle name="Normal 47 2" xfId="43101"/>
    <cellStyle name="Normal 47 2 2" xfId="43102"/>
    <cellStyle name="Normal 47 2 2 2" xfId="43103"/>
    <cellStyle name="Normal 47 2 3" xfId="43104"/>
    <cellStyle name="Normal 47 3" xfId="43105"/>
    <cellStyle name="Normal 47 3 2" xfId="43106"/>
    <cellStyle name="Normal 47 3 2 2" xfId="43107"/>
    <cellStyle name="Normal 47 3 3" xfId="43108"/>
    <cellStyle name="Normal 47 3 3 2" xfId="43109"/>
    <cellStyle name="Normal 47 3 4" xfId="43110"/>
    <cellStyle name="Normal 47 3 4 2" xfId="43111"/>
    <cellStyle name="Normal 47 3 5" xfId="43112"/>
    <cellStyle name="Normal 47 3 5 2" xfId="43113"/>
    <cellStyle name="Normal 47 3 6" xfId="43114"/>
    <cellStyle name="Normal 47 3 6 2" xfId="43115"/>
    <cellStyle name="Normal 47 3 7" xfId="43116"/>
    <cellStyle name="Normal 47 3 7 2" xfId="43117"/>
    <cellStyle name="Normal 47 3 8" xfId="43118"/>
    <cellStyle name="Normal 47 3 8 2" xfId="43119"/>
    <cellStyle name="Normal 47 3 9" xfId="43120"/>
    <cellStyle name="Normal 47 3 9 2" xfId="43121"/>
    <cellStyle name="Normal 47 3_Dakota Panel" xfId="43122"/>
    <cellStyle name="Normal 47 4" xfId="43123"/>
    <cellStyle name="Normal 47 4 2" xfId="43124"/>
    <cellStyle name="Normal 47 4 2 2" xfId="43125"/>
    <cellStyle name="Normal 47 4 3" xfId="43126"/>
    <cellStyle name="Normal 47 4 3 2" xfId="43127"/>
    <cellStyle name="Normal 47 4 4" xfId="43128"/>
    <cellStyle name="Normal 47 4 5" xfId="43129"/>
    <cellStyle name="Normal 47 5" xfId="43130"/>
    <cellStyle name="Normal 47 5 2" xfId="43131"/>
    <cellStyle name="Normal 47 6" xfId="43132"/>
    <cellStyle name="Normal 47 6 2" xfId="43133"/>
    <cellStyle name="Normal 47 7" xfId="43134"/>
    <cellStyle name="Normal 47 7 2" xfId="43135"/>
    <cellStyle name="Normal 47 8" xfId="43136"/>
    <cellStyle name="Normal 47 8 2" xfId="43137"/>
    <cellStyle name="Normal 47 9" xfId="43138"/>
    <cellStyle name="Normal 47 9 2" xfId="43139"/>
    <cellStyle name="Normal 47_Dakota Panel" xfId="43140"/>
    <cellStyle name="Normal 48" xfId="43141"/>
    <cellStyle name="Normal 48 10" xfId="43142"/>
    <cellStyle name="Normal 48 10 2" xfId="43143"/>
    <cellStyle name="Normal 48 11" xfId="43144"/>
    <cellStyle name="Normal 48 11 2" xfId="43145"/>
    <cellStyle name="Normal 48 12" xfId="43146"/>
    <cellStyle name="Normal 48 2" xfId="43147"/>
    <cellStyle name="Normal 48 2 2" xfId="43148"/>
    <cellStyle name="Normal 48 2 2 2" xfId="43149"/>
    <cellStyle name="Normal 48 2 3" xfId="43150"/>
    <cellStyle name="Normal 48 3" xfId="43151"/>
    <cellStyle name="Normal 48 3 2" xfId="43152"/>
    <cellStyle name="Normal 48 3 2 2" xfId="43153"/>
    <cellStyle name="Normal 48 3 3" xfId="43154"/>
    <cellStyle name="Normal 48 3 3 2" xfId="43155"/>
    <cellStyle name="Normal 48 3 4" xfId="43156"/>
    <cellStyle name="Normal 48 3 4 2" xfId="43157"/>
    <cellStyle name="Normal 48 3 5" xfId="43158"/>
    <cellStyle name="Normal 48 3 5 2" xfId="43159"/>
    <cellStyle name="Normal 48 3 6" xfId="43160"/>
    <cellStyle name="Normal 48 3 6 2" xfId="43161"/>
    <cellStyle name="Normal 48 3 7" xfId="43162"/>
    <cellStyle name="Normal 48 3 7 2" xfId="43163"/>
    <cellStyle name="Normal 48 3 8" xfId="43164"/>
    <cellStyle name="Normal 48 3 8 2" xfId="43165"/>
    <cellStyle name="Normal 48 3 9" xfId="43166"/>
    <cellStyle name="Normal 48 3 9 2" xfId="43167"/>
    <cellStyle name="Normal 48 3_Dakota Panel" xfId="43168"/>
    <cellStyle name="Normal 48 4" xfId="43169"/>
    <cellStyle name="Normal 48 4 2" xfId="43170"/>
    <cellStyle name="Normal 48 4 2 2" xfId="43171"/>
    <cellStyle name="Normal 48 4 3" xfId="43172"/>
    <cellStyle name="Normal 48 4 3 2" xfId="43173"/>
    <cellStyle name="Normal 48 4 4" xfId="43174"/>
    <cellStyle name="Normal 48 4 5" xfId="43175"/>
    <cellStyle name="Normal 48 5" xfId="43176"/>
    <cellStyle name="Normal 48 5 2" xfId="43177"/>
    <cellStyle name="Normal 48 6" xfId="43178"/>
    <cellStyle name="Normal 48 6 2" xfId="43179"/>
    <cellStyle name="Normal 48 7" xfId="43180"/>
    <cellStyle name="Normal 48 7 2" xfId="43181"/>
    <cellStyle name="Normal 48 8" xfId="43182"/>
    <cellStyle name="Normal 48 8 2" xfId="43183"/>
    <cellStyle name="Normal 48 9" xfId="43184"/>
    <cellStyle name="Normal 48 9 2" xfId="43185"/>
    <cellStyle name="Normal 48_Dakota Panel" xfId="43186"/>
    <cellStyle name="Normal 49" xfId="43187"/>
    <cellStyle name="Normal 49 10" xfId="43188"/>
    <cellStyle name="Normal 49 10 2" xfId="43189"/>
    <cellStyle name="Normal 49 11" xfId="43190"/>
    <cellStyle name="Normal 49 11 2" xfId="43191"/>
    <cellStyle name="Normal 49 12" xfId="43192"/>
    <cellStyle name="Normal 49 2" xfId="43193"/>
    <cellStyle name="Normal 49 2 2" xfId="43194"/>
    <cellStyle name="Normal 49 2 2 2" xfId="43195"/>
    <cellStyle name="Normal 49 2 3" xfId="43196"/>
    <cellStyle name="Normal 49 3" xfId="43197"/>
    <cellStyle name="Normal 49 3 2" xfId="43198"/>
    <cellStyle name="Normal 49 3 2 2" xfId="43199"/>
    <cellStyle name="Normal 49 3 3" xfId="43200"/>
    <cellStyle name="Normal 49 3 3 2" xfId="43201"/>
    <cellStyle name="Normal 49 3 4" xfId="43202"/>
    <cellStyle name="Normal 49 3 4 2" xfId="43203"/>
    <cellStyle name="Normal 49 3 5" xfId="43204"/>
    <cellStyle name="Normal 49 3 5 2" xfId="43205"/>
    <cellStyle name="Normal 49 3 6" xfId="43206"/>
    <cellStyle name="Normal 49 3 6 2" xfId="43207"/>
    <cellStyle name="Normal 49 3 7" xfId="43208"/>
    <cellStyle name="Normal 49 3 7 2" xfId="43209"/>
    <cellStyle name="Normal 49 3 8" xfId="43210"/>
    <cellStyle name="Normal 49 3 8 2" xfId="43211"/>
    <cellStyle name="Normal 49 3 9" xfId="43212"/>
    <cellStyle name="Normal 49 3 9 2" xfId="43213"/>
    <cellStyle name="Normal 49 3_Dakota Panel" xfId="43214"/>
    <cellStyle name="Normal 49 4" xfId="43215"/>
    <cellStyle name="Normal 49 4 2" xfId="43216"/>
    <cellStyle name="Normal 49 4 2 2" xfId="43217"/>
    <cellStyle name="Normal 49 4 3" xfId="43218"/>
    <cellStyle name="Normal 49 4 3 2" xfId="43219"/>
    <cellStyle name="Normal 49 4 4" xfId="43220"/>
    <cellStyle name="Normal 49 4 5" xfId="43221"/>
    <cellStyle name="Normal 49 5" xfId="43222"/>
    <cellStyle name="Normal 49 5 2" xfId="43223"/>
    <cellStyle name="Normal 49 6" xfId="43224"/>
    <cellStyle name="Normal 49 6 2" xfId="43225"/>
    <cellStyle name="Normal 49 7" xfId="43226"/>
    <cellStyle name="Normal 49 7 2" xfId="43227"/>
    <cellStyle name="Normal 49 8" xfId="43228"/>
    <cellStyle name="Normal 49 8 2" xfId="43229"/>
    <cellStyle name="Normal 49 9" xfId="43230"/>
    <cellStyle name="Normal 49 9 2" xfId="43231"/>
    <cellStyle name="Normal 49_Dakota Panel" xfId="43232"/>
    <cellStyle name="Normal 5" xfId="43233"/>
    <cellStyle name="Normal 5 10" xfId="43234"/>
    <cellStyle name="Normal 5 10 2" xfId="43235"/>
    <cellStyle name="Normal 5 10 2 2" xfId="43236"/>
    <cellStyle name="Normal 5 11" xfId="43237"/>
    <cellStyle name="Normal 5 11 2" xfId="43238"/>
    <cellStyle name="Normal 5 12" xfId="43239"/>
    <cellStyle name="Normal 5 12 2" xfId="43240"/>
    <cellStyle name="Normal 5 12 2 2" xfId="43241"/>
    <cellStyle name="Normal 5 12 3" xfId="43242"/>
    <cellStyle name="Normal 5 12 4" xfId="43243"/>
    <cellStyle name="Normal 5 13" xfId="43244"/>
    <cellStyle name="Normal 5 13 2" xfId="43245"/>
    <cellStyle name="Normal 5 14" xfId="43246"/>
    <cellStyle name="Normal 5 2" xfId="43247"/>
    <cellStyle name="Normal 5 2 10" xfId="43248"/>
    <cellStyle name="Normal 5 2 2" xfId="43249"/>
    <cellStyle name="Normal 5 2 2 2" xfId="43250"/>
    <cellStyle name="Normal 5 2 2 2 2" xfId="43251"/>
    <cellStyle name="Normal 5 2 2 3" xfId="43252"/>
    <cellStyle name="Normal 5 2 3" xfId="43253"/>
    <cellStyle name="Normal 5 2 3 2" xfId="43254"/>
    <cellStyle name="Normal 5 2 3 3" xfId="43255"/>
    <cellStyle name="Normal 5 2 4" xfId="43256"/>
    <cellStyle name="Normal 5 2 4 2" xfId="43257"/>
    <cellStyle name="Normal 5 2 5" xfId="43258"/>
    <cellStyle name="Normal 5 2 5 2" xfId="43259"/>
    <cellStyle name="Normal 5 2 6" xfId="43260"/>
    <cellStyle name="Normal 5 2 6 2" xfId="43261"/>
    <cellStyle name="Normal 5 2 7" xfId="43262"/>
    <cellStyle name="Normal 5 2 7 2" xfId="43263"/>
    <cellStyle name="Normal 5 2 8" xfId="43264"/>
    <cellStyle name="Normal 5 2 8 2" xfId="43265"/>
    <cellStyle name="Normal 5 2 9" xfId="43266"/>
    <cellStyle name="Normal 5 2_Dakota Panel" xfId="43267"/>
    <cellStyle name="Normal 5 3" xfId="43268"/>
    <cellStyle name="Normal 5 3 2" xfId="43269"/>
    <cellStyle name="Normal 5 3 2 2" xfId="43270"/>
    <cellStyle name="Normal 5 3 2 2 2" xfId="43271"/>
    <cellStyle name="Normal 5 3 2 3" xfId="43272"/>
    <cellStyle name="Normal 5 3 3" xfId="43273"/>
    <cellStyle name="Normal 5 3 3 2" xfId="43274"/>
    <cellStyle name="Normal 5 3 4" xfId="43275"/>
    <cellStyle name="Normal 5 3 4 2" xfId="43276"/>
    <cellStyle name="Normal 5 3 5" xfId="43277"/>
    <cellStyle name="Normal 5 4" xfId="43278"/>
    <cellStyle name="Normal 5 4 2" xfId="43279"/>
    <cellStyle name="Normal 5 4 2 2" xfId="43280"/>
    <cellStyle name="Normal 5 4 2 2 2" xfId="43281"/>
    <cellStyle name="Normal 5 4 3" xfId="43282"/>
    <cellStyle name="Normal 5 4 3 2" xfId="43283"/>
    <cellStyle name="Normal 5 4 4" xfId="43284"/>
    <cellStyle name="Normal 5 4 4 2" xfId="43285"/>
    <cellStyle name="Normal 5 4 5" xfId="43286"/>
    <cellStyle name="Normal 5 4 5 2" xfId="43287"/>
    <cellStyle name="Normal 5 4 6" xfId="43288"/>
    <cellStyle name="Normal 5 4 6 2" xfId="43289"/>
    <cellStyle name="Normal 5 4 7" xfId="43290"/>
    <cellStyle name="Normal 5 4 7 2" xfId="43291"/>
    <cellStyle name="Normal 5 4 8" xfId="43292"/>
    <cellStyle name="Normal 5 4 8 2" xfId="43293"/>
    <cellStyle name="Normal 5 4 9" xfId="43294"/>
    <cellStyle name="Normal 5 4 9 2" xfId="43295"/>
    <cellStyle name="Normal 5 4_Dakota Panel" xfId="43296"/>
    <cellStyle name="Normal 5 5" xfId="43297"/>
    <cellStyle name="Normal 5 5 2" xfId="43298"/>
    <cellStyle name="Normal 5 5 2 2" xfId="43299"/>
    <cellStyle name="Normal 5 5 2 2 2" xfId="43300"/>
    <cellStyle name="Normal 5 5 2 3" xfId="43301"/>
    <cellStyle name="Normal 5 5 3" xfId="43302"/>
    <cellStyle name="Normal 5 5 3 2" xfId="43303"/>
    <cellStyle name="Normal 5 5 4" xfId="43304"/>
    <cellStyle name="Normal 5 5 4 2" xfId="43305"/>
    <cellStyle name="Normal 5 5 5" xfId="43306"/>
    <cellStyle name="Normal 5 6" xfId="43307"/>
    <cellStyle name="Normal 5 6 2" xfId="43308"/>
    <cellStyle name="Normal 5 6 3" xfId="43309"/>
    <cellStyle name="Normal 5 6 3 2" xfId="43310"/>
    <cellStyle name="Normal 5 7" xfId="43311"/>
    <cellStyle name="Normal 5 7 2" xfId="43312"/>
    <cellStyle name="Normal 5 7 3" xfId="43313"/>
    <cellStyle name="Normal 5 7 3 2" xfId="43314"/>
    <cellStyle name="Normal 5 8" xfId="43315"/>
    <cellStyle name="Normal 5 8 2" xfId="43316"/>
    <cellStyle name="Normal 5 8 3" xfId="43317"/>
    <cellStyle name="Normal 5 8 3 2" xfId="43318"/>
    <cellStyle name="Normal 5 9" xfId="43319"/>
    <cellStyle name="Normal 5 9 2" xfId="43320"/>
    <cellStyle name="Normal 5 9 3" xfId="43321"/>
    <cellStyle name="Normal 5 9 3 2" xfId="43322"/>
    <cellStyle name="Normal 5_1-10 BHU IS" xfId="43323"/>
    <cellStyle name="Normal 50" xfId="43324"/>
    <cellStyle name="Normal 50 10" xfId="43325"/>
    <cellStyle name="Normal 50 10 2" xfId="43326"/>
    <cellStyle name="Normal 50 11" xfId="43327"/>
    <cellStyle name="Normal 50 11 2" xfId="43328"/>
    <cellStyle name="Normal 50 12" xfId="43329"/>
    <cellStyle name="Normal 50 2" xfId="43330"/>
    <cellStyle name="Normal 50 2 2" xfId="43331"/>
    <cellStyle name="Normal 50 2 2 2" xfId="43332"/>
    <cellStyle name="Normal 50 2 3" xfId="43333"/>
    <cellStyle name="Normal 50 3" xfId="43334"/>
    <cellStyle name="Normal 50 3 2" xfId="43335"/>
    <cellStyle name="Normal 50 3 2 2" xfId="43336"/>
    <cellStyle name="Normal 50 3 3" xfId="43337"/>
    <cellStyle name="Normal 50 3 3 2" xfId="43338"/>
    <cellStyle name="Normal 50 3 4" xfId="43339"/>
    <cellStyle name="Normal 50 3 4 2" xfId="43340"/>
    <cellStyle name="Normal 50 3 5" xfId="43341"/>
    <cellStyle name="Normal 50 3 5 2" xfId="43342"/>
    <cellStyle name="Normal 50 3 6" xfId="43343"/>
    <cellStyle name="Normal 50 3 6 2" xfId="43344"/>
    <cellStyle name="Normal 50 3 7" xfId="43345"/>
    <cellStyle name="Normal 50 3 7 2" xfId="43346"/>
    <cellStyle name="Normal 50 3 8" xfId="43347"/>
    <cellStyle name="Normal 50 3 8 2" xfId="43348"/>
    <cellStyle name="Normal 50 3 9" xfId="43349"/>
    <cellStyle name="Normal 50 3 9 2" xfId="43350"/>
    <cellStyle name="Normal 50 3_Dakota Panel" xfId="43351"/>
    <cellStyle name="Normal 50 4" xfId="43352"/>
    <cellStyle name="Normal 50 4 2" xfId="43353"/>
    <cellStyle name="Normal 50 4 2 2" xfId="43354"/>
    <cellStyle name="Normal 50 4 3" xfId="43355"/>
    <cellStyle name="Normal 50 4 3 2" xfId="43356"/>
    <cellStyle name="Normal 50 4 4" xfId="43357"/>
    <cellStyle name="Normal 50 4 5" xfId="43358"/>
    <cellStyle name="Normal 50 5" xfId="43359"/>
    <cellStyle name="Normal 50 5 2" xfId="43360"/>
    <cellStyle name="Normal 50 6" xfId="43361"/>
    <cellStyle name="Normal 50 6 2" xfId="43362"/>
    <cellStyle name="Normal 50 7" xfId="43363"/>
    <cellStyle name="Normal 50 7 2" xfId="43364"/>
    <cellStyle name="Normal 50 8" xfId="43365"/>
    <cellStyle name="Normal 50 8 2" xfId="43366"/>
    <cellStyle name="Normal 50 9" xfId="43367"/>
    <cellStyle name="Normal 50 9 2" xfId="43368"/>
    <cellStyle name="Normal 50_Dakota Panel" xfId="43369"/>
    <cellStyle name="Normal 51" xfId="43370"/>
    <cellStyle name="Normal 51 10" xfId="43371"/>
    <cellStyle name="Normal 51 10 2" xfId="43372"/>
    <cellStyle name="Normal 51 11" xfId="43373"/>
    <cellStyle name="Normal 51 11 2" xfId="43374"/>
    <cellStyle name="Normal 51 12" xfId="43375"/>
    <cellStyle name="Normal 51 2" xfId="43376"/>
    <cellStyle name="Normal 51 2 2" xfId="43377"/>
    <cellStyle name="Normal 51 2 2 2" xfId="43378"/>
    <cellStyle name="Normal 51 2 3" xfId="43379"/>
    <cellStyle name="Normal 51 2 3 2" xfId="43380"/>
    <cellStyle name="Normal 51 2 4" xfId="43381"/>
    <cellStyle name="Normal 51 3" xfId="43382"/>
    <cellStyle name="Normal 51 3 2" xfId="43383"/>
    <cellStyle name="Normal 51 3 2 2" xfId="43384"/>
    <cellStyle name="Normal 51 3 3" xfId="43385"/>
    <cellStyle name="Normal 51 3 3 2" xfId="43386"/>
    <cellStyle name="Normal 51 3 4" xfId="43387"/>
    <cellStyle name="Normal 51 3 4 2" xfId="43388"/>
    <cellStyle name="Normal 51 3 5" xfId="43389"/>
    <cellStyle name="Normal 51 3 5 2" xfId="43390"/>
    <cellStyle name="Normal 51 3 6" xfId="43391"/>
    <cellStyle name="Normal 51 3 6 2" xfId="43392"/>
    <cellStyle name="Normal 51 3 7" xfId="43393"/>
    <cellStyle name="Normal 51 3 7 2" xfId="43394"/>
    <cellStyle name="Normal 51 3 8" xfId="43395"/>
    <cellStyle name="Normal 51 3 8 2" xfId="43396"/>
    <cellStyle name="Normal 51 3 9" xfId="43397"/>
    <cellStyle name="Normal 51 3 9 2" xfId="43398"/>
    <cellStyle name="Normal 51 3_Dakota Panel" xfId="43399"/>
    <cellStyle name="Normal 51 4" xfId="43400"/>
    <cellStyle name="Normal 51 4 2" xfId="43401"/>
    <cellStyle name="Normal 51 4 2 2" xfId="43402"/>
    <cellStyle name="Normal 51 4 3" xfId="43403"/>
    <cellStyle name="Normal 51 4 3 2" xfId="43404"/>
    <cellStyle name="Normal 51 4 4" xfId="43405"/>
    <cellStyle name="Normal 51 4 5" xfId="43406"/>
    <cellStyle name="Normal 51 5" xfId="43407"/>
    <cellStyle name="Normal 51 5 2" xfId="43408"/>
    <cellStyle name="Normal 51 6" xfId="43409"/>
    <cellStyle name="Normal 51 6 2" xfId="43410"/>
    <cellStyle name="Normal 51 7" xfId="43411"/>
    <cellStyle name="Normal 51 7 2" xfId="43412"/>
    <cellStyle name="Normal 51 8" xfId="43413"/>
    <cellStyle name="Normal 51 8 2" xfId="43414"/>
    <cellStyle name="Normal 51 9" xfId="43415"/>
    <cellStyle name="Normal 51 9 2" xfId="43416"/>
    <cellStyle name="Normal 51_Dakota Panel" xfId="43417"/>
    <cellStyle name="Normal 52" xfId="43418"/>
    <cellStyle name="Normal 52 10" xfId="43419"/>
    <cellStyle name="Normal 52 10 2" xfId="43420"/>
    <cellStyle name="Normal 52 11" xfId="43421"/>
    <cellStyle name="Normal 52 11 2" xfId="43422"/>
    <cellStyle name="Normal 52 12" xfId="43423"/>
    <cellStyle name="Normal 52 2" xfId="43424"/>
    <cellStyle name="Normal 52 2 2" xfId="43425"/>
    <cellStyle name="Normal 52 2 2 2" xfId="43426"/>
    <cellStyle name="Normal 52 2 3" xfId="43427"/>
    <cellStyle name="Normal 52 2 3 2" xfId="43428"/>
    <cellStyle name="Normal 52 2 4" xfId="43429"/>
    <cellStyle name="Normal 52 3" xfId="43430"/>
    <cellStyle name="Normal 52 3 2" xfId="43431"/>
    <cellStyle name="Normal 52 3 2 2" xfId="43432"/>
    <cellStyle name="Normal 52 3 3" xfId="43433"/>
    <cellStyle name="Normal 52 3 3 2" xfId="43434"/>
    <cellStyle name="Normal 52 3 4" xfId="43435"/>
    <cellStyle name="Normal 52 3 4 2" xfId="43436"/>
    <cellStyle name="Normal 52 3 5" xfId="43437"/>
    <cellStyle name="Normal 52 3 5 2" xfId="43438"/>
    <cellStyle name="Normal 52 3 6" xfId="43439"/>
    <cellStyle name="Normal 52 3 6 2" xfId="43440"/>
    <cellStyle name="Normal 52 3 7" xfId="43441"/>
    <cellStyle name="Normal 52 3 7 2" xfId="43442"/>
    <cellStyle name="Normal 52 3 8" xfId="43443"/>
    <cellStyle name="Normal 52 3 8 2" xfId="43444"/>
    <cellStyle name="Normal 52 3 9" xfId="43445"/>
    <cellStyle name="Normal 52 3 9 2" xfId="43446"/>
    <cellStyle name="Normal 52 3_Dakota Panel" xfId="43447"/>
    <cellStyle name="Normal 52 4" xfId="43448"/>
    <cellStyle name="Normal 52 4 2" xfId="43449"/>
    <cellStyle name="Normal 52 4 2 2" xfId="43450"/>
    <cellStyle name="Normal 52 4 3" xfId="43451"/>
    <cellStyle name="Normal 52 4 3 2" xfId="43452"/>
    <cellStyle name="Normal 52 4 4" xfId="43453"/>
    <cellStyle name="Normal 52 4 5" xfId="43454"/>
    <cellStyle name="Normal 52 5" xfId="43455"/>
    <cellStyle name="Normal 52 5 2" xfId="43456"/>
    <cellStyle name="Normal 52 6" xfId="43457"/>
    <cellStyle name="Normal 52 6 2" xfId="43458"/>
    <cellStyle name="Normal 52 7" xfId="43459"/>
    <cellStyle name="Normal 52 7 2" xfId="43460"/>
    <cellStyle name="Normal 52 8" xfId="43461"/>
    <cellStyle name="Normal 52 8 2" xfId="43462"/>
    <cellStyle name="Normal 52 9" xfId="43463"/>
    <cellStyle name="Normal 52 9 2" xfId="43464"/>
    <cellStyle name="Normal 52_Dakota Panel" xfId="43465"/>
    <cellStyle name="Normal 53" xfId="43466"/>
    <cellStyle name="Normal 53 10" xfId="43467"/>
    <cellStyle name="Normal 53 10 2" xfId="43468"/>
    <cellStyle name="Normal 53 11" xfId="43469"/>
    <cellStyle name="Normal 53 11 2" xfId="43470"/>
    <cellStyle name="Normal 53 12" xfId="43471"/>
    <cellStyle name="Normal 53 2" xfId="43472"/>
    <cellStyle name="Normal 53 2 2" xfId="43473"/>
    <cellStyle name="Normal 53 2 2 2" xfId="43474"/>
    <cellStyle name="Normal 53 2 3" xfId="43475"/>
    <cellStyle name="Normal 53 2 3 2" xfId="43476"/>
    <cellStyle name="Normal 53 2 4" xfId="43477"/>
    <cellStyle name="Normal 53 3" xfId="43478"/>
    <cellStyle name="Normal 53 3 2" xfId="43479"/>
    <cellStyle name="Normal 53 3 2 2" xfId="43480"/>
    <cellStyle name="Normal 53 3 3" xfId="43481"/>
    <cellStyle name="Normal 53 3 3 2" xfId="43482"/>
    <cellStyle name="Normal 53 3 4" xfId="43483"/>
    <cellStyle name="Normal 53 3 4 2" xfId="43484"/>
    <cellStyle name="Normal 53 3 5" xfId="43485"/>
    <cellStyle name="Normal 53 3 5 2" xfId="43486"/>
    <cellStyle name="Normal 53 3 6" xfId="43487"/>
    <cellStyle name="Normal 53 3 6 2" xfId="43488"/>
    <cellStyle name="Normal 53 3 7" xfId="43489"/>
    <cellStyle name="Normal 53 3 7 2" xfId="43490"/>
    <cellStyle name="Normal 53 3 8" xfId="43491"/>
    <cellStyle name="Normal 53 3 8 2" xfId="43492"/>
    <cellStyle name="Normal 53 3 9" xfId="43493"/>
    <cellStyle name="Normal 53 3 9 2" xfId="43494"/>
    <cellStyle name="Normal 53 3_Dakota Panel" xfId="43495"/>
    <cellStyle name="Normal 53 4" xfId="43496"/>
    <cellStyle name="Normal 53 4 2" xfId="43497"/>
    <cellStyle name="Normal 53 4 2 2" xfId="43498"/>
    <cellStyle name="Normal 53 4 3" xfId="43499"/>
    <cellStyle name="Normal 53 4 3 2" xfId="43500"/>
    <cellStyle name="Normal 53 4 4" xfId="43501"/>
    <cellStyle name="Normal 53 4 5" xfId="43502"/>
    <cellStyle name="Normal 53 5" xfId="43503"/>
    <cellStyle name="Normal 53 5 2" xfId="43504"/>
    <cellStyle name="Normal 53 6" xfId="43505"/>
    <cellStyle name="Normal 53 6 2" xfId="43506"/>
    <cellStyle name="Normal 53 7" xfId="43507"/>
    <cellStyle name="Normal 53 7 2" xfId="43508"/>
    <cellStyle name="Normal 53 8" xfId="43509"/>
    <cellStyle name="Normal 53 8 2" xfId="43510"/>
    <cellStyle name="Normal 53 9" xfId="43511"/>
    <cellStyle name="Normal 53 9 2" xfId="43512"/>
    <cellStyle name="Normal 53_Dakota Panel" xfId="43513"/>
    <cellStyle name="Normal 54" xfId="43514"/>
    <cellStyle name="Normal 54 10" xfId="43515"/>
    <cellStyle name="Normal 54 10 2" xfId="43516"/>
    <cellStyle name="Normal 54 11" xfId="43517"/>
    <cellStyle name="Normal 54 11 2" xfId="43518"/>
    <cellStyle name="Normal 54 12" xfId="43519"/>
    <cellStyle name="Normal 54 2" xfId="43520"/>
    <cellStyle name="Normal 54 2 2" xfId="43521"/>
    <cellStyle name="Normal 54 2 2 2" xfId="43522"/>
    <cellStyle name="Normal 54 2 3" xfId="43523"/>
    <cellStyle name="Normal 54 2 3 2" xfId="43524"/>
    <cellStyle name="Normal 54 2 4" xfId="43525"/>
    <cellStyle name="Normal 54 3" xfId="43526"/>
    <cellStyle name="Normal 54 3 2" xfId="43527"/>
    <cellStyle name="Normal 54 3 2 2" xfId="43528"/>
    <cellStyle name="Normal 54 3 3" xfId="43529"/>
    <cellStyle name="Normal 54 3 3 2" xfId="43530"/>
    <cellStyle name="Normal 54 3 4" xfId="43531"/>
    <cellStyle name="Normal 54 3 4 2" xfId="43532"/>
    <cellStyle name="Normal 54 3 5" xfId="43533"/>
    <cellStyle name="Normal 54 3 5 2" xfId="43534"/>
    <cellStyle name="Normal 54 3 6" xfId="43535"/>
    <cellStyle name="Normal 54 3 6 2" xfId="43536"/>
    <cellStyle name="Normal 54 3 7" xfId="43537"/>
    <cellStyle name="Normal 54 3 7 2" xfId="43538"/>
    <cellStyle name="Normal 54 3 8" xfId="43539"/>
    <cellStyle name="Normal 54 3 8 2" xfId="43540"/>
    <cellStyle name="Normal 54 3 9" xfId="43541"/>
    <cellStyle name="Normal 54 3 9 2" xfId="43542"/>
    <cellStyle name="Normal 54 3_Dakota Panel" xfId="43543"/>
    <cellStyle name="Normal 54 4" xfId="43544"/>
    <cellStyle name="Normal 54 4 2" xfId="43545"/>
    <cellStyle name="Normal 54 4 2 2" xfId="43546"/>
    <cellStyle name="Normal 54 4 3" xfId="43547"/>
    <cellStyle name="Normal 54 4 3 2" xfId="43548"/>
    <cellStyle name="Normal 54 4 4" xfId="43549"/>
    <cellStyle name="Normal 54 4 5" xfId="43550"/>
    <cellStyle name="Normal 54 5" xfId="43551"/>
    <cellStyle name="Normal 54 5 2" xfId="43552"/>
    <cellStyle name="Normal 54 6" xfId="43553"/>
    <cellStyle name="Normal 54 6 2" xfId="43554"/>
    <cellStyle name="Normal 54 7" xfId="43555"/>
    <cellStyle name="Normal 54 7 2" xfId="43556"/>
    <cellStyle name="Normal 54 8" xfId="43557"/>
    <cellStyle name="Normal 54 8 2" xfId="43558"/>
    <cellStyle name="Normal 54 9" xfId="43559"/>
    <cellStyle name="Normal 54 9 2" xfId="43560"/>
    <cellStyle name="Normal 54_Dakota Panel" xfId="43561"/>
    <cellStyle name="Normal 55" xfId="43562"/>
    <cellStyle name="Normal 55 10" xfId="43563"/>
    <cellStyle name="Normal 55 10 2" xfId="43564"/>
    <cellStyle name="Normal 55 11" xfId="43565"/>
    <cellStyle name="Normal 55 11 2" xfId="43566"/>
    <cellStyle name="Normal 55 12" xfId="43567"/>
    <cellStyle name="Normal 55 2" xfId="43568"/>
    <cellStyle name="Normal 55 2 2" xfId="43569"/>
    <cellStyle name="Normal 55 2 2 2" xfId="43570"/>
    <cellStyle name="Normal 55 2 3" xfId="43571"/>
    <cellStyle name="Normal 55 3" xfId="43572"/>
    <cellStyle name="Normal 55 3 2" xfId="43573"/>
    <cellStyle name="Normal 55 3 2 2" xfId="43574"/>
    <cellStyle name="Normal 55 3 3" xfId="43575"/>
    <cellStyle name="Normal 55 3 3 2" xfId="43576"/>
    <cellStyle name="Normal 55 3 4" xfId="43577"/>
    <cellStyle name="Normal 55 3 4 2" xfId="43578"/>
    <cellStyle name="Normal 55 3 5" xfId="43579"/>
    <cellStyle name="Normal 55 3 5 2" xfId="43580"/>
    <cellStyle name="Normal 55 3 6" xfId="43581"/>
    <cellStyle name="Normal 55 3 6 2" xfId="43582"/>
    <cellStyle name="Normal 55 3 7" xfId="43583"/>
    <cellStyle name="Normal 55 3 7 2" xfId="43584"/>
    <cellStyle name="Normal 55 3 8" xfId="43585"/>
    <cellStyle name="Normal 55 3 8 2" xfId="43586"/>
    <cellStyle name="Normal 55 3 9" xfId="43587"/>
    <cellStyle name="Normal 55 3 9 2" xfId="43588"/>
    <cellStyle name="Normal 55 3_Dakota Panel" xfId="43589"/>
    <cellStyle name="Normal 55 4" xfId="43590"/>
    <cellStyle name="Normal 55 4 2" xfId="43591"/>
    <cellStyle name="Normal 55 4 2 2" xfId="43592"/>
    <cellStyle name="Normal 55 4 3" xfId="43593"/>
    <cellStyle name="Normal 55 4 3 2" xfId="43594"/>
    <cellStyle name="Normal 55 4 4" xfId="43595"/>
    <cellStyle name="Normal 55 4 5" xfId="43596"/>
    <cellStyle name="Normal 55 5" xfId="43597"/>
    <cellStyle name="Normal 55 5 2" xfId="43598"/>
    <cellStyle name="Normal 55 6" xfId="43599"/>
    <cellStyle name="Normal 55 6 2" xfId="43600"/>
    <cellStyle name="Normal 55 7" xfId="43601"/>
    <cellStyle name="Normal 55 7 2" xfId="43602"/>
    <cellStyle name="Normal 55 8" xfId="43603"/>
    <cellStyle name="Normal 55 8 2" xfId="43604"/>
    <cellStyle name="Normal 55 9" xfId="43605"/>
    <cellStyle name="Normal 55 9 2" xfId="43606"/>
    <cellStyle name="Normal 55_Dakota Panel" xfId="43607"/>
    <cellStyle name="Normal 56" xfId="43608"/>
    <cellStyle name="Normal 56 10" xfId="43609"/>
    <cellStyle name="Normal 56 10 2" xfId="43610"/>
    <cellStyle name="Normal 56 11" xfId="43611"/>
    <cellStyle name="Normal 56 11 2" xfId="43612"/>
    <cellStyle name="Normal 56 12" xfId="43613"/>
    <cellStyle name="Normal 56 2" xfId="43614"/>
    <cellStyle name="Normal 56 2 2" xfId="43615"/>
    <cellStyle name="Normal 56 2 2 2" xfId="43616"/>
    <cellStyle name="Normal 56 2 3" xfId="43617"/>
    <cellStyle name="Normal 56 3" xfId="43618"/>
    <cellStyle name="Normal 56 3 2" xfId="43619"/>
    <cellStyle name="Normal 56 3 2 2" xfId="43620"/>
    <cellStyle name="Normal 56 3 3" xfId="43621"/>
    <cellStyle name="Normal 56 3 3 2" xfId="43622"/>
    <cellStyle name="Normal 56 3 4" xfId="43623"/>
    <cellStyle name="Normal 56 3 4 2" xfId="43624"/>
    <cellStyle name="Normal 56 3 5" xfId="43625"/>
    <cellStyle name="Normal 56 3 5 2" xfId="43626"/>
    <cellStyle name="Normal 56 3 6" xfId="43627"/>
    <cellStyle name="Normal 56 3 6 2" xfId="43628"/>
    <cellStyle name="Normal 56 3 7" xfId="43629"/>
    <cellStyle name="Normal 56 3 7 2" xfId="43630"/>
    <cellStyle name="Normal 56 3 8" xfId="43631"/>
    <cellStyle name="Normal 56 3 8 2" xfId="43632"/>
    <cellStyle name="Normal 56 3 9" xfId="43633"/>
    <cellStyle name="Normal 56 3 9 2" xfId="43634"/>
    <cellStyle name="Normal 56 3_Dakota Panel" xfId="43635"/>
    <cellStyle name="Normal 56 4" xfId="43636"/>
    <cellStyle name="Normal 56 4 2" xfId="43637"/>
    <cellStyle name="Normal 56 4 2 2" xfId="43638"/>
    <cellStyle name="Normal 56 4 3" xfId="43639"/>
    <cellStyle name="Normal 56 4 3 2" xfId="43640"/>
    <cellStyle name="Normal 56 4 4" xfId="43641"/>
    <cellStyle name="Normal 56 4 5" xfId="43642"/>
    <cellStyle name="Normal 56 5" xfId="43643"/>
    <cellStyle name="Normal 56 5 2" xfId="43644"/>
    <cellStyle name="Normal 56 6" xfId="43645"/>
    <cellStyle name="Normal 56 6 2" xfId="43646"/>
    <cellStyle name="Normal 56 7" xfId="43647"/>
    <cellStyle name="Normal 56 7 2" xfId="43648"/>
    <cellStyle name="Normal 56 8" xfId="43649"/>
    <cellStyle name="Normal 56 8 2" xfId="43650"/>
    <cellStyle name="Normal 56 9" xfId="43651"/>
    <cellStyle name="Normal 56 9 2" xfId="43652"/>
    <cellStyle name="Normal 56_Dakota Panel" xfId="43653"/>
    <cellStyle name="Normal 57" xfId="43654"/>
    <cellStyle name="Normal 57 10" xfId="43655"/>
    <cellStyle name="Normal 57 10 2" xfId="43656"/>
    <cellStyle name="Normal 57 11" xfId="43657"/>
    <cellStyle name="Normal 57 11 2" xfId="43658"/>
    <cellStyle name="Normal 57 12" xfId="43659"/>
    <cellStyle name="Normal 57 2" xfId="43660"/>
    <cellStyle name="Normal 57 2 2" xfId="43661"/>
    <cellStyle name="Normal 57 2 2 2" xfId="43662"/>
    <cellStyle name="Normal 57 2 3" xfId="43663"/>
    <cellStyle name="Normal 57 3" xfId="43664"/>
    <cellStyle name="Normal 57 3 2" xfId="43665"/>
    <cellStyle name="Normal 57 3 2 2" xfId="43666"/>
    <cellStyle name="Normal 57 3 3" xfId="43667"/>
    <cellStyle name="Normal 57 3 3 2" xfId="43668"/>
    <cellStyle name="Normal 57 3 4" xfId="43669"/>
    <cellStyle name="Normal 57 3 4 2" xfId="43670"/>
    <cellStyle name="Normal 57 3 5" xfId="43671"/>
    <cellStyle name="Normal 57 3 5 2" xfId="43672"/>
    <cellStyle name="Normal 57 3 6" xfId="43673"/>
    <cellStyle name="Normal 57 3 6 2" xfId="43674"/>
    <cellStyle name="Normal 57 3 7" xfId="43675"/>
    <cellStyle name="Normal 57 3 7 2" xfId="43676"/>
    <cellStyle name="Normal 57 3 8" xfId="43677"/>
    <cellStyle name="Normal 57 3 8 2" xfId="43678"/>
    <cellStyle name="Normal 57 3 9" xfId="43679"/>
    <cellStyle name="Normal 57 3 9 2" xfId="43680"/>
    <cellStyle name="Normal 57 3_Dakota Panel" xfId="43681"/>
    <cellStyle name="Normal 57 4" xfId="43682"/>
    <cellStyle name="Normal 57 4 2" xfId="43683"/>
    <cellStyle name="Normal 57 4 2 2" xfId="43684"/>
    <cellStyle name="Normal 57 4 3" xfId="43685"/>
    <cellStyle name="Normal 57 4 3 2" xfId="43686"/>
    <cellStyle name="Normal 57 4 4" xfId="43687"/>
    <cellStyle name="Normal 57 4 5" xfId="43688"/>
    <cellStyle name="Normal 57 5" xfId="43689"/>
    <cellStyle name="Normal 57 5 2" xfId="43690"/>
    <cellStyle name="Normal 57 6" xfId="43691"/>
    <cellStyle name="Normal 57 6 2" xfId="43692"/>
    <cellStyle name="Normal 57 7" xfId="43693"/>
    <cellStyle name="Normal 57 7 2" xfId="43694"/>
    <cellStyle name="Normal 57 8" xfId="43695"/>
    <cellStyle name="Normal 57 8 2" xfId="43696"/>
    <cellStyle name="Normal 57 9" xfId="43697"/>
    <cellStyle name="Normal 57 9 2" xfId="43698"/>
    <cellStyle name="Normal 57_Dakota Panel" xfId="43699"/>
    <cellStyle name="Normal 58" xfId="43700"/>
    <cellStyle name="Normal 58 10" xfId="43701"/>
    <cellStyle name="Normal 58 10 2" xfId="43702"/>
    <cellStyle name="Normal 58 11" xfId="43703"/>
    <cellStyle name="Normal 58 11 2" xfId="43704"/>
    <cellStyle name="Normal 58 12" xfId="43705"/>
    <cellStyle name="Normal 58 2" xfId="43706"/>
    <cellStyle name="Normal 58 2 2" xfId="43707"/>
    <cellStyle name="Normal 58 2 2 2" xfId="43708"/>
    <cellStyle name="Normal 58 2 3" xfId="43709"/>
    <cellStyle name="Normal 58 3" xfId="43710"/>
    <cellStyle name="Normal 58 3 2" xfId="43711"/>
    <cellStyle name="Normal 58 3 2 2" xfId="43712"/>
    <cellStyle name="Normal 58 3 3" xfId="43713"/>
    <cellStyle name="Normal 58 3 3 2" xfId="43714"/>
    <cellStyle name="Normal 58 3 4" xfId="43715"/>
    <cellStyle name="Normal 58 3 4 2" xfId="43716"/>
    <cellStyle name="Normal 58 3 5" xfId="43717"/>
    <cellStyle name="Normal 58 3 5 2" xfId="43718"/>
    <cellStyle name="Normal 58 3 6" xfId="43719"/>
    <cellStyle name="Normal 58 3 6 2" xfId="43720"/>
    <cellStyle name="Normal 58 3 7" xfId="43721"/>
    <cellStyle name="Normal 58 3 7 2" xfId="43722"/>
    <cellStyle name="Normal 58 3 8" xfId="43723"/>
    <cellStyle name="Normal 58 3 8 2" xfId="43724"/>
    <cellStyle name="Normal 58 3 9" xfId="43725"/>
    <cellStyle name="Normal 58 3 9 2" xfId="43726"/>
    <cellStyle name="Normal 58 3_Dakota Panel" xfId="43727"/>
    <cellStyle name="Normal 58 4" xfId="43728"/>
    <cellStyle name="Normal 58 4 2" xfId="43729"/>
    <cellStyle name="Normal 58 4 2 2" xfId="43730"/>
    <cellStyle name="Normal 58 4 3" xfId="43731"/>
    <cellStyle name="Normal 58 4 3 2" xfId="43732"/>
    <cellStyle name="Normal 58 4 4" xfId="43733"/>
    <cellStyle name="Normal 58 4 5" xfId="43734"/>
    <cellStyle name="Normal 58 5" xfId="43735"/>
    <cellStyle name="Normal 58 5 2" xfId="43736"/>
    <cellStyle name="Normal 58 6" xfId="43737"/>
    <cellStyle name="Normal 58 6 2" xfId="43738"/>
    <cellStyle name="Normal 58 7" xfId="43739"/>
    <cellStyle name="Normal 58 7 2" xfId="43740"/>
    <cellStyle name="Normal 58 8" xfId="43741"/>
    <cellStyle name="Normal 58 8 2" xfId="43742"/>
    <cellStyle name="Normal 58 9" xfId="43743"/>
    <cellStyle name="Normal 58 9 2" xfId="43744"/>
    <cellStyle name="Normal 58_Dakota Panel" xfId="43745"/>
    <cellStyle name="Normal 59" xfId="43746"/>
    <cellStyle name="Normal 59 10" xfId="43747"/>
    <cellStyle name="Normal 59 10 2" xfId="43748"/>
    <cellStyle name="Normal 59 11" xfId="43749"/>
    <cellStyle name="Normal 59 11 2" xfId="43750"/>
    <cellStyle name="Normal 59 12" xfId="43751"/>
    <cellStyle name="Normal 59 2" xfId="43752"/>
    <cellStyle name="Normal 59 2 2" xfId="43753"/>
    <cellStyle name="Normal 59 2 2 2" xfId="43754"/>
    <cellStyle name="Normal 59 2 3" xfId="43755"/>
    <cellStyle name="Normal 59 3" xfId="43756"/>
    <cellStyle name="Normal 59 3 2" xfId="43757"/>
    <cellStyle name="Normal 59 3 2 2" xfId="43758"/>
    <cellStyle name="Normal 59 3 3" xfId="43759"/>
    <cellStyle name="Normal 59 3 3 2" xfId="43760"/>
    <cellStyle name="Normal 59 3 4" xfId="43761"/>
    <cellStyle name="Normal 59 3 4 2" xfId="43762"/>
    <cellStyle name="Normal 59 3 5" xfId="43763"/>
    <cellStyle name="Normal 59 3 5 2" xfId="43764"/>
    <cellStyle name="Normal 59 3 6" xfId="43765"/>
    <cellStyle name="Normal 59 3 6 2" xfId="43766"/>
    <cellStyle name="Normal 59 3 7" xfId="43767"/>
    <cellStyle name="Normal 59 3 7 2" xfId="43768"/>
    <cellStyle name="Normal 59 3 8" xfId="43769"/>
    <cellStyle name="Normal 59 3 8 2" xfId="43770"/>
    <cellStyle name="Normal 59 3 9" xfId="43771"/>
    <cellStyle name="Normal 59 3 9 2" xfId="43772"/>
    <cellStyle name="Normal 59 3_Dakota Panel" xfId="43773"/>
    <cellStyle name="Normal 59 4" xfId="43774"/>
    <cellStyle name="Normal 59 4 2" xfId="43775"/>
    <cellStyle name="Normal 59 4 2 2" xfId="43776"/>
    <cellStyle name="Normal 59 4 3" xfId="43777"/>
    <cellStyle name="Normal 59 4 3 2" xfId="43778"/>
    <cellStyle name="Normal 59 4 4" xfId="43779"/>
    <cellStyle name="Normal 59 4 5" xfId="43780"/>
    <cellStyle name="Normal 59 5" xfId="43781"/>
    <cellStyle name="Normal 59 5 2" xfId="43782"/>
    <cellStyle name="Normal 59 6" xfId="43783"/>
    <cellStyle name="Normal 59 6 2" xfId="43784"/>
    <cellStyle name="Normal 59 7" xfId="43785"/>
    <cellStyle name="Normal 59 7 2" xfId="43786"/>
    <cellStyle name="Normal 59 8" xfId="43787"/>
    <cellStyle name="Normal 59 8 2" xfId="43788"/>
    <cellStyle name="Normal 59 9" xfId="43789"/>
    <cellStyle name="Normal 59 9 2" xfId="43790"/>
    <cellStyle name="Normal 59_Dakota Panel" xfId="43791"/>
    <cellStyle name="Normal 6" xfId="43792"/>
    <cellStyle name="Normal 6 10" xfId="43793"/>
    <cellStyle name="Normal 6 10 2" xfId="43794"/>
    <cellStyle name="Normal 6 10 2 2" xfId="43795"/>
    <cellStyle name="Normal 6 10 3" xfId="43796"/>
    <cellStyle name="Normal 6 10 4" xfId="43797"/>
    <cellStyle name="Normal 6 11" xfId="43798"/>
    <cellStyle name="Normal 6 11 2" xfId="43799"/>
    <cellStyle name="Normal 6 12" xfId="43800"/>
    <cellStyle name="Normal 6 2" xfId="43801"/>
    <cellStyle name="Normal 6 2 2" xfId="43802"/>
    <cellStyle name="Normal 6 2 2 2" xfId="43803"/>
    <cellStyle name="Normal 6 2 2 2 2" xfId="43804"/>
    <cellStyle name="Normal 6 2 2 2 2 2" xfId="43805"/>
    <cellStyle name="Normal 6 2 2 2 2 2 2" xfId="43806"/>
    <cellStyle name="Normal 6 2 2 2 2 2 3" xfId="43807"/>
    <cellStyle name="Normal 6 2 2 2 2 3" xfId="43808"/>
    <cellStyle name="Normal 6 2 2 2 2 3 2" xfId="43809"/>
    <cellStyle name="Normal 6 2 2 2 2 4" xfId="43810"/>
    <cellStyle name="Normal 6 2 2 2 2 5" xfId="43811"/>
    <cellStyle name="Normal 6 2 2 2 3" xfId="43812"/>
    <cellStyle name="Normal 6 2 2 2 3 2" xfId="43813"/>
    <cellStyle name="Normal 6 2 2 2 3 2 2" xfId="43814"/>
    <cellStyle name="Normal 6 2 2 2 3 3" xfId="43815"/>
    <cellStyle name="Normal 6 2 2 2 3 4" xfId="43816"/>
    <cellStyle name="Normal 6 2 2 2 4" xfId="43817"/>
    <cellStyle name="Normal 6 2 2 2 4 2" xfId="43818"/>
    <cellStyle name="Normal 6 2 2 2 4 2 2" xfId="43819"/>
    <cellStyle name="Normal 6 2 2 2 4 3" xfId="43820"/>
    <cellStyle name="Normal 6 2 2 2 4 4" xfId="43821"/>
    <cellStyle name="Normal 6 2 2 2 5" xfId="43822"/>
    <cellStyle name="Normal 6 2 2 2 5 2" xfId="43823"/>
    <cellStyle name="Normal 6 2 2 2 6" xfId="43824"/>
    <cellStyle name="Normal 6 2 2 2 7" xfId="43825"/>
    <cellStyle name="Normal 6 2 2 2 8" xfId="43826"/>
    <cellStyle name="Normal 6 2 2 3" xfId="43827"/>
    <cellStyle name="Normal 6 2 2 3 2" xfId="43828"/>
    <cellStyle name="Normal 6 2 2 3 2 2" xfId="43829"/>
    <cellStyle name="Normal 6 2 2 3 2 2 2" xfId="43830"/>
    <cellStyle name="Normal 6 2 2 3 2 2 3" xfId="43831"/>
    <cellStyle name="Normal 6 2 2 3 2 3" xfId="43832"/>
    <cellStyle name="Normal 6 2 2 3 2 3 2" xfId="43833"/>
    <cellStyle name="Normal 6 2 2 3 2 4" xfId="43834"/>
    <cellStyle name="Normal 6 2 2 3 2 5" xfId="43835"/>
    <cellStyle name="Normal 6 2 2 3 3" xfId="43836"/>
    <cellStyle name="Normal 6 2 2 3 3 2" xfId="43837"/>
    <cellStyle name="Normal 6 2 2 3 3 2 2" xfId="43838"/>
    <cellStyle name="Normal 6 2 2 3 3 3" xfId="43839"/>
    <cellStyle name="Normal 6 2 2 3 3 4" xfId="43840"/>
    <cellStyle name="Normal 6 2 2 3 4" xfId="43841"/>
    <cellStyle name="Normal 6 2 2 3 4 2" xfId="43842"/>
    <cellStyle name="Normal 6 2 2 3 4 2 2" xfId="43843"/>
    <cellStyle name="Normal 6 2 2 3 4 3" xfId="43844"/>
    <cellStyle name="Normal 6 2 2 3 4 4" xfId="43845"/>
    <cellStyle name="Normal 6 2 2 3 5" xfId="43846"/>
    <cellStyle name="Normal 6 2 2 3 5 2" xfId="43847"/>
    <cellStyle name="Normal 6 2 2 3 6" xfId="43848"/>
    <cellStyle name="Normal 6 2 2 3 7" xfId="43849"/>
    <cellStyle name="Normal 6 2 2 3 8" xfId="43850"/>
    <cellStyle name="Normal 6 2 2 4" xfId="43851"/>
    <cellStyle name="Normal 6 2 2 4 2" xfId="43852"/>
    <cellStyle name="Normal 6 2 2 4 2 2" xfId="43853"/>
    <cellStyle name="Normal 6 2 2 4 2 2 2" xfId="43854"/>
    <cellStyle name="Normal 6 2 2 4 2 2 3" xfId="43855"/>
    <cellStyle name="Normal 6 2 2 4 2 3" xfId="43856"/>
    <cellStyle name="Normal 6 2 2 4 2 3 2" xfId="43857"/>
    <cellStyle name="Normal 6 2 2 4 2 4" xfId="43858"/>
    <cellStyle name="Normal 6 2 2 4 2 5" xfId="43859"/>
    <cellStyle name="Normal 6 2 2 4 3" xfId="43860"/>
    <cellStyle name="Normal 6 2 2 4 3 2" xfId="43861"/>
    <cellStyle name="Normal 6 2 2 4 3 2 2" xfId="43862"/>
    <cellStyle name="Normal 6 2 2 4 3 3" xfId="43863"/>
    <cellStyle name="Normal 6 2 2 4 3 4" xfId="43864"/>
    <cellStyle name="Normal 6 2 2 4 4" xfId="43865"/>
    <cellStyle name="Normal 6 2 2 4 4 2" xfId="43866"/>
    <cellStyle name="Normal 6 2 2 4 4 2 2" xfId="43867"/>
    <cellStyle name="Normal 6 2 2 4 4 3" xfId="43868"/>
    <cellStyle name="Normal 6 2 2 4 4 4" xfId="43869"/>
    <cellStyle name="Normal 6 2 2 4 5" xfId="43870"/>
    <cellStyle name="Normal 6 2 2 4 5 2" xfId="43871"/>
    <cellStyle name="Normal 6 2 2 4 6" xfId="43872"/>
    <cellStyle name="Normal 6 2 2 4 7" xfId="43873"/>
    <cellStyle name="Normal 6 2 2 4 8" xfId="43874"/>
    <cellStyle name="Normal 6 2 2 5" xfId="43875"/>
    <cellStyle name="Normal 6 2 2 6" xfId="43876"/>
    <cellStyle name="Normal 6 2 3" xfId="43877"/>
    <cellStyle name="Normal 6 2 3 2" xfId="43878"/>
    <cellStyle name="Normal 6 2 3 3" xfId="43879"/>
    <cellStyle name="Normal 6 2 3 3 2" xfId="43880"/>
    <cellStyle name="Normal 6 2 3 3 2 2" xfId="43881"/>
    <cellStyle name="Normal 6 2 3 3 2 2 2" xfId="43882"/>
    <cellStyle name="Normal 6 2 3 3 2 2 3" xfId="43883"/>
    <cellStyle name="Normal 6 2 3 3 2 3" xfId="43884"/>
    <cellStyle name="Normal 6 2 3 3 2 3 2" xfId="43885"/>
    <cellStyle name="Normal 6 2 3 3 2 4" xfId="43886"/>
    <cellStyle name="Normal 6 2 3 3 2 5" xfId="43887"/>
    <cellStyle name="Normal 6 2 3 3 3" xfId="43888"/>
    <cellStyle name="Normal 6 2 3 3 3 2" xfId="43889"/>
    <cellStyle name="Normal 6 2 3 3 3 2 2" xfId="43890"/>
    <cellStyle name="Normal 6 2 3 3 3 3" xfId="43891"/>
    <cellStyle name="Normal 6 2 3 3 3 4" xfId="43892"/>
    <cellStyle name="Normal 6 2 3 3 4" xfId="43893"/>
    <cellStyle name="Normal 6 2 3 3 4 2" xfId="43894"/>
    <cellStyle name="Normal 6 2 3 3 4 2 2" xfId="43895"/>
    <cellStyle name="Normal 6 2 3 3 4 3" xfId="43896"/>
    <cellStyle name="Normal 6 2 3 3 4 4" xfId="43897"/>
    <cellStyle name="Normal 6 2 3 3 5" xfId="43898"/>
    <cellStyle name="Normal 6 2 3 3 5 2" xfId="43899"/>
    <cellStyle name="Normal 6 2 3 3 6" xfId="43900"/>
    <cellStyle name="Normal 6 2 3 3 7" xfId="43901"/>
    <cellStyle name="Normal 6 2 3 3 8" xfId="43902"/>
    <cellStyle name="Normal 6 2 3 4" xfId="43903"/>
    <cellStyle name="Normal 6 2 4" xfId="43904"/>
    <cellStyle name="Normal 6 2 4 2" xfId="43905"/>
    <cellStyle name="Normal 6 2 4 2 2" xfId="43906"/>
    <cellStyle name="Normal 6 2 4 2 2 2" xfId="43907"/>
    <cellStyle name="Normal 6 2 4 2 2 3" xfId="43908"/>
    <cellStyle name="Normal 6 2 4 2 3" xfId="43909"/>
    <cellStyle name="Normal 6 2 4 2 3 2" xfId="43910"/>
    <cellStyle name="Normal 6 2 4 2 4" xfId="43911"/>
    <cellStyle name="Normal 6 2 4 2 5" xfId="43912"/>
    <cellStyle name="Normal 6 2 4 3" xfId="43913"/>
    <cellStyle name="Normal 6 2 4 3 2" xfId="43914"/>
    <cellStyle name="Normal 6 2 4 3 2 2" xfId="43915"/>
    <cellStyle name="Normal 6 2 4 3 3" xfId="43916"/>
    <cellStyle name="Normal 6 2 4 3 4" xfId="43917"/>
    <cellStyle name="Normal 6 2 4 4" xfId="43918"/>
    <cellStyle name="Normal 6 2 4 4 2" xfId="43919"/>
    <cellStyle name="Normal 6 2 4 4 2 2" xfId="43920"/>
    <cellStyle name="Normal 6 2 4 4 3" xfId="43921"/>
    <cellStyle name="Normal 6 2 4 4 4" xfId="43922"/>
    <cellStyle name="Normal 6 2 4 5" xfId="43923"/>
    <cellStyle name="Normal 6 2 4 5 2" xfId="43924"/>
    <cellStyle name="Normal 6 2 4 6" xfId="43925"/>
    <cellStyle name="Normal 6 2 4 7" xfId="43926"/>
    <cellStyle name="Normal 6 2 4 8" xfId="43927"/>
    <cellStyle name="Normal 6 2 5" xfId="43928"/>
    <cellStyle name="Normal 6 2 5 2" xfId="43929"/>
    <cellStyle name="Normal 6 2 5 2 2" xfId="43930"/>
    <cellStyle name="Normal 6 2 5 2 2 2" xfId="43931"/>
    <cellStyle name="Normal 6 2 5 2 2 3" xfId="43932"/>
    <cellStyle name="Normal 6 2 5 2 3" xfId="43933"/>
    <cellStyle name="Normal 6 2 5 2 3 2" xfId="43934"/>
    <cellStyle name="Normal 6 2 5 2 4" xfId="43935"/>
    <cellStyle name="Normal 6 2 5 2 5" xfId="43936"/>
    <cellStyle name="Normal 6 2 5 3" xfId="43937"/>
    <cellStyle name="Normal 6 2 5 3 2" xfId="43938"/>
    <cellStyle name="Normal 6 2 5 3 2 2" xfId="43939"/>
    <cellStyle name="Normal 6 2 5 3 3" xfId="43940"/>
    <cellStyle name="Normal 6 2 5 3 4" xfId="43941"/>
    <cellStyle name="Normal 6 2 5 4" xfId="43942"/>
    <cellStyle name="Normal 6 2 5 4 2" xfId="43943"/>
    <cellStyle name="Normal 6 2 5 4 2 2" xfId="43944"/>
    <cellStyle name="Normal 6 2 5 4 3" xfId="43945"/>
    <cellStyle name="Normal 6 2 5 4 4" xfId="43946"/>
    <cellStyle name="Normal 6 2 5 5" xfId="43947"/>
    <cellStyle name="Normal 6 2 5 5 2" xfId="43948"/>
    <cellStyle name="Normal 6 2 5 6" xfId="43949"/>
    <cellStyle name="Normal 6 2 5 7" xfId="43950"/>
    <cellStyle name="Normal 6 2 5 8" xfId="43951"/>
    <cellStyle name="Normal 6 2 6" xfId="43952"/>
    <cellStyle name="Normal 6 2 6 2" xfId="43953"/>
    <cellStyle name="Normal 6 2 6 2 2" xfId="43954"/>
    <cellStyle name="Normal 6 2 6 2 2 2" xfId="43955"/>
    <cellStyle name="Normal 6 2 6 2 2 3" xfId="43956"/>
    <cellStyle name="Normal 6 2 6 2 3" xfId="43957"/>
    <cellStyle name="Normal 6 2 6 2 3 2" xfId="43958"/>
    <cellStyle name="Normal 6 2 6 2 4" xfId="43959"/>
    <cellStyle name="Normal 6 2 6 2 5" xfId="43960"/>
    <cellStyle name="Normal 6 2 6 3" xfId="43961"/>
    <cellStyle name="Normal 6 2 6 3 2" xfId="43962"/>
    <cellStyle name="Normal 6 2 6 3 2 2" xfId="43963"/>
    <cellStyle name="Normal 6 2 6 3 3" xfId="43964"/>
    <cellStyle name="Normal 6 2 6 3 4" xfId="43965"/>
    <cellStyle name="Normal 6 2 6 4" xfId="43966"/>
    <cellStyle name="Normal 6 2 6 4 2" xfId="43967"/>
    <cellStyle name="Normal 6 2 6 4 2 2" xfId="43968"/>
    <cellStyle name="Normal 6 2 6 4 3" xfId="43969"/>
    <cellStyle name="Normal 6 2 6 4 4" xfId="43970"/>
    <cellStyle name="Normal 6 2 6 5" xfId="43971"/>
    <cellStyle name="Normal 6 2 6 5 2" xfId="43972"/>
    <cellStyle name="Normal 6 2 6 6" xfId="43973"/>
    <cellStyle name="Normal 6 2 6 7" xfId="43974"/>
    <cellStyle name="Normal 6 2 6 8" xfId="43975"/>
    <cellStyle name="Normal 6 2 7" xfId="43976"/>
    <cellStyle name="Normal 6 2 8" xfId="43977"/>
    <cellStyle name="Normal 6 3" xfId="43978"/>
    <cellStyle name="Normal 6 3 2" xfId="43979"/>
    <cellStyle name="Normal 6 3 2 2" xfId="43980"/>
    <cellStyle name="Normal 6 3 2 2 2" xfId="43981"/>
    <cellStyle name="Normal 6 3 2 3" xfId="43982"/>
    <cellStyle name="Normal 6 3 3" xfId="43983"/>
    <cellStyle name="Normal 6 3 3 2" xfId="43984"/>
    <cellStyle name="Normal 6 3 3 3" xfId="43985"/>
    <cellStyle name="Normal 6 3 4" xfId="43986"/>
    <cellStyle name="Normal 6 3 4 2" xfId="43987"/>
    <cellStyle name="Normal 6 3 4 2 2" xfId="43988"/>
    <cellStyle name="Normal 6 3 4 2 2 2" xfId="43989"/>
    <cellStyle name="Normal 6 3 4 2 2 3" xfId="43990"/>
    <cellStyle name="Normal 6 3 4 2 3" xfId="43991"/>
    <cellStyle name="Normal 6 3 4 2 3 2" xfId="43992"/>
    <cellStyle name="Normal 6 3 4 2 4" xfId="43993"/>
    <cellStyle name="Normal 6 3 4 2 5" xfId="43994"/>
    <cellStyle name="Normal 6 3 4 3" xfId="43995"/>
    <cellStyle name="Normal 6 3 4 3 2" xfId="43996"/>
    <cellStyle name="Normal 6 3 4 3 2 2" xfId="43997"/>
    <cellStyle name="Normal 6 3 4 3 3" xfId="43998"/>
    <cellStyle name="Normal 6 3 4 3 4" xfId="43999"/>
    <cellStyle name="Normal 6 3 4 4" xfId="44000"/>
    <cellStyle name="Normal 6 3 4 4 2" xfId="44001"/>
    <cellStyle name="Normal 6 3 4 4 2 2" xfId="44002"/>
    <cellStyle name="Normal 6 3 4 4 3" xfId="44003"/>
    <cellStyle name="Normal 6 3 4 4 4" xfId="44004"/>
    <cellStyle name="Normal 6 3 4 5" xfId="44005"/>
    <cellStyle name="Normal 6 3 4 5 2" xfId="44006"/>
    <cellStyle name="Normal 6 3 4 6" xfId="44007"/>
    <cellStyle name="Normal 6 3 4 7" xfId="44008"/>
    <cellStyle name="Normal 6 3 4 8" xfId="44009"/>
    <cellStyle name="Normal 6 3 5" xfId="44010"/>
    <cellStyle name="Normal 6 3 5 2" xfId="44011"/>
    <cellStyle name="Normal 6 3 5 2 2" xfId="44012"/>
    <cellStyle name="Normal 6 3 5 2 2 2" xfId="44013"/>
    <cellStyle name="Normal 6 3 5 2 2 3" xfId="44014"/>
    <cellStyle name="Normal 6 3 5 2 3" xfId="44015"/>
    <cellStyle name="Normal 6 3 5 2 3 2" xfId="44016"/>
    <cellStyle name="Normal 6 3 5 2 4" xfId="44017"/>
    <cellStyle name="Normal 6 3 5 2 5" xfId="44018"/>
    <cellStyle name="Normal 6 3 5 3" xfId="44019"/>
    <cellStyle name="Normal 6 3 5 3 2" xfId="44020"/>
    <cellStyle name="Normal 6 3 5 3 2 2" xfId="44021"/>
    <cellStyle name="Normal 6 3 5 3 3" xfId="44022"/>
    <cellStyle name="Normal 6 3 5 3 4" xfId="44023"/>
    <cellStyle name="Normal 6 3 5 4" xfId="44024"/>
    <cellStyle name="Normal 6 3 5 4 2" xfId="44025"/>
    <cellStyle name="Normal 6 3 5 4 2 2" xfId="44026"/>
    <cellStyle name="Normal 6 3 5 4 3" xfId="44027"/>
    <cellStyle name="Normal 6 3 5 4 4" xfId="44028"/>
    <cellStyle name="Normal 6 3 5 5" xfId="44029"/>
    <cellStyle name="Normal 6 3 5 5 2" xfId="44030"/>
    <cellStyle name="Normal 6 3 5 6" xfId="44031"/>
    <cellStyle name="Normal 6 3 5 7" xfId="44032"/>
    <cellStyle name="Normal 6 3 5 8" xfId="44033"/>
    <cellStyle name="Normal 6 3 6" xfId="44034"/>
    <cellStyle name="Normal 6 3 6 2" xfId="44035"/>
    <cellStyle name="Normal 6 3 6 2 2" xfId="44036"/>
    <cellStyle name="Normal 6 3 6 2 2 2" xfId="44037"/>
    <cellStyle name="Normal 6 3 6 2 2 3" xfId="44038"/>
    <cellStyle name="Normal 6 3 6 2 3" xfId="44039"/>
    <cellStyle name="Normal 6 3 6 2 3 2" xfId="44040"/>
    <cellStyle name="Normal 6 3 6 2 4" xfId="44041"/>
    <cellStyle name="Normal 6 3 6 2 5" xfId="44042"/>
    <cellStyle name="Normal 6 3 6 3" xfId="44043"/>
    <cellStyle name="Normal 6 3 6 3 2" xfId="44044"/>
    <cellStyle name="Normal 6 3 6 3 2 2" xfId="44045"/>
    <cellStyle name="Normal 6 3 6 3 3" xfId="44046"/>
    <cellStyle name="Normal 6 3 6 3 4" xfId="44047"/>
    <cellStyle name="Normal 6 3 6 4" xfId="44048"/>
    <cellStyle name="Normal 6 3 6 4 2" xfId="44049"/>
    <cellStyle name="Normal 6 3 6 4 2 2" xfId="44050"/>
    <cellStyle name="Normal 6 3 6 4 3" xfId="44051"/>
    <cellStyle name="Normal 6 3 6 4 4" xfId="44052"/>
    <cellStyle name="Normal 6 3 6 5" xfId="44053"/>
    <cellStyle name="Normal 6 3 6 5 2" xfId="44054"/>
    <cellStyle name="Normal 6 3 6 6" xfId="44055"/>
    <cellStyle name="Normal 6 3 6 7" xfId="44056"/>
    <cellStyle name="Normal 6 3 6 8" xfId="44057"/>
    <cellStyle name="Normal 6 3 7" xfId="44058"/>
    <cellStyle name="Normal 6 3_Dakota Panel" xfId="44059"/>
    <cellStyle name="Normal 6 4" xfId="44060"/>
    <cellStyle name="Normal 6 4 2" xfId="44061"/>
    <cellStyle name="Normal 6 4 2 2" xfId="44062"/>
    <cellStyle name="Normal 6 4 2 2 2" xfId="44063"/>
    <cellStyle name="Normal 6 4 2 3" xfId="44064"/>
    <cellStyle name="Normal 6 4 3" xfId="44065"/>
    <cellStyle name="Normal 6 4 3 2" xfId="44066"/>
    <cellStyle name="Normal 6 4 4" xfId="44067"/>
    <cellStyle name="Normal 6 4 4 2" xfId="44068"/>
    <cellStyle name="Normal 6 4 4 2 2" xfId="44069"/>
    <cellStyle name="Normal 6 4 4 2 2 2" xfId="44070"/>
    <cellStyle name="Normal 6 4 4 2 2 3" xfId="44071"/>
    <cellStyle name="Normal 6 4 4 2 3" xfId="44072"/>
    <cellStyle name="Normal 6 4 4 2 3 2" xfId="44073"/>
    <cellStyle name="Normal 6 4 4 2 4" xfId="44074"/>
    <cellStyle name="Normal 6 4 4 2 5" xfId="44075"/>
    <cellStyle name="Normal 6 4 4 3" xfId="44076"/>
    <cellStyle name="Normal 6 4 4 3 2" xfId="44077"/>
    <cellStyle name="Normal 6 4 4 3 2 2" xfId="44078"/>
    <cellStyle name="Normal 6 4 4 3 3" xfId="44079"/>
    <cellStyle name="Normal 6 4 4 3 4" xfId="44080"/>
    <cellStyle name="Normal 6 4 4 4" xfId="44081"/>
    <cellStyle name="Normal 6 4 4 4 2" xfId="44082"/>
    <cellStyle name="Normal 6 4 4 4 2 2" xfId="44083"/>
    <cellStyle name="Normal 6 4 4 4 3" xfId="44084"/>
    <cellStyle name="Normal 6 4 4 4 4" xfId="44085"/>
    <cellStyle name="Normal 6 4 4 5" xfId="44086"/>
    <cellStyle name="Normal 6 4 4 5 2" xfId="44087"/>
    <cellStyle name="Normal 6 4 4 6" xfId="44088"/>
    <cellStyle name="Normal 6 4 4 7" xfId="44089"/>
    <cellStyle name="Normal 6 4 4 8" xfId="44090"/>
    <cellStyle name="Normal 6 4 5" xfId="44091"/>
    <cellStyle name="Normal 6 4 6" xfId="44092"/>
    <cellStyle name="Normal 6 5" xfId="44093"/>
    <cellStyle name="Normal 6 5 2" xfId="44094"/>
    <cellStyle name="Normal 6 5 2 2" xfId="44095"/>
    <cellStyle name="Normal 6 5 2 2 2" xfId="44096"/>
    <cellStyle name="Normal 6 5 2 3" xfId="44097"/>
    <cellStyle name="Normal 6 5 3" xfId="44098"/>
    <cellStyle name="Normal 6 5 3 2" xfId="44099"/>
    <cellStyle name="Normal 6 5 4" xfId="44100"/>
    <cellStyle name="Normal 6 5 4 2" xfId="44101"/>
    <cellStyle name="Normal 6 5 5" xfId="44102"/>
    <cellStyle name="Normal 6 5 5 2" xfId="44103"/>
    <cellStyle name="Normal 6 5 6" xfId="44104"/>
    <cellStyle name="Normal 6 5 6 2" xfId="44105"/>
    <cellStyle name="Normal 6 5 7" xfId="44106"/>
    <cellStyle name="Normal 6 5 7 2" xfId="44107"/>
    <cellStyle name="Normal 6 5 8" xfId="44108"/>
    <cellStyle name="Normal 6 5 8 2" xfId="44109"/>
    <cellStyle name="Normal 6 5 9" xfId="44110"/>
    <cellStyle name="Normal 6 5 9 2" xfId="44111"/>
    <cellStyle name="Normal 6 5_Dakota Panel" xfId="44112"/>
    <cellStyle name="Normal 6 6" xfId="44113"/>
    <cellStyle name="Normal 6 6 2" xfId="44114"/>
    <cellStyle name="Normal 6 6 2 2" xfId="44115"/>
    <cellStyle name="Normal 6 6 2 2 2" xfId="44116"/>
    <cellStyle name="Normal 6 6 2 2 3" xfId="44117"/>
    <cellStyle name="Normal 6 6 2 3" xfId="44118"/>
    <cellStyle name="Normal 6 6 2 3 2" xfId="44119"/>
    <cellStyle name="Normal 6 6 2 4" xfId="44120"/>
    <cellStyle name="Normal 6 6 2 5" xfId="44121"/>
    <cellStyle name="Normal 6 6 3" xfId="44122"/>
    <cellStyle name="Normal 6 6 3 2" xfId="44123"/>
    <cellStyle name="Normal 6 6 3 2 2" xfId="44124"/>
    <cellStyle name="Normal 6 6 3 3" xfId="44125"/>
    <cellStyle name="Normal 6 6 3 4" xfId="44126"/>
    <cellStyle name="Normal 6 6 4" xfId="44127"/>
    <cellStyle name="Normal 6 6 4 2" xfId="44128"/>
    <cellStyle name="Normal 6 6 4 2 2" xfId="44129"/>
    <cellStyle name="Normal 6 6 4 3" xfId="44130"/>
    <cellStyle name="Normal 6 6 4 4" xfId="44131"/>
    <cellStyle name="Normal 6 6 5" xfId="44132"/>
    <cellStyle name="Normal 6 6 5 2" xfId="44133"/>
    <cellStyle name="Normal 6 6 6" xfId="44134"/>
    <cellStyle name="Normal 6 6 6 2" xfId="44135"/>
    <cellStyle name="Normal 6 6 7" xfId="44136"/>
    <cellStyle name="Normal 6 6 8" xfId="44137"/>
    <cellStyle name="Normal 6 6 9" xfId="44138"/>
    <cellStyle name="Normal 6 7" xfId="44139"/>
    <cellStyle name="Normal 6 7 2" xfId="44140"/>
    <cellStyle name="Normal 6 7 2 2" xfId="44141"/>
    <cellStyle name="Normal 6 7 2 2 2" xfId="44142"/>
    <cellStyle name="Normal 6 7 2 2 3" xfId="44143"/>
    <cellStyle name="Normal 6 7 2 3" xfId="44144"/>
    <cellStyle name="Normal 6 7 2 3 2" xfId="44145"/>
    <cellStyle name="Normal 6 7 2 4" xfId="44146"/>
    <cellStyle name="Normal 6 7 2 5" xfId="44147"/>
    <cellStyle name="Normal 6 7 3" xfId="44148"/>
    <cellStyle name="Normal 6 7 3 2" xfId="44149"/>
    <cellStyle name="Normal 6 7 3 2 2" xfId="44150"/>
    <cellStyle name="Normal 6 7 3 3" xfId="44151"/>
    <cellStyle name="Normal 6 7 3 4" xfId="44152"/>
    <cellStyle name="Normal 6 7 4" xfId="44153"/>
    <cellStyle name="Normal 6 7 4 2" xfId="44154"/>
    <cellStyle name="Normal 6 7 4 2 2" xfId="44155"/>
    <cellStyle name="Normal 6 7 4 3" xfId="44156"/>
    <cellStyle name="Normal 6 7 4 4" xfId="44157"/>
    <cellStyle name="Normal 6 7 5" xfId="44158"/>
    <cellStyle name="Normal 6 7 5 2" xfId="44159"/>
    <cellStyle name="Normal 6 7 6" xfId="44160"/>
    <cellStyle name="Normal 6 7 7" xfId="44161"/>
    <cellStyle name="Normal 6 7 8" xfId="44162"/>
    <cellStyle name="Normal 6 8" xfId="44163"/>
    <cellStyle name="Normal 6 8 2" xfId="44164"/>
    <cellStyle name="Normal 6 8 2 2" xfId="44165"/>
    <cellStyle name="Normal 6 8 2 2 2" xfId="44166"/>
    <cellStyle name="Normal 6 8 2 2 3" xfId="44167"/>
    <cellStyle name="Normal 6 8 2 3" xfId="44168"/>
    <cellStyle name="Normal 6 8 2 3 2" xfId="44169"/>
    <cellStyle name="Normal 6 8 2 4" xfId="44170"/>
    <cellStyle name="Normal 6 8 2 5" xfId="44171"/>
    <cellStyle name="Normal 6 8 3" xfId="44172"/>
    <cellStyle name="Normal 6 8 3 2" xfId="44173"/>
    <cellStyle name="Normal 6 8 3 2 2" xfId="44174"/>
    <cellStyle name="Normal 6 8 3 3" xfId="44175"/>
    <cellStyle name="Normal 6 8 3 4" xfId="44176"/>
    <cellStyle name="Normal 6 8 4" xfId="44177"/>
    <cellStyle name="Normal 6 8 4 2" xfId="44178"/>
    <cellStyle name="Normal 6 8 4 2 2" xfId="44179"/>
    <cellStyle name="Normal 6 8 4 3" xfId="44180"/>
    <cellStyle name="Normal 6 8 4 4" xfId="44181"/>
    <cellStyle name="Normal 6 8 5" xfId="44182"/>
    <cellStyle name="Normal 6 8 5 2" xfId="44183"/>
    <cellStyle name="Normal 6 8 6" xfId="44184"/>
    <cellStyle name="Normal 6 8 7" xfId="44185"/>
    <cellStyle name="Normal 6 8 8" xfId="44186"/>
    <cellStyle name="Normal 6 9" xfId="44187"/>
    <cellStyle name="Normal 6 9 2" xfId="44188"/>
    <cellStyle name="Normal 6 9 2 2" xfId="44189"/>
    <cellStyle name="Normal 6_Dakota Panel" xfId="44190"/>
    <cellStyle name="Normal 60" xfId="44191"/>
    <cellStyle name="Normal 60 10" xfId="44192"/>
    <cellStyle name="Normal 60 10 2" xfId="44193"/>
    <cellStyle name="Normal 60 11" xfId="44194"/>
    <cellStyle name="Normal 60 11 2" xfId="44195"/>
    <cellStyle name="Normal 60 12" xfId="44196"/>
    <cellStyle name="Normal 60 2" xfId="44197"/>
    <cellStyle name="Normal 60 2 2" xfId="44198"/>
    <cellStyle name="Normal 60 2 2 2" xfId="44199"/>
    <cellStyle name="Normal 60 2 3" xfId="44200"/>
    <cellStyle name="Normal 60 3" xfId="44201"/>
    <cellStyle name="Normal 60 3 2" xfId="44202"/>
    <cellStyle name="Normal 60 3 2 2" xfId="44203"/>
    <cellStyle name="Normal 60 3 3" xfId="44204"/>
    <cellStyle name="Normal 60 3 3 2" xfId="44205"/>
    <cellStyle name="Normal 60 3 4" xfId="44206"/>
    <cellStyle name="Normal 60 3 4 2" xfId="44207"/>
    <cellStyle name="Normal 60 3 5" xfId="44208"/>
    <cellStyle name="Normal 60 3 5 2" xfId="44209"/>
    <cellStyle name="Normal 60 3 6" xfId="44210"/>
    <cellStyle name="Normal 60 3 6 2" xfId="44211"/>
    <cellStyle name="Normal 60 3 7" xfId="44212"/>
    <cellStyle name="Normal 60 3 7 2" xfId="44213"/>
    <cellStyle name="Normal 60 3 8" xfId="44214"/>
    <cellStyle name="Normal 60 3 8 2" xfId="44215"/>
    <cellStyle name="Normal 60 3 9" xfId="44216"/>
    <cellStyle name="Normal 60 3 9 2" xfId="44217"/>
    <cellStyle name="Normal 60 3_Dakota Panel" xfId="44218"/>
    <cellStyle name="Normal 60 4" xfId="44219"/>
    <cellStyle name="Normal 60 4 2" xfId="44220"/>
    <cellStyle name="Normal 60 4 2 2" xfId="44221"/>
    <cellStyle name="Normal 60 4 3" xfId="44222"/>
    <cellStyle name="Normal 60 4 3 2" xfId="44223"/>
    <cellStyle name="Normal 60 4 4" xfId="44224"/>
    <cellStyle name="Normal 60 4 5" xfId="44225"/>
    <cellStyle name="Normal 60 5" xfId="44226"/>
    <cellStyle name="Normal 60 5 2" xfId="44227"/>
    <cellStyle name="Normal 60 6" xfId="44228"/>
    <cellStyle name="Normal 60 6 2" xfId="44229"/>
    <cellStyle name="Normal 60 7" xfId="44230"/>
    <cellStyle name="Normal 60 7 2" xfId="44231"/>
    <cellStyle name="Normal 60 8" xfId="44232"/>
    <cellStyle name="Normal 60 8 2" xfId="44233"/>
    <cellStyle name="Normal 60 9" xfId="44234"/>
    <cellStyle name="Normal 60 9 2" xfId="44235"/>
    <cellStyle name="Normal 60_Dakota Panel" xfId="44236"/>
    <cellStyle name="Normal 61" xfId="44237"/>
    <cellStyle name="Normal 61 10" xfId="44238"/>
    <cellStyle name="Normal 61 10 2" xfId="44239"/>
    <cellStyle name="Normal 61 11" xfId="44240"/>
    <cellStyle name="Normal 61 11 2" xfId="44241"/>
    <cellStyle name="Normal 61 12" xfId="44242"/>
    <cellStyle name="Normal 61 2" xfId="44243"/>
    <cellStyle name="Normal 61 2 2" xfId="44244"/>
    <cellStyle name="Normal 61 2 2 2" xfId="44245"/>
    <cellStyle name="Normal 61 2 3" xfId="44246"/>
    <cellStyle name="Normal 61 3" xfId="44247"/>
    <cellStyle name="Normal 61 3 2" xfId="44248"/>
    <cellStyle name="Normal 61 3 2 2" xfId="44249"/>
    <cellStyle name="Normal 61 3 3" xfId="44250"/>
    <cellStyle name="Normal 61 3 3 2" xfId="44251"/>
    <cellStyle name="Normal 61 3 4" xfId="44252"/>
    <cellStyle name="Normal 61 3 4 2" xfId="44253"/>
    <cellStyle name="Normal 61 3 5" xfId="44254"/>
    <cellStyle name="Normal 61 3 5 2" xfId="44255"/>
    <cellStyle name="Normal 61 3 6" xfId="44256"/>
    <cellStyle name="Normal 61 3 6 2" xfId="44257"/>
    <cellStyle name="Normal 61 3 7" xfId="44258"/>
    <cellStyle name="Normal 61 3 7 2" xfId="44259"/>
    <cellStyle name="Normal 61 3 8" xfId="44260"/>
    <cellStyle name="Normal 61 3 8 2" xfId="44261"/>
    <cellStyle name="Normal 61 3 9" xfId="44262"/>
    <cellStyle name="Normal 61 3 9 2" xfId="44263"/>
    <cellStyle name="Normal 61 3_Dakota Panel" xfId="44264"/>
    <cellStyle name="Normal 61 4" xfId="44265"/>
    <cellStyle name="Normal 61 4 2" xfId="44266"/>
    <cellStyle name="Normal 61 4 2 2" xfId="44267"/>
    <cellStyle name="Normal 61 4 3" xfId="44268"/>
    <cellStyle name="Normal 61 4 3 2" xfId="44269"/>
    <cellStyle name="Normal 61 4 4" xfId="44270"/>
    <cellStyle name="Normal 61 4 5" xfId="44271"/>
    <cellStyle name="Normal 61 5" xfId="44272"/>
    <cellStyle name="Normal 61 5 2" xfId="44273"/>
    <cellStyle name="Normal 61 6" xfId="44274"/>
    <cellStyle name="Normal 61 6 2" xfId="44275"/>
    <cellStyle name="Normal 61 7" xfId="44276"/>
    <cellStyle name="Normal 61 7 2" xfId="44277"/>
    <cellStyle name="Normal 61 8" xfId="44278"/>
    <cellStyle name="Normal 61 8 2" xfId="44279"/>
    <cellStyle name="Normal 61 9" xfId="44280"/>
    <cellStyle name="Normal 61 9 2" xfId="44281"/>
    <cellStyle name="Normal 61_Dakota Panel" xfId="44282"/>
    <cellStyle name="Normal 62" xfId="44283"/>
    <cellStyle name="Normal 62 10" xfId="44284"/>
    <cellStyle name="Normal 62 10 2" xfId="44285"/>
    <cellStyle name="Normal 62 11" xfId="44286"/>
    <cellStyle name="Normal 62 11 2" xfId="44287"/>
    <cellStyle name="Normal 62 12" xfId="44288"/>
    <cellStyle name="Normal 62 2" xfId="44289"/>
    <cellStyle name="Normal 62 2 2" xfId="44290"/>
    <cellStyle name="Normal 62 2 2 2" xfId="44291"/>
    <cellStyle name="Normal 62 2 3" xfId="44292"/>
    <cellStyle name="Normal 62 3" xfId="44293"/>
    <cellStyle name="Normal 62 3 2" xfId="44294"/>
    <cellStyle name="Normal 62 3 2 2" xfId="44295"/>
    <cellStyle name="Normal 62 3 3" xfId="44296"/>
    <cellStyle name="Normal 62 3 3 2" xfId="44297"/>
    <cellStyle name="Normal 62 3 4" xfId="44298"/>
    <cellStyle name="Normal 62 3 4 2" xfId="44299"/>
    <cellStyle name="Normal 62 3 5" xfId="44300"/>
    <cellStyle name="Normal 62 3 5 2" xfId="44301"/>
    <cellStyle name="Normal 62 3 6" xfId="44302"/>
    <cellStyle name="Normal 62 3 6 2" xfId="44303"/>
    <cellStyle name="Normal 62 3 7" xfId="44304"/>
    <cellStyle name="Normal 62 3 7 2" xfId="44305"/>
    <cellStyle name="Normal 62 3 8" xfId="44306"/>
    <cellStyle name="Normal 62 3 8 2" xfId="44307"/>
    <cellStyle name="Normal 62 3 9" xfId="44308"/>
    <cellStyle name="Normal 62 3 9 2" xfId="44309"/>
    <cellStyle name="Normal 62 3_Dakota Panel" xfId="44310"/>
    <cellStyle name="Normal 62 4" xfId="44311"/>
    <cellStyle name="Normal 62 4 2" xfId="44312"/>
    <cellStyle name="Normal 62 4 2 2" xfId="44313"/>
    <cellStyle name="Normal 62 4 3" xfId="44314"/>
    <cellStyle name="Normal 62 4 3 2" xfId="44315"/>
    <cellStyle name="Normal 62 4 4" xfId="44316"/>
    <cellStyle name="Normal 62 4 5" xfId="44317"/>
    <cellStyle name="Normal 62 5" xfId="44318"/>
    <cellStyle name="Normal 62 5 2" xfId="44319"/>
    <cellStyle name="Normal 62 6" xfId="44320"/>
    <cellStyle name="Normal 62 6 2" xfId="44321"/>
    <cellStyle name="Normal 62 7" xfId="44322"/>
    <cellStyle name="Normal 62 7 2" xfId="44323"/>
    <cellStyle name="Normal 62 8" xfId="44324"/>
    <cellStyle name="Normal 62 8 2" xfId="44325"/>
    <cellStyle name="Normal 62 9" xfId="44326"/>
    <cellStyle name="Normal 62 9 2" xfId="44327"/>
    <cellStyle name="Normal 62_Dakota Panel" xfId="44328"/>
    <cellStyle name="Normal 63" xfId="44329"/>
    <cellStyle name="Normal 63 10" xfId="44330"/>
    <cellStyle name="Normal 63 10 2" xfId="44331"/>
    <cellStyle name="Normal 63 11" xfId="44332"/>
    <cellStyle name="Normal 63 11 2" xfId="44333"/>
    <cellStyle name="Normal 63 12" xfId="44334"/>
    <cellStyle name="Normal 63 2" xfId="44335"/>
    <cellStyle name="Normal 63 2 2" xfId="44336"/>
    <cellStyle name="Normal 63 2 2 2" xfId="44337"/>
    <cellStyle name="Normal 63 2 3" xfId="44338"/>
    <cellStyle name="Normal 63 3" xfId="44339"/>
    <cellStyle name="Normal 63 3 2" xfId="44340"/>
    <cellStyle name="Normal 63 3 2 2" xfId="44341"/>
    <cellStyle name="Normal 63 3 3" xfId="44342"/>
    <cellStyle name="Normal 63 3 3 2" xfId="44343"/>
    <cellStyle name="Normal 63 3 4" xfId="44344"/>
    <cellStyle name="Normal 63 3 4 2" xfId="44345"/>
    <cellStyle name="Normal 63 3 5" xfId="44346"/>
    <cellStyle name="Normal 63 3 5 2" xfId="44347"/>
    <cellStyle name="Normal 63 3 6" xfId="44348"/>
    <cellStyle name="Normal 63 3 6 2" xfId="44349"/>
    <cellStyle name="Normal 63 3 7" xfId="44350"/>
    <cellStyle name="Normal 63 3 7 2" xfId="44351"/>
    <cellStyle name="Normal 63 3 8" xfId="44352"/>
    <cellStyle name="Normal 63 3 8 2" xfId="44353"/>
    <cellStyle name="Normal 63 3 9" xfId="44354"/>
    <cellStyle name="Normal 63 3 9 2" xfId="44355"/>
    <cellStyle name="Normal 63 3_Dakota Panel" xfId="44356"/>
    <cellStyle name="Normal 63 4" xfId="44357"/>
    <cellStyle name="Normal 63 4 2" xfId="44358"/>
    <cellStyle name="Normal 63 4 2 2" xfId="44359"/>
    <cellStyle name="Normal 63 4 3" xfId="44360"/>
    <cellStyle name="Normal 63 4 3 2" xfId="44361"/>
    <cellStyle name="Normal 63 4 4" xfId="44362"/>
    <cellStyle name="Normal 63 4 5" xfId="44363"/>
    <cellStyle name="Normal 63 5" xfId="44364"/>
    <cellStyle name="Normal 63 5 2" xfId="44365"/>
    <cellStyle name="Normal 63 6" xfId="44366"/>
    <cellStyle name="Normal 63 6 2" xfId="44367"/>
    <cellStyle name="Normal 63 7" xfId="44368"/>
    <cellStyle name="Normal 63 7 2" xfId="44369"/>
    <cellStyle name="Normal 63 8" xfId="44370"/>
    <cellStyle name="Normal 63 8 2" xfId="44371"/>
    <cellStyle name="Normal 63 9" xfId="44372"/>
    <cellStyle name="Normal 63 9 2" xfId="44373"/>
    <cellStyle name="Normal 63_Dakota Panel" xfId="44374"/>
    <cellStyle name="Normal 64" xfId="44375"/>
    <cellStyle name="Normal 64 10" xfId="44376"/>
    <cellStyle name="Normal 64 10 2" xfId="44377"/>
    <cellStyle name="Normal 64 11" xfId="44378"/>
    <cellStyle name="Normal 64 11 2" xfId="44379"/>
    <cellStyle name="Normal 64 12" xfId="44380"/>
    <cellStyle name="Normal 64 2" xfId="44381"/>
    <cellStyle name="Normal 64 2 2" xfId="44382"/>
    <cellStyle name="Normal 64 2 2 2" xfId="44383"/>
    <cellStyle name="Normal 64 2 3" xfId="44384"/>
    <cellStyle name="Normal 64 3" xfId="44385"/>
    <cellStyle name="Normal 64 3 2" xfId="44386"/>
    <cellStyle name="Normal 64 3 2 2" xfId="44387"/>
    <cellStyle name="Normal 64 3 3" xfId="44388"/>
    <cellStyle name="Normal 64 3 3 2" xfId="44389"/>
    <cellStyle name="Normal 64 3 4" xfId="44390"/>
    <cellStyle name="Normal 64 3 4 2" xfId="44391"/>
    <cellStyle name="Normal 64 3 5" xfId="44392"/>
    <cellStyle name="Normal 64 3 5 2" xfId="44393"/>
    <cellStyle name="Normal 64 3 6" xfId="44394"/>
    <cellStyle name="Normal 64 3 6 2" xfId="44395"/>
    <cellStyle name="Normal 64 3 7" xfId="44396"/>
    <cellStyle name="Normal 64 3 7 2" xfId="44397"/>
    <cellStyle name="Normal 64 3 8" xfId="44398"/>
    <cellStyle name="Normal 64 3 8 2" xfId="44399"/>
    <cellStyle name="Normal 64 3 9" xfId="44400"/>
    <cellStyle name="Normal 64 3 9 2" xfId="44401"/>
    <cellStyle name="Normal 64 3_Dakota Panel" xfId="44402"/>
    <cellStyle name="Normal 64 4" xfId="44403"/>
    <cellStyle name="Normal 64 4 2" xfId="44404"/>
    <cellStyle name="Normal 64 4 2 2" xfId="44405"/>
    <cellStyle name="Normal 64 4 3" xfId="44406"/>
    <cellStyle name="Normal 64 4 3 2" xfId="44407"/>
    <cellStyle name="Normal 64 4 4" xfId="44408"/>
    <cellStyle name="Normal 64 4 5" xfId="44409"/>
    <cellStyle name="Normal 64 5" xfId="44410"/>
    <cellStyle name="Normal 64 5 2" xfId="44411"/>
    <cellStyle name="Normal 64 6" xfId="44412"/>
    <cellStyle name="Normal 64 6 2" xfId="44413"/>
    <cellStyle name="Normal 64 7" xfId="44414"/>
    <cellStyle name="Normal 64 7 2" xfId="44415"/>
    <cellStyle name="Normal 64 8" xfId="44416"/>
    <cellStyle name="Normal 64 8 2" xfId="44417"/>
    <cellStyle name="Normal 64 9" xfId="44418"/>
    <cellStyle name="Normal 64 9 2" xfId="44419"/>
    <cellStyle name="Normal 64_Dakota Panel" xfId="44420"/>
    <cellStyle name="Normal 65" xfId="44421"/>
    <cellStyle name="Normal 65 10" xfId="44422"/>
    <cellStyle name="Normal 65 10 2" xfId="44423"/>
    <cellStyle name="Normal 65 11" xfId="44424"/>
    <cellStyle name="Normal 65 11 2" xfId="44425"/>
    <cellStyle name="Normal 65 12" xfId="44426"/>
    <cellStyle name="Normal 65 2" xfId="44427"/>
    <cellStyle name="Normal 65 2 2" xfId="44428"/>
    <cellStyle name="Normal 65 2 2 2" xfId="44429"/>
    <cellStyle name="Normal 65 2 3" xfId="44430"/>
    <cellStyle name="Normal 65 3" xfId="44431"/>
    <cellStyle name="Normal 65 3 2" xfId="44432"/>
    <cellStyle name="Normal 65 3 2 2" xfId="44433"/>
    <cellStyle name="Normal 65 3 3" xfId="44434"/>
    <cellStyle name="Normal 65 3 3 2" xfId="44435"/>
    <cellStyle name="Normal 65 3 4" xfId="44436"/>
    <cellStyle name="Normal 65 3 4 2" xfId="44437"/>
    <cellStyle name="Normal 65 3 5" xfId="44438"/>
    <cellStyle name="Normal 65 3 5 2" xfId="44439"/>
    <cellStyle name="Normal 65 3 6" xfId="44440"/>
    <cellStyle name="Normal 65 3 6 2" xfId="44441"/>
    <cellStyle name="Normal 65 3 7" xfId="44442"/>
    <cellStyle name="Normal 65 3 7 2" xfId="44443"/>
    <cellStyle name="Normal 65 3 8" xfId="44444"/>
    <cellStyle name="Normal 65 3 8 2" xfId="44445"/>
    <cellStyle name="Normal 65 3 9" xfId="44446"/>
    <cellStyle name="Normal 65 3 9 2" xfId="44447"/>
    <cellStyle name="Normal 65 3_Dakota Panel" xfId="44448"/>
    <cellStyle name="Normal 65 4" xfId="44449"/>
    <cellStyle name="Normal 65 4 2" xfId="44450"/>
    <cellStyle name="Normal 65 4 2 2" xfId="44451"/>
    <cellStyle name="Normal 65 4 3" xfId="44452"/>
    <cellStyle name="Normal 65 4 3 2" xfId="44453"/>
    <cellStyle name="Normal 65 4 4" xfId="44454"/>
    <cellStyle name="Normal 65 4 5" xfId="44455"/>
    <cellStyle name="Normal 65 5" xfId="44456"/>
    <cellStyle name="Normal 65 5 2" xfId="44457"/>
    <cellStyle name="Normal 65 6" xfId="44458"/>
    <cellStyle name="Normal 65 6 2" xfId="44459"/>
    <cellStyle name="Normal 65 7" xfId="44460"/>
    <cellStyle name="Normal 65 7 2" xfId="44461"/>
    <cellStyle name="Normal 65 8" xfId="44462"/>
    <cellStyle name="Normal 65 8 2" xfId="44463"/>
    <cellStyle name="Normal 65 9" xfId="44464"/>
    <cellStyle name="Normal 65 9 2" xfId="44465"/>
    <cellStyle name="Normal 65_Dakota Panel" xfId="44466"/>
    <cellStyle name="Normal 66" xfId="44467"/>
    <cellStyle name="Normal 66 10" xfId="44468"/>
    <cellStyle name="Normal 66 10 2" xfId="44469"/>
    <cellStyle name="Normal 66 11" xfId="44470"/>
    <cellStyle name="Normal 66 11 2" xfId="44471"/>
    <cellStyle name="Normal 66 12" xfId="44472"/>
    <cellStyle name="Normal 66 2" xfId="44473"/>
    <cellStyle name="Normal 66 2 2" xfId="44474"/>
    <cellStyle name="Normal 66 2 2 2" xfId="44475"/>
    <cellStyle name="Normal 66 2 3" xfId="44476"/>
    <cellStyle name="Normal 66 3" xfId="44477"/>
    <cellStyle name="Normal 66 3 2" xfId="44478"/>
    <cellStyle name="Normal 66 3 2 2" xfId="44479"/>
    <cellStyle name="Normal 66 3 3" xfId="44480"/>
    <cellStyle name="Normal 66 3 3 2" xfId="44481"/>
    <cellStyle name="Normal 66 3 4" xfId="44482"/>
    <cellStyle name="Normal 66 3 4 2" xfId="44483"/>
    <cellStyle name="Normal 66 3 5" xfId="44484"/>
    <cellStyle name="Normal 66 3 5 2" xfId="44485"/>
    <cellStyle name="Normal 66 3 6" xfId="44486"/>
    <cellStyle name="Normal 66 3 6 2" xfId="44487"/>
    <cellStyle name="Normal 66 3 7" xfId="44488"/>
    <cellStyle name="Normal 66 3 7 2" xfId="44489"/>
    <cellStyle name="Normal 66 3 8" xfId="44490"/>
    <cellStyle name="Normal 66 3 8 2" xfId="44491"/>
    <cellStyle name="Normal 66 3 9" xfId="44492"/>
    <cellStyle name="Normal 66 3 9 2" xfId="44493"/>
    <cellStyle name="Normal 66 3_Dakota Panel" xfId="44494"/>
    <cellStyle name="Normal 66 4" xfId="44495"/>
    <cellStyle name="Normal 66 4 2" xfId="44496"/>
    <cellStyle name="Normal 66 4 2 2" xfId="44497"/>
    <cellStyle name="Normal 66 4 3" xfId="44498"/>
    <cellStyle name="Normal 66 4 3 2" xfId="44499"/>
    <cellStyle name="Normal 66 4 4" xfId="44500"/>
    <cellStyle name="Normal 66 4 5" xfId="44501"/>
    <cellStyle name="Normal 66 5" xfId="44502"/>
    <cellStyle name="Normal 66 5 2" xfId="44503"/>
    <cellStyle name="Normal 66 6" xfId="44504"/>
    <cellStyle name="Normal 66 6 2" xfId="44505"/>
    <cellStyle name="Normal 66 7" xfId="44506"/>
    <cellStyle name="Normal 66 7 2" xfId="44507"/>
    <cellStyle name="Normal 66 8" xfId="44508"/>
    <cellStyle name="Normal 66 8 2" xfId="44509"/>
    <cellStyle name="Normal 66 9" xfId="44510"/>
    <cellStyle name="Normal 66 9 2" xfId="44511"/>
    <cellStyle name="Normal 66_Dakota Panel" xfId="44512"/>
    <cellStyle name="Normal 67" xfId="44513"/>
    <cellStyle name="Normal 67 10" xfId="44514"/>
    <cellStyle name="Normal 67 10 2" xfId="44515"/>
    <cellStyle name="Normal 67 11" xfId="44516"/>
    <cellStyle name="Normal 67 11 2" xfId="44517"/>
    <cellStyle name="Normal 67 12" xfId="44518"/>
    <cellStyle name="Normal 67 2" xfId="44519"/>
    <cellStyle name="Normal 67 2 2" xfId="44520"/>
    <cellStyle name="Normal 67 2 2 2" xfId="44521"/>
    <cellStyle name="Normal 67 2 3" xfId="44522"/>
    <cellStyle name="Normal 67 2_Dakota Panel" xfId="44523"/>
    <cellStyle name="Normal 67 3" xfId="44524"/>
    <cellStyle name="Normal 67 3 2" xfId="44525"/>
    <cellStyle name="Normal 67 3 2 2" xfId="44526"/>
    <cellStyle name="Normal 67 3 3" xfId="44527"/>
    <cellStyle name="Normal 67 3 3 2" xfId="44528"/>
    <cellStyle name="Normal 67 3 4" xfId="44529"/>
    <cellStyle name="Normal 67 3 4 2" xfId="44530"/>
    <cellStyle name="Normal 67 3 5" xfId="44531"/>
    <cellStyle name="Normal 67 3 5 2" xfId="44532"/>
    <cellStyle name="Normal 67 3 6" xfId="44533"/>
    <cellStyle name="Normal 67 3 6 2" xfId="44534"/>
    <cellStyle name="Normal 67 3 7" xfId="44535"/>
    <cellStyle name="Normal 67 3 7 2" xfId="44536"/>
    <cellStyle name="Normal 67 3 8" xfId="44537"/>
    <cellStyle name="Normal 67 3 8 2" xfId="44538"/>
    <cellStyle name="Normal 67 3 9" xfId="44539"/>
    <cellStyle name="Normal 67 3 9 2" xfId="44540"/>
    <cellStyle name="Normal 67 3_Dakota Panel" xfId="44541"/>
    <cellStyle name="Normal 67 4" xfId="44542"/>
    <cellStyle name="Normal 67 4 2" xfId="44543"/>
    <cellStyle name="Normal 67 4 2 2" xfId="44544"/>
    <cellStyle name="Normal 67 4 3" xfId="44545"/>
    <cellStyle name="Normal 67 4 3 2" xfId="44546"/>
    <cellStyle name="Normal 67 4 4" xfId="44547"/>
    <cellStyle name="Normal 67 4 5" xfId="44548"/>
    <cellStyle name="Normal 67 5" xfId="44549"/>
    <cellStyle name="Normal 67 5 2" xfId="44550"/>
    <cellStyle name="Normal 67 6" xfId="44551"/>
    <cellStyle name="Normal 67 6 2" xfId="44552"/>
    <cellStyle name="Normal 67 7" xfId="44553"/>
    <cellStyle name="Normal 67 7 2" xfId="44554"/>
    <cellStyle name="Normal 67 8" xfId="44555"/>
    <cellStyle name="Normal 67 8 2" xfId="44556"/>
    <cellStyle name="Normal 67 9" xfId="44557"/>
    <cellStyle name="Normal 67 9 2" xfId="44558"/>
    <cellStyle name="Normal 67_Dakota Panel" xfId="44559"/>
    <cellStyle name="Normal 68" xfId="44560"/>
    <cellStyle name="Normal 68 10" xfId="44561"/>
    <cellStyle name="Normal 68 10 2" xfId="44562"/>
    <cellStyle name="Normal 68 11" xfId="44563"/>
    <cellStyle name="Normal 68 11 2" xfId="44564"/>
    <cellStyle name="Normal 68 12" xfId="44565"/>
    <cellStyle name="Normal 68 2" xfId="44566"/>
    <cellStyle name="Normal 68 2 2" xfId="44567"/>
    <cellStyle name="Normal 68 2 2 2" xfId="44568"/>
    <cellStyle name="Normal 68 2 3" xfId="44569"/>
    <cellStyle name="Normal 68 3" xfId="44570"/>
    <cellStyle name="Normal 68 3 2" xfId="44571"/>
    <cellStyle name="Normal 68 3 2 2" xfId="44572"/>
    <cellStyle name="Normal 68 3 3" xfId="44573"/>
    <cellStyle name="Normal 68 3 3 2" xfId="44574"/>
    <cellStyle name="Normal 68 3 4" xfId="44575"/>
    <cellStyle name="Normal 68 3 4 2" xfId="44576"/>
    <cellStyle name="Normal 68 3 5" xfId="44577"/>
    <cellStyle name="Normal 68 3 5 2" xfId="44578"/>
    <cellStyle name="Normal 68 3 6" xfId="44579"/>
    <cellStyle name="Normal 68 3 6 2" xfId="44580"/>
    <cellStyle name="Normal 68 3 7" xfId="44581"/>
    <cellStyle name="Normal 68 3 7 2" xfId="44582"/>
    <cellStyle name="Normal 68 3 8" xfId="44583"/>
    <cellStyle name="Normal 68 3 8 2" xfId="44584"/>
    <cellStyle name="Normal 68 3 9" xfId="44585"/>
    <cellStyle name="Normal 68 3 9 2" xfId="44586"/>
    <cellStyle name="Normal 68 3_Dakota Panel" xfId="44587"/>
    <cellStyle name="Normal 68 4" xfId="44588"/>
    <cellStyle name="Normal 68 4 2" xfId="44589"/>
    <cellStyle name="Normal 68 4 2 2" xfId="44590"/>
    <cellStyle name="Normal 68 4 3" xfId="44591"/>
    <cellStyle name="Normal 68 4 3 2" xfId="44592"/>
    <cellStyle name="Normal 68 4 4" xfId="44593"/>
    <cellStyle name="Normal 68 4 5" xfId="44594"/>
    <cellStyle name="Normal 68 5" xfId="44595"/>
    <cellStyle name="Normal 68 5 2" xfId="44596"/>
    <cellStyle name="Normal 68 6" xfId="44597"/>
    <cellStyle name="Normal 68 6 2" xfId="44598"/>
    <cellStyle name="Normal 68 7" xfId="44599"/>
    <cellStyle name="Normal 68 7 2" xfId="44600"/>
    <cellStyle name="Normal 68 8" xfId="44601"/>
    <cellStyle name="Normal 68 8 2" xfId="44602"/>
    <cellStyle name="Normal 68 9" xfId="44603"/>
    <cellStyle name="Normal 68 9 2" xfId="44604"/>
    <cellStyle name="Normal 68_Dakota Panel" xfId="44605"/>
    <cellStyle name="Normal 69" xfId="44606"/>
    <cellStyle name="Normal 69 10" xfId="44607"/>
    <cellStyle name="Normal 69 10 2" xfId="44608"/>
    <cellStyle name="Normal 69 11" xfId="44609"/>
    <cellStyle name="Normal 69 11 2" xfId="44610"/>
    <cellStyle name="Normal 69 12" xfId="44611"/>
    <cellStyle name="Normal 69 2" xfId="44612"/>
    <cellStyle name="Normal 69 2 2" xfId="44613"/>
    <cellStyle name="Normal 69 2 2 2" xfId="44614"/>
    <cellStyle name="Normal 69 2 3" xfId="44615"/>
    <cellStyle name="Normal 69 3" xfId="44616"/>
    <cellStyle name="Normal 69 3 2" xfId="44617"/>
    <cellStyle name="Normal 69 3 2 2" xfId="44618"/>
    <cellStyle name="Normal 69 3 3" xfId="44619"/>
    <cellStyle name="Normal 69 3 3 2" xfId="44620"/>
    <cellStyle name="Normal 69 3 4" xfId="44621"/>
    <cellStyle name="Normal 69 3 4 2" xfId="44622"/>
    <cellStyle name="Normal 69 3 5" xfId="44623"/>
    <cellStyle name="Normal 69 3 5 2" xfId="44624"/>
    <cellStyle name="Normal 69 3 6" xfId="44625"/>
    <cellStyle name="Normal 69 3 6 2" xfId="44626"/>
    <cellStyle name="Normal 69 3 7" xfId="44627"/>
    <cellStyle name="Normal 69 3 7 2" xfId="44628"/>
    <cellStyle name="Normal 69 3 8" xfId="44629"/>
    <cellStyle name="Normal 69 3 8 2" xfId="44630"/>
    <cellStyle name="Normal 69 3 9" xfId="44631"/>
    <cellStyle name="Normal 69 3 9 2" xfId="44632"/>
    <cellStyle name="Normal 69 3_Dakota Panel" xfId="44633"/>
    <cellStyle name="Normal 69 4" xfId="44634"/>
    <cellStyle name="Normal 69 4 2" xfId="44635"/>
    <cellStyle name="Normal 69 4 2 2" xfId="44636"/>
    <cellStyle name="Normal 69 4 3" xfId="44637"/>
    <cellStyle name="Normal 69 4 3 2" xfId="44638"/>
    <cellStyle name="Normal 69 4 4" xfId="44639"/>
    <cellStyle name="Normal 69 4 5" xfId="44640"/>
    <cellStyle name="Normal 69 5" xfId="44641"/>
    <cellStyle name="Normal 69 5 2" xfId="44642"/>
    <cellStyle name="Normal 69 6" xfId="44643"/>
    <cellStyle name="Normal 69 6 2" xfId="44644"/>
    <cellStyle name="Normal 69 7" xfId="44645"/>
    <cellStyle name="Normal 69 7 2" xfId="44646"/>
    <cellStyle name="Normal 69 8" xfId="44647"/>
    <cellStyle name="Normal 69 8 2" xfId="44648"/>
    <cellStyle name="Normal 69 9" xfId="44649"/>
    <cellStyle name="Normal 69 9 2" xfId="44650"/>
    <cellStyle name="Normal 69_Dakota Panel" xfId="44651"/>
    <cellStyle name="Normal 7" xfId="44652"/>
    <cellStyle name="Normal 7 10" xfId="44653"/>
    <cellStyle name="Normal 7 10 2" xfId="44654"/>
    <cellStyle name="Normal 7 11" xfId="44655"/>
    <cellStyle name="Normal 7 11 2" xfId="44656"/>
    <cellStyle name="Normal 7 12" xfId="44657"/>
    <cellStyle name="Normal 7 2" xfId="44658"/>
    <cellStyle name="Normal 7 2 2" xfId="44659"/>
    <cellStyle name="Normal 7 2 2 2" xfId="44660"/>
    <cellStyle name="Normal 7 2 2 2 2" xfId="44661"/>
    <cellStyle name="Normal 7 2 2 3" xfId="44662"/>
    <cellStyle name="Normal 7 2 3" xfId="44663"/>
    <cellStyle name="Normal 7 2 3 2" xfId="44664"/>
    <cellStyle name="Normal 7 2 4" xfId="44665"/>
    <cellStyle name="Normal 7 2 4 2" xfId="44666"/>
    <cellStyle name="Normal 7 2 5" xfId="44667"/>
    <cellStyle name="Normal 7 2 5 2" xfId="44668"/>
    <cellStyle name="Normal 7 2 6" xfId="44669"/>
    <cellStyle name="Normal 7 2 7" xfId="44670"/>
    <cellStyle name="Normal 7 2 8" xfId="44671"/>
    <cellStyle name="Normal 7 3" xfId="44672"/>
    <cellStyle name="Normal 7 3 2" xfId="44673"/>
    <cellStyle name="Normal 7 3 2 2" xfId="44674"/>
    <cellStyle name="Normal 7 3 2 2 2" xfId="44675"/>
    <cellStyle name="Normal 7 3 2 3" xfId="44676"/>
    <cellStyle name="Normal 7 3 3" xfId="44677"/>
    <cellStyle name="Normal 7 3 3 2" xfId="44678"/>
    <cellStyle name="Normal 7 3 3 3" xfId="44679"/>
    <cellStyle name="Normal 7 3 4" xfId="44680"/>
    <cellStyle name="Normal 7 3 4 2" xfId="44681"/>
    <cellStyle name="Normal 7 3 5" xfId="44682"/>
    <cellStyle name="Normal 7 3_Dakota Panel" xfId="44683"/>
    <cellStyle name="Normal 7 4" xfId="44684"/>
    <cellStyle name="Normal 7 4 2" xfId="44685"/>
    <cellStyle name="Normal 7 4 2 2" xfId="44686"/>
    <cellStyle name="Normal 7 4 2 2 2" xfId="44687"/>
    <cellStyle name="Normal 7 4 2 3" xfId="44688"/>
    <cellStyle name="Normal 7 4 3" xfId="44689"/>
    <cellStyle name="Normal 7 4 3 2" xfId="44690"/>
    <cellStyle name="Normal 7 4 4" xfId="44691"/>
    <cellStyle name="Normal 7 4 4 2" xfId="44692"/>
    <cellStyle name="Normal 7 4 5" xfId="44693"/>
    <cellStyle name="Normal 7 5" xfId="44694"/>
    <cellStyle name="Normal 7 5 2" xfId="44695"/>
    <cellStyle name="Normal 7 5 2 2" xfId="44696"/>
    <cellStyle name="Normal 7 5 2 2 2" xfId="44697"/>
    <cellStyle name="Normal 7 5 3" xfId="44698"/>
    <cellStyle name="Normal 7 5 3 2" xfId="44699"/>
    <cellStyle name="Normal 7 5 4" xfId="44700"/>
    <cellStyle name="Normal 7 5 4 2" xfId="44701"/>
    <cellStyle name="Normal 7 5 5" xfId="44702"/>
    <cellStyle name="Normal 7 5 5 2" xfId="44703"/>
    <cellStyle name="Normal 7 5 6" xfId="44704"/>
    <cellStyle name="Normal 7 5 6 2" xfId="44705"/>
    <cellStyle name="Normal 7 5 7" xfId="44706"/>
    <cellStyle name="Normal 7 5 7 2" xfId="44707"/>
    <cellStyle name="Normal 7 5 8" xfId="44708"/>
    <cellStyle name="Normal 7 5 8 2" xfId="44709"/>
    <cellStyle name="Normal 7 5 9" xfId="44710"/>
    <cellStyle name="Normal 7 5 9 2" xfId="44711"/>
    <cellStyle name="Normal 7 5_Dakota Panel" xfId="44712"/>
    <cellStyle name="Normal 7 6" xfId="44713"/>
    <cellStyle name="Normal 7 6 2" xfId="44714"/>
    <cellStyle name="Normal 7 6 2 2" xfId="44715"/>
    <cellStyle name="Normal 7 7" xfId="44716"/>
    <cellStyle name="Normal 7 7 2" xfId="44717"/>
    <cellStyle name="Normal 7 7 2 2" xfId="44718"/>
    <cellStyle name="Normal 7 8" xfId="44719"/>
    <cellStyle name="Normal 7 8 2" xfId="44720"/>
    <cellStyle name="Normal 7 8 2 2" xfId="44721"/>
    <cellStyle name="Normal 7 8 3" xfId="44722"/>
    <cellStyle name="Normal 7 8 4" xfId="44723"/>
    <cellStyle name="Normal 7 9" xfId="44724"/>
    <cellStyle name="Normal 7 9 2" xfId="44725"/>
    <cellStyle name="Normal 7_Dakota Panel" xfId="44726"/>
    <cellStyle name="Normal 70" xfId="44727"/>
    <cellStyle name="Normal 70 10" xfId="44728"/>
    <cellStyle name="Normal 70 10 2" xfId="44729"/>
    <cellStyle name="Normal 70 11" xfId="44730"/>
    <cellStyle name="Normal 70 11 2" xfId="44731"/>
    <cellStyle name="Normal 70 12" xfId="44732"/>
    <cellStyle name="Normal 70 2" xfId="44733"/>
    <cellStyle name="Normal 70 2 2" xfId="44734"/>
    <cellStyle name="Normal 70 2 2 2" xfId="44735"/>
    <cellStyle name="Normal 70 2 3" xfId="44736"/>
    <cellStyle name="Normal 70 3" xfId="44737"/>
    <cellStyle name="Normal 70 3 2" xfId="44738"/>
    <cellStyle name="Normal 70 3 2 2" xfId="44739"/>
    <cellStyle name="Normal 70 3 3" xfId="44740"/>
    <cellStyle name="Normal 70 3 3 2" xfId="44741"/>
    <cellStyle name="Normal 70 3 4" xfId="44742"/>
    <cellStyle name="Normal 70 3 4 2" xfId="44743"/>
    <cellStyle name="Normal 70 3 5" xfId="44744"/>
    <cellStyle name="Normal 70 3 5 2" xfId="44745"/>
    <cellStyle name="Normal 70 3 6" xfId="44746"/>
    <cellStyle name="Normal 70 3 6 2" xfId="44747"/>
    <cellStyle name="Normal 70 3 7" xfId="44748"/>
    <cellStyle name="Normal 70 3 7 2" xfId="44749"/>
    <cellStyle name="Normal 70 3 8" xfId="44750"/>
    <cellStyle name="Normal 70 3 8 2" xfId="44751"/>
    <cellStyle name="Normal 70 3 9" xfId="44752"/>
    <cellStyle name="Normal 70 3 9 2" xfId="44753"/>
    <cellStyle name="Normal 70 3_Dakota Panel" xfId="44754"/>
    <cellStyle name="Normal 70 4" xfId="44755"/>
    <cellStyle name="Normal 70 4 2" xfId="44756"/>
    <cellStyle name="Normal 70 4 2 2" xfId="44757"/>
    <cellStyle name="Normal 70 4 3" xfId="44758"/>
    <cellStyle name="Normal 70 4 3 2" xfId="44759"/>
    <cellStyle name="Normal 70 4 4" xfId="44760"/>
    <cellStyle name="Normal 70 4 5" xfId="44761"/>
    <cellStyle name="Normal 70 5" xfId="44762"/>
    <cellStyle name="Normal 70 5 2" xfId="44763"/>
    <cellStyle name="Normal 70 6" xfId="44764"/>
    <cellStyle name="Normal 70 6 2" xfId="44765"/>
    <cellStyle name="Normal 70 7" xfId="44766"/>
    <cellStyle name="Normal 70 7 2" xfId="44767"/>
    <cellStyle name="Normal 70 8" xfId="44768"/>
    <cellStyle name="Normal 70 8 2" xfId="44769"/>
    <cellStyle name="Normal 70 9" xfId="44770"/>
    <cellStyle name="Normal 70 9 2" xfId="44771"/>
    <cellStyle name="Normal 70_Dakota Panel" xfId="44772"/>
    <cellStyle name="Normal 71" xfId="44773"/>
    <cellStyle name="Normal 71 10" xfId="44774"/>
    <cellStyle name="Normal 71 10 2" xfId="44775"/>
    <cellStyle name="Normal 71 11" xfId="44776"/>
    <cellStyle name="Normal 71 11 2" xfId="44777"/>
    <cellStyle name="Normal 71 12" xfId="44778"/>
    <cellStyle name="Normal 71 2" xfId="44779"/>
    <cellStyle name="Normal 71 2 2" xfId="44780"/>
    <cellStyle name="Normal 71 2 2 2" xfId="44781"/>
    <cellStyle name="Normal 71 2 3" xfId="44782"/>
    <cellStyle name="Normal 71 3" xfId="44783"/>
    <cellStyle name="Normal 71 3 2" xfId="44784"/>
    <cellStyle name="Normal 71 3 2 2" xfId="44785"/>
    <cellStyle name="Normal 71 3 2 2 2" xfId="44786"/>
    <cellStyle name="Normal 71 3 2 3" xfId="44787"/>
    <cellStyle name="Normal 71 3 3" xfId="44788"/>
    <cellStyle name="Normal 71 3 3 2" xfId="44789"/>
    <cellStyle name="Normal 71 3 4" xfId="44790"/>
    <cellStyle name="Normal 71 3 4 2" xfId="44791"/>
    <cellStyle name="Normal 71 3 5" xfId="44792"/>
    <cellStyle name="Normal 71 3 5 2" xfId="44793"/>
    <cellStyle name="Normal 71 3 6" xfId="44794"/>
    <cellStyle name="Normal 71 3 6 2" xfId="44795"/>
    <cellStyle name="Normal 71 3 7" xfId="44796"/>
    <cellStyle name="Normal 71 3 7 2" xfId="44797"/>
    <cellStyle name="Normal 71 3 8" xfId="44798"/>
    <cellStyle name="Normal 71 3 8 2" xfId="44799"/>
    <cellStyle name="Normal 71 3 9" xfId="44800"/>
    <cellStyle name="Normal 71 3 9 2" xfId="44801"/>
    <cellStyle name="Normal 71 3_Dakota Panel" xfId="44802"/>
    <cellStyle name="Normal 71 4" xfId="44803"/>
    <cellStyle name="Normal 71 4 2" xfId="44804"/>
    <cellStyle name="Normal 71 4 2 2" xfId="44805"/>
    <cellStyle name="Normal 71 4 3" xfId="44806"/>
    <cellStyle name="Normal 71 4 3 2" xfId="44807"/>
    <cellStyle name="Normal 71 4 4" xfId="44808"/>
    <cellStyle name="Normal 71 4 5" xfId="44809"/>
    <cellStyle name="Normal 71 5" xfId="44810"/>
    <cellStyle name="Normal 71 5 2" xfId="44811"/>
    <cellStyle name="Normal 71 6" xfId="44812"/>
    <cellStyle name="Normal 71 6 2" xfId="44813"/>
    <cellStyle name="Normal 71 7" xfId="44814"/>
    <cellStyle name="Normal 71 7 2" xfId="44815"/>
    <cellStyle name="Normal 71 8" xfId="44816"/>
    <cellStyle name="Normal 71 8 2" xfId="44817"/>
    <cellStyle name="Normal 71 9" xfId="44818"/>
    <cellStyle name="Normal 71 9 2" xfId="44819"/>
    <cellStyle name="Normal 71_Dakota Panel" xfId="44820"/>
    <cellStyle name="Normal 72" xfId="44821"/>
    <cellStyle name="Normal 72 10" xfId="44822"/>
    <cellStyle name="Normal 72 10 2" xfId="44823"/>
    <cellStyle name="Normal 72 11" xfId="44824"/>
    <cellStyle name="Normal 72 11 2" xfId="44825"/>
    <cellStyle name="Normal 72 12" xfId="44826"/>
    <cellStyle name="Normal 72 2" xfId="44827"/>
    <cellStyle name="Normal 72 2 2" xfId="44828"/>
    <cellStyle name="Normal 72 2 2 2" xfId="44829"/>
    <cellStyle name="Normal 72 2 3" xfId="44830"/>
    <cellStyle name="Normal 72 3" xfId="44831"/>
    <cellStyle name="Normal 72 3 2" xfId="44832"/>
    <cellStyle name="Normal 72 3 2 2" xfId="44833"/>
    <cellStyle name="Normal 72 3 3" xfId="44834"/>
    <cellStyle name="Normal 72 3 3 2" xfId="44835"/>
    <cellStyle name="Normal 72 3 4" xfId="44836"/>
    <cellStyle name="Normal 72 3 4 2" xfId="44837"/>
    <cellStyle name="Normal 72 3 5" xfId="44838"/>
    <cellStyle name="Normal 72 3 5 2" xfId="44839"/>
    <cellStyle name="Normal 72 3 6" xfId="44840"/>
    <cellStyle name="Normal 72 3 6 2" xfId="44841"/>
    <cellStyle name="Normal 72 3 7" xfId="44842"/>
    <cellStyle name="Normal 72 3 7 2" xfId="44843"/>
    <cellStyle name="Normal 72 3 8" xfId="44844"/>
    <cellStyle name="Normal 72 3 8 2" xfId="44845"/>
    <cellStyle name="Normal 72 3 9" xfId="44846"/>
    <cellStyle name="Normal 72 3 9 2" xfId="44847"/>
    <cellStyle name="Normal 72 3_Dakota Panel" xfId="44848"/>
    <cellStyle name="Normal 72 4" xfId="44849"/>
    <cellStyle name="Normal 72 4 2" xfId="44850"/>
    <cellStyle name="Normal 72 4 2 2" xfId="44851"/>
    <cellStyle name="Normal 72 4 3" xfId="44852"/>
    <cellStyle name="Normal 72 4 3 2" xfId="44853"/>
    <cellStyle name="Normal 72 4 4" xfId="44854"/>
    <cellStyle name="Normal 72 4 5" xfId="44855"/>
    <cellStyle name="Normal 72 5" xfId="44856"/>
    <cellStyle name="Normal 72 5 2" xfId="44857"/>
    <cellStyle name="Normal 72 6" xfId="44858"/>
    <cellStyle name="Normal 72 6 2" xfId="44859"/>
    <cellStyle name="Normal 72 7" xfId="44860"/>
    <cellStyle name="Normal 72 7 2" xfId="44861"/>
    <cellStyle name="Normal 72 8" xfId="44862"/>
    <cellStyle name="Normal 72 8 2" xfId="44863"/>
    <cellStyle name="Normal 72 9" xfId="44864"/>
    <cellStyle name="Normal 72 9 2" xfId="44865"/>
    <cellStyle name="Normal 72_Dakota Panel" xfId="44866"/>
    <cellStyle name="Normal 73" xfId="44867"/>
    <cellStyle name="Normal 73 10" xfId="44868"/>
    <cellStyle name="Normal 73 10 2" xfId="44869"/>
    <cellStyle name="Normal 73 11" xfId="44870"/>
    <cellStyle name="Normal 73 11 2" xfId="44871"/>
    <cellStyle name="Normal 73 12" xfId="44872"/>
    <cellStyle name="Normal 73 2" xfId="44873"/>
    <cellStyle name="Normal 73 2 2" xfId="44874"/>
    <cellStyle name="Normal 73 2 2 2" xfId="44875"/>
    <cellStyle name="Normal 73 2 3" xfId="44876"/>
    <cellStyle name="Normal 73 3" xfId="44877"/>
    <cellStyle name="Normal 73 3 2" xfId="44878"/>
    <cellStyle name="Normal 73 3 2 2" xfId="44879"/>
    <cellStyle name="Normal 73 3 2 2 2" xfId="44880"/>
    <cellStyle name="Normal 73 3 2 3" xfId="44881"/>
    <cellStyle name="Normal 73 3 3" xfId="44882"/>
    <cellStyle name="Normal 73 3 3 2" xfId="44883"/>
    <cellStyle name="Normal 73 3 4" xfId="44884"/>
    <cellStyle name="Normal 73 3 4 2" xfId="44885"/>
    <cellStyle name="Normal 73 3 5" xfId="44886"/>
    <cellStyle name="Normal 73 3 5 2" xfId="44887"/>
    <cellStyle name="Normal 73 3 6" xfId="44888"/>
    <cellStyle name="Normal 73 3 6 2" xfId="44889"/>
    <cellStyle name="Normal 73 3 7" xfId="44890"/>
    <cellStyle name="Normal 73 3 7 2" xfId="44891"/>
    <cellStyle name="Normal 73 3 8" xfId="44892"/>
    <cellStyle name="Normal 73 3 8 2" xfId="44893"/>
    <cellStyle name="Normal 73 3 9" xfId="44894"/>
    <cellStyle name="Normal 73 3 9 2" xfId="44895"/>
    <cellStyle name="Normal 73 3_Dakota Panel" xfId="44896"/>
    <cellStyle name="Normal 73 4" xfId="44897"/>
    <cellStyle name="Normal 73 4 2" xfId="44898"/>
    <cellStyle name="Normal 73 4 2 2" xfId="44899"/>
    <cellStyle name="Normal 73 4 3" xfId="44900"/>
    <cellStyle name="Normal 73 4 3 2" xfId="44901"/>
    <cellStyle name="Normal 73 4 4" xfId="44902"/>
    <cellStyle name="Normal 73 4 5" xfId="44903"/>
    <cellStyle name="Normal 73 5" xfId="44904"/>
    <cellStyle name="Normal 73 5 2" xfId="44905"/>
    <cellStyle name="Normal 73 6" xfId="44906"/>
    <cellStyle name="Normal 73 6 2" xfId="44907"/>
    <cellStyle name="Normal 73 7" xfId="44908"/>
    <cellStyle name="Normal 73 7 2" xfId="44909"/>
    <cellStyle name="Normal 73 8" xfId="44910"/>
    <cellStyle name="Normal 73 8 2" xfId="44911"/>
    <cellStyle name="Normal 73 9" xfId="44912"/>
    <cellStyle name="Normal 73 9 2" xfId="44913"/>
    <cellStyle name="Normal 73_Dakota Panel" xfId="44914"/>
    <cellStyle name="Normal 74" xfId="44915"/>
    <cellStyle name="Normal 74 10" xfId="44916"/>
    <cellStyle name="Normal 74 10 2" xfId="44917"/>
    <cellStyle name="Normal 74 11" xfId="44918"/>
    <cellStyle name="Normal 74 11 2" xfId="44919"/>
    <cellStyle name="Normal 74 12" xfId="44920"/>
    <cellStyle name="Normal 74 2" xfId="44921"/>
    <cellStyle name="Normal 74 2 2" xfId="44922"/>
    <cellStyle name="Normal 74 2 2 2" xfId="44923"/>
    <cellStyle name="Normal 74 2 3" xfId="44924"/>
    <cellStyle name="Normal 74 3" xfId="44925"/>
    <cellStyle name="Normal 74 3 2" xfId="44926"/>
    <cellStyle name="Normal 74 3 2 2" xfId="44927"/>
    <cellStyle name="Normal 74 3 3" xfId="44928"/>
    <cellStyle name="Normal 74 3 3 2" xfId="44929"/>
    <cellStyle name="Normal 74 3 4" xfId="44930"/>
    <cellStyle name="Normal 74 3 4 2" xfId="44931"/>
    <cellStyle name="Normal 74 3 5" xfId="44932"/>
    <cellStyle name="Normal 74 3 5 2" xfId="44933"/>
    <cellStyle name="Normal 74 3 6" xfId="44934"/>
    <cellStyle name="Normal 74 3 6 2" xfId="44935"/>
    <cellStyle name="Normal 74 3 7" xfId="44936"/>
    <cellStyle name="Normal 74 3 7 2" xfId="44937"/>
    <cellStyle name="Normal 74 3 8" xfId="44938"/>
    <cellStyle name="Normal 74 3 8 2" xfId="44939"/>
    <cellStyle name="Normal 74 3 9" xfId="44940"/>
    <cellStyle name="Normal 74 3 9 2" xfId="44941"/>
    <cellStyle name="Normal 74 3_Dakota Panel" xfId="44942"/>
    <cellStyle name="Normal 74 4" xfId="44943"/>
    <cellStyle name="Normal 74 4 2" xfId="44944"/>
    <cellStyle name="Normal 74 4 2 2" xfId="44945"/>
    <cellStyle name="Normal 74 4 3" xfId="44946"/>
    <cellStyle name="Normal 74 4 3 2" xfId="44947"/>
    <cellStyle name="Normal 74 4 4" xfId="44948"/>
    <cellStyle name="Normal 74 4 5" xfId="44949"/>
    <cellStyle name="Normal 74 5" xfId="44950"/>
    <cellStyle name="Normal 74 5 2" xfId="44951"/>
    <cellStyle name="Normal 74 6" xfId="44952"/>
    <cellStyle name="Normal 74 6 2" xfId="44953"/>
    <cellStyle name="Normal 74 7" xfId="44954"/>
    <cellStyle name="Normal 74 7 2" xfId="44955"/>
    <cellStyle name="Normal 74 8" xfId="44956"/>
    <cellStyle name="Normal 74 8 2" xfId="44957"/>
    <cellStyle name="Normal 74 9" xfId="44958"/>
    <cellStyle name="Normal 74 9 2" xfId="44959"/>
    <cellStyle name="Normal 74_Dakota Panel" xfId="44960"/>
    <cellStyle name="Normal 75" xfId="44961"/>
    <cellStyle name="Normal 75 10" xfId="44962"/>
    <cellStyle name="Normal 75 10 2" xfId="44963"/>
    <cellStyle name="Normal 75 11" xfId="44964"/>
    <cellStyle name="Normal 75 11 2" xfId="44965"/>
    <cellStyle name="Normal 75 12" xfId="44966"/>
    <cellStyle name="Normal 75 2" xfId="44967"/>
    <cellStyle name="Normal 75 2 2" xfId="44968"/>
    <cellStyle name="Normal 75 2 2 2" xfId="44969"/>
    <cellStyle name="Normal 75 2 3" xfId="44970"/>
    <cellStyle name="Normal 75 3" xfId="44971"/>
    <cellStyle name="Normal 75 3 2" xfId="44972"/>
    <cellStyle name="Normal 75 3 2 2" xfId="44973"/>
    <cellStyle name="Normal 75 3 3" xfId="44974"/>
    <cellStyle name="Normal 75 3 3 2" xfId="44975"/>
    <cellStyle name="Normal 75 3 4" xfId="44976"/>
    <cellStyle name="Normal 75 3 4 2" xfId="44977"/>
    <cellStyle name="Normal 75 3 5" xfId="44978"/>
    <cellStyle name="Normal 75 3 5 2" xfId="44979"/>
    <cellStyle name="Normal 75 3 6" xfId="44980"/>
    <cellStyle name="Normal 75 3 6 2" xfId="44981"/>
    <cellStyle name="Normal 75 3 7" xfId="44982"/>
    <cellStyle name="Normal 75 3 7 2" xfId="44983"/>
    <cellStyle name="Normal 75 3 8" xfId="44984"/>
    <cellStyle name="Normal 75 3 8 2" xfId="44985"/>
    <cellStyle name="Normal 75 3 9" xfId="44986"/>
    <cellStyle name="Normal 75 3 9 2" xfId="44987"/>
    <cellStyle name="Normal 75 3_Dakota Panel" xfId="44988"/>
    <cellStyle name="Normal 75 4" xfId="44989"/>
    <cellStyle name="Normal 75 4 2" xfId="44990"/>
    <cellStyle name="Normal 75 4 2 2" xfId="44991"/>
    <cellStyle name="Normal 75 4 3" xfId="44992"/>
    <cellStyle name="Normal 75 4 3 2" xfId="44993"/>
    <cellStyle name="Normal 75 4 4" xfId="44994"/>
    <cellStyle name="Normal 75 4 5" xfId="44995"/>
    <cellStyle name="Normal 75 5" xfId="44996"/>
    <cellStyle name="Normal 75 5 2" xfId="44997"/>
    <cellStyle name="Normal 75 6" xfId="44998"/>
    <cellStyle name="Normal 75 6 2" xfId="44999"/>
    <cellStyle name="Normal 75 7" xfId="45000"/>
    <cellStyle name="Normal 75 7 2" xfId="45001"/>
    <cellStyle name="Normal 75 8" xfId="45002"/>
    <cellStyle name="Normal 75 8 2" xfId="45003"/>
    <cellStyle name="Normal 75 9" xfId="45004"/>
    <cellStyle name="Normal 75 9 2" xfId="45005"/>
    <cellStyle name="Normal 75_Dakota Panel" xfId="45006"/>
    <cellStyle name="Normal 76" xfId="45007"/>
    <cellStyle name="Normal 76 10" xfId="45008"/>
    <cellStyle name="Normal 76 10 2" xfId="45009"/>
    <cellStyle name="Normal 76 11" xfId="45010"/>
    <cellStyle name="Normal 76 11 2" xfId="45011"/>
    <cellStyle name="Normal 76 12" xfId="45012"/>
    <cellStyle name="Normal 76 2" xfId="45013"/>
    <cellStyle name="Normal 76 2 2" xfId="45014"/>
    <cellStyle name="Normal 76 2 2 2" xfId="45015"/>
    <cellStyle name="Normal 76 2 3" xfId="45016"/>
    <cellStyle name="Normal 76 3" xfId="45017"/>
    <cellStyle name="Normal 76 3 2" xfId="45018"/>
    <cellStyle name="Normal 76 3 2 2" xfId="45019"/>
    <cellStyle name="Normal 76 3 3" xfId="45020"/>
    <cellStyle name="Normal 76 3 3 2" xfId="45021"/>
    <cellStyle name="Normal 76 3 4" xfId="45022"/>
    <cellStyle name="Normal 76 3 4 2" xfId="45023"/>
    <cellStyle name="Normal 76 3 5" xfId="45024"/>
    <cellStyle name="Normal 76 3 5 2" xfId="45025"/>
    <cellStyle name="Normal 76 3 6" xfId="45026"/>
    <cellStyle name="Normal 76 3 6 2" xfId="45027"/>
    <cellStyle name="Normal 76 3 7" xfId="45028"/>
    <cellStyle name="Normal 76 3 7 2" xfId="45029"/>
    <cellStyle name="Normal 76 3 8" xfId="45030"/>
    <cellStyle name="Normal 76 3 8 2" xfId="45031"/>
    <cellStyle name="Normal 76 3 9" xfId="45032"/>
    <cellStyle name="Normal 76 3 9 2" xfId="45033"/>
    <cellStyle name="Normal 76 3_Dakota Panel" xfId="45034"/>
    <cellStyle name="Normal 76 4" xfId="45035"/>
    <cellStyle name="Normal 76 4 2" xfId="45036"/>
    <cellStyle name="Normal 76 4 2 2" xfId="45037"/>
    <cellStyle name="Normal 76 4 3" xfId="45038"/>
    <cellStyle name="Normal 76 4 3 2" xfId="45039"/>
    <cellStyle name="Normal 76 4 4" xfId="45040"/>
    <cellStyle name="Normal 76 4 5" xfId="45041"/>
    <cellStyle name="Normal 76 5" xfId="45042"/>
    <cellStyle name="Normal 76 5 2" xfId="45043"/>
    <cellStyle name="Normal 76 6" xfId="45044"/>
    <cellStyle name="Normal 76 6 2" xfId="45045"/>
    <cellStyle name="Normal 76 7" xfId="45046"/>
    <cellStyle name="Normal 76 7 2" xfId="45047"/>
    <cellStyle name="Normal 76 8" xfId="45048"/>
    <cellStyle name="Normal 76 8 2" xfId="45049"/>
    <cellStyle name="Normal 76 9" xfId="45050"/>
    <cellStyle name="Normal 76 9 2" xfId="45051"/>
    <cellStyle name="Normal 76_Dakota Panel" xfId="45052"/>
    <cellStyle name="Normal 77" xfId="45053"/>
    <cellStyle name="Normal 77 10" xfId="45054"/>
    <cellStyle name="Normal 77 10 2" xfId="45055"/>
    <cellStyle name="Normal 77 11" xfId="45056"/>
    <cellStyle name="Normal 77 11 2" xfId="45057"/>
    <cellStyle name="Normal 77 12" xfId="45058"/>
    <cellStyle name="Normal 77 2" xfId="45059"/>
    <cellStyle name="Normal 77 2 2" xfId="45060"/>
    <cellStyle name="Normal 77 2 2 2" xfId="45061"/>
    <cellStyle name="Normal 77 2 3" xfId="45062"/>
    <cellStyle name="Normal 77 3" xfId="45063"/>
    <cellStyle name="Normal 77 3 2" xfId="45064"/>
    <cellStyle name="Normal 77 3 2 2" xfId="45065"/>
    <cellStyle name="Normal 77 3 3" xfId="45066"/>
    <cellStyle name="Normal 77 3 3 2" xfId="45067"/>
    <cellStyle name="Normal 77 3 4" xfId="45068"/>
    <cellStyle name="Normal 77 3 4 2" xfId="45069"/>
    <cellStyle name="Normal 77 3 5" xfId="45070"/>
    <cellStyle name="Normal 77 3 5 2" xfId="45071"/>
    <cellStyle name="Normal 77 3 6" xfId="45072"/>
    <cellStyle name="Normal 77 3 6 2" xfId="45073"/>
    <cellStyle name="Normal 77 3 7" xfId="45074"/>
    <cellStyle name="Normal 77 3 7 2" xfId="45075"/>
    <cellStyle name="Normal 77 3 8" xfId="45076"/>
    <cellStyle name="Normal 77 3 8 2" xfId="45077"/>
    <cellStyle name="Normal 77 3 9" xfId="45078"/>
    <cellStyle name="Normal 77 3 9 2" xfId="45079"/>
    <cellStyle name="Normal 77 3_Dakota Panel" xfId="45080"/>
    <cellStyle name="Normal 77 4" xfId="45081"/>
    <cellStyle name="Normal 77 4 2" xfId="45082"/>
    <cellStyle name="Normal 77 4 2 2" xfId="45083"/>
    <cellStyle name="Normal 77 4 3" xfId="45084"/>
    <cellStyle name="Normal 77 4 3 2" xfId="45085"/>
    <cellStyle name="Normal 77 4 4" xfId="45086"/>
    <cellStyle name="Normal 77 4 5" xfId="45087"/>
    <cellStyle name="Normal 77 5" xfId="45088"/>
    <cellStyle name="Normal 77 5 2" xfId="45089"/>
    <cellStyle name="Normal 77 6" xfId="45090"/>
    <cellStyle name="Normal 77 6 2" xfId="45091"/>
    <cellStyle name="Normal 77 7" xfId="45092"/>
    <cellStyle name="Normal 77 7 2" xfId="45093"/>
    <cellStyle name="Normal 77 8" xfId="45094"/>
    <cellStyle name="Normal 77 8 2" xfId="45095"/>
    <cellStyle name="Normal 77 9" xfId="45096"/>
    <cellStyle name="Normal 77 9 2" xfId="45097"/>
    <cellStyle name="Normal 77_Dakota Panel" xfId="45098"/>
    <cellStyle name="Normal 78" xfId="45099"/>
    <cellStyle name="Normal 78 10" xfId="45100"/>
    <cellStyle name="Normal 78 10 2" xfId="45101"/>
    <cellStyle name="Normal 78 11" xfId="45102"/>
    <cellStyle name="Normal 78 11 2" xfId="45103"/>
    <cellStyle name="Normal 78 12" xfId="45104"/>
    <cellStyle name="Normal 78 2" xfId="45105"/>
    <cellStyle name="Normal 78 2 2" xfId="45106"/>
    <cellStyle name="Normal 78 2 2 2" xfId="45107"/>
    <cellStyle name="Normal 78 2 3" xfId="45108"/>
    <cellStyle name="Normal 78 3" xfId="45109"/>
    <cellStyle name="Normal 78 3 2" xfId="45110"/>
    <cellStyle name="Normal 78 3 2 2" xfId="45111"/>
    <cellStyle name="Normal 78 3 3" xfId="45112"/>
    <cellStyle name="Normal 78 3 3 2" xfId="45113"/>
    <cellStyle name="Normal 78 3 4" xfId="45114"/>
    <cellStyle name="Normal 78 3 4 2" xfId="45115"/>
    <cellStyle name="Normal 78 3 5" xfId="45116"/>
    <cellStyle name="Normal 78 3 5 2" xfId="45117"/>
    <cellStyle name="Normal 78 3 6" xfId="45118"/>
    <cellStyle name="Normal 78 3 6 2" xfId="45119"/>
    <cellStyle name="Normal 78 3 7" xfId="45120"/>
    <cellStyle name="Normal 78 3 7 2" xfId="45121"/>
    <cellStyle name="Normal 78 3 8" xfId="45122"/>
    <cellStyle name="Normal 78 3 8 2" xfId="45123"/>
    <cellStyle name="Normal 78 3 9" xfId="45124"/>
    <cellStyle name="Normal 78 3 9 2" xfId="45125"/>
    <cellStyle name="Normal 78 3_Dakota Panel" xfId="45126"/>
    <cellStyle name="Normal 78 4" xfId="45127"/>
    <cellStyle name="Normal 78 4 2" xfId="45128"/>
    <cellStyle name="Normal 78 4 2 2" xfId="45129"/>
    <cellStyle name="Normal 78 4 3" xfId="45130"/>
    <cellStyle name="Normal 78 4 3 2" xfId="45131"/>
    <cellStyle name="Normal 78 4 4" xfId="45132"/>
    <cellStyle name="Normal 78 4 5" xfId="45133"/>
    <cellStyle name="Normal 78 5" xfId="45134"/>
    <cellStyle name="Normal 78 5 2" xfId="45135"/>
    <cellStyle name="Normal 78 6" xfId="45136"/>
    <cellStyle name="Normal 78 6 2" xfId="45137"/>
    <cellStyle name="Normal 78 7" xfId="45138"/>
    <cellStyle name="Normal 78 7 2" xfId="45139"/>
    <cellStyle name="Normal 78 8" xfId="45140"/>
    <cellStyle name="Normal 78 8 2" xfId="45141"/>
    <cellStyle name="Normal 78 9" xfId="45142"/>
    <cellStyle name="Normal 78 9 2" xfId="45143"/>
    <cellStyle name="Normal 78_Dakota Panel" xfId="45144"/>
    <cellStyle name="Normal 79" xfId="45145"/>
    <cellStyle name="Normal 79 10" xfId="45146"/>
    <cellStyle name="Normal 79 10 2" xfId="45147"/>
    <cellStyle name="Normal 79 11" xfId="45148"/>
    <cellStyle name="Normal 79 11 2" xfId="45149"/>
    <cellStyle name="Normal 79 12" xfId="45150"/>
    <cellStyle name="Normal 79 2" xfId="45151"/>
    <cellStyle name="Normal 79 2 2" xfId="45152"/>
    <cellStyle name="Normal 79 2 2 2" xfId="45153"/>
    <cellStyle name="Normal 79 2 3" xfId="45154"/>
    <cellStyle name="Normal 79 3" xfId="45155"/>
    <cellStyle name="Normal 79 3 2" xfId="45156"/>
    <cellStyle name="Normal 79 3 2 2" xfId="45157"/>
    <cellStyle name="Normal 79 3 3" xfId="45158"/>
    <cellStyle name="Normal 79 3 3 2" xfId="45159"/>
    <cellStyle name="Normal 79 3 4" xfId="45160"/>
    <cellStyle name="Normal 79 3 4 2" xfId="45161"/>
    <cellStyle name="Normal 79 3 5" xfId="45162"/>
    <cellStyle name="Normal 79 3 5 2" xfId="45163"/>
    <cellStyle name="Normal 79 3 6" xfId="45164"/>
    <cellStyle name="Normal 79 3 6 2" xfId="45165"/>
    <cellStyle name="Normal 79 3 7" xfId="45166"/>
    <cellStyle name="Normal 79 3 7 2" xfId="45167"/>
    <cellStyle name="Normal 79 3 8" xfId="45168"/>
    <cellStyle name="Normal 79 3 8 2" xfId="45169"/>
    <cellStyle name="Normal 79 3 9" xfId="45170"/>
    <cellStyle name="Normal 79 3 9 2" xfId="45171"/>
    <cellStyle name="Normal 79 3_Dakota Panel" xfId="45172"/>
    <cellStyle name="Normal 79 4" xfId="45173"/>
    <cellStyle name="Normal 79 4 2" xfId="45174"/>
    <cellStyle name="Normal 79 4 2 2" xfId="45175"/>
    <cellStyle name="Normal 79 4 3" xfId="45176"/>
    <cellStyle name="Normal 79 4 3 2" xfId="45177"/>
    <cellStyle name="Normal 79 4 4" xfId="45178"/>
    <cellStyle name="Normal 79 4 5" xfId="45179"/>
    <cellStyle name="Normal 79 5" xfId="45180"/>
    <cellStyle name="Normal 79 5 2" xfId="45181"/>
    <cellStyle name="Normal 79 6" xfId="45182"/>
    <cellStyle name="Normal 79 6 2" xfId="45183"/>
    <cellStyle name="Normal 79 7" xfId="45184"/>
    <cellStyle name="Normal 79 7 2" xfId="45185"/>
    <cellStyle name="Normal 79 8" xfId="45186"/>
    <cellStyle name="Normal 79 8 2" xfId="45187"/>
    <cellStyle name="Normal 79 9" xfId="45188"/>
    <cellStyle name="Normal 79 9 2" xfId="45189"/>
    <cellStyle name="Normal 79_Dakota Panel" xfId="45190"/>
    <cellStyle name="Normal 8" xfId="45191"/>
    <cellStyle name="Normal 8 10" xfId="45192"/>
    <cellStyle name="Normal 8 10 2" xfId="45193"/>
    <cellStyle name="Normal 8 11" xfId="45194"/>
    <cellStyle name="Normal 8 11 2" xfId="45195"/>
    <cellStyle name="Normal 8 12" xfId="45196"/>
    <cellStyle name="Normal 8 2" xfId="45197"/>
    <cellStyle name="Normal 8 2 2" xfId="45198"/>
    <cellStyle name="Normal 8 2 2 2" xfId="45199"/>
    <cellStyle name="Normal 8 2 2 3" xfId="45200"/>
    <cellStyle name="Normal 8 2 3" xfId="45201"/>
    <cellStyle name="Normal 8 2 3 2" xfId="45202"/>
    <cellStyle name="Normal 8 2 4" xfId="45203"/>
    <cellStyle name="Normal 8 2 4 2" xfId="45204"/>
    <cellStyle name="Normal 8 2 5" xfId="45205"/>
    <cellStyle name="Normal 8 2 6" xfId="45206"/>
    <cellStyle name="Normal 8 3" xfId="45207"/>
    <cellStyle name="Normal 8 3 2" xfId="45208"/>
    <cellStyle name="Normal 8 3 2 2" xfId="45209"/>
    <cellStyle name="Normal 8 3 3" xfId="45210"/>
    <cellStyle name="Normal 8 3 3 2" xfId="45211"/>
    <cellStyle name="Normal 8 3 4" xfId="45212"/>
    <cellStyle name="Normal 8 3_Dakota Panel" xfId="45213"/>
    <cellStyle name="Normal 8 4" xfId="45214"/>
    <cellStyle name="Normal 8 4 2" xfId="45215"/>
    <cellStyle name="Normal 8 4 2 2" xfId="45216"/>
    <cellStyle name="Normal 8 4 2 3" xfId="45217"/>
    <cellStyle name="Normal 8 4 3" xfId="45218"/>
    <cellStyle name="Normal 8 4 4" xfId="45219"/>
    <cellStyle name="Normal 8 4 5" xfId="45220"/>
    <cellStyle name="Normal 8 5" xfId="45221"/>
    <cellStyle name="Normal 8 5 2" xfId="45222"/>
    <cellStyle name="Normal 8 5 2 2" xfId="45223"/>
    <cellStyle name="Normal 8 5 2 2 2" xfId="45224"/>
    <cellStyle name="Normal 8 5 3" xfId="45225"/>
    <cellStyle name="Normal 8 5 3 2" xfId="45226"/>
    <cellStyle name="Normal 8 5 4" xfId="45227"/>
    <cellStyle name="Normal 8 5 4 2" xfId="45228"/>
    <cellStyle name="Normal 8 5 5" xfId="45229"/>
    <cellStyle name="Normal 8 5 5 2" xfId="45230"/>
    <cellStyle name="Normal 8 5 6" xfId="45231"/>
    <cellStyle name="Normal 8 5 6 2" xfId="45232"/>
    <cellStyle name="Normal 8 5 7" xfId="45233"/>
    <cellStyle name="Normal 8 5 7 2" xfId="45234"/>
    <cellStyle name="Normal 8 5 8" xfId="45235"/>
    <cellStyle name="Normal 8 5 8 2" xfId="45236"/>
    <cellStyle name="Normal 8 5 9" xfId="45237"/>
    <cellStyle name="Normal 8 5 9 2" xfId="45238"/>
    <cellStyle name="Normal 8 5_Dakota Panel" xfId="45239"/>
    <cellStyle name="Normal 8 6" xfId="45240"/>
    <cellStyle name="Normal 8 6 2" xfId="45241"/>
    <cellStyle name="Normal 8 6 2 2" xfId="45242"/>
    <cellStyle name="Normal 8 7" xfId="45243"/>
    <cellStyle name="Normal 8 7 2" xfId="45244"/>
    <cellStyle name="Normal 8 7 2 2" xfId="45245"/>
    <cellStyle name="Normal 8 8" xfId="45246"/>
    <cellStyle name="Normal 8 8 2" xfId="45247"/>
    <cellStyle name="Normal 8 8 2 2" xfId="45248"/>
    <cellStyle name="Normal 8 8 3" xfId="45249"/>
    <cellStyle name="Normal 8 8 4" xfId="45250"/>
    <cellStyle name="Normal 8 9" xfId="45251"/>
    <cellStyle name="Normal 8 9 2" xfId="45252"/>
    <cellStyle name="Normal 8_Dakota Panel" xfId="45253"/>
    <cellStyle name="Normal 80" xfId="45254"/>
    <cellStyle name="Normal 80 10" xfId="45255"/>
    <cellStyle name="Normal 80 10 2" xfId="45256"/>
    <cellStyle name="Normal 80 11" xfId="45257"/>
    <cellStyle name="Normal 80 11 2" xfId="45258"/>
    <cellStyle name="Normal 80 12" xfId="45259"/>
    <cellStyle name="Normal 80 2" xfId="45260"/>
    <cellStyle name="Normal 80 2 2" xfId="45261"/>
    <cellStyle name="Normal 80 2 2 2" xfId="45262"/>
    <cellStyle name="Normal 80 2 3" xfId="45263"/>
    <cellStyle name="Normal 80 3" xfId="45264"/>
    <cellStyle name="Normal 80 3 2" xfId="45265"/>
    <cellStyle name="Normal 80 3 2 2" xfId="45266"/>
    <cellStyle name="Normal 80 3 3" xfId="45267"/>
    <cellStyle name="Normal 80 3 3 2" xfId="45268"/>
    <cellStyle name="Normal 80 3 4" xfId="45269"/>
    <cellStyle name="Normal 80 3 4 2" xfId="45270"/>
    <cellStyle name="Normal 80 3 5" xfId="45271"/>
    <cellStyle name="Normal 80 3 5 2" xfId="45272"/>
    <cellStyle name="Normal 80 3 6" xfId="45273"/>
    <cellStyle name="Normal 80 3 6 2" xfId="45274"/>
    <cellStyle name="Normal 80 3 7" xfId="45275"/>
    <cellStyle name="Normal 80 3 7 2" xfId="45276"/>
    <cellStyle name="Normal 80 3 8" xfId="45277"/>
    <cellStyle name="Normal 80 3 8 2" xfId="45278"/>
    <cellStyle name="Normal 80 3 9" xfId="45279"/>
    <cellStyle name="Normal 80 3 9 2" xfId="45280"/>
    <cellStyle name="Normal 80 3_Dakota Panel" xfId="45281"/>
    <cellStyle name="Normal 80 4" xfId="45282"/>
    <cellStyle name="Normal 80 4 2" xfId="45283"/>
    <cellStyle name="Normal 80 4 2 2" xfId="45284"/>
    <cellStyle name="Normal 80 4 3" xfId="45285"/>
    <cellStyle name="Normal 80 4 3 2" xfId="45286"/>
    <cellStyle name="Normal 80 4 4" xfId="45287"/>
    <cellStyle name="Normal 80 4 5" xfId="45288"/>
    <cellStyle name="Normal 80 5" xfId="45289"/>
    <cellStyle name="Normal 80 5 2" xfId="45290"/>
    <cellStyle name="Normal 80 6" xfId="45291"/>
    <cellStyle name="Normal 80 6 2" xfId="45292"/>
    <cellStyle name="Normal 80 7" xfId="45293"/>
    <cellStyle name="Normal 80 7 2" xfId="45294"/>
    <cellStyle name="Normal 80 8" xfId="45295"/>
    <cellStyle name="Normal 80 8 2" xfId="45296"/>
    <cellStyle name="Normal 80 9" xfId="45297"/>
    <cellStyle name="Normal 80 9 2" xfId="45298"/>
    <cellStyle name="Normal 80_Dakota Panel" xfId="45299"/>
    <cellStyle name="Normal 81" xfId="45300"/>
    <cellStyle name="Normal 81 10" xfId="45301"/>
    <cellStyle name="Normal 81 10 2" xfId="45302"/>
    <cellStyle name="Normal 81 11" xfId="45303"/>
    <cellStyle name="Normal 81 11 2" xfId="45304"/>
    <cellStyle name="Normal 81 12" xfId="45305"/>
    <cellStyle name="Normal 81 2" xfId="45306"/>
    <cellStyle name="Normal 81 2 2" xfId="45307"/>
    <cellStyle name="Normal 81 2 2 2" xfId="45308"/>
    <cellStyle name="Normal 81 2 3" xfId="45309"/>
    <cellStyle name="Normal 81 3" xfId="45310"/>
    <cellStyle name="Normal 81 3 2" xfId="45311"/>
    <cellStyle name="Normal 81 3 2 2" xfId="45312"/>
    <cellStyle name="Normal 81 3 3" xfId="45313"/>
    <cellStyle name="Normal 81 3 3 2" xfId="45314"/>
    <cellStyle name="Normal 81 3 4" xfId="45315"/>
    <cellStyle name="Normal 81 3 4 2" xfId="45316"/>
    <cellStyle name="Normal 81 3 5" xfId="45317"/>
    <cellStyle name="Normal 81 3 5 2" xfId="45318"/>
    <cellStyle name="Normal 81 3 6" xfId="45319"/>
    <cellStyle name="Normal 81 3 6 2" xfId="45320"/>
    <cellStyle name="Normal 81 3 7" xfId="45321"/>
    <cellStyle name="Normal 81 3 7 2" xfId="45322"/>
    <cellStyle name="Normal 81 3 8" xfId="45323"/>
    <cellStyle name="Normal 81 3 8 2" xfId="45324"/>
    <cellStyle name="Normal 81 3 9" xfId="45325"/>
    <cellStyle name="Normal 81 3 9 2" xfId="45326"/>
    <cellStyle name="Normal 81 3_Dakota Panel" xfId="45327"/>
    <cellStyle name="Normal 81 4" xfId="45328"/>
    <cellStyle name="Normal 81 4 2" xfId="45329"/>
    <cellStyle name="Normal 81 4 2 2" xfId="45330"/>
    <cellStyle name="Normal 81 4 3" xfId="45331"/>
    <cellStyle name="Normal 81 4 3 2" xfId="45332"/>
    <cellStyle name="Normal 81 4 4" xfId="45333"/>
    <cellStyle name="Normal 81 4 5" xfId="45334"/>
    <cellStyle name="Normal 81 5" xfId="45335"/>
    <cellStyle name="Normal 81 5 2" xfId="45336"/>
    <cellStyle name="Normal 81 6" xfId="45337"/>
    <cellStyle name="Normal 81 6 2" xfId="45338"/>
    <cellStyle name="Normal 81 7" xfId="45339"/>
    <cellStyle name="Normal 81 7 2" xfId="45340"/>
    <cellStyle name="Normal 81 8" xfId="45341"/>
    <cellStyle name="Normal 81 8 2" xfId="45342"/>
    <cellStyle name="Normal 81 9" xfId="45343"/>
    <cellStyle name="Normal 81 9 2" xfId="45344"/>
    <cellStyle name="Normal 81_Dakota Panel" xfId="45345"/>
    <cellStyle name="Normal 82" xfId="45346"/>
    <cellStyle name="Normal 82 10" xfId="45347"/>
    <cellStyle name="Normal 82 10 2" xfId="45348"/>
    <cellStyle name="Normal 82 11" xfId="45349"/>
    <cellStyle name="Normal 82 11 2" xfId="45350"/>
    <cellStyle name="Normal 82 12" xfId="45351"/>
    <cellStyle name="Normal 82 2" xfId="45352"/>
    <cellStyle name="Normal 82 2 2" xfId="45353"/>
    <cellStyle name="Normal 82 2 2 2" xfId="45354"/>
    <cellStyle name="Normal 82 2 3" xfId="45355"/>
    <cellStyle name="Normal 82 3" xfId="45356"/>
    <cellStyle name="Normal 82 3 2" xfId="45357"/>
    <cellStyle name="Normal 82 3 2 2" xfId="45358"/>
    <cellStyle name="Normal 82 3 3" xfId="45359"/>
    <cellStyle name="Normal 82 3 3 2" xfId="45360"/>
    <cellStyle name="Normal 82 3 4" xfId="45361"/>
    <cellStyle name="Normal 82 3 4 2" xfId="45362"/>
    <cellStyle name="Normal 82 3 5" xfId="45363"/>
    <cellStyle name="Normal 82 3 5 2" xfId="45364"/>
    <cellStyle name="Normal 82 3 6" xfId="45365"/>
    <cellStyle name="Normal 82 3 6 2" xfId="45366"/>
    <cellStyle name="Normal 82 3 7" xfId="45367"/>
    <cellStyle name="Normal 82 3 7 2" xfId="45368"/>
    <cellStyle name="Normal 82 3 8" xfId="45369"/>
    <cellStyle name="Normal 82 3 8 2" xfId="45370"/>
    <cellStyle name="Normal 82 3 9" xfId="45371"/>
    <cellStyle name="Normal 82 3 9 2" xfId="45372"/>
    <cellStyle name="Normal 82 3_Dakota Panel" xfId="45373"/>
    <cellStyle name="Normal 82 4" xfId="45374"/>
    <cellStyle name="Normal 82 4 2" xfId="45375"/>
    <cellStyle name="Normal 82 4 2 2" xfId="45376"/>
    <cellStyle name="Normal 82 4 3" xfId="45377"/>
    <cellStyle name="Normal 82 4 3 2" xfId="45378"/>
    <cellStyle name="Normal 82 4 4" xfId="45379"/>
    <cellStyle name="Normal 82 4 5" xfId="45380"/>
    <cellStyle name="Normal 82 5" xfId="45381"/>
    <cellStyle name="Normal 82 5 2" xfId="45382"/>
    <cellStyle name="Normal 82 6" xfId="45383"/>
    <cellStyle name="Normal 82 6 2" xfId="45384"/>
    <cellStyle name="Normal 82 7" xfId="45385"/>
    <cellStyle name="Normal 82 7 2" xfId="45386"/>
    <cellStyle name="Normal 82 8" xfId="45387"/>
    <cellStyle name="Normal 82 8 2" xfId="45388"/>
    <cellStyle name="Normal 82 9" xfId="45389"/>
    <cellStyle name="Normal 82 9 2" xfId="45390"/>
    <cellStyle name="Normal 82_Dakota Panel" xfId="45391"/>
    <cellStyle name="Normal 83" xfId="45392"/>
    <cellStyle name="Normal 83 10" xfId="45393"/>
    <cellStyle name="Normal 83 10 2" xfId="45394"/>
    <cellStyle name="Normal 83 11" xfId="45395"/>
    <cellStyle name="Normal 83 11 2" xfId="45396"/>
    <cellStyle name="Normal 83 12" xfId="45397"/>
    <cellStyle name="Normal 83 2" xfId="45398"/>
    <cellStyle name="Normal 83 2 2" xfId="45399"/>
    <cellStyle name="Normal 83 2 2 2" xfId="45400"/>
    <cellStyle name="Normal 83 2 3" xfId="45401"/>
    <cellStyle name="Normal 83 3" xfId="45402"/>
    <cellStyle name="Normal 83 3 2" xfId="45403"/>
    <cellStyle name="Normal 83 3 2 2" xfId="45404"/>
    <cellStyle name="Normal 83 3 3" xfId="45405"/>
    <cellStyle name="Normal 83 3 3 2" xfId="45406"/>
    <cellStyle name="Normal 83 3 4" xfId="45407"/>
    <cellStyle name="Normal 83 3 4 2" xfId="45408"/>
    <cellStyle name="Normal 83 3 5" xfId="45409"/>
    <cellStyle name="Normal 83 3 5 2" xfId="45410"/>
    <cellStyle name="Normal 83 3 6" xfId="45411"/>
    <cellStyle name="Normal 83 3 6 2" xfId="45412"/>
    <cellStyle name="Normal 83 3 7" xfId="45413"/>
    <cellStyle name="Normal 83 3 7 2" xfId="45414"/>
    <cellStyle name="Normal 83 3 8" xfId="45415"/>
    <cellStyle name="Normal 83 3 8 2" xfId="45416"/>
    <cellStyle name="Normal 83 3 9" xfId="45417"/>
    <cellStyle name="Normal 83 3 9 2" xfId="45418"/>
    <cellStyle name="Normal 83 3_Dakota Panel" xfId="45419"/>
    <cellStyle name="Normal 83 4" xfId="45420"/>
    <cellStyle name="Normal 83 4 2" xfId="45421"/>
    <cellStyle name="Normal 83 4 2 2" xfId="45422"/>
    <cellStyle name="Normal 83 4 3" xfId="45423"/>
    <cellStyle name="Normal 83 4 3 2" xfId="45424"/>
    <cellStyle name="Normal 83 4 4" xfId="45425"/>
    <cellStyle name="Normal 83 4 5" xfId="45426"/>
    <cellStyle name="Normal 83 5" xfId="45427"/>
    <cellStyle name="Normal 83 5 2" xfId="45428"/>
    <cellStyle name="Normal 83 6" xfId="45429"/>
    <cellStyle name="Normal 83 6 2" xfId="45430"/>
    <cellStyle name="Normal 83 7" xfId="45431"/>
    <cellStyle name="Normal 83 7 2" xfId="45432"/>
    <cellStyle name="Normal 83 8" xfId="45433"/>
    <cellStyle name="Normal 83 8 2" xfId="45434"/>
    <cellStyle name="Normal 83 9" xfId="45435"/>
    <cellStyle name="Normal 83 9 2" xfId="45436"/>
    <cellStyle name="Normal 83_Dakota Panel" xfId="45437"/>
    <cellStyle name="Normal 84" xfId="45438"/>
    <cellStyle name="Normal 84 10" xfId="45439"/>
    <cellStyle name="Normal 84 10 2" xfId="45440"/>
    <cellStyle name="Normal 84 11" xfId="45441"/>
    <cellStyle name="Normal 84 11 2" xfId="45442"/>
    <cellStyle name="Normal 84 12" xfId="45443"/>
    <cellStyle name="Normal 84 2" xfId="45444"/>
    <cellStyle name="Normal 84 2 2" xfId="45445"/>
    <cellStyle name="Normal 84 2 2 2" xfId="45446"/>
    <cellStyle name="Normal 84 2 2_Dakota Panel" xfId="45447"/>
    <cellStyle name="Normal 84 2 3" xfId="45448"/>
    <cellStyle name="Normal 84 2 3 2" xfId="45449"/>
    <cellStyle name="Normal 84 2_Dakota Panel" xfId="45450"/>
    <cellStyle name="Normal 84 3" xfId="45451"/>
    <cellStyle name="Normal 84 3 2" xfId="45452"/>
    <cellStyle name="Normal 84 3 2 2" xfId="45453"/>
    <cellStyle name="Normal 84 3 3" xfId="45454"/>
    <cellStyle name="Normal 84 3 3 2" xfId="45455"/>
    <cellStyle name="Normal 84 3 4" xfId="45456"/>
    <cellStyle name="Normal 84 3 4 2" xfId="45457"/>
    <cellStyle name="Normal 84 3 5" xfId="45458"/>
    <cellStyle name="Normal 84 3 5 2" xfId="45459"/>
    <cellStyle name="Normal 84 3 6" xfId="45460"/>
    <cellStyle name="Normal 84 3 6 2" xfId="45461"/>
    <cellStyle name="Normal 84 3 7" xfId="45462"/>
    <cellStyle name="Normal 84 3 7 2" xfId="45463"/>
    <cellStyle name="Normal 84 3 8" xfId="45464"/>
    <cellStyle name="Normal 84 3 8 2" xfId="45465"/>
    <cellStyle name="Normal 84 3 9" xfId="45466"/>
    <cellStyle name="Normal 84 3 9 2" xfId="45467"/>
    <cellStyle name="Normal 84 3_Dakota Panel" xfId="45468"/>
    <cellStyle name="Normal 84 4" xfId="45469"/>
    <cellStyle name="Normal 84 4 2" xfId="45470"/>
    <cellStyle name="Normal 84 4 2 2" xfId="45471"/>
    <cellStyle name="Normal 84 4 3" xfId="45472"/>
    <cellStyle name="Normal 84 4 3 2" xfId="45473"/>
    <cellStyle name="Normal 84 4 4" xfId="45474"/>
    <cellStyle name="Normal 84 4 5" xfId="45475"/>
    <cellStyle name="Normal 84 5" xfId="45476"/>
    <cellStyle name="Normal 84 5 2" xfId="45477"/>
    <cellStyle name="Normal 84 6" xfId="45478"/>
    <cellStyle name="Normal 84 6 2" xfId="45479"/>
    <cellStyle name="Normal 84 7" xfId="45480"/>
    <cellStyle name="Normal 84 7 2" xfId="45481"/>
    <cellStyle name="Normal 84 8" xfId="45482"/>
    <cellStyle name="Normal 84 8 2" xfId="45483"/>
    <cellStyle name="Normal 84 9" xfId="45484"/>
    <cellStyle name="Normal 84 9 2" xfId="45485"/>
    <cellStyle name="Normal 84_Dakota Panel" xfId="45486"/>
    <cellStyle name="Normal 85" xfId="45487"/>
    <cellStyle name="Normal 85 10" xfId="45488"/>
    <cellStyle name="Normal 85 10 2" xfId="45489"/>
    <cellStyle name="Normal 85 11" xfId="45490"/>
    <cellStyle name="Normal 85 11 2" xfId="45491"/>
    <cellStyle name="Normal 85 12" xfId="45492"/>
    <cellStyle name="Normal 85 2" xfId="45493"/>
    <cellStyle name="Normal 85 2 2" xfId="45494"/>
    <cellStyle name="Normal 85 2 2 2" xfId="45495"/>
    <cellStyle name="Normal 85 2 3" xfId="45496"/>
    <cellStyle name="Normal 85 2 3 2" xfId="45497"/>
    <cellStyle name="Normal 85 2 4" xfId="45498"/>
    <cellStyle name="Normal 85 2 4 2" xfId="45499"/>
    <cellStyle name="Normal 85 2 5" xfId="45500"/>
    <cellStyle name="Normal 85 2 5 2" xfId="45501"/>
    <cellStyle name="Normal 85 2 6" xfId="45502"/>
    <cellStyle name="Normal 85 2 6 2" xfId="45503"/>
    <cellStyle name="Normal 85 2 7" xfId="45504"/>
    <cellStyle name="Normal 85 2 7 2" xfId="45505"/>
    <cellStyle name="Normal 85 2 8" xfId="45506"/>
    <cellStyle name="Normal 85 2 8 2" xfId="45507"/>
    <cellStyle name="Normal 85 2 9" xfId="45508"/>
    <cellStyle name="Normal 85 2 9 2" xfId="45509"/>
    <cellStyle name="Normal 85 2_Dakota Panel" xfId="45510"/>
    <cellStyle name="Normal 85 3" xfId="45511"/>
    <cellStyle name="Normal 85 3 2" xfId="45512"/>
    <cellStyle name="Normal 85 3 2 2" xfId="45513"/>
    <cellStyle name="Normal 85 3 3" xfId="45514"/>
    <cellStyle name="Normal 85 3 3 2" xfId="45515"/>
    <cellStyle name="Normal 85 3 4" xfId="45516"/>
    <cellStyle name="Normal 85 3 5" xfId="45517"/>
    <cellStyle name="Normal 85 4" xfId="45518"/>
    <cellStyle name="Normal 85 4 2" xfId="45519"/>
    <cellStyle name="Normal 85 5" xfId="45520"/>
    <cellStyle name="Normal 85 5 2" xfId="45521"/>
    <cellStyle name="Normal 85 6" xfId="45522"/>
    <cellStyle name="Normal 85 6 2" xfId="45523"/>
    <cellStyle name="Normal 85 7" xfId="45524"/>
    <cellStyle name="Normal 85 7 2" xfId="45525"/>
    <cellStyle name="Normal 85 8" xfId="45526"/>
    <cellStyle name="Normal 85 8 2" xfId="45527"/>
    <cellStyle name="Normal 85 9" xfId="45528"/>
    <cellStyle name="Normal 85 9 2" xfId="45529"/>
    <cellStyle name="Normal 85_Dakota Panel" xfId="45530"/>
    <cellStyle name="Normal 86" xfId="45531"/>
    <cellStyle name="Normal 86 10" xfId="45532"/>
    <cellStyle name="Normal 86 10 2" xfId="45533"/>
    <cellStyle name="Normal 86 11" xfId="45534"/>
    <cellStyle name="Normal 86 11 2" xfId="45535"/>
    <cellStyle name="Normal 86 12" xfId="45536"/>
    <cellStyle name="Normal 86 2" xfId="45537"/>
    <cellStyle name="Normal 86 2 2" xfId="45538"/>
    <cellStyle name="Normal 86 2 2 2" xfId="45539"/>
    <cellStyle name="Normal 86 2 3" xfId="45540"/>
    <cellStyle name="Normal 86 2 3 2" xfId="45541"/>
    <cellStyle name="Normal 86 2 4" xfId="45542"/>
    <cellStyle name="Normal 86 2 4 2" xfId="45543"/>
    <cellStyle name="Normal 86 2 5" xfId="45544"/>
    <cellStyle name="Normal 86 2 5 2" xfId="45545"/>
    <cellStyle name="Normal 86 2 6" xfId="45546"/>
    <cellStyle name="Normal 86 2 6 2" xfId="45547"/>
    <cellStyle name="Normal 86 2 7" xfId="45548"/>
    <cellStyle name="Normal 86 2 7 2" xfId="45549"/>
    <cellStyle name="Normal 86 2 8" xfId="45550"/>
    <cellStyle name="Normal 86 2 8 2" xfId="45551"/>
    <cellStyle name="Normal 86 2 9" xfId="45552"/>
    <cellStyle name="Normal 86 2 9 2" xfId="45553"/>
    <cellStyle name="Normal 86 2_Dakota Panel" xfId="45554"/>
    <cellStyle name="Normal 86 3" xfId="45555"/>
    <cellStyle name="Normal 86 3 2" xfId="45556"/>
    <cellStyle name="Normal 86 3 2 2" xfId="45557"/>
    <cellStyle name="Normal 86 3 3" xfId="45558"/>
    <cellStyle name="Normal 86 3 3 2" xfId="45559"/>
    <cellStyle name="Normal 86 3 4" xfId="45560"/>
    <cellStyle name="Normal 86 3 5" xfId="45561"/>
    <cellStyle name="Normal 86 4" xfId="45562"/>
    <cellStyle name="Normal 86 4 2" xfId="45563"/>
    <cellStyle name="Normal 86 5" xfId="45564"/>
    <cellStyle name="Normal 86 5 2" xfId="45565"/>
    <cellStyle name="Normal 86 6" xfId="45566"/>
    <cellStyle name="Normal 86 6 2" xfId="45567"/>
    <cellStyle name="Normal 86 7" xfId="45568"/>
    <cellStyle name="Normal 86 7 2" xfId="45569"/>
    <cellStyle name="Normal 86 8" xfId="45570"/>
    <cellStyle name="Normal 86 8 2" xfId="45571"/>
    <cellStyle name="Normal 86 9" xfId="45572"/>
    <cellStyle name="Normal 86 9 2" xfId="45573"/>
    <cellStyle name="Normal 86_Dakota Panel" xfId="45574"/>
    <cellStyle name="Normal 87" xfId="45575"/>
    <cellStyle name="Normal 87 10" xfId="45576"/>
    <cellStyle name="Normal 87 10 2" xfId="45577"/>
    <cellStyle name="Normal 87 11" xfId="45578"/>
    <cellStyle name="Normal 87 11 2" xfId="45579"/>
    <cellStyle name="Normal 87 12" xfId="45580"/>
    <cellStyle name="Normal 87 2" xfId="45581"/>
    <cellStyle name="Normal 87 2 2" xfId="45582"/>
    <cellStyle name="Normal 87 2 2 2" xfId="45583"/>
    <cellStyle name="Normal 87 2 3" xfId="45584"/>
    <cellStyle name="Normal 87 2 3 2" xfId="45585"/>
    <cellStyle name="Normal 87 2 4" xfId="45586"/>
    <cellStyle name="Normal 87 2 4 2" xfId="45587"/>
    <cellStyle name="Normal 87 2 5" xfId="45588"/>
    <cellStyle name="Normal 87 2 5 2" xfId="45589"/>
    <cellStyle name="Normal 87 2 6" xfId="45590"/>
    <cellStyle name="Normal 87 2 6 2" xfId="45591"/>
    <cellStyle name="Normal 87 2 7" xfId="45592"/>
    <cellStyle name="Normal 87 2 7 2" xfId="45593"/>
    <cellStyle name="Normal 87 2 8" xfId="45594"/>
    <cellStyle name="Normal 87 2 8 2" xfId="45595"/>
    <cellStyle name="Normal 87 2 9" xfId="45596"/>
    <cellStyle name="Normal 87 2 9 2" xfId="45597"/>
    <cellStyle name="Normal 87 2_Dakota Panel" xfId="45598"/>
    <cellStyle name="Normal 87 3" xfId="45599"/>
    <cellStyle name="Normal 87 3 2" xfId="45600"/>
    <cellStyle name="Normal 87 3 2 2" xfId="45601"/>
    <cellStyle name="Normal 87 3 3" xfId="45602"/>
    <cellStyle name="Normal 87 3 3 2" xfId="45603"/>
    <cellStyle name="Normal 87 3 4" xfId="45604"/>
    <cellStyle name="Normal 87 3 5" xfId="45605"/>
    <cellStyle name="Normal 87 4" xfId="45606"/>
    <cellStyle name="Normal 87 4 2" xfId="45607"/>
    <cellStyle name="Normal 87 5" xfId="45608"/>
    <cellStyle name="Normal 87 5 2" xfId="45609"/>
    <cellStyle name="Normal 87 6" xfId="45610"/>
    <cellStyle name="Normal 87 6 2" xfId="45611"/>
    <cellStyle name="Normal 87 7" xfId="45612"/>
    <cellStyle name="Normal 87 7 2" xfId="45613"/>
    <cellStyle name="Normal 87 8" xfId="45614"/>
    <cellStyle name="Normal 87 8 2" xfId="45615"/>
    <cellStyle name="Normal 87 9" xfId="45616"/>
    <cellStyle name="Normal 87 9 2" xfId="45617"/>
    <cellStyle name="Normal 87_Dakota Panel" xfId="45618"/>
    <cellStyle name="Normal 88" xfId="45619"/>
    <cellStyle name="Normal 88 10" xfId="45620"/>
    <cellStyle name="Normal 88 10 2" xfId="45621"/>
    <cellStyle name="Normal 88 11" xfId="45622"/>
    <cellStyle name="Normal 88 11 2" xfId="45623"/>
    <cellStyle name="Normal 88 12" xfId="45624"/>
    <cellStyle name="Normal 88 2" xfId="45625"/>
    <cellStyle name="Normal 88 2 2" xfId="45626"/>
    <cellStyle name="Normal 88 2 2 2" xfId="45627"/>
    <cellStyle name="Normal 88 2 3" xfId="45628"/>
    <cellStyle name="Normal 88 2 3 2" xfId="45629"/>
    <cellStyle name="Normal 88 2 4" xfId="45630"/>
    <cellStyle name="Normal 88 2 4 2" xfId="45631"/>
    <cellStyle name="Normal 88 2 5" xfId="45632"/>
    <cellStyle name="Normal 88 2 5 2" xfId="45633"/>
    <cellStyle name="Normal 88 2 6" xfId="45634"/>
    <cellStyle name="Normal 88 2 6 2" xfId="45635"/>
    <cellStyle name="Normal 88 2 7" xfId="45636"/>
    <cellStyle name="Normal 88 2 7 2" xfId="45637"/>
    <cellStyle name="Normal 88 2 8" xfId="45638"/>
    <cellStyle name="Normal 88 2 8 2" xfId="45639"/>
    <cellStyle name="Normal 88 2 9" xfId="45640"/>
    <cellStyle name="Normal 88 2 9 2" xfId="45641"/>
    <cellStyle name="Normal 88 2_Dakota Panel" xfId="45642"/>
    <cellStyle name="Normal 88 3" xfId="45643"/>
    <cellStyle name="Normal 88 3 2" xfId="45644"/>
    <cellStyle name="Normal 88 3 2 2" xfId="45645"/>
    <cellStyle name="Normal 88 3 3" xfId="45646"/>
    <cellStyle name="Normal 88 3 3 2" xfId="45647"/>
    <cellStyle name="Normal 88 3 4" xfId="45648"/>
    <cellStyle name="Normal 88 3 5" xfId="45649"/>
    <cellStyle name="Normal 88 4" xfId="45650"/>
    <cellStyle name="Normal 88 4 2" xfId="45651"/>
    <cellStyle name="Normal 88 5" xfId="45652"/>
    <cellStyle name="Normal 88 5 2" xfId="45653"/>
    <cellStyle name="Normal 88 6" xfId="45654"/>
    <cellStyle name="Normal 88 6 2" xfId="45655"/>
    <cellStyle name="Normal 88 7" xfId="45656"/>
    <cellStyle name="Normal 88 7 2" xfId="45657"/>
    <cellStyle name="Normal 88 8" xfId="45658"/>
    <cellStyle name="Normal 88 8 2" xfId="45659"/>
    <cellStyle name="Normal 88 9" xfId="45660"/>
    <cellStyle name="Normal 88 9 2" xfId="45661"/>
    <cellStyle name="Normal 88_Dakota Panel" xfId="45662"/>
    <cellStyle name="Normal 89" xfId="45663"/>
    <cellStyle name="Normal 89 10" xfId="45664"/>
    <cellStyle name="Normal 89 10 2" xfId="45665"/>
    <cellStyle name="Normal 89 11" xfId="45666"/>
    <cellStyle name="Normal 89 11 2" xfId="45667"/>
    <cellStyle name="Normal 89 12" xfId="45668"/>
    <cellStyle name="Normal 89 2" xfId="45669"/>
    <cellStyle name="Normal 89 2 2" xfId="45670"/>
    <cellStyle name="Normal 89 2 2 2" xfId="45671"/>
    <cellStyle name="Normal 89 2 3" xfId="45672"/>
    <cellStyle name="Normal 89 2 3 2" xfId="45673"/>
    <cellStyle name="Normal 89 2 4" xfId="45674"/>
    <cellStyle name="Normal 89 2 4 2" xfId="45675"/>
    <cellStyle name="Normal 89 2 5" xfId="45676"/>
    <cellStyle name="Normal 89 2 5 2" xfId="45677"/>
    <cellStyle name="Normal 89 2 6" xfId="45678"/>
    <cellStyle name="Normal 89 2 6 2" xfId="45679"/>
    <cellStyle name="Normal 89 2 7" xfId="45680"/>
    <cellStyle name="Normal 89 2 7 2" xfId="45681"/>
    <cellStyle name="Normal 89 2 8" xfId="45682"/>
    <cellStyle name="Normal 89 2 8 2" xfId="45683"/>
    <cellStyle name="Normal 89 2 9" xfId="45684"/>
    <cellStyle name="Normal 89 2 9 2" xfId="45685"/>
    <cellStyle name="Normal 89 2_Dakota Panel" xfId="45686"/>
    <cellStyle name="Normal 89 3" xfId="45687"/>
    <cellStyle name="Normal 89 3 2" xfId="45688"/>
    <cellStyle name="Normal 89 3 2 2" xfId="45689"/>
    <cellStyle name="Normal 89 3 3" xfId="45690"/>
    <cellStyle name="Normal 89 3 3 2" xfId="45691"/>
    <cellStyle name="Normal 89 3 4" xfId="45692"/>
    <cellStyle name="Normal 89 3 5" xfId="45693"/>
    <cellStyle name="Normal 89 4" xfId="45694"/>
    <cellStyle name="Normal 89 4 2" xfId="45695"/>
    <cellStyle name="Normal 89 5" xfId="45696"/>
    <cellStyle name="Normal 89 5 2" xfId="45697"/>
    <cellStyle name="Normal 89 6" xfId="45698"/>
    <cellStyle name="Normal 89 6 2" xfId="45699"/>
    <cellStyle name="Normal 89 7" xfId="45700"/>
    <cellStyle name="Normal 89 7 2" xfId="45701"/>
    <cellStyle name="Normal 89 8" xfId="45702"/>
    <cellStyle name="Normal 89 8 2" xfId="45703"/>
    <cellStyle name="Normal 89 9" xfId="45704"/>
    <cellStyle name="Normal 89 9 2" xfId="45705"/>
    <cellStyle name="Normal 89_Dakota Panel" xfId="45706"/>
    <cellStyle name="Normal 9" xfId="45707"/>
    <cellStyle name="Normal 9 10" xfId="45708"/>
    <cellStyle name="Normal 9 10 2" xfId="45709"/>
    <cellStyle name="Normal 9 11" xfId="45710"/>
    <cellStyle name="Normal 9 11 2" xfId="27"/>
    <cellStyle name="Normal 9 11 2 2" xfId="43"/>
    <cellStyle name="Normal 9 12" xfId="45711"/>
    <cellStyle name="Normal 9 2" xfId="45712"/>
    <cellStyle name="Normal 9 2 2" xfId="45713"/>
    <cellStyle name="Normal 9 2 2 2" xfId="45714"/>
    <cellStyle name="Normal 9 2 2 3" xfId="45715"/>
    <cellStyle name="Normal 9 2 3" xfId="45716"/>
    <cellStyle name="Normal 9 2 3 2" xfId="45717"/>
    <cellStyle name="Normal 9 2 4" xfId="45718"/>
    <cellStyle name="Normal 9 2 4 2" xfId="45719"/>
    <cellStyle name="Normal 9 2 4 3" xfId="45720"/>
    <cellStyle name="Normal 9 2 5" xfId="45721"/>
    <cellStyle name="Normal 9 2 5 2" xfId="45722"/>
    <cellStyle name="Normal 9 2 6" xfId="45723"/>
    <cellStyle name="Normal 9 2 7" xfId="45724"/>
    <cellStyle name="Normal 9 2 8" xfId="45725"/>
    <cellStyle name="Normal 9 2_Dakota Panel" xfId="45726"/>
    <cellStyle name="Normal 9 3" xfId="45727"/>
    <cellStyle name="Normal 9 3 2" xfId="45728"/>
    <cellStyle name="Normal 9 3 2 2" xfId="45729"/>
    <cellStyle name="Normal 9 3 2 3" xfId="45730"/>
    <cellStyle name="Normal 9 3 2 3 2" xfId="45731"/>
    <cellStyle name="Normal 9 3 3" xfId="45732"/>
    <cellStyle name="Normal 9 3 3 2" xfId="45733"/>
    <cellStyle name="Normal 9 3 3 2 2" xfId="45734"/>
    <cellStyle name="Normal 9 3 4" xfId="45735"/>
    <cellStyle name="Normal 9 3 4 2" xfId="45736"/>
    <cellStyle name="Normal 9 3 4 2 2" xfId="45737"/>
    <cellStyle name="Normal 9 3 5" xfId="45738"/>
    <cellStyle name="Normal 9 3 5 2" xfId="45739"/>
    <cellStyle name="Normal 9 3 6" xfId="45740"/>
    <cellStyle name="Normal 9 3 6 2" xfId="45741"/>
    <cellStyle name="Normal 9 3 7" xfId="45742"/>
    <cellStyle name="Normal 9 3 7 2" xfId="45743"/>
    <cellStyle name="Normal 9 3 8" xfId="45744"/>
    <cellStyle name="Normal 9 3 8 2" xfId="45745"/>
    <cellStyle name="Normal 9 3 9" xfId="45746"/>
    <cellStyle name="Normal 9 3 9 2" xfId="45747"/>
    <cellStyle name="Normal 9 3_Dakota Panel" xfId="45748"/>
    <cellStyle name="Normal 9 4" xfId="45749"/>
    <cellStyle name="Normal 9 4 2" xfId="45750"/>
    <cellStyle name="Normal 9 4 3" xfId="45751"/>
    <cellStyle name="Normal 9 4 3 2" xfId="45752"/>
    <cellStyle name="Normal 9 5" xfId="45753"/>
    <cellStyle name="Normal 9 5 2" xfId="45754"/>
    <cellStyle name="Normal 9 5 3" xfId="45755"/>
    <cellStyle name="Normal 9 5 4" xfId="45756"/>
    <cellStyle name="Normal 9 5 4 2" xfId="45757"/>
    <cellStyle name="Normal 9 6" xfId="45758"/>
    <cellStyle name="Normal 9 6 2" xfId="45759"/>
    <cellStyle name="Normal 9 6 3" xfId="45760"/>
    <cellStyle name="Normal 9 6 3 2" xfId="45761"/>
    <cellStyle name="Normal 9 7" xfId="45762"/>
    <cellStyle name="Normal 9 7 2" xfId="45763"/>
    <cellStyle name="Normal 9 7 2 2" xfId="45764"/>
    <cellStyle name="Normal 9 8" xfId="45765"/>
    <cellStyle name="Normal 9 8 2" xfId="45766"/>
    <cellStyle name="Normal 9 8 2 2" xfId="45767"/>
    <cellStyle name="Normal 9 9" xfId="45768"/>
    <cellStyle name="Normal 9 9 2" xfId="45769"/>
    <cellStyle name="Normal 9 9 2 2" xfId="45770"/>
    <cellStyle name="Normal 9 9 3" xfId="45771"/>
    <cellStyle name="Normal 9 9 4" xfId="45772"/>
    <cellStyle name="Normal 9_Dakota Panel" xfId="45773"/>
    <cellStyle name="Normal 90" xfId="45774"/>
    <cellStyle name="Normal 90 10" xfId="45775"/>
    <cellStyle name="Normal 90 10 2" xfId="45776"/>
    <cellStyle name="Normal 90 11" xfId="45777"/>
    <cellStyle name="Normal 90 11 2" xfId="45778"/>
    <cellStyle name="Normal 90 12" xfId="45779"/>
    <cellStyle name="Normal 90 2" xfId="45780"/>
    <cellStyle name="Normal 90 2 2" xfId="45781"/>
    <cellStyle name="Normal 90 2 2 2" xfId="45782"/>
    <cellStyle name="Normal 90 2 3" xfId="45783"/>
    <cellStyle name="Normal 90 2 3 2" xfId="45784"/>
    <cellStyle name="Normal 90 2 4" xfId="45785"/>
    <cellStyle name="Normal 90 2 4 2" xfId="45786"/>
    <cellStyle name="Normal 90 2 5" xfId="45787"/>
    <cellStyle name="Normal 90 2 5 2" xfId="45788"/>
    <cellStyle name="Normal 90 2 6" xfId="45789"/>
    <cellStyle name="Normal 90 2 6 2" xfId="45790"/>
    <cellStyle name="Normal 90 2 7" xfId="45791"/>
    <cellStyle name="Normal 90 2 7 2" xfId="45792"/>
    <cellStyle name="Normal 90 2 8" xfId="45793"/>
    <cellStyle name="Normal 90 2 8 2" xfId="45794"/>
    <cellStyle name="Normal 90 2 9" xfId="45795"/>
    <cellStyle name="Normal 90 2 9 2" xfId="45796"/>
    <cellStyle name="Normal 90 2_Dakota Panel" xfId="45797"/>
    <cellStyle name="Normal 90 3" xfId="45798"/>
    <cellStyle name="Normal 90 3 2" xfId="45799"/>
    <cellStyle name="Normal 90 3 2 2" xfId="45800"/>
    <cellStyle name="Normal 90 3 3" xfId="45801"/>
    <cellStyle name="Normal 90 3 3 2" xfId="45802"/>
    <cellStyle name="Normal 90 3 4" xfId="45803"/>
    <cellStyle name="Normal 90 3 5" xfId="45804"/>
    <cellStyle name="Normal 90 4" xfId="45805"/>
    <cellStyle name="Normal 90 4 2" xfId="45806"/>
    <cellStyle name="Normal 90 5" xfId="45807"/>
    <cellStyle name="Normal 90 5 2" xfId="45808"/>
    <cellStyle name="Normal 90 6" xfId="45809"/>
    <cellStyle name="Normal 90 6 2" xfId="45810"/>
    <cellStyle name="Normal 90 7" xfId="45811"/>
    <cellStyle name="Normal 90 7 2" xfId="45812"/>
    <cellStyle name="Normal 90 8" xfId="45813"/>
    <cellStyle name="Normal 90 8 2" xfId="45814"/>
    <cellStyle name="Normal 90 9" xfId="45815"/>
    <cellStyle name="Normal 90 9 2" xfId="45816"/>
    <cellStyle name="Normal 90_Dakota Panel" xfId="45817"/>
    <cellStyle name="Normal 91" xfId="45818"/>
    <cellStyle name="Normal 91 10" xfId="45819"/>
    <cellStyle name="Normal 91 10 2" xfId="45820"/>
    <cellStyle name="Normal 91 11" xfId="45821"/>
    <cellStyle name="Normal 91 11 2" xfId="45822"/>
    <cellStyle name="Normal 91 12" xfId="45823"/>
    <cellStyle name="Normal 91 2" xfId="45824"/>
    <cellStyle name="Normal 91 2 2" xfId="45825"/>
    <cellStyle name="Normal 91 2 2 2" xfId="45826"/>
    <cellStyle name="Normal 91 2 3" xfId="45827"/>
    <cellStyle name="Normal 91 2 3 2" xfId="45828"/>
    <cellStyle name="Normal 91 2 4" xfId="45829"/>
    <cellStyle name="Normal 91 2 4 2" xfId="45830"/>
    <cellStyle name="Normal 91 2 5" xfId="45831"/>
    <cellStyle name="Normal 91 2 5 2" xfId="45832"/>
    <cellStyle name="Normal 91 2 6" xfId="45833"/>
    <cellStyle name="Normal 91 2 6 2" xfId="45834"/>
    <cellStyle name="Normal 91 2 7" xfId="45835"/>
    <cellStyle name="Normal 91 2 7 2" xfId="45836"/>
    <cellStyle name="Normal 91 2 8" xfId="45837"/>
    <cellStyle name="Normal 91 2 8 2" xfId="45838"/>
    <cellStyle name="Normal 91 2 9" xfId="45839"/>
    <cellStyle name="Normal 91 2 9 2" xfId="45840"/>
    <cellStyle name="Normal 91 2_Dakota Panel" xfId="45841"/>
    <cellStyle name="Normal 91 3" xfId="45842"/>
    <cellStyle name="Normal 91 3 2" xfId="45843"/>
    <cellStyle name="Normal 91 3 2 2" xfId="45844"/>
    <cellStyle name="Normal 91 3 3" xfId="45845"/>
    <cellStyle name="Normal 91 3 3 2" xfId="45846"/>
    <cellStyle name="Normal 91 3 4" xfId="45847"/>
    <cellStyle name="Normal 91 3 5" xfId="45848"/>
    <cellStyle name="Normal 91 4" xfId="45849"/>
    <cellStyle name="Normal 91 4 2" xfId="45850"/>
    <cellStyle name="Normal 91 5" xfId="45851"/>
    <cellStyle name="Normal 91 5 2" xfId="45852"/>
    <cellStyle name="Normal 91 6" xfId="45853"/>
    <cellStyle name="Normal 91 6 2" xfId="45854"/>
    <cellStyle name="Normal 91 7" xfId="45855"/>
    <cellStyle name="Normal 91 7 2" xfId="45856"/>
    <cellStyle name="Normal 91 8" xfId="45857"/>
    <cellStyle name="Normal 91 8 2" xfId="45858"/>
    <cellStyle name="Normal 91 9" xfId="45859"/>
    <cellStyle name="Normal 91 9 2" xfId="45860"/>
    <cellStyle name="Normal 91_Dakota Panel" xfId="45861"/>
    <cellStyle name="Normal 92" xfId="45862"/>
    <cellStyle name="Normal 92 10" xfId="45863"/>
    <cellStyle name="Normal 92 10 2" xfId="45864"/>
    <cellStyle name="Normal 92 11" xfId="45865"/>
    <cellStyle name="Normal 92 11 2" xfId="45866"/>
    <cellStyle name="Normal 92 12" xfId="45867"/>
    <cellStyle name="Normal 92 2" xfId="45868"/>
    <cellStyle name="Normal 92 2 2" xfId="45869"/>
    <cellStyle name="Normal 92 2 2 2" xfId="45870"/>
    <cellStyle name="Normal 92 2 3" xfId="45871"/>
    <cellStyle name="Normal 92 2 3 2" xfId="45872"/>
    <cellStyle name="Normal 92 2 4" xfId="45873"/>
    <cellStyle name="Normal 92 2 4 2" xfId="45874"/>
    <cellStyle name="Normal 92 2 5" xfId="45875"/>
    <cellStyle name="Normal 92 2 5 2" xfId="45876"/>
    <cellStyle name="Normal 92 2 6" xfId="45877"/>
    <cellStyle name="Normal 92 2 6 2" xfId="45878"/>
    <cellStyle name="Normal 92 2 7" xfId="45879"/>
    <cellStyle name="Normal 92 2 7 2" xfId="45880"/>
    <cellStyle name="Normal 92 2 8" xfId="45881"/>
    <cellStyle name="Normal 92 2 8 2" xfId="45882"/>
    <cellStyle name="Normal 92 2 9" xfId="45883"/>
    <cellStyle name="Normal 92 2 9 2" xfId="45884"/>
    <cellStyle name="Normal 92 2_Dakota Panel" xfId="45885"/>
    <cellStyle name="Normal 92 3" xfId="45886"/>
    <cellStyle name="Normal 92 3 2" xfId="45887"/>
    <cellStyle name="Normal 92 3 2 2" xfId="45888"/>
    <cellStyle name="Normal 92 3 3" xfId="45889"/>
    <cellStyle name="Normal 92 3 3 2" xfId="45890"/>
    <cellStyle name="Normal 92 3 4" xfId="45891"/>
    <cellStyle name="Normal 92 3 5" xfId="45892"/>
    <cellStyle name="Normal 92 4" xfId="45893"/>
    <cellStyle name="Normal 92 4 2" xfId="45894"/>
    <cellStyle name="Normal 92 5" xfId="45895"/>
    <cellStyle name="Normal 92 5 2" xfId="45896"/>
    <cellStyle name="Normal 92 6" xfId="45897"/>
    <cellStyle name="Normal 92 6 2" xfId="45898"/>
    <cellStyle name="Normal 92 7" xfId="45899"/>
    <cellStyle name="Normal 92 7 2" xfId="45900"/>
    <cellStyle name="Normal 92 8" xfId="45901"/>
    <cellStyle name="Normal 92 8 2" xfId="45902"/>
    <cellStyle name="Normal 92 9" xfId="45903"/>
    <cellStyle name="Normal 92 9 2" xfId="45904"/>
    <cellStyle name="Normal 92_Dakota Panel" xfId="45905"/>
    <cellStyle name="Normal 93" xfId="45906"/>
    <cellStyle name="Normal 93 10" xfId="45907"/>
    <cellStyle name="Normal 93 10 2" xfId="45908"/>
    <cellStyle name="Normal 93 11" xfId="45909"/>
    <cellStyle name="Normal 93 11 2" xfId="45910"/>
    <cellStyle name="Normal 93 12" xfId="45911"/>
    <cellStyle name="Normal 93 2" xfId="45912"/>
    <cellStyle name="Normal 93 2 2" xfId="45913"/>
    <cellStyle name="Normal 93 2 2 2" xfId="45914"/>
    <cellStyle name="Normal 93 2 3" xfId="45915"/>
    <cellStyle name="Normal 93 2 3 2" xfId="45916"/>
    <cellStyle name="Normal 93 2 4" xfId="45917"/>
    <cellStyle name="Normal 93 2 4 2" xfId="45918"/>
    <cellStyle name="Normal 93 2 5" xfId="45919"/>
    <cellStyle name="Normal 93 2 5 2" xfId="45920"/>
    <cellStyle name="Normal 93 2 6" xfId="45921"/>
    <cellStyle name="Normal 93 2 6 2" xfId="45922"/>
    <cellStyle name="Normal 93 2 7" xfId="45923"/>
    <cellStyle name="Normal 93 2 7 2" xfId="45924"/>
    <cellStyle name="Normal 93 2 8" xfId="45925"/>
    <cellStyle name="Normal 93 2 8 2" xfId="45926"/>
    <cellStyle name="Normal 93 2 9" xfId="45927"/>
    <cellStyle name="Normal 93 2 9 2" xfId="45928"/>
    <cellStyle name="Normal 93 2_Dakota Panel" xfId="45929"/>
    <cellStyle name="Normal 93 3" xfId="45930"/>
    <cellStyle name="Normal 93 3 2" xfId="45931"/>
    <cellStyle name="Normal 93 3 2 2" xfId="45932"/>
    <cellStyle name="Normal 93 3 3" xfId="45933"/>
    <cellStyle name="Normal 93 3 3 2" xfId="45934"/>
    <cellStyle name="Normal 93 3 4" xfId="45935"/>
    <cellStyle name="Normal 93 3 5" xfId="45936"/>
    <cellStyle name="Normal 93 4" xfId="45937"/>
    <cellStyle name="Normal 93 4 2" xfId="45938"/>
    <cellStyle name="Normal 93 5" xfId="45939"/>
    <cellStyle name="Normal 93 5 2" xfId="45940"/>
    <cellStyle name="Normal 93 6" xfId="45941"/>
    <cellStyle name="Normal 93 6 2" xfId="45942"/>
    <cellStyle name="Normal 93 7" xfId="45943"/>
    <cellStyle name="Normal 93 7 2" xfId="45944"/>
    <cellStyle name="Normal 93 8" xfId="45945"/>
    <cellStyle name="Normal 93 8 2" xfId="45946"/>
    <cellStyle name="Normal 93 9" xfId="45947"/>
    <cellStyle name="Normal 93 9 2" xfId="45948"/>
    <cellStyle name="Normal 93_Dakota Panel" xfId="45949"/>
    <cellStyle name="Normal 94" xfId="45950"/>
    <cellStyle name="Normal 94 10" xfId="45951"/>
    <cellStyle name="Normal 94 10 2" xfId="45952"/>
    <cellStyle name="Normal 94 11" xfId="45953"/>
    <cellStyle name="Normal 94 11 2" xfId="45954"/>
    <cellStyle name="Normal 94 12" xfId="45955"/>
    <cellStyle name="Normal 94 2" xfId="45956"/>
    <cellStyle name="Normal 94 2 2" xfId="45957"/>
    <cellStyle name="Normal 94 2 2 2" xfId="45958"/>
    <cellStyle name="Normal 94 2 3" xfId="45959"/>
    <cellStyle name="Normal 94 2 3 2" xfId="45960"/>
    <cellStyle name="Normal 94 2 4" xfId="45961"/>
    <cellStyle name="Normal 94 2 4 2" xfId="45962"/>
    <cellStyle name="Normal 94 2 5" xfId="45963"/>
    <cellStyle name="Normal 94 2 5 2" xfId="45964"/>
    <cellStyle name="Normal 94 2 6" xfId="45965"/>
    <cellStyle name="Normal 94 2 6 2" xfId="45966"/>
    <cellStyle name="Normal 94 2 7" xfId="45967"/>
    <cellStyle name="Normal 94 2 7 2" xfId="45968"/>
    <cellStyle name="Normal 94 2 8" xfId="45969"/>
    <cellStyle name="Normal 94 2 8 2" xfId="45970"/>
    <cellStyle name="Normal 94 2 9" xfId="45971"/>
    <cellStyle name="Normal 94 2 9 2" xfId="45972"/>
    <cellStyle name="Normal 94 2_Dakota Panel" xfId="45973"/>
    <cellStyle name="Normal 94 3" xfId="45974"/>
    <cellStyle name="Normal 94 3 2" xfId="45975"/>
    <cellStyle name="Normal 94 3 2 2" xfId="45976"/>
    <cellStyle name="Normal 94 3 3" xfId="45977"/>
    <cellStyle name="Normal 94 3 3 2" xfId="45978"/>
    <cellStyle name="Normal 94 3 4" xfId="45979"/>
    <cellStyle name="Normal 94 3 5" xfId="45980"/>
    <cellStyle name="Normal 94 4" xfId="45981"/>
    <cellStyle name="Normal 94 4 2" xfId="45982"/>
    <cellStyle name="Normal 94 5" xfId="45983"/>
    <cellStyle name="Normal 94 5 2" xfId="45984"/>
    <cellStyle name="Normal 94 6" xfId="45985"/>
    <cellStyle name="Normal 94 6 2" xfId="45986"/>
    <cellStyle name="Normal 94 7" xfId="45987"/>
    <cellStyle name="Normal 94 7 2" xfId="45988"/>
    <cellStyle name="Normal 94 8" xfId="45989"/>
    <cellStyle name="Normal 94 8 2" xfId="45990"/>
    <cellStyle name="Normal 94 9" xfId="45991"/>
    <cellStyle name="Normal 94 9 2" xfId="45992"/>
    <cellStyle name="Normal 94_Dakota Panel" xfId="45993"/>
    <cellStyle name="Normal 95" xfId="45994"/>
    <cellStyle name="Normal 95 10" xfId="45995"/>
    <cellStyle name="Normal 95 10 2" xfId="45996"/>
    <cellStyle name="Normal 95 11" xfId="45997"/>
    <cellStyle name="Normal 95 11 2" xfId="45998"/>
    <cellStyle name="Normal 95 12" xfId="45999"/>
    <cellStyle name="Normal 95 2" xfId="46000"/>
    <cellStyle name="Normal 95 2 2" xfId="46001"/>
    <cellStyle name="Normal 95 2 2 2" xfId="46002"/>
    <cellStyle name="Normal 95 2 3" xfId="46003"/>
    <cellStyle name="Normal 95 2 3 2" xfId="46004"/>
    <cellStyle name="Normal 95 2 4" xfId="46005"/>
    <cellStyle name="Normal 95 2 4 2" xfId="46006"/>
    <cellStyle name="Normal 95 2 5" xfId="46007"/>
    <cellStyle name="Normal 95 2 5 2" xfId="46008"/>
    <cellStyle name="Normal 95 2 6" xfId="46009"/>
    <cellStyle name="Normal 95 2 6 2" xfId="46010"/>
    <cellStyle name="Normal 95 2 7" xfId="46011"/>
    <cellStyle name="Normal 95 2 7 2" xfId="46012"/>
    <cellStyle name="Normal 95 2 8" xfId="46013"/>
    <cellStyle name="Normal 95 2 8 2" xfId="46014"/>
    <cellStyle name="Normal 95 2 9" xfId="46015"/>
    <cellStyle name="Normal 95 2 9 2" xfId="46016"/>
    <cellStyle name="Normal 95 2_Dakota Panel" xfId="46017"/>
    <cellStyle name="Normal 95 3" xfId="46018"/>
    <cellStyle name="Normal 95 3 2" xfId="46019"/>
    <cellStyle name="Normal 95 3 2 2" xfId="46020"/>
    <cellStyle name="Normal 95 3 3" xfId="46021"/>
    <cellStyle name="Normal 95 3 3 2" xfId="46022"/>
    <cellStyle name="Normal 95 3 4" xfId="46023"/>
    <cellStyle name="Normal 95 3 5" xfId="46024"/>
    <cellStyle name="Normal 95 4" xfId="46025"/>
    <cellStyle name="Normal 95 4 2" xfId="46026"/>
    <cellStyle name="Normal 95 5" xfId="46027"/>
    <cellStyle name="Normal 95 5 2" xfId="46028"/>
    <cellStyle name="Normal 95 6" xfId="46029"/>
    <cellStyle name="Normal 95 6 2" xfId="46030"/>
    <cellStyle name="Normal 95 7" xfId="46031"/>
    <cellStyle name="Normal 95 7 2" xfId="46032"/>
    <cellStyle name="Normal 95 8" xfId="46033"/>
    <cellStyle name="Normal 95 8 2" xfId="46034"/>
    <cellStyle name="Normal 95 9" xfId="46035"/>
    <cellStyle name="Normal 95 9 2" xfId="46036"/>
    <cellStyle name="Normal 95_Dakota Panel" xfId="46037"/>
    <cellStyle name="Normal 96" xfId="46038"/>
    <cellStyle name="Normal 96 10" xfId="46039"/>
    <cellStyle name="Normal 96 10 2" xfId="46040"/>
    <cellStyle name="Normal 96 11" xfId="46041"/>
    <cellStyle name="Normal 96 11 2" xfId="46042"/>
    <cellStyle name="Normal 96 12" xfId="46043"/>
    <cellStyle name="Normal 96 2" xfId="46044"/>
    <cellStyle name="Normal 96 2 2" xfId="46045"/>
    <cellStyle name="Normal 96 2 2 2" xfId="46046"/>
    <cellStyle name="Normal 96 2 3" xfId="46047"/>
    <cellStyle name="Normal 96 2 3 2" xfId="46048"/>
    <cellStyle name="Normal 96 2 4" xfId="46049"/>
    <cellStyle name="Normal 96 2 4 2" xfId="46050"/>
    <cellStyle name="Normal 96 2 5" xfId="46051"/>
    <cellStyle name="Normal 96 2 5 2" xfId="46052"/>
    <cellStyle name="Normal 96 2 6" xfId="46053"/>
    <cellStyle name="Normal 96 2 6 2" xfId="46054"/>
    <cellStyle name="Normal 96 2 7" xfId="46055"/>
    <cellStyle name="Normal 96 2 7 2" xfId="46056"/>
    <cellStyle name="Normal 96 2 8" xfId="46057"/>
    <cellStyle name="Normal 96 2 8 2" xfId="46058"/>
    <cellStyle name="Normal 96 2 9" xfId="46059"/>
    <cellStyle name="Normal 96 2 9 2" xfId="46060"/>
    <cellStyle name="Normal 96 2_Dakota Panel" xfId="46061"/>
    <cellStyle name="Normal 96 3" xfId="46062"/>
    <cellStyle name="Normal 96 3 2" xfId="46063"/>
    <cellStyle name="Normal 96 3 2 2" xfId="46064"/>
    <cellStyle name="Normal 96 3 3" xfId="46065"/>
    <cellStyle name="Normal 96 3 3 2" xfId="46066"/>
    <cellStyle name="Normal 96 3 4" xfId="46067"/>
    <cellStyle name="Normal 96 3 5" xfId="46068"/>
    <cellStyle name="Normal 96 4" xfId="46069"/>
    <cellStyle name="Normal 96 4 2" xfId="46070"/>
    <cellStyle name="Normal 96 5" xfId="46071"/>
    <cellStyle name="Normal 96 5 2" xfId="46072"/>
    <cellStyle name="Normal 96 6" xfId="46073"/>
    <cellStyle name="Normal 96 6 2" xfId="46074"/>
    <cellStyle name="Normal 96 7" xfId="46075"/>
    <cellStyle name="Normal 96 7 2" xfId="46076"/>
    <cellStyle name="Normal 96 8" xfId="46077"/>
    <cellStyle name="Normal 96 8 2" xfId="46078"/>
    <cellStyle name="Normal 96 9" xfId="46079"/>
    <cellStyle name="Normal 96 9 2" xfId="46080"/>
    <cellStyle name="Normal 96_Dakota Panel" xfId="46081"/>
    <cellStyle name="Normal 97" xfId="46082"/>
    <cellStyle name="Normal 97 10" xfId="46083"/>
    <cellStyle name="Normal 97 10 2" xfId="46084"/>
    <cellStyle name="Normal 97 11" xfId="46085"/>
    <cellStyle name="Normal 97 11 2" xfId="46086"/>
    <cellStyle name="Normal 97 12" xfId="46087"/>
    <cellStyle name="Normal 97 2" xfId="46088"/>
    <cellStyle name="Normal 97 2 2" xfId="46089"/>
    <cellStyle name="Normal 97 2 2 2" xfId="46090"/>
    <cellStyle name="Normal 97 2 3" xfId="46091"/>
    <cellStyle name="Normal 97 2 3 2" xfId="46092"/>
    <cellStyle name="Normal 97 2 4" xfId="46093"/>
    <cellStyle name="Normal 97 2 4 2" xfId="46094"/>
    <cellStyle name="Normal 97 2 5" xfId="46095"/>
    <cellStyle name="Normal 97 2 5 2" xfId="46096"/>
    <cellStyle name="Normal 97 2 6" xfId="46097"/>
    <cellStyle name="Normal 97 2 6 2" xfId="46098"/>
    <cellStyle name="Normal 97 2 7" xfId="46099"/>
    <cellStyle name="Normal 97 2 7 2" xfId="46100"/>
    <cellStyle name="Normal 97 2 8" xfId="46101"/>
    <cellStyle name="Normal 97 2 8 2" xfId="46102"/>
    <cellStyle name="Normal 97 2 9" xfId="46103"/>
    <cellStyle name="Normal 97 2 9 2" xfId="46104"/>
    <cellStyle name="Normal 97 2_Dakota Panel" xfId="46105"/>
    <cellStyle name="Normal 97 3" xfId="46106"/>
    <cellStyle name="Normal 97 3 2" xfId="46107"/>
    <cellStyle name="Normal 97 3 2 2" xfId="46108"/>
    <cellStyle name="Normal 97 3 3" xfId="46109"/>
    <cellStyle name="Normal 97 3 3 2" xfId="46110"/>
    <cellStyle name="Normal 97 3 4" xfId="46111"/>
    <cellStyle name="Normal 97 3 5" xfId="46112"/>
    <cellStyle name="Normal 97 4" xfId="46113"/>
    <cellStyle name="Normal 97 4 2" xfId="46114"/>
    <cellStyle name="Normal 97 5" xfId="46115"/>
    <cellStyle name="Normal 97 5 2" xfId="46116"/>
    <cellStyle name="Normal 97 6" xfId="46117"/>
    <cellStyle name="Normal 97 6 2" xfId="46118"/>
    <cellStyle name="Normal 97 7" xfId="46119"/>
    <cellStyle name="Normal 97 7 2" xfId="46120"/>
    <cellStyle name="Normal 97 8" xfId="46121"/>
    <cellStyle name="Normal 97 8 2" xfId="46122"/>
    <cellStyle name="Normal 97 9" xfId="46123"/>
    <cellStyle name="Normal 97 9 2" xfId="46124"/>
    <cellStyle name="Normal 97_Dakota Panel" xfId="46125"/>
    <cellStyle name="Normal 98" xfId="46126"/>
    <cellStyle name="Normal 98 10" xfId="46127"/>
    <cellStyle name="Normal 98 10 2" xfId="46128"/>
    <cellStyle name="Normal 98 11" xfId="46129"/>
    <cellStyle name="Normal 98 11 2" xfId="46130"/>
    <cellStyle name="Normal 98 12" xfId="46131"/>
    <cellStyle name="Normal 98 2" xfId="46132"/>
    <cellStyle name="Normal 98 2 2" xfId="46133"/>
    <cellStyle name="Normal 98 2 2 2" xfId="46134"/>
    <cellStyle name="Normal 98 2 3" xfId="46135"/>
    <cellStyle name="Normal 98 2 3 2" xfId="46136"/>
    <cellStyle name="Normal 98 2 4" xfId="46137"/>
    <cellStyle name="Normal 98 2 4 2" xfId="46138"/>
    <cellStyle name="Normal 98 2 5" xfId="46139"/>
    <cellStyle name="Normal 98 2 5 2" xfId="46140"/>
    <cellStyle name="Normal 98 2 6" xfId="46141"/>
    <cellStyle name="Normal 98 2 6 2" xfId="46142"/>
    <cellStyle name="Normal 98 2 7" xfId="46143"/>
    <cellStyle name="Normal 98 2 7 2" xfId="46144"/>
    <cellStyle name="Normal 98 2 8" xfId="46145"/>
    <cellStyle name="Normal 98 2 8 2" xfId="46146"/>
    <cellStyle name="Normal 98 2 9" xfId="46147"/>
    <cellStyle name="Normal 98 2 9 2" xfId="46148"/>
    <cellStyle name="Normal 98 2_Dakota Panel" xfId="46149"/>
    <cellStyle name="Normal 98 3" xfId="46150"/>
    <cellStyle name="Normal 98 3 2" xfId="46151"/>
    <cellStyle name="Normal 98 3 2 2" xfId="46152"/>
    <cellStyle name="Normal 98 3 3" xfId="46153"/>
    <cellStyle name="Normal 98 3 3 2" xfId="46154"/>
    <cellStyle name="Normal 98 3 4" xfId="46155"/>
    <cellStyle name="Normal 98 3 5" xfId="46156"/>
    <cellStyle name="Normal 98 4" xfId="46157"/>
    <cellStyle name="Normal 98 4 2" xfId="46158"/>
    <cellStyle name="Normal 98 5" xfId="46159"/>
    <cellStyle name="Normal 98 5 2" xfId="46160"/>
    <cellStyle name="Normal 98 6" xfId="46161"/>
    <cellStyle name="Normal 98 6 2" xfId="46162"/>
    <cellStyle name="Normal 98 7" xfId="46163"/>
    <cellStyle name="Normal 98 7 2" xfId="46164"/>
    <cellStyle name="Normal 98 8" xfId="46165"/>
    <cellStyle name="Normal 98 8 2" xfId="46166"/>
    <cellStyle name="Normal 98 9" xfId="46167"/>
    <cellStyle name="Normal 98 9 2" xfId="46168"/>
    <cellStyle name="Normal 98_Dakota Panel" xfId="46169"/>
    <cellStyle name="Normal 99" xfId="46170"/>
    <cellStyle name="Normal 99 10" xfId="46171"/>
    <cellStyle name="Normal 99 10 2" xfId="46172"/>
    <cellStyle name="Normal 99 11" xfId="46173"/>
    <cellStyle name="Normal 99 11 2" xfId="46174"/>
    <cellStyle name="Normal 99 12" xfId="46175"/>
    <cellStyle name="Normal 99 2" xfId="46176"/>
    <cellStyle name="Normal 99 2 2" xfId="46177"/>
    <cellStyle name="Normal 99 2 2 2" xfId="46178"/>
    <cellStyle name="Normal 99 2 3" xfId="46179"/>
    <cellStyle name="Normal 99 2 3 2" xfId="46180"/>
    <cellStyle name="Normal 99 2 4" xfId="46181"/>
    <cellStyle name="Normal 99 2 4 2" xfId="46182"/>
    <cellStyle name="Normal 99 2 5" xfId="46183"/>
    <cellStyle name="Normal 99 2 5 2" xfId="46184"/>
    <cellStyle name="Normal 99 2 6" xfId="46185"/>
    <cellStyle name="Normal 99 2 6 2" xfId="46186"/>
    <cellStyle name="Normal 99 2 7" xfId="46187"/>
    <cellStyle name="Normal 99 2 7 2" xfId="46188"/>
    <cellStyle name="Normal 99 2 8" xfId="46189"/>
    <cellStyle name="Normal 99 2 8 2" xfId="46190"/>
    <cellStyle name="Normal 99 2 9" xfId="46191"/>
    <cellStyle name="Normal 99 2 9 2" xfId="46192"/>
    <cellStyle name="Normal 99 2_Dakota Panel" xfId="46193"/>
    <cellStyle name="Normal 99 3" xfId="46194"/>
    <cellStyle name="Normal 99 3 2" xfId="46195"/>
    <cellStyle name="Normal 99 3 2 2" xfId="46196"/>
    <cellStyle name="Normal 99 3 3" xfId="46197"/>
    <cellStyle name="Normal 99 3 3 2" xfId="46198"/>
    <cellStyle name="Normal 99 3 4" xfId="46199"/>
    <cellStyle name="Normal 99 3 5" xfId="46200"/>
    <cellStyle name="Normal 99 4" xfId="46201"/>
    <cellStyle name="Normal 99 4 2" xfId="46202"/>
    <cellStyle name="Normal 99 5" xfId="46203"/>
    <cellStyle name="Normal 99 5 2" xfId="46204"/>
    <cellStyle name="Normal 99 6" xfId="46205"/>
    <cellStyle name="Normal 99 6 2" xfId="46206"/>
    <cellStyle name="Normal 99 7" xfId="46207"/>
    <cellStyle name="Normal 99 7 2" xfId="46208"/>
    <cellStyle name="Normal 99 8" xfId="46209"/>
    <cellStyle name="Normal 99 8 2" xfId="46210"/>
    <cellStyle name="Normal 99 9" xfId="46211"/>
    <cellStyle name="Normal 99 9 2" xfId="46212"/>
    <cellStyle name="Normal 99_Dakota Panel" xfId="46213"/>
    <cellStyle name="Normal_Res Calcs" xfId="42"/>
    <cellStyle name="Not Implemented" xfId="46214"/>
    <cellStyle name="Note 10" xfId="46215"/>
    <cellStyle name="Note 10 2" xfId="46216"/>
    <cellStyle name="Note 10 2 2" xfId="46217"/>
    <cellStyle name="Note 10 2 3" xfId="46218"/>
    <cellStyle name="Note 10 3" xfId="46219"/>
    <cellStyle name="Note 10 3 2" xfId="46220"/>
    <cellStyle name="Note 10 4" xfId="46221"/>
    <cellStyle name="Note 11" xfId="46222"/>
    <cellStyle name="Note 11 2" xfId="46223"/>
    <cellStyle name="Note 11 2 2" xfId="46224"/>
    <cellStyle name="Note 11 2 3" xfId="46225"/>
    <cellStyle name="Note 11 3" xfId="46226"/>
    <cellStyle name="Note 11 3 2" xfId="46227"/>
    <cellStyle name="Note 11 4" xfId="46228"/>
    <cellStyle name="Note 12" xfId="46229"/>
    <cellStyle name="Note 12 2" xfId="46230"/>
    <cellStyle name="Note 12 2 2" xfId="46231"/>
    <cellStyle name="Note 12 3" xfId="46232"/>
    <cellStyle name="Note 13" xfId="46233"/>
    <cellStyle name="Note 13 2" xfId="46234"/>
    <cellStyle name="Note 13 2 2" xfId="46235"/>
    <cellStyle name="Note 13 3" xfId="46236"/>
    <cellStyle name="Note 14" xfId="46237"/>
    <cellStyle name="Note 14 2" xfId="46238"/>
    <cellStyle name="Note 14 2 2" xfId="46239"/>
    <cellStyle name="Note 14 3" xfId="46240"/>
    <cellStyle name="Note 15" xfId="46241"/>
    <cellStyle name="Note 15 2" xfId="46242"/>
    <cellStyle name="Note 15 2 2" xfId="46243"/>
    <cellStyle name="Note 15 2 3" xfId="46244"/>
    <cellStyle name="Note 15 3" xfId="46245"/>
    <cellStyle name="Note 15 3 2" xfId="46246"/>
    <cellStyle name="Note 15 4" xfId="46247"/>
    <cellStyle name="Note 16" xfId="46248"/>
    <cellStyle name="Note 16 2" xfId="46249"/>
    <cellStyle name="Note 16 2 2" xfId="46250"/>
    <cellStyle name="Note 16 2 3" xfId="46251"/>
    <cellStyle name="Note 16 3" xfId="46252"/>
    <cellStyle name="Note 16 3 2" xfId="46253"/>
    <cellStyle name="Note 16 4" xfId="46254"/>
    <cellStyle name="Note 17" xfId="46255"/>
    <cellStyle name="Note 17 2" xfId="46256"/>
    <cellStyle name="Note 17 3" xfId="46257"/>
    <cellStyle name="Note 18" xfId="46258"/>
    <cellStyle name="Note 18 2" xfId="46259"/>
    <cellStyle name="Note 19" xfId="46260"/>
    <cellStyle name="Note 19 2" xfId="46261"/>
    <cellStyle name="Note 19 2 2" xfId="46262"/>
    <cellStyle name="Note 19 2 2 2" xfId="46263"/>
    <cellStyle name="Note 19 2 2 3" xfId="46264"/>
    <cellStyle name="Note 19 2 3" xfId="46265"/>
    <cellStyle name="Note 19 2 3 2" xfId="46266"/>
    <cellStyle name="Note 19 2 4" xfId="46267"/>
    <cellStyle name="Note 19 2 5" xfId="46268"/>
    <cellStyle name="Note 19 3" xfId="46269"/>
    <cellStyle name="Note 19 3 2" xfId="46270"/>
    <cellStyle name="Note 19 3 2 2" xfId="46271"/>
    <cellStyle name="Note 19 3 3" xfId="46272"/>
    <cellStyle name="Note 19 3 4" xfId="46273"/>
    <cellStyle name="Note 19 4" xfId="46274"/>
    <cellStyle name="Note 19 4 2" xfId="46275"/>
    <cellStyle name="Note 19 4 2 2" xfId="46276"/>
    <cellStyle name="Note 19 4 3" xfId="46277"/>
    <cellStyle name="Note 19 4 4" xfId="46278"/>
    <cellStyle name="Note 19 5" xfId="46279"/>
    <cellStyle name="Note 19 5 2" xfId="46280"/>
    <cellStyle name="Note 19 6" xfId="46281"/>
    <cellStyle name="Note 19 7" xfId="46282"/>
    <cellStyle name="Note 19 8" xfId="46283"/>
    <cellStyle name="Note 2" xfId="46284"/>
    <cellStyle name="Note 2 10" xfId="46285"/>
    <cellStyle name="Note 2 10 2" xfId="46286"/>
    <cellStyle name="Note 2 10 3" xfId="46287"/>
    <cellStyle name="Note 2 11" xfId="46288"/>
    <cellStyle name="Note 2 11 2" xfId="46289"/>
    <cellStyle name="Note 2 12" xfId="46290"/>
    <cellStyle name="Note 2 12 2" xfId="46291"/>
    <cellStyle name="Note 2 12 2 2" xfId="46292"/>
    <cellStyle name="Note 2 12 2 2 2" xfId="46293"/>
    <cellStyle name="Note 2 12 2 2 3" xfId="46294"/>
    <cellStyle name="Note 2 12 2 3" xfId="46295"/>
    <cellStyle name="Note 2 12 2 3 2" xfId="46296"/>
    <cellStyle name="Note 2 12 2 4" xfId="46297"/>
    <cellStyle name="Note 2 12 2 5" xfId="46298"/>
    <cellStyle name="Note 2 12 3" xfId="46299"/>
    <cellStyle name="Note 2 12 3 2" xfId="46300"/>
    <cellStyle name="Note 2 12 3 2 2" xfId="46301"/>
    <cellStyle name="Note 2 12 3 3" xfId="46302"/>
    <cellStyle name="Note 2 12 3 4" xfId="46303"/>
    <cellStyle name="Note 2 12 4" xfId="46304"/>
    <cellStyle name="Note 2 12 4 2" xfId="46305"/>
    <cellStyle name="Note 2 12 4 2 2" xfId="46306"/>
    <cellStyle name="Note 2 12 4 3" xfId="46307"/>
    <cellStyle name="Note 2 12 4 4" xfId="46308"/>
    <cellStyle name="Note 2 12 5" xfId="46309"/>
    <cellStyle name="Note 2 12 5 2" xfId="46310"/>
    <cellStyle name="Note 2 12 6" xfId="46311"/>
    <cellStyle name="Note 2 12 7" xfId="46312"/>
    <cellStyle name="Note 2 12 8" xfId="46313"/>
    <cellStyle name="Note 2 13" xfId="46314"/>
    <cellStyle name="Note 2 13 2" xfId="46315"/>
    <cellStyle name="Note 2 13 2 2" xfId="46316"/>
    <cellStyle name="Note 2 13 2 2 2" xfId="46317"/>
    <cellStyle name="Note 2 13 2 2 3" xfId="46318"/>
    <cellStyle name="Note 2 13 2 3" xfId="46319"/>
    <cellStyle name="Note 2 13 2 3 2" xfId="46320"/>
    <cellStyle name="Note 2 13 2 4" xfId="46321"/>
    <cellStyle name="Note 2 13 2 5" xfId="46322"/>
    <cellStyle name="Note 2 13 3" xfId="46323"/>
    <cellStyle name="Note 2 13 3 2" xfId="46324"/>
    <cellStyle name="Note 2 13 3 2 2" xfId="46325"/>
    <cellStyle name="Note 2 13 3 3" xfId="46326"/>
    <cellStyle name="Note 2 13 3 4" xfId="46327"/>
    <cellStyle name="Note 2 13 4" xfId="46328"/>
    <cellStyle name="Note 2 13 4 2" xfId="46329"/>
    <cellStyle name="Note 2 13 4 2 2" xfId="46330"/>
    <cellStyle name="Note 2 13 4 3" xfId="46331"/>
    <cellStyle name="Note 2 13 4 4" xfId="46332"/>
    <cellStyle name="Note 2 13 5" xfId="46333"/>
    <cellStyle name="Note 2 13 5 2" xfId="46334"/>
    <cellStyle name="Note 2 13 6" xfId="46335"/>
    <cellStyle name="Note 2 13 7" xfId="46336"/>
    <cellStyle name="Note 2 13 8" xfId="46337"/>
    <cellStyle name="Note 2 14" xfId="46338"/>
    <cellStyle name="Note 2 14 2" xfId="46339"/>
    <cellStyle name="Note 2 14 2 2" xfId="46340"/>
    <cellStyle name="Note 2 14 2 2 2" xfId="46341"/>
    <cellStyle name="Note 2 14 2 2 3" xfId="46342"/>
    <cellStyle name="Note 2 14 2 3" xfId="46343"/>
    <cellStyle name="Note 2 14 2 3 2" xfId="46344"/>
    <cellStyle name="Note 2 14 2 4" xfId="46345"/>
    <cellStyle name="Note 2 14 2 5" xfId="46346"/>
    <cellStyle name="Note 2 14 3" xfId="46347"/>
    <cellStyle name="Note 2 14 3 2" xfId="46348"/>
    <cellStyle name="Note 2 14 3 2 2" xfId="46349"/>
    <cellStyle name="Note 2 14 3 3" xfId="46350"/>
    <cellStyle name="Note 2 14 3 4" xfId="46351"/>
    <cellStyle name="Note 2 14 4" xfId="46352"/>
    <cellStyle name="Note 2 14 4 2" xfId="46353"/>
    <cellStyle name="Note 2 14 4 2 2" xfId="46354"/>
    <cellStyle name="Note 2 14 4 3" xfId="46355"/>
    <cellStyle name="Note 2 14 4 4" xfId="46356"/>
    <cellStyle name="Note 2 14 5" xfId="46357"/>
    <cellStyle name="Note 2 14 5 2" xfId="46358"/>
    <cellStyle name="Note 2 14 6" xfId="46359"/>
    <cellStyle name="Note 2 14 7" xfId="46360"/>
    <cellStyle name="Note 2 14 8" xfId="46361"/>
    <cellStyle name="Note 2 15" xfId="46362"/>
    <cellStyle name="Note 2 16" xfId="46363"/>
    <cellStyle name="Note 2 2" xfId="46364"/>
    <cellStyle name="Note 2 2 10" xfId="46365"/>
    <cellStyle name="Note 2 2 10 2" xfId="46366"/>
    <cellStyle name="Note 2 2 10 3" xfId="46367"/>
    <cellStyle name="Note 2 2 11" xfId="46368"/>
    <cellStyle name="Note 2 2 11 2" xfId="46369"/>
    <cellStyle name="Note 2 2 11 3" xfId="46370"/>
    <cellStyle name="Note 2 2 12" xfId="46371"/>
    <cellStyle name="Note 2 2 12 2" xfId="46372"/>
    <cellStyle name="Note 2 2 12 3" xfId="46373"/>
    <cellStyle name="Note 2 2 13" xfId="46374"/>
    <cellStyle name="Note 2 2 13 2" xfId="46375"/>
    <cellStyle name="Note 2 2 14" xfId="46376"/>
    <cellStyle name="Note 2 2 14 2" xfId="46377"/>
    <cellStyle name="Note 2 2 14 3" xfId="46378"/>
    <cellStyle name="Note 2 2 15" xfId="46379"/>
    <cellStyle name="Note 2 2 15 2" xfId="46380"/>
    <cellStyle name="Note 2 2 16" xfId="46381"/>
    <cellStyle name="Note 2 2 16 2" xfId="46382"/>
    <cellStyle name="Note 2 2 16 2 2" xfId="46383"/>
    <cellStyle name="Note 2 2 16 2 2 2" xfId="46384"/>
    <cellStyle name="Note 2 2 16 2 2 3" xfId="46385"/>
    <cellStyle name="Note 2 2 16 2 3" xfId="46386"/>
    <cellStyle name="Note 2 2 16 2 3 2" xfId="46387"/>
    <cellStyle name="Note 2 2 16 2 4" xfId="46388"/>
    <cellStyle name="Note 2 2 16 2 5" xfId="46389"/>
    <cellStyle name="Note 2 2 16 3" xfId="46390"/>
    <cellStyle name="Note 2 2 16 3 2" xfId="46391"/>
    <cellStyle name="Note 2 2 16 3 2 2" xfId="46392"/>
    <cellStyle name="Note 2 2 16 3 3" xfId="46393"/>
    <cellStyle name="Note 2 2 16 3 4" xfId="46394"/>
    <cellStyle name="Note 2 2 16 4" xfId="46395"/>
    <cellStyle name="Note 2 2 16 4 2" xfId="46396"/>
    <cellStyle name="Note 2 2 16 4 2 2" xfId="46397"/>
    <cellStyle name="Note 2 2 16 4 3" xfId="46398"/>
    <cellStyle name="Note 2 2 16 4 4" xfId="46399"/>
    <cellStyle name="Note 2 2 16 5" xfId="46400"/>
    <cellStyle name="Note 2 2 16 5 2" xfId="46401"/>
    <cellStyle name="Note 2 2 16 6" xfId="46402"/>
    <cellStyle name="Note 2 2 16 7" xfId="46403"/>
    <cellStyle name="Note 2 2 16 8" xfId="46404"/>
    <cellStyle name="Note 2 2 17" xfId="46405"/>
    <cellStyle name="Note 2 2 17 2" xfId="46406"/>
    <cellStyle name="Note 2 2 17 2 2" xfId="46407"/>
    <cellStyle name="Note 2 2 17 2 2 2" xfId="46408"/>
    <cellStyle name="Note 2 2 17 2 2 3" xfId="46409"/>
    <cellStyle name="Note 2 2 17 2 3" xfId="46410"/>
    <cellStyle name="Note 2 2 17 2 3 2" xfId="46411"/>
    <cellStyle name="Note 2 2 17 2 4" xfId="46412"/>
    <cellStyle name="Note 2 2 17 2 5" xfId="46413"/>
    <cellStyle name="Note 2 2 17 3" xfId="46414"/>
    <cellStyle name="Note 2 2 17 3 2" xfId="46415"/>
    <cellStyle name="Note 2 2 17 3 2 2" xfId="46416"/>
    <cellStyle name="Note 2 2 17 3 3" xfId="46417"/>
    <cellStyle name="Note 2 2 17 3 4" xfId="46418"/>
    <cellStyle name="Note 2 2 17 4" xfId="46419"/>
    <cellStyle name="Note 2 2 17 4 2" xfId="46420"/>
    <cellStyle name="Note 2 2 17 4 2 2" xfId="46421"/>
    <cellStyle name="Note 2 2 17 4 3" xfId="46422"/>
    <cellStyle name="Note 2 2 17 4 4" xfId="46423"/>
    <cellStyle name="Note 2 2 17 5" xfId="46424"/>
    <cellStyle name="Note 2 2 17 5 2" xfId="46425"/>
    <cellStyle name="Note 2 2 17 6" xfId="46426"/>
    <cellStyle name="Note 2 2 17 7" xfId="46427"/>
    <cellStyle name="Note 2 2 17 8" xfId="46428"/>
    <cellStyle name="Note 2 2 18" xfId="46429"/>
    <cellStyle name="Note 2 2 18 2" xfId="46430"/>
    <cellStyle name="Note 2 2 18 2 2" xfId="46431"/>
    <cellStyle name="Note 2 2 18 2 2 2" xfId="46432"/>
    <cellStyle name="Note 2 2 18 2 2 3" xfId="46433"/>
    <cellStyle name="Note 2 2 18 2 3" xfId="46434"/>
    <cellStyle name="Note 2 2 18 2 3 2" xfId="46435"/>
    <cellStyle name="Note 2 2 18 2 4" xfId="46436"/>
    <cellStyle name="Note 2 2 18 2 5" xfId="46437"/>
    <cellStyle name="Note 2 2 18 3" xfId="46438"/>
    <cellStyle name="Note 2 2 18 3 2" xfId="46439"/>
    <cellStyle name="Note 2 2 18 3 2 2" xfId="46440"/>
    <cellStyle name="Note 2 2 18 3 3" xfId="46441"/>
    <cellStyle name="Note 2 2 18 3 4" xfId="46442"/>
    <cellStyle name="Note 2 2 18 4" xfId="46443"/>
    <cellStyle name="Note 2 2 18 4 2" xfId="46444"/>
    <cellStyle name="Note 2 2 18 4 2 2" xfId="46445"/>
    <cellStyle name="Note 2 2 18 4 3" xfId="46446"/>
    <cellStyle name="Note 2 2 18 4 4" xfId="46447"/>
    <cellStyle name="Note 2 2 18 5" xfId="46448"/>
    <cellStyle name="Note 2 2 18 5 2" xfId="46449"/>
    <cellStyle name="Note 2 2 18 6" xfId="46450"/>
    <cellStyle name="Note 2 2 18 7" xfId="46451"/>
    <cellStyle name="Note 2 2 18 8" xfId="46452"/>
    <cellStyle name="Note 2 2 19" xfId="46453"/>
    <cellStyle name="Note 2 2 2" xfId="46454"/>
    <cellStyle name="Note 2 2 2 10" xfId="46455"/>
    <cellStyle name="Note 2 2 2 10 2" xfId="46456"/>
    <cellStyle name="Note 2 2 2 10 2 2" xfId="46457"/>
    <cellStyle name="Note 2 2 2 10 2 3" xfId="46458"/>
    <cellStyle name="Note 2 2 2 10 3" xfId="46459"/>
    <cellStyle name="Note 2 2 2 10 3 2" xfId="46460"/>
    <cellStyle name="Note 2 2 2 10 3 3" xfId="46461"/>
    <cellStyle name="Note 2 2 2 10 4" xfId="46462"/>
    <cellStyle name="Note 2 2 2 10 5" xfId="46463"/>
    <cellStyle name="Note 2 2 2 11" xfId="46464"/>
    <cellStyle name="Note 2 2 2 11 2" xfId="46465"/>
    <cellStyle name="Note 2 2 2 11 3" xfId="46466"/>
    <cellStyle name="Note 2 2 2 12" xfId="46467"/>
    <cellStyle name="Note 2 2 2 12 2" xfId="46468"/>
    <cellStyle name="Note 2 2 2 13" xfId="46469"/>
    <cellStyle name="Note 2 2 2 13 2" xfId="46470"/>
    <cellStyle name="Note 2 2 2 13 3" xfId="46471"/>
    <cellStyle name="Note 2 2 2 14" xfId="46472"/>
    <cellStyle name="Note 2 2 2 14 2" xfId="46473"/>
    <cellStyle name="Note 2 2 2 14 2 2" xfId="46474"/>
    <cellStyle name="Note 2 2 2 14 2 2 2" xfId="46475"/>
    <cellStyle name="Note 2 2 2 14 2 2 3" xfId="46476"/>
    <cellStyle name="Note 2 2 2 14 2 3" xfId="46477"/>
    <cellStyle name="Note 2 2 2 14 2 3 2" xfId="46478"/>
    <cellStyle name="Note 2 2 2 14 2 4" xfId="46479"/>
    <cellStyle name="Note 2 2 2 14 2 5" xfId="46480"/>
    <cellStyle name="Note 2 2 2 14 3" xfId="46481"/>
    <cellStyle name="Note 2 2 2 14 3 2" xfId="46482"/>
    <cellStyle name="Note 2 2 2 14 3 2 2" xfId="46483"/>
    <cellStyle name="Note 2 2 2 14 3 3" xfId="46484"/>
    <cellStyle name="Note 2 2 2 14 3 4" xfId="46485"/>
    <cellStyle name="Note 2 2 2 14 4" xfId="46486"/>
    <cellStyle name="Note 2 2 2 14 4 2" xfId="46487"/>
    <cellStyle name="Note 2 2 2 14 4 2 2" xfId="46488"/>
    <cellStyle name="Note 2 2 2 14 4 3" xfId="46489"/>
    <cellStyle name="Note 2 2 2 14 4 4" xfId="46490"/>
    <cellStyle name="Note 2 2 2 14 5" xfId="46491"/>
    <cellStyle name="Note 2 2 2 14 5 2" xfId="46492"/>
    <cellStyle name="Note 2 2 2 14 6" xfId="46493"/>
    <cellStyle name="Note 2 2 2 14 7" xfId="46494"/>
    <cellStyle name="Note 2 2 2 14 8" xfId="46495"/>
    <cellStyle name="Note 2 2 2 15" xfId="46496"/>
    <cellStyle name="Note 2 2 2 15 2" xfId="46497"/>
    <cellStyle name="Note 2 2 2 15 2 2" xfId="46498"/>
    <cellStyle name="Note 2 2 2 15 2 2 2" xfId="46499"/>
    <cellStyle name="Note 2 2 2 15 2 2 3" xfId="46500"/>
    <cellStyle name="Note 2 2 2 15 2 3" xfId="46501"/>
    <cellStyle name="Note 2 2 2 15 2 3 2" xfId="46502"/>
    <cellStyle name="Note 2 2 2 15 2 4" xfId="46503"/>
    <cellStyle name="Note 2 2 2 15 2 5" xfId="46504"/>
    <cellStyle name="Note 2 2 2 15 3" xfId="46505"/>
    <cellStyle name="Note 2 2 2 15 3 2" xfId="46506"/>
    <cellStyle name="Note 2 2 2 15 3 2 2" xfId="46507"/>
    <cellStyle name="Note 2 2 2 15 3 3" xfId="46508"/>
    <cellStyle name="Note 2 2 2 15 3 4" xfId="46509"/>
    <cellStyle name="Note 2 2 2 15 4" xfId="46510"/>
    <cellStyle name="Note 2 2 2 15 4 2" xfId="46511"/>
    <cellStyle name="Note 2 2 2 15 4 2 2" xfId="46512"/>
    <cellStyle name="Note 2 2 2 15 4 3" xfId="46513"/>
    <cellStyle name="Note 2 2 2 15 4 4" xfId="46514"/>
    <cellStyle name="Note 2 2 2 15 5" xfId="46515"/>
    <cellStyle name="Note 2 2 2 15 5 2" xfId="46516"/>
    <cellStyle name="Note 2 2 2 15 6" xfId="46517"/>
    <cellStyle name="Note 2 2 2 15 7" xfId="46518"/>
    <cellStyle name="Note 2 2 2 15 8" xfId="46519"/>
    <cellStyle name="Note 2 2 2 16" xfId="46520"/>
    <cellStyle name="Note 2 2 2 16 2" xfId="46521"/>
    <cellStyle name="Note 2 2 2 16 2 2" xfId="46522"/>
    <cellStyle name="Note 2 2 2 16 2 2 2" xfId="46523"/>
    <cellStyle name="Note 2 2 2 16 2 2 3" xfId="46524"/>
    <cellStyle name="Note 2 2 2 16 2 3" xfId="46525"/>
    <cellStyle name="Note 2 2 2 16 2 3 2" xfId="46526"/>
    <cellStyle name="Note 2 2 2 16 2 4" xfId="46527"/>
    <cellStyle name="Note 2 2 2 16 2 5" xfId="46528"/>
    <cellStyle name="Note 2 2 2 16 3" xfId="46529"/>
    <cellStyle name="Note 2 2 2 16 3 2" xfId="46530"/>
    <cellStyle name="Note 2 2 2 16 3 2 2" xfId="46531"/>
    <cellStyle name="Note 2 2 2 16 3 3" xfId="46532"/>
    <cellStyle name="Note 2 2 2 16 3 4" xfId="46533"/>
    <cellStyle name="Note 2 2 2 16 4" xfId="46534"/>
    <cellStyle name="Note 2 2 2 16 4 2" xfId="46535"/>
    <cellStyle name="Note 2 2 2 16 4 2 2" xfId="46536"/>
    <cellStyle name="Note 2 2 2 16 4 3" xfId="46537"/>
    <cellStyle name="Note 2 2 2 16 4 4" xfId="46538"/>
    <cellStyle name="Note 2 2 2 16 5" xfId="46539"/>
    <cellStyle name="Note 2 2 2 16 5 2" xfId="46540"/>
    <cellStyle name="Note 2 2 2 16 6" xfId="46541"/>
    <cellStyle name="Note 2 2 2 16 7" xfId="46542"/>
    <cellStyle name="Note 2 2 2 16 8" xfId="46543"/>
    <cellStyle name="Note 2 2 2 2" xfId="46544"/>
    <cellStyle name="Note 2 2 2 2 2" xfId="46545"/>
    <cellStyle name="Note 2 2 2 2 2 2" xfId="46546"/>
    <cellStyle name="Note 2 2 2 2 2 3" xfId="46547"/>
    <cellStyle name="Note 2 2 2 2 3" xfId="46548"/>
    <cellStyle name="Note 2 2 2 2 3 2" xfId="46549"/>
    <cellStyle name="Note 2 2 2 2 3 3" xfId="46550"/>
    <cellStyle name="Note 2 2 2 2 4" xfId="46551"/>
    <cellStyle name="Note 2 2 2 2 4 2" xfId="46552"/>
    <cellStyle name="Note 2 2 2 2 4 3" xfId="46553"/>
    <cellStyle name="Note 2 2 2 2 5" xfId="46554"/>
    <cellStyle name="Note 2 2 2 2 5 2" xfId="46555"/>
    <cellStyle name="Note 2 2 2 2 5 3" xfId="46556"/>
    <cellStyle name="Note 2 2 2 2 6" xfId="46557"/>
    <cellStyle name="Note 2 2 2 2 7" xfId="46558"/>
    <cellStyle name="Note 2 2 2 3" xfId="46559"/>
    <cellStyle name="Note 2 2 2 3 2" xfId="46560"/>
    <cellStyle name="Note 2 2 2 3 2 2" xfId="46561"/>
    <cellStyle name="Note 2 2 2 3 2 3" xfId="46562"/>
    <cellStyle name="Note 2 2 2 3 3" xfId="46563"/>
    <cellStyle name="Note 2 2 2 3 3 2" xfId="46564"/>
    <cellStyle name="Note 2 2 2 3 3 3" xfId="46565"/>
    <cellStyle name="Note 2 2 2 3 4" xfId="46566"/>
    <cellStyle name="Note 2 2 2 3 5" xfId="46567"/>
    <cellStyle name="Note 2 2 2 4" xfId="46568"/>
    <cellStyle name="Note 2 2 2 4 2" xfId="46569"/>
    <cellStyle name="Note 2 2 2 4 2 2" xfId="46570"/>
    <cellStyle name="Note 2 2 2 4 2 3" xfId="46571"/>
    <cellStyle name="Note 2 2 2 4 3" xfId="46572"/>
    <cellStyle name="Note 2 2 2 4 3 2" xfId="46573"/>
    <cellStyle name="Note 2 2 2 4 3 3" xfId="46574"/>
    <cellStyle name="Note 2 2 2 4 4" xfId="46575"/>
    <cellStyle name="Note 2 2 2 4 5" xfId="46576"/>
    <cellStyle name="Note 2 2 2 5" xfId="46577"/>
    <cellStyle name="Note 2 2 2 5 2" xfId="46578"/>
    <cellStyle name="Note 2 2 2 5 2 2" xfId="46579"/>
    <cellStyle name="Note 2 2 2 5 2 3" xfId="46580"/>
    <cellStyle name="Note 2 2 2 5 3" xfId="46581"/>
    <cellStyle name="Note 2 2 2 5 3 2" xfId="46582"/>
    <cellStyle name="Note 2 2 2 5 3 3" xfId="46583"/>
    <cellStyle name="Note 2 2 2 5 4" xfId="46584"/>
    <cellStyle name="Note 2 2 2 5 5" xfId="46585"/>
    <cellStyle name="Note 2 2 2 6" xfId="46586"/>
    <cellStyle name="Note 2 2 2 6 2" xfId="46587"/>
    <cellStyle name="Note 2 2 2 6 2 2" xfId="46588"/>
    <cellStyle name="Note 2 2 2 6 2 3" xfId="46589"/>
    <cellStyle name="Note 2 2 2 6 3" xfId="46590"/>
    <cellStyle name="Note 2 2 2 6 3 2" xfId="46591"/>
    <cellStyle name="Note 2 2 2 6 3 3" xfId="46592"/>
    <cellStyle name="Note 2 2 2 6 4" xfId="46593"/>
    <cellStyle name="Note 2 2 2 6 5" xfId="46594"/>
    <cellStyle name="Note 2 2 2 7" xfId="46595"/>
    <cellStyle name="Note 2 2 2 7 2" xfId="46596"/>
    <cellStyle name="Note 2 2 2 7 2 2" xfId="46597"/>
    <cellStyle name="Note 2 2 2 7 2 3" xfId="46598"/>
    <cellStyle name="Note 2 2 2 7 3" xfId="46599"/>
    <cellStyle name="Note 2 2 2 7 3 2" xfId="46600"/>
    <cellStyle name="Note 2 2 2 7 3 3" xfId="46601"/>
    <cellStyle name="Note 2 2 2 7 4" xfId="46602"/>
    <cellStyle name="Note 2 2 2 7 5" xfId="46603"/>
    <cellStyle name="Note 2 2 2 8" xfId="46604"/>
    <cellStyle name="Note 2 2 2 8 2" xfId="46605"/>
    <cellStyle name="Note 2 2 2 8 2 2" xfId="46606"/>
    <cellStyle name="Note 2 2 2 8 2 3" xfId="46607"/>
    <cellStyle name="Note 2 2 2 8 3" xfId="46608"/>
    <cellStyle name="Note 2 2 2 8 3 2" xfId="46609"/>
    <cellStyle name="Note 2 2 2 8 3 3" xfId="46610"/>
    <cellStyle name="Note 2 2 2 8 4" xfId="46611"/>
    <cellStyle name="Note 2 2 2 8 5" xfId="46612"/>
    <cellStyle name="Note 2 2 2 9" xfId="46613"/>
    <cellStyle name="Note 2 2 2 9 2" xfId="46614"/>
    <cellStyle name="Note 2 2 2 9 2 2" xfId="46615"/>
    <cellStyle name="Note 2 2 2 9 2 3" xfId="46616"/>
    <cellStyle name="Note 2 2 2 9 3" xfId="46617"/>
    <cellStyle name="Note 2 2 2 9 3 2" xfId="46618"/>
    <cellStyle name="Note 2 2 2 9 3 3" xfId="46619"/>
    <cellStyle name="Note 2 2 2 9 4" xfId="46620"/>
    <cellStyle name="Note 2 2 2 9 5" xfId="46621"/>
    <cellStyle name="Note 2 2 2_BHP 4Q 2010 Ops Review Senior Managment " xfId="17"/>
    <cellStyle name="Note 2 2 3" xfId="46622"/>
    <cellStyle name="Note 2 2 3 2" xfId="46623"/>
    <cellStyle name="Note 2 2 3 2 2" xfId="46624"/>
    <cellStyle name="Note 2 2 3 2 3" xfId="46625"/>
    <cellStyle name="Note 2 2 3 3" xfId="46626"/>
    <cellStyle name="Note 2 2 3 3 2" xfId="46627"/>
    <cellStyle name="Note 2 2 3 4" xfId="46628"/>
    <cellStyle name="Note 2 2 3 5" xfId="46629"/>
    <cellStyle name="Note 2 2 4" xfId="46630"/>
    <cellStyle name="Note 2 2 4 2" xfId="46631"/>
    <cellStyle name="Note 2 2 4 2 2" xfId="46632"/>
    <cellStyle name="Note 2 2 4 2 3" xfId="46633"/>
    <cellStyle name="Note 2 2 4 3" xfId="46634"/>
    <cellStyle name="Note 2 2 4 3 2" xfId="46635"/>
    <cellStyle name="Note 2 2 4 4" xfId="46636"/>
    <cellStyle name="Note 2 2 5" xfId="46637"/>
    <cellStyle name="Note 2 2 5 2" xfId="46638"/>
    <cellStyle name="Note 2 2 5 2 2" xfId="46639"/>
    <cellStyle name="Note 2 2 5 2 3" xfId="46640"/>
    <cellStyle name="Note 2 2 5 3" xfId="46641"/>
    <cellStyle name="Note 2 2 5 3 2" xfId="46642"/>
    <cellStyle name="Note 2 2 5 4" xfId="46643"/>
    <cellStyle name="Note 2 2 6" xfId="46644"/>
    <cellStyle name="Note 2 2 6 2" xfId="46645"/>
    <cellStyle name="Note 2 2 6 2 2" xfId="46646"/>
    <cellStyle name="Note 2 2 6 2 3" xfId="46647"/>
    <cellStyle name="Note 2 2 6 3" xfId="46648"/>
    <cellStyle name="Note 2 2 6 3 2" xfId="46649"/>
    <cellStyle name="Note 2 2 6 4" xfId="46650"/>
    <cellStyle name="Note 2 2 7" xfId="46651"/>
    <cellStyle name="Note 2 2 7 2" xfId="46652"/>
    <cellStyle name="Note 2 2 7 3" xfId="46653"/>
    <cellStyle name="Note 2 2 8" xfId="46654"/>
    <cellStyle name="Note 2 2 8 2" xfId="46655"/>
    <cellStyle name="Note 2 2 8 3" xfId="46656"/>
    <cellStyle name="Note 2 2 9" xfId="46657"/>
    <cellStyle name="Note 2 2 9 2" xfId="46658"/>
    <cellStyle name="Note 2 2 9 3" xfId="46659"/>
    <cellStyle name="Note 2 2_BHP 4Q 2010 Ops Review Senior Managment " xfId="18"/>
    <cellStyle name="Note 2 3" xfId="46660"/>
    <cellStyle name="Note 2 3 2" xfId="46661"/>
    <cellStyle name="Note 2 3 2 2" xfId="46662"/>
    <cellStyle name="Note 2 3 2 2 2" xfId="46663"/>
    <cellStyle name="Note 2 3 2 3" xfId="46664"/>
    <cellStyle name="Note 2 3 3" xfId="46665"/>
    <cellStyle name="Note 2 3 3 2" xfId="46666"/>
    <cellStyle name="Note 2 3 3 3" xfId="46667"/>
    <cellStyle name="Note 2 3 4" xfId="46668"/>
    <cellStyle name="Note 2 3 4 2" xfId="46669"/>
    <cellStyle name="Note 2 3 4 2 2" xfId="46670"/>
    <cellStyle name="Note 2 3 4 2 2 2" xfId="46671"/>
    <cellStyle name="Note 2 3 4 2 2 3" xfId="46672"/>
    <cellStyle name="Note 2 3 4 2 3" xfId="46673"/>
    <cellStyle name="Note 2 3 4 2 3 2" xfId="46674"/>
    <cellStyle name="Note 2 3 4 2 4" xfId="46675"/>
    <cellStyle name="Note 2 3 4 2 5" xfId="46676"/>
    <cellStyle name="Note 2 3 4 3" xfId="46677"/>
    <cellStyle name="Note 2 3 4 3 2" xfId="46678"/>
    <cellStyle name="Note 2 3 4 3 2 2" xfId="46679"/>
    <cellStyle name="Note 2 3 4 3 3" xfId="46680"/>
    <cellStyle name="Note 2 3 4 3 4" xfId="46681"/>
    <cellStyle name="Note 2 3 4 4" xfId="46682"/>
    <cellStyle name="Note 2 3 4 4 2" xfId="46683"/>
    <cellStyle name="Note 2 3 4 4 2 2" xfId="46684"/>
    <cellStyle name="Note 2 3 4 4 3" xfId="46685"/>
    <cellStyle name="Note 2 3 4 4 4" xfId="46686"/>
    <cellStyle name="Note 2 3 4 5" xfId="46687"/>
    <cellStyle name="Note 2 3 4 5 2" xfId="46688"/>
    <cellStyle name="Note 2 3 4 6" xfId="46689"/>
    <cellStyle name="Note 2 3 4 7" xfId="46690"/>
    <cellStyle name="Note 2 3 4 8" xfId="46691"/>
    <cellStyle name="Note 2 3 5" xfId="46692"/>
    <cellStyle name="Note 2 3 5 2" xfId="46693"/>
    <cellStyle name="Note 2 3 5 2 2" xfId="46694"/>
    <cellStyle name="Note 2 3 5 2 2 2" xfId="46695"/>
    <cellStyle name="Note 2 3 5 2 2 3" xfId="46696"/>
    <cellStyle name="Note 2 3 5 2 3" xfId="46697"/>
    <cellStyle name="Note 2 3 5 2 3 2" xfId="46698"/>
    <cellStyle name="Note 2 3 5 2 4" xfId="46699"/>
    <cellStyle name="Note 2 3 5 2 5" xfId="46700"/>
    <cellStyle name="Note 2 3 5 3" xfId="46701"/>
    <cellStyle name="Note 2 3 5 3 2" xfId="46702"/>
    <cellStyle name="Note 2 3 5 3 2 2" xfId="46703"/>
    <cellStyle name="Note 2 3 5 3 3" xfId="46704"/>
    <cellStyle name="Note 2 3 5 3 4" xfId="46705"/>
    <cellStyle name="Note 2 3 5 4" xfId="46706"/>
    <cellStyle name="Note 2 3 5 4 2" xfId="46707"/>
    <cellStyle name="Note 2 3 5 4 2 2" xfId="46708"/>
    <cellStyle name="Note 2 3 5 4 3" xfId="46709"/>
    <cellStyle name="Note 2 3 5 4 4" xfId="46710"/>
    <cellStyle name="Note 2 3 5 5" xfId="46711"/>
    <cellStyle name="Note 2 3 5 5 2" xfId="46712"/>
    <cellStyle name="Note 2 3 5 6" xfId="46713"/>
    <cellStyle name="Note 2 3 5 7" xfId="46714"/>
    <cellStyle name="Note 2 3 5 8" xfId="46715"/>
    <cellStyle name="Note 2 3 6" xfId="46716"/>
    <cellStyle name="Note 2 3 6 2" xfId="46717"/>
    <cellStyle name="Note 2 3 6 2 2" xfId="46718"/>
    <cellStyle name="Note 2 3 6 2 2 2" xfId="46719"/>
    <cellStyle name="Note 2 3 6 2 2 3" xfId="46720"/>
    <cellStyle name="Note 2 3 6 2 3" xfId="46721"/>
    <cellStyle name="Note 2 3 6 2 3 2" xfId="46722"/>
    <cellStyle name="Note 2 3 6 2 4" xfId="46723"/>
    <cellStyle name="Note 2 3 6 2 5" xfId="46724"/>
    <cellStyle name="Note 2 3 6 3" xfId="46725"/>
    <cellStyle name="Note 2 3 6 3 2" xfId="46726"/>
    <cellStyle name="Note 2 3 6 3 2 2" xfId="46727"/>
    <cellStyle name="Note 2 3 6 3 3" xfId="46728"/>
    <cellStyle name="Note 2 3 6 3 4" xfId="46729"/>
    <cellStyle name="Note 2 3 6 4" xfId="46730"/>
    <cellStyle name="Note 2 3 6 4 2" xfId="46731"/>
    <cellStyle name="Note 2 3 6 4 2 2" xfId="46732"/>
    <cellStyle name="Note 2 3 6 4 3" xfId="46733"/>
    <cellStyle name="Note 2 3 6 4 4" xfId="46734"/>
    <cellStyle name="Note 2 3 6 5" xfId="46735"/>
    <cellStyle name="Note 2 3 6 5 2" xfId="46736"/>
    <cellStyle name="Note 2 3 6 6" xfId="46737"/>
    <cellStyle name="Note 2 3 6 7" xfId="46738"/>
    <cellStyle name="Note 2 3 6 8" xfId="46739"/>
    <cellStyle name="Note 2 3 7" xfId="46740"/>
    <cellStyle name="Note 2 4" xfId="46741"/>
    <cellStyle name="Note 2 4 2" xfId="46742"/>
    <cellStyle name="Note 2 4 2 2" xfId="46743"/>
    <cellStyle name="Note 2 4 3" xfId="46744"/>
    <cellStyle name="Note 2 5" xfId="46745"/>
    <cellStyle name="Note 2 5 2" xfId="46746"/>
    <cellStyle name="Note 2 5 2 2" xfId="46747"/>
    <cellStyle name="Note 2 5 3" xfId="46748"/>
    <cellStyle name="Note 2 6" xfId="46749"/>
    <cellStyle name="Note 2 6 2" xfId="46750"/>
    <cellStyle name="Note 2 6 2 2" xfId="46751"/>
    <cellStyle name="Note 2 6 3" xfId="46752"/>
    <cellStyle name="Note 2 7" xfId="46753"/>
    <cellStyle name="Note 2 7 2" xfId="46754"/>
    <cellStyle name="Note 2 7 2 2" xfId="46755"/>
    <cellStyle name="Note 2 7 3" xfId="46756"/>
    <cellStyle name="Note 2 8" xfId="46757"/>
    <cellStyle name="Note 2 8 2" xfId="46758"/>
    <cellStyle name="Note 2 9" xfId="46759"/>
    <cellStyle name="Note 2 9 2" xfId="46760"/>
    <cellStyle name="Note 2_BHP 4Q 2010 Ops Review Senior Managment " xfId="19"/>
    <cellStyle name="Note 20" xfId="46761"/>
    <cellStyle name="Note 20 2" xfId="46762"/>
    <cellStyle name="Note 20 2 2" xfId="46763"/>
    <cellStyle name="Note 20 2 2 2" xfId="46764"/>
    <cellStyle name="Note 20 2 2 3" xfId="46765"/>
    <cellStyle name="Note 20 2 3" xfId="46766"/>
    <cellStyle name="Note 20 2 3 2" xfId="46767"/>
    <cellStyle name="Note 20 2 4" xfId="46768"/>
    <cellStyle name="Note 20 2 5" xfId="46769"/>
    <cellStyle name="Note 20 3" xfId="46770"/>
    <cellStyle name="Note 20 3 2" xfId="46771"/>
    <cellStyle name="Note 20 3 2 2" xfId="46772"/>
    <cellStyle name="Note 20 3 3" xfId="46773"/>
    <cellStyle name="Note 20 3 4" xfId="46774"/>
    <cellStyle name="Note 20 4" xfId="46775"/>
    <cellStyle name="Note 20 4 2" xfId="46776"/>
    <cellStyle name="Note 20 4 2 2" xfId="46777"/>
    <cellStyle name="Note 20 4 3" xfId="46778"/>
    <cellStyle name="Note 20 4 4" xfId="46779"/>
    <cellStyle name="Note 20 5" xfId="46780"/>
    <cellStyle name="Note 20 5 2" xfId="46781"/>
    <cellStyle name="Note 20 6" xfId="46782"/>
    <cellStyle name="Note 20 7" xfId="46783"/>
    <cellStyle name="Note 20 8" xfId="46784"/>
    <cellStyle name="Note 21" xfId="46785"/>
    <cellStyle name="Note 21 2" xfId="46786"/>
    <cellStyle name="Note 21 2 2" xfId="46787"/>
    <cellStyle name="Note 21 2 2 2" xfId="46788"/>
    <cellStyle name="Note 21 2 2 3" xfId="46789"/>
    <cellStyle name="Note 21 2 3" xfId="46790"/>
    <cellStyle name="Note 21 2 3 2" xfId="46791"/>
    <cellStyle name="Note 21 2 4" xfId="46792"/>
    <cellStyle name="Note 21 2 5" xfId="46793"/>
    <cellStyle name="Note 21 3" xfId="46794"/>
    <cellStyle name="Note 21 3 2" xfId="46795"/>
    <cellStyle name="Note 21 3 2 2" xfId="46796"/>
    <cellStyle name="Note 21 3 3" xfId="46797"/>
    <cellStyle name="Note 21 3 4" xfId="46798"/>
    <cellStyle name="Note 21 4" xfId="46799"/>
    <cellStyle name="Note 21 4 2" xfId="46800"/>
    <cellStyle name="Note 21 4 2 2" xfId="46801"/>
    <cellStyle name="Note 21 4 3" xfId="46802"/>
    <cellStyle name="Note 21 4 4" xfId="46803"/>
    <cellStyle name="Note 21 5" xfId="46804"/>
    <cellStyle name="Note 21 5 2" xfId="46805"/>
    <cellStyle name="Note 21 6" xfId="46806"/>
    <cellStyle name="Note 21 7" xfId="46807"/>
    <cellStyle name="Note 21 8" xfId="46808"/>
    <cellStyle name="Note 3" xfId="46809"/>
    <cellStyle name="Note 3 10" xfId="46810"/>
    <cellStyle name="Note 3 10 2" xfId="46811"/>
    <cellStyle name="Note 3 10 2 2" xfId="46812"/>
    <cellStyle name="Note 3 10 2 2 2" xfId="46813"/>
    <cellStyle name="Note 3 10 2 2 3" xfId="46814"/>
    <cellStyle name="Note 3 10 2 3" xfId="46815"/>
    <cellStyle name="Note 3 10 2 3 2" xfId="46816"/>
    <cellStyle name="Note 3 10 2 4" xfId="46817"/>
    <cellStyle name="Note 3 10 2 5" xfId="46818"/>
    <cellStyle name="Note 3 10 3" xfId="46819"/>
    <cellStyle name="Note 3 10 3 2" xfId="46820"/>
    <cellStyle name="Note 3 10 3 2 2" xfId="46821"/>
    <cellStyle name="Note 3 10 3 3" xfId="46822"/>
    <cellStyle name="Note 3 10 3 4" xfId="46823"/>
    <cellStyle name="Note 3 10 4" xfId="46824"/>
    <cellStyle name="Note 3 10 4 2" xfId="46825"/>
    <cellStyle name="Note 3 10 4 2 2" xfId="46826"/>
    <cellStyle name="Note 3 10 4 3" xfId="46827"/>
    <cellStyle name="Note 3 10 4 4" xfId="46828"/>
    <cellStyle name="Note 3 10 5" xfId="46829"/>
    <cellStyle name="Note 3 10 5 2" xfId="46830"/>
    <cellStyle name="Note 3 10 6" xfId="46831"/>
    <cellStyle name="Note 3 10 7" xfId="46832"/>
    <cellStyle name="Note 3 10 8" xfId="46833"/>
    <cellStyle name="Note 3 11" xfId="46834"/>
    <cellStyle name="Note 3 2" xfId="46835"/>
    <cellStyle name="Note 3 2 10" xfId="46836"/>
    <cellStyle name="Note 3 2 10 2" xfId="46837"/>
    <cellStyle name="Note 3 2 10 3" xfId="46838"/>
    <cellStyle name="Note 3 2 11" xfId="46839"/>
    <cellStyle name="Note 3 2 11 2" xfId="46840"/>
    <cellStyle name="Note 3 2 11 2 2" xfId="46841"/>
    <cellStyle name="Note 3 2 11 2 2 2" xfId="46842"/>
    <cellStyle name="Note 3 2 11 2 2 3" xfId="46843"/>
    <cellStyle name="Note 3 2 11 2 3" xfId="46844"/>
    <cellStyle name="Note 3 2 11 2 3 2" xfId="46845"/>
    <cellStyle name="Note 3 2 11 2 4" xfId="46846"/>
    <cellStyle name="Note 3 2 11 2 5" xfId="46847"/>
    <cellStyle name="Note 3 2 11 3" xfId="46848"/>
    <cellStyle name="Note 3 2 11 3 2" xfId="46849"/>
    <cellStyle name="Note 3 2 11 3 2 2" xfId="46850"/>
    <cellStyle name="Note 3 2 11 3 3" xfId="46851"/>
    <cellStyle name="Note 3 2 11 3 4" xfId="46852"/>
    <cellStyle name="Note 3 2 11 4" xfId="46853"/>
    <cellStyle name="Note 3 2 11 4 2" xfId="46854"/>
    <cellStyle name="Note 3 2 11 4 2 2" xfId="46855"/>
    <cellStyle name="Note 3 2 11 4 3" xfId="46856"/>
    <cellStyle name="Note 3 2 11 4 4" xfId="46857"/>
    <cellStyle name="Note 3 2 11 5" xfId="46858"/>
    <cellStyle name="Note 3 2 11 5 2" xfId="46859"/>
    <cellStyle name="Note 3 2 11 6" xfId="46860"/>
    <cellStyle name="Note 3 2 11 7" xfId="46861"/>
    <cellStyle name="Note 3 2 11 8" xfId="46862"/>
    <cellStyle name="Note 3 2 12" xfId="46863"/>
    <cellStyle name="Note 3 2 12 2" xfId="46864"/>
    <cellStyle name="Note 3 2 12 2 2" xfId="46865"/>
    <cellStyle name="Note 3 2 12 2 2 2" xfId="46866"/>
    <cellStyle name="Note 3 2 12 2 2 3" xfId="46867"/>
    <cellStyle name="Note 3 2 12 2 3" xfId="46868"/>
    <cellStyle name="Note 3 2 12 2 3 2" xfId="46869"/>
    <cellStyle name="Note 3 2 12 2 4" xfId="46870"/>
    <cellStyle name="Note 3 2 12 2 5" xfId="46871"/>
    <cellStyle name="Note 3 2 12 3" xfId="46872"/>
    <cellStyle name="Note 3 2 12 3 2" xfId="46873"/>
    <cellStyle name="Note 3 2 12 3 2 2" xfId="46874"/>
    <cellStyle name="Note 3 2 12 3 3" xfId="46875"/>
    <cellStyle name="Note 3 2 12 3 4" xfId="46876"/>
    <cellStyle name="Note 3 2 12 4" xfId="46877"/>
    <cellStyle name="Note 3 2 12 4 2" xfId="46878"/>
    <cellStyle name="Note 3 2 12 4 2 2" xfId="46879"/>
    <cellStyle name="Note 3 2 12 4 3" xfId="46880"/>
    <cellStyle name="Note 3 2 12 4 4" xfId="46881"/>
    <cellStyle name="Note 3 2 12 5" xfId="46882"/>
    <cellStyle name="Note 3 2 12 5 2" xfId="46883"/>
    <cellStyle name="Note 3 2 12 6" xfId="46884"/>
    <cellStyle name="Note 3 2 12 7" xfId="46885"/>
    <cellStyle name="Note 3 2 12 8" xfId="46886"/>
    <cellStyle name="Note 3 2 13" xfId="46887"/>
    <cellStyle name="Note 3 2 13 2" xfId="46888"/>
    <cellStyle name="Note 3 2 13 2 2" xfId="46889"/>
    <cellStyle name="Note 3 2 13 2 2 2" xfId="46890"/>
    <cellStyle name="Note 3 2 13 2 2 3" xfId="46891"/>
    <cellStyle name="Note 3 2 13 2 3" xfId="46892"/>
    <cellStyle name="Note 3 2 13 2 3 2" xfId="46893"/>
    <cellStyle name="Note 3 2 13 2 4" xfId="46894"/>
    <cellStyle name="Note 3 2 13 2 5" xfId="46895"/>
    <cellStyle name="Note 3 2 13 3" xfId="46896"/>
    <cellStyle name="Note 3 2 13 3 2" xfId="46897"/>
    <cellStyle name="Note 3 2 13 3 2 2" xfId="46898"/>
    <cellStyle name="Note 3 2 13 3 3" xfId="46899"/>
    <cellStyle name="Note 3 2 13 3 4" xfId="46900"/>
    <cellStyle name="Note 3 2 13 4" xfId="46901"/>
    <cellStyle name="Note 3 2 13 4 2" xfId="46902"/>
    <cellStyle name="Note 3 2 13 4 2 2" xfId="46903"/>
    <cellStyle name="Note 3 2 13 4 3" xfId="46904"/>
    <cellStyle name="Note 3 2 13 4 4" xfId="46905"/>
    <cellStyle name="Note 3 2 13 5" xfId="46906"/>
    <cellStyle name="Note 3 2 13 5 2" xfId="46907"/>
    <cellStyle name="Note 3 2 13 6" xfId="46908"/>
    <cellStyle name="Note 3 2 13 7" xfId="46909"/>
    <cellStyle name="Note 3 2 13 8" xfId="46910"/>
    <cellStyle name="Note 3 2 2" xfId="46911"/>
    <cellStyle name="Note 3 2 2 2" xfId="46912"/>
    <cellStyle name="Note 3 2 2 2 2" xfId="46913"/>
    <cellStyle name="Note 3 2 2 2 3" xfId="46914"/>
    <cellStyle name="Note 3 2 2 3" xfId="46915"/>
    <cellStyle name="Note 3 2 2 3 2" xfId="46916"/>
    <cellStyle name="Note 3 2 2 3 3" xfId="46917"/>
    <cellStyle name="Note 3 2 2 4" xfId="46918"/>
    <cellStyle name="Note 3 2 2 4 2" xfId="46919"/>
    <cellStyle name="Note 3 2 2 4 3" xfId="46920"/>
    <cellStyle name="Note 3 2 2 5" xfId="46921"/>
    <cellStyle name="Note 3 2 2 5 2" xfId="46922"/>
    <cellStyle name="Note 3 2 2 5 3" xfId="46923"/>
    <cellStyle name="Note 3 2 2 6" xfId="46924"/>
    <cellStyle name="Note 3 2 2 7" xfId="46925"/>
    <cellStyle name="Note 3 2 3" xfId="46926"/>
    <cellStyle name="Note 3 2 3 2" xfId="46927"/>
    <cellStyle name="Note 3 2 3 2 2" xfId="46928"/>
    <cellStyle name="Note 3 2 3 3" xfId="46929"/>
    <cellStyle name="Note 3 2 4" xfId="46930"/>
    <cellStyle name="Note 3 2 4 2" xfId="46931"/>
    <cellStyle name="Note 3 2 4 2 2" xfId="46932"/>
    <cellStyle name="Note 3 2 4 3" xfId="46933"/>
    <cellStyle name="Note 3 2 5" xfId="46934"/>
    <cellStyle name="Note 3 2 5 2" xfId="46935"/>
    <cellStyle name="Note 3 2 5 2 2" xfId="46936"/>
    <cellStyle name="Note 3 2 5 3" xfId="46937"/>
    <cellStyle name="Note 3 2 6" xfId="46938"/>
    <cellStyle name="Note 3 2 6 2" xfId="46939"/>
    <cellStyle name="Note 3 2 6 2 2" xfId="46940"/>
    <cellStyle name="Note 3 2 6 3" xfId="46941"/>
    <cellStyle name="Note 3 2 7" xfId="46942"/>
    <cellStyle name="Note 3 2 7 2" xfId="46943"/>
    <cellStyle name="Note 3 2 7 3" xfId="46944"/>
    <cellStyle name="Note 3 2 8" xfId="46945"/>
    <cellStyle name="Note 3 2 8 2" xfId="46946"/>
    <cellStyle name="Note 3 2 8 3" xfId="46947"/>
    <cellStyle name="Note 3 2 9" xfId="46948"/>
    <cellStyle name="Note 3 2 9 2" xfId="46949"/>
    <cellStyle name="Note 3 2_CLFP Executive Summary - 2009 December" xfId="46950"/>
    <cellStyle name="Note 3 3" xfId="46951"/>
    <cellStyle name="Note 3 3 2" xfId="46952"/>
    <cellStyle name="Note 3 3 2 2" xfId="46953"/>
    <cellStyle name="Note 3 3 3" xfId="46954"/>
    <cellStyle name="Note 3 3 4" xfId="46955"/>
    <cellStyle name="Note 3 4" xfId="46956"/>
    <cellStyle name="Note 3 4 2" xfId="46957"/>
    <cellStyle name="Note 3 4 3" xfId="46958"/>
    <cellStyle name="Note 3 5" xfId="46959"/>
    <cellStyle name="Note 3 5 2" xfId="46960"/>
    <cellStyle name="Note 3 6" xfId="46961"/>
    <cellStyle name="Note 3 6 2" xfId="46962"/>
    <cellStyle name="Note 3 6 3" xfId="46963"/>
    <cellStyle name="Note 3 7" xfId="46964"/>
    <cellStyle name="Note 3 7 2" xfId="46965"/>
    <cellStyle name="Note 3 8" xfId="46966"/>
    <cellStyle name="Note 3 8 2" xfId="46967"/>
    <cellStyle name="Note 3 8 2 2" xfId="46968"/>
    <cellStyle name="Note 3 8 2 2 2" xfId="46969"/>
    <cellStyle name="Note 3 8 2 2 3" xfId="46970"/>
    <cellStyle name="Note 3 8 2 3" xfId="46971"/>
    <cellStyle name="Note 3 8 2 3 2" xfId="46972"/>
    <cellStyle name="Note 3 8 2 4" xfId="46973"/>
    <cellStyle name="Note 3 8 2 5" xfId="46974"/>
    <cellStyle name="Note 3 8 3" xfId="46975"/>
    <cellStyle name="Note 3 8 3 2" xfId="46976"/>
    <cellStyle name="Note 3 8 3 2 2" xfId="46977"/>
    <cellStyle name="Note 3 8 3 3" xfId="46978"/>
    <cellStyle name="Note 3 8 3 4" xfId="46979"/>
    <cellStyle name="Note 3 8 4" xfId="46980"/>
    <cellStyle name="Note 3 8 4 2" xfId="46981"/>
    <cellStyle name="Note 3 8 4 2 2" xfId="46982"/>
    <cellStyle name="Note 3 8 4 3" xfId="46983"/>
    <cellStyle name="Note 3 8 4 4" xfId="46984"/>
    <cellStyle name="Note 3 8 5" xfId="46985"/>
    <cellStyle name="Note 3 8 5 2" xfId="46986"/>
    <cellStyle name="Note 3 8 6" xfId="46987"/>
    <cellStyle name="Note 3 8 7" xfId="46988"/>
    <cellStyle name="Note 3 8 8" xfId="46989"/>
    <cellStyle name="Note 3 9" xfId="46990"/>
    <cellStyle name="Note 3 9 2" xfId="46991"/>
    <cellStyle name="Note 3 9 2 2" xfId="46992"/>
    <cellStyle name="Note 3 9 2 2 2" xfId="46993"/>
    <cellStyle name="Note 3 9 2 2 3" xfId="46994"/>
    <cellStyle name="Note 3 9 2 3" xfId="46995"/>
    <cellStyle name="Note 3 9 2 3 2" xfId="46996"/>
    <cellStyle name="Note 3 9 2 4" xfId="46997"/>
    <cellStyle name="Note 3 9 2 5" xfId="46998"/>
    <cellStyle name="Note 3 9 3" xfId="46999"/>
    <cellStyle name="Note 3 9 3 2" xfId="47000"/>
    <cellStyle name="Note 3 9 3 2 2" xfId="47001"/>
    <cellStyle name="Note 3 9 3 3" xfId="47002"/>
    <cellStyle name="Note 3 9 3 4" xfId="47003"/>
    <cellStyle name="Note 3 9 4" xfId="47004"/>
    <cellStyle name="Note 3 9 4 2" xfId="47005"/>
    <cellStyle name="Note 3 9 4 2 2" xfId="47006"/>
    <cellStyle name="Note 3 9 4 3" xfId="47007"/>
    <cellStyle name="Note 3 9 4 4" xfId="47008"/>
    <cellStyle name="Note 3 9 5" xfId="47009"/>
    <cellStyle name="Note 3 9 5 2" xfId="47010"/>
    <cellStyle name="Note 3 9 6" xfId="47011"/>
    <cellStyle name="Note 3 9 7" xfId="47012"/>
    <cellStyle name="Note 3 9 8" xfId="47013"/>
    <cellStyle name="Note 3_BHP 4Q 2010 Ops Review Senior Managment " xfId="20"/>
    <cellStyle name="Note 4" xfId="47014"/>
    <cellStyle name="Note 4 10" xfId="47015"/>
    <cellStyle name="Note 4 10 2" xfId="47016"/>
    <cellStyle name="Note 4 10 2 2" xfId="47017"/>
    <cellStyle name="Note 4 10 2 2 2" xfId="47018"/>
    <cellStyle name="Note 4 10 2 2 3" xfId="47019"/>
    <cellStyle name="Note 4 10 2 3" xfId="47020"/>
    <cellStyle name="Note 4 10 2 3 2" xfId="47021"/>
    <cellStyle name="Note 4 10 2 4" xfId="47022"/>
    <cellStyle name="Note 4 10 2 5" xfId="47023"/>
    <cellStyle name="Note 4 10 3" xfId="47024"/>
    <cellStyle name="Note 4 10 3 2" xfId="47025"/>
    <cellStyle name="Note 4 10 3 2 2" xfId="47026"/>
    <cellStyle name="Note 4 10 3 3" xfId="47027"/>
    <cellStyle name="Note 4 10 3 4" xfId="47028"/>
    <cellStyle name="Note 4 10 4" xfId="47029"/>
    <cellStyle name="Note 4 10 4 2" xfId="47030"/>
    <cellStyle name="Note 4 10 4 2 2" xfId="47031"/>
    <cellStyle name="Note 4 10 4 3" xfId="47032"/>
    <cellStyle name="Note 4 10 4 4" xfId="47033"/>
    <cellStyle name="Note 4 10 5" xfId="47034"/>
    <cellStyle name="Note 4 10 5 2" xfId="47035"/>
    <cellStyle name="Note 4 10 6" xfId="47036"/>
    <cellStyle name="Note 4 10 7" xfId="47037"/>
    <cellStyle name="Note 4 10 8" xfId="47038"/>
    <cellStyle name="Note 4 11" xfId="47039"/>
    <cellStyle name="Note 4 11 2" xfId="47040"/>
    <cellStyle name="Note 4 11 2 2" xfId="47041"/>
    <cellStyle name="Note 4 11 2 2 2" xfId="47042"/>
    <cellStyle name="Note 4 11 2 2 3" xfId="47043"/>
    <cellStyle name="Note 4 11 2 3" xfId="47044"/>
    <cellStyle name="Note 4 11 2 3 2" xfId="47045"/>
    <cellStyle name="Note 4 11 2 4" xfId="47046"/>
    <cellStyle name="Note 4 11 2 5" xfId="47047"/>
    <cellStyle name="Note 4 11 3" xfId="47048"/>
    <cellStyle name="Note 4 11 3 2" xfId="47049"/>
    <cellStyle name="Note 4 11 3 2 2" xfId="47050"/>
    <cellStyle name="Note 4 11 3 3" xfId="47051"/>
    <cellStyle name="Note 4 11 3 4" xfId="47052"/>
    <cellStyle name="Note 4 11 4" xfId="47053"/>
    <cellStyle name="Note 4 11 4 2" xfId="47054"/>
    <cellStyle name="Note 4 11 4 2 2" xfId="47055"/>
    <cellStyle name="Note 4 11 4 3" xfId="47056"/>
    <cellStyle name="Note 4 11 4 4" xfId="47057"/>
    <cellStyle name="Note 4 11 5" xfId="47058"/>
    <cellStyle name="Note 4 11 5 2" xfId="47059"/>
    <cellStyle name="Note 4 11 6" xfId="47060"/>
    <cellStyle name="Note 4 11 7" xfId="47061"/>
    <cellStyle name="Note 4 11 8" xfId="47062"/>
    <cellStyle name="Note 4 12" xfId="47063"/>
    <cellStyle name="Note 4 12 2" xfId="47064"/>
    <cellStyle name="Note 4 12 2 2" xfId="47065"/>
    <cellStyle name="Note 4 12 2 2 2" xfId="47066"/>
    <cellStyle name="Note 4 12 2 2 3" xfId="47067"/>
    <cellStyle name="Note 4 12 2 3" xfId="47068"/>
    <cellStyle name="Note 4 12 2 3 2" xfId="47069"/>
    <cellStyle name="Note 4 12 2 4" xfId="47070"/>
    <cellStyle name="Note 4 12 2 5" xfId="47071"/>
    <cellStyle name="Note 4 12 3" xfId="47072"/>
    <cellStyle name="Note 4 12 3 2" xfId="47073"/>
    <cellStyle name="Note 4 12 3 2 2" xfId="47074"/>
    <cellStyle name="Note 4 12 3 3" xfId="47075"/>
    <cellStyle name="Note 4 12 3 4" xfId="47076"/>
    <cellStyle name="Note 4 12 4" xfId="47077"/>
    <cellStyle name="Note 4 12 4 2" xfId="47078"/>
    <cellStyle name="Note 4 12 4 2 2" xfId="47079"/>
    <cellStyle name="Note 4 12 4 3" xfId="47080"/>
    <cellStyle name="Note 4 12 4 4" xfId="47081"/>
    <cellStyle name="Note 4 12 5" xfId="47082"/>
    <cellStyle name="Note 4 12 5 2" xfId="47083"/>
    <cellStyle name="Note 4 12 6" xfId="47084"/>
    <cellStyle name="Note 4 12 7" xfId="47085"/>
    <cellStyle name="Note 4 12 8" xfId="47086"/>
    <cellStyle name="Note 4 2" xfId="47087"/>
    <cellStyle name="Note 4 2 10" xfId="47088"/>
    <cellStyle name="Note 4 2 2" xfId="47089"/>
    <cellStyle name="Note 4 2 2 2" xfId="47090"/>
    <cellStyle name="Note 4 2 2 2 2" xfId="47091"/>
    <cellStyle name="Note 4 2 2 2 3" xfId="47092"/>
    <cellStyle name="Note 4 2 2 3" xfId="47093"/>
    <cellStyle name="Note 4 2 2 3 2" xfId="47094"/>
    <cellStyle name="Note 4 2 2 3 3" xfId="47095"/>
    <cellStyle name="Note 4 2 2 4" xfId="47096"/>
    <cellStyle name="Note 4 2 2 4 2" xfId="47097"/>
    <cellStyle name="Note 4 2 2 4 3" xfId="47098"/>
    <cellStyle name="Note 4 2 2 5" xfId="47099"/>
    <cellStyle name="Note 4 2 2 5 2" xfId="47100"/>
    <cellStyle name="Note 4 2 2 5 3" xfId="47101"/>
    <cellStyle name="Note 4 2 2 6" xfId="47102"/>
    <cellStyle name="Note 4 2 2 7" xfId="47103"/>
    <cellStyle name="Note 4 2 3" xfId="47104"/>
    <cellStyle name="Note 4 2 3 2" xfId="47105"/>
    <cellStyle name="Note 4 2 3 2 2" xfId="47106"/>
    <cellStyle name="Note 4 2 3 3" xfId="47107"/>
    <cellStyle name="Note 4 2 4" xfId="47108"/>
    <cellStyle name="Note 4 2 4 2" xfId="47109"/>
    <cellStyle name="Note 4 2 4 2 2" xfId="47110"/>
    <cellStyle name="Note 4 2 4 3" xfId="47111"/>
    <cellStyle name="Note 4 2 5" xfId="47112"/>
    <cellStyle name="Note 4 2 5 2" xfId="47113"/>
    <cellStyle name="Note 4 2 5 2 2" xfId="47114"/>
    <cellStyle name="Note 4 2 5 3" xfId="47115"/>
    <cellStyle name="Note 4 2 6" xfId="47116"/>
    <cellStyle name="Note 4 2 6 2" xfId="47117"/>
    <cellStyle name="Note 4 2 6 2 2" xfId="47118"/>
    <cellStyle name="Note 4 2 6 3" xfId="47119"/>
    <cellStyle name="Note 4 2 7" xfId="47120"/>
    <cellStyle name="Note 4 2 7 2" xfId="47121"/>
    <cellStyle name="Note 4 2 7 3" xfId="47122"/>
    <cellStyle name="Note 4 2 8" xfId="47123"/>
    <cellStyle name="Note 4 2 8 2" xfId="47124"/>
    <cellStyle name="Note 4 2 8 3" xfId="47125"/>
    <cellStyle name="Note 4 2 9" xfId="47126"/>
    <cellStyle name="Note 4 2 9 2" xfId="47127"/>
    <cellStyle name="Note 4 2_CLFP Executive Summary - 2009 December" xfId="47128"/>
    <cellStyle name="Note 4 3" xfId="47129"/>
    <cellStyle name="Note 4 3 2" xfId="47130"/>
    <cellStyle name="Note 4 3 2 2" xfId="47131"/>
    <cellStyle name="Note 4 3 3" xfId="47132"/>
    <cellStyle name="Note 4 4" xfId="47133"/>
    <cellStyle name="Note 4 4 2" xfId="47134"/>
    <cellStyle name="Note 4 4 3" xfId="47135"/>
    <cellStyle name="Note 4 5" xfId="47136"/>
    <cellStyle name="Note 4 5 2" xfId="47137"/>
    <cellStyle name="Note 4 6" xfId="47138"/>
    <cellStyle name="Note 4 6 2" xfId="47139"/>
    <cellStyle name="Note 4 6 3" xfId="47140"/>
    <cellStyle name="Note 4 7" xfId="47141"/>
    <cellStyle name="Note 4 7 2" xfId="47142"/>
    <cellStyle name="Note 4 7 2 2" xfId="47143"/>
    <cellStyle name="Note 4 7 2 2 2" xfId="47144"/>
    <cellStyle name="Note 4 7 2 2 3" xfId="47145"/>
    <cellStyle name="Note 4 7 2 3" xfId="47146"/>
    <cellStyle name="Note 4 7 2 3 2" xfId="47147"/>
    <cellStyle name="Note 4 7 2 4" xfId="47148"/>
    <cellStyle name="Note 4 7 2 5" xfId="47149"/>
    <cellStyle name="Note 4 7 3" xfId="47150"/>
    <cellStyle name="Note 4 7 3 2" xfId="47151"/>
    <cellStyle name="Note 4 7 3 2 2" xfId="47152"/>
    <cellStyle name="Note 4 7 3 3" xfId="47153"/>
    <cellStyle name="Note 4 7 3 4" xfId="47154"/>
    <cellStyle name="Note 4 7 4" xfId="47155"/>
    <cellStyle name="Note 4 7 4 2" xfId="47156"/>
    <cellStyle name="Note 4 7 4 2 2" xfId="47157"/>
    <cellStyle name="Note 4 7 4 3" xfId="47158"/>
    <cellStyle name="Note 4 7 4 4" xfId="47159"/>
    <cellStyle name="Note 4 7 5" xfId="47160"/>
    <cellStyle name="Note 4 7 5 2" xfId="47161"/>
    <cellStyle name="Note 4 7 6" xfId="47162"/>
    <cellStyle name="Note 4 7 7" xfId="47163"/>
    <cellStyle name="Note 4 7 8" xfId="47164"/>
    <cellStyle name="Note 4 8" xfId="47165"/>
    <cellStyle name="Note 4 8 2" xfId="47166"/>
    <cellStyle name="Note 4 8 2 2" xfId="47167"/>
    <cellStyle name="Note 4 8 2 2 2" xfId="47168"/>
    <cellStyle name="Note 4 8 2 2 3" xfId="47169"/>
    <cellStyle name="Note 4 8 2 3" xfId="47170"/>
    <cellStyle name="Note 4 8 2 3 2" xfId="47171"/>
    <cellStyle name="Note 4 8 2 4" xfId="47172"/>
    <cellStyle name="Note 4 8 2 5" xfId="47173"/>
    <cellStyle name="Note 4 8 3" xfId="47174"/>
    <cellStyle name="Note 4 8 3 2" xfId="47175"/>
    <cellStyle name="Note 4 8 3 2 2" xfId="47176"/>
    <cellStyle name="Note 4 8 3 3" xfId="47177"/>
    <cellStyle name="Note 4 8 3 4" xfId="47178"/>
    <cellStyle name="Note 4 8 4" xfId="47179"/>
    <cellStyle name="Note 4 8 4 2" xfId="47180"/>
    <cellStyle name="Note 4 8 4 2 2" xfId="47181"/>
    <cellStyle name="Note 4 8 4 3" xfId="47182"/>
    <cellStyle name="Note 4 8 4 4" xfId="47183"/>
    <cellStyle name="Note 4 8 5" xfId="47184"/>
    <cellStyle name="Note 4 8 5 2" xfId="47185"/>
    <cellStyle name="Note 4 8 6" xfId="47186"/>
    <cellStyle name="Note 4 8 7" xfId="47187"/>
    <cellStyle name="Note 4 8 8" xfId="47188"/>
    <cellStyle name="Note 4 9" xfId="47189"/>
    <cellStyle name="Note 4 9 2" xfId="47190"/>
    <cellStyle name="Note 4 9 2 2" xfId="47191"/>
    <cellStyle name="Note 4 9 2 2 2" xfId="47192"/>
    <cellStyle name="Note 4 9 2 2 3" xfId="47193"/>
    <cellStyle name="Note 4 9 2 3" xfId="47194"/>
    <cellStyle name="Note 4 9 2 3 2" xfId="47195"/>
    <cellStyle name="Note 4 9 2 4" xfId="47196"/>
    <cellStyle name="Note 4 9 2 5" xfId="47197"/>
    <cellStyle name="Note 4 9 3" xfId="47198"/>
    <cellStyle name="Note 4 9 3 2" xfId="47199"/>
    <cellStyle name="Note 4 9 3 2 2" xfId="47200"/>
    <cellStyle name="Note 4 9 3 3" xfId="47201"/>
    <cellStyle name="Note 4 9 3 4" xfId="47202"/>
    <cellStyle name="Note 4 9 4" xfId="47203"/>
    <cellStyle name="Note 4 9 4 2" xfId="47204"/>
    <cellStyle name="Note 4 9 4 2 2" xfId="47205"/>
    <cellStyle name="Note 4 9 4 3" xfId="47206"/>
    <cellStyle name="Note 4 9 4 4" xfId="47207"/>
    <cellStyle name="Note 4 9 5" xfId="47208"/>
    <cellStyle name="Note 4 9 5 2" xfId="47209"/>
    <cellStyle name="Note 4 9 6" xfId="47210"/>
    <cellStyle name="Note 4 9 7" xfId="47211"/>
    <cellStyle name="Note 4 9 8" xfId="47212"/>
    <cellStyle name="Note 4_BHP 4Q 2010 Ops Review Senior Managment " xfId="21"/>
    <cellStyle name="Note 5" xfId="47213"/>
    <cellStyle name="Note 5 2" xfId="47214"/>
    <cellStyle name="Note 5 2 10" xfId="47215"/>
    <cellStyle name="Note 5 2 2" xfId="47216"/>
    <cellStyle name="Note 5 2 2 2" xfId="47217"/>
    <cellStyle name="Note 5 2 2 2 2" xfId="47218"/>
    <cellStyle name="Note 5 2 2 3" xfId="47219"/>
    <cellStyle name="Note 5 2 3" xfId="47220"/>
    <cellStyle name="Note 5 2 3 2" xfId="47221"/>
    <cellStyle name="Note 5 2 3 2 2" xfId="47222"/>
    <cellStyle name="Note 5 2 3 3" xfId="47223"/>
    <cellStyle name="Note 5 2 4" xfId="47224"/>
    <cellStyle name="Note 5 2 4 2" xfId="47225"/>
    <cellStyle name="Note 5 2 4 2 2" xfId="47226"/>
    <cellStyle name="Note 5 2 4 3" xfId="47227"/>
    <cellStyle name="Note 5 2 5" xfId="47228"/>
    <cellStyle name="Note 5 2 5 2" xfId="47229"/>
    <cellStyle name="Note 5 2 5 2 2" xfId="47230"/>
    <cellStyle name="Note 5 2 5 3" xfId="47231"/>
    <cellStyle name="Note 5 2 6" xfId="47232"/>
    <cellStyle name="Note 5 2 6 2" xfId="47233"/>
    <cellStyle name="Note 5 2 6 2 2" xfId="47234"/>
    <cellStyle name="Note 5 2 6 3" xfId="47235"/>
    <cellStyle name="Note 5 2 7" xfId="47236"/>
    <cellStyle name="Note 5 2 7 2" xfId="47237"/>
    <cellStyle name="Note 5 2 7 3" xfId="47238"/>
    <cellStyle name="Note 5 2 8" xfId="47239"/>
    <cellStyle name="Note 5 2 8 2" xfId="47240"/>
    <cellStyle name="Note 5 2 8 3" xfId="47241"/>
    <cellStyle name="Note 5 2 9" xfId="47242"/>
    <cellStyle name="Note 5 2 9 2" xfId="47243"/>
    <cellStyle name="Note 5 2_CLFP Executive Summary - 2009 December" xfId="47244"/>
    <cellStyle name="Note 5 3" xfId="47245"/>
    <cellStyle name="Note 5 3 2" xfId="47246"/>
    <cellStyle name="Note 5 3 2 2" xfId="47247"/>
    <cellStyle name="Note 5 3 3" xfId="47248"/>
    <cellStyle name="Note 5 4" xfId="47249"/>
    <cellStyle name="Note 5 4 2" xfId="47250"/>
    <cellStyle name="Note 5 4 3" xfId="47251"/>
    <cellStyle name="Note 5 5" xfId="47252"/>
    <cellStyle name="Note 5 5 2" xfId="47253"/>
    <cellStyle name="Note 5 6" xfId="47254"/>
    <cellStyle name="Note 5 7" xfId="47255"/>
    <cellStyle name="Note 5 7 2" xfId="47256"/>
    <cellStyle name="Note 5 7 2 2" xfId="47257"/>
    <cellStyle name="Note 5 7 2 2 2" xfId="47258"/>
    <cellStyle name="Note 5 7 2 2 3" xfId="47259"/>
    <cellStyle name="Note 5 7 2 3" xfId="47260"/>
    <cellStyle name="Note 5 7 2 3 2" xfId="47261"/>
    <cellStyle name="Note 5 7 2 4" xfId="47262"/>
    <cellStyle name="Note 5 7 2 5" xfId="47263"/>
    <cellStyle name="Note 5 7 3" xfId="47264"/>
    <cellStyle name="Note 5 7 3 2" xfId="47265"/>
    <cellStyle name="Note 5 7 3 2 2" xfId="47266"/>
    <cellStyle name="Note 5 7 3 3" xfId="47267"/>
    <cellStyle name="Note 5 7 3 4" xfId="47268"/>
    <cellStyle name="Note 5 7 4" xfId="47269"/>
    <cellStyle name="Note 5 7 4 2" xfId="47270"/>
    <cellStyle name="Note 5 7 4 2 2" xfId="47271"/>
    <cellStyle name="Note 5 7 4 3" xfId="47272"/>
    <cellStyle name="Note 5 7 4 4" xfId="47273"/>
    <cellStyle name="Note 5 7 5" xfId="47274"/>
    <cellStyle name="Note 5 7 5 2" xfId="47275"/>
    <cellStyle name="Note 5 7 6" xfId="47276"/>
    <cellStyle name="Note 5 7 7" xfId="47277"/>
    <cellStyle name="Note 5 7 8" xfId="47278"/>
    <cellStyle name="Note 5 8" xfId="47279"/>
    <cellStyle name="Note 5 8 2" xfId="47280"/>
    <cellStyle name="Note 5 8 2 2" xfId="47281"/>
    <cellStyle name="Note 5 8 2 2 2" xfId="47282"/>
    <cellStyle name="Note 5 8 2 2 3" xfId="47283"/>
    <cellStyle name="Note 5 8 2 3" xfId="47284"/>
    <cellStyle name="Note 5 8 2 3 2" xfId="47285"/>
    <cellStyle name="Note 5 8 2 4" xfId="47286"/>
    <cellStyle name="Note 5 8 2 5" xfId="47287"/>
    <cellStyle name="Note 5 8 3" xfId="47288"/>
    <cellStyle name="Note 5 8 3 2" xfId="47289"/>
    <cellStyle name="Note 5 8 3 2 2" xfId="47290"/>
    <cellStyle name="Note 5 8 3 3" xfId="47291"/>
    <cellStyle name="Note 5 8 3 4" xfId="47292"/>
    <cellStyle name="Note 5 8 4" xfId="47293"/>
    <cellStyle name="Note 5 8 4 2" xfId="47294"/>
    <cellStyle name="Note 5 8 4 2 2" xfId="47295"/>
    <cellStyle name="Note 5 8 4 3" xfId="47296"/>
    <cellStyle name="Note 5 8 4 4" xfId="47297"/>
    <cellStyle name="Note 5 8 5" xfId="47298"/>
    <cellStyle name="Note 5 8 5 2" xfId="47299"/>
    <cellStyle name="Note 5 8 6" xfId="47300"/>
    <cellStyle name="Note 5 8 7" xfId="47301"/>
    <cellStyle name="Note 5 8 8" xfId="47302"/>
    <cellStyle name="Note 5_1-10 BHU IS" xfId="47303"/>
    <cellStyle name="Note 6" xfId="47304"/>
    <cellStyle name="Note 6 2" xfId="47305"/>
    <cellStyle name="Note 6 2 2" xfId="47306"/>
    <cellStyle name="Note 6 2 2 2" xfId="47307"/>
    <cellStyle name="Note 6 2 3" xfId="47308"/>
    <cellStyle name="Note 6 3" xfId="47309"/>
    <cellStyle name="Note 6 3 2" xfId="47310"/>
    <cellStyle name="Note 6 4" xfId="47311"/>
    <cellStyle name="Note 6 4 2" xfId="47312"/>
    <cellStyle name="Note 6 5" xfId="47313"/>
    <cellStyle name="Note 7" xfId="47314"/>
    <cellStyle name="Note 7 2" xfId="47315"/>
    <cellStyle name="Note 7 2 2" xfId="47316"/>
    <cellStyle name="Note 7 2 3" xfId="47317"/>
    <cellStyle name="Note 7 3" xfId="47318"/>
    <cellStyle name="Note 7 3 2" xfId="47319"/>
    <cellStyle name="Note 7 4" xfId="47320"/>
    <cellStyle name="Note 8" xfId="47321"/>
    <cellStyle name="Note 8 2" xfId="47322"/>
    <cellStyle name="Note 8 2 2" xfId="47323"/>
    <cellStyle name="Note 8 2 3" xfId="47324"/>
    <cellStyle name="Note 8 3" xfId="47325"/>
    <cellStyle name="Note 8 3 2" xfId="47326"/>
    <cellStyle name="Note 8 4" xfId="47327"/>
    <cellStyle name="Note 9" xfId="47328"/>
    <cellStyle name="Note 9 2" xfId="47329"/>
    <cellStyle name="Note 9 2 2" xfId="47330"/>
    <cellStyle name="Note 9 2 3" xfId="47331"/>
    <cellStyle name="Note 9 3" xfId="47332"/>
    <cellStyle name="Note 9 3 2" xfId="47333"/>
    <cellStyle name="Note 9 4" xfId="47334"/>
    <cellStyle name="Number_A" xfId="47335"/>
    <cellStyle name="numbtext" xfId="47336"/>
    <cellStyle name="NumColmHd" xfId="47337"/>
    <cellStyle name="Output 10" xfId="47338"/>
    <cellStyle name="Output 10 2" xfId="47339"/>
    <cellStyle name="Output 10 2 2" xfId="47340"/>
    <cellStyle name="Output 10 2 3" xfId="47341"/>
    <cellStyle name="Output 10 3" xfId="47342"/>
    <cellStyle name="Output 10 3 2" xfId="47343"/>
    <cellStyle name="Output 10 4" xfId="47344"/>
    <cellStyle name="Output 11" xfId="47345"/>
    <cellStyle name="Output 11 2" xfId="47346"/>
    <cellStyle name="Output 11 2 2" xfId="47347"/>
    <cellStyle name="Output 11 2 3" xfId="47348"/>
    <cellStyle name="Output 11 3" xfId="47349"/>
    <cellStyle name="Output 11 3 2" xfId="47350"/>
    <cellStyle name="Output 11 4" xfId="47351"/>
    <cellStyle name="Output 12" xfId="47352"/>
    <cellStyle name="Output 12 2" xfId="47353"/>
    <cellStyle name="Output 12 2 2" xfId="47354"/>
    <cellStyle name="Output 12 3" xfId="47355"/>
    <cellStyle name="Output 13" xfId="47356"/>
    <cellStyle name="Output 13 2" xfId="47357"/>
    <cellStyle name="Output 13 2 2" xfId="47358"/>
    <cellStyle name="Output 13 3" xfId="47359"/>
    <cellStyle name="Output 14" xfId="47360"/>
    <cellStyle name="Output 14 2" xfId="47361"/>
    <cellStyle name="Output 14 2 2" xfId="47362"/>
    <cellStyle name="Output 14 3" xfId="47363"/>
    <cellStyle name="Output 15" xfId="47364"/>
    <cellStyle name="Output 15 2" xfId="47365"/>
    <cellStyle name="Output 15 2 2" xfId="47366"/>
    <cellStyle name="Output 15 3" xfId="47367"/>
    <cellStyle name="Output 16" xfId="47368"/>
    <cellStyle name="Output 16 2" xfId="47369"/>
    <cellStyle name="Output 16 3" xfId="47370"/>
    <cellStyle name="Output 17" xfId="47371"/>
    <cellStyle name="Output 18" xfId="47372"/>
    <cellStyle name="Output 2" xfId="47373"/>
    <cellStyle name="Output 2 10" xfId="47374"/>
    <cellStyle name="Output 2 10 2" xfId="47375"/>
    <cellStyle name="Output 2 10 3" xfId="47376"/>
    <cellStyle name="Output 2 11" xfId="47377"/>
    <cellStyle name="Output 2 11 2" xfId="47378"/>
    <cellStyle name="Output 2 11 3" xfId="47379"/>
    <cellStyle name="Output 2 12" xfId="47380"/>
    <cellStyle name="Output 2 12 2" xfId="47381"/>
    <cellStyle name="Output 2 12 3" xfId="47382"/>
    <cellStyle name="Output 2 13" xfId="47383"/>
    <cellStyle name="Output 2 13 2" xfId="47384"/>
    <cellStyle name="Output 2 14" xfId="47385"/>
    <cellStyle name="Output 2 14 2" xfId="47386"/>
    <cellStyle name="Output 2 15" xfId="47387"/>
    <cellStyle name="Output 2 16" xfId="47388"/>
    <cellStyle name="Output 2 17" xfId="47389"/>
    <cellStyle name="Output 2 2" xfId="47390"/>
    <cellStyle name="Output 2 2 10" xfId="47391"/>
    <cellStyle name="Output 2 2 10 2" xfId="47392"/>
    <cellStyle name="Output 2 2 10 3" xfId="47393"/>
    <cellStyle name="Output 2 2 11" xfId="47394"/>
    <cellStyle name="Output 2 2 11 2" xfId="47395"/>
    <cellStyle name="Output 2 2 12" xfId="47396"/>
    <cellStyle name="Output 2 2 13" xfId="47397"/>
    <cellStyle name="Output 2 2 2" xfId="47398"/>
    <cellStyle name="Output 2 2 2 10" xfId="47399"/>
    <cellStyle name="Output 2 2 2 10 2" xfId="47400"/>
    <cellStyle name="Output 2 2 2 10 3" xfId="47401"/>
    <cellStyle name="Output 2 2 2 11" xfId="47402"/>
    <cellStyle name="Output 2 2 2 12" xfId="47403"/>
    <cellStyle name="Output 2 2 2 13" xfId="47404"/>
    <cellStyle name="Output 2 2 2 2" xfId="47405"/>
    <cellStyle name="Output 2 2 2 2 2" xfId="47406"/>
    <cellStyle name="Output 2 2 2 2 2 2" xfId="47407"/>
    <cellStyle name="Output 2 2 2 2 2 3" xfId="47408"/>
    <cellStyle name="Output 2 2 2 2 3" xfId="47409"/>
    <cellStyle name="Output 2 2 2 2 4" xfId="47410"/>
    <cellStyle name="Output 2 2 2 3" xfId="47411"/>
    <cellStyle name="Output 2 2 2 3 2" xfId="47412"/>
    <cellStyle name="Output 2 2 2 3 3" xfId="47413"/>
    <cellStyle name="Output 2 2 2 4" xfId="47414"/>
    <cellStyle name="Output 2 2 2 4 2" xfId="47415"/>
    <cellStyle name="Output 2 2 2 4 3" xfId="47416"/>
    <cellStyle name="Output 2 2 2 5" xfId="47417"/>
    <cellStyle name="Output 2 2 2 5 2" xfId="47418"/>
    <cellStyle name="Output 2 2 2 5 3" xfId="47419"/>
    <cellStyle name="Output 2 2 2 6" xfId="47420"/>
    <cellStyle name="Output 2 2 2 6 2" xfId="47421"/>
    <cellStyle name="Output 2 2 2 6 3" xfId="47422"/>
    <cellStyle name="Output 2 2 2 7" xfId="47423"/>
    <cellStyle name="Output 2 2 2 7 2" xfId="47424"/>
    <cellStyle name="Output 2 2 2 7 3" xfId="47425"/>
    <cellStyle name="Output 2 2 2 8" xfId="47426"/>
    <cellStyle name="Output 2 2 2 8 2" xfId="47427"/>
    <cellStyle name="Output 2 2 2 8 3" xfId="47428"/>
    <cellStyle name="Output 2 2 2 9" xfId="47429"/>
    <cellStyle name="Output 2 2 2 9 2" xfId="47430"/>
    <cellStyle name="Output 2 2 2 9 3" xfId="47431"/>
    <cellStyle name="Output 2 2 2_BHP 4Q 2010 Ops Review Senior Managment " xfId="22"/>
    <cellStyle name="Output 2 2 3" xfId="47432"/>
    <cellStyle name="Output 2 2 3 2" xfId="47433"/>
    <cellStyle name="Output 2 2 3 3" xfId="47434"/>
    <cellStyle name="Output 2 2 4" xfId="47435"/>
    <cellStyle name="Output 2 2 4 2" xfId="47436"/>
    <cellStyle name="Output 2 2 4 3" xfId="47437"/>
    <cellStyle name="Output 2 2 5" xfId="47438"/>
    <cellStyle name="Output 2 2 5 2" xfId="47439"/>
    <cellStyle name="Output 2 2 5 3" xfId="47440"/>
    <cellStyle name="Output 2 2 6" xfId="47441"/>
    <cellStyle name="Output 2 2 6 2" xfId="47442"/>
    <cellStyle name="Output 2 2 6 3" xfId="47443"/>
    <cellStyle name="Output 2 2 7" xfId="47444"/>
    <cellStyle name="Output 2 2 7 2" xfId="47445"/>
    <cellStyle name="Output 2 2 7 3" xfId="47446"/>
    <cellStyle name="Output 2 2 8" xfId="47447"/>
    <cellStyle name="Output 2 2 8 2" xfId="47448"/>
    <cellStyle name="Output 2 2 8 3" xfId="47449"/>
    <cellStyle name="Output 2 2 9" xfId="47450"/>
    <cellStyle name="Output 2 2 9 2" xfId="47451"/>
    <cellStyle name="Output 2 2 9 3" xfId="47452"/>
    <cellStyle name="Output 2 2_BHP 4Q 2010 Ops Review Senior Managment " xfId="23"/>
    <cellStyle name="Output 2 3" xfId="47453"/>
    <cellStyle name="Output 2 3 2" xfId="47454"/>
    <cellStyle name="Output 2 3 2 2" xfId="47455"/>
    <cellStyle name="Output 2 3 2 2 2" xfId="47456"/>
    <cellStyle name="Output 2 3 2 2 3" xfId="47457"/>
    <cellStyle name="Output 2 3 2 3" xfId="47458"/>
    <cellStyle name="Output 2 3 2 4" xfId="47459"/>
    <cellStyle name="Output 2 3 3" xfId="47460"/>
    <cellStyle name="Output 2 3 3 2" xfId="47461"/>
    <cellStyle name="Output 2 3 3 3" xfId="47462"/>
    <cellStyle name="Output 2 3 4" xfId="47463"/>
    <cellStyle name="Output 2 3 4 2" xfId="47464"/>
    <cellStyle name="Output 2 3 4 3" xfId="47465"/>
    <cellStyle name="Output 2 3 5" xfId="47466"/>
    <cellStyle name="Output 2 3 5 2" xfId="47467"/>
    <cellStyle name="Output 2 3 5 3" xfId="47468"/>
    <cellStyle name="Output 2 3 6" xfId="47469"/>
    <cellStyle name="Output 2 3 6 2" xfId="47470"/>
    <cellStyle name="Output 2 3 6 3" xfId="47471"/>
    <cellStyle name="Output 2 3 7" xfId="47472"/>
    <cellStyle name="Output 2 3 7 2" xfId="47473"/>
    <cellStyle name="Output 2 3 7 3" xfId="47474"/>
    <cellStyle name="Output 2 3 8" xfId="47475"/>
    <cellStyle name="Output 2 3 9" xfId="47476"/>
    <cellStyle name="Output 2 4" xfId="47477"/>
    <cellStyle name="Output 2 4 2" xfId="47478"/>
    <cellStyle name="Output 2 4 2 2" xfId="47479"/>
    <cellStyle name="Output 2 4 3" xfId="47480"/>
    <cellStyle name="Output 2 5" xfId="47481"/>
    <cellStyle name="Output 2 5 2" xfId="47482"/>
    <cellStyle name="Output 2 5 2 2" xfId="47483"/>
    <cellStyle name="Output 2 5 3" xfId="47484"/>
    <cellStyle name="Output 2 6" xfId="47485"/>
    <cellStyle name="Output 2 6 2" xfId="47486"/>
    <cellStyle name="Output 2 6 2 2" xfId="47487"/>
    <cellStyle name="Output 2 6 3" xfId="47488"/>
    <cellStyle name="Output 2 7" xfId="47489"/>
    <cellStyle name="Output 2 7 2" xfId="47490"/>
    <cellStyle name="Output 2 7 2 2" xfId="47491"/>
    <cellStyle name="Output 2 7 3" xfId="47492"/>
    <cellStyle name="Output 2 8" xfId="47493"/>
    <cellStyle name="Output 2 8 2" xfId="47494"/>
    <cellStyle name="Output 2 8 3" xfId="47495"/>
    <cellStyle name="Output 2 9" xfId="47496"/>
    <cellStyle name="Output 2 9 2" xfId="47497"/>
    <cellStyle name="Output 2 9 3" xfId="47498"/>
    <cellStyle name="Output 2_1-10 BHU IS" xfId="47499"/>
    <cellStyle name="Output 3" xfId="47500"/>
    <cellStyle name="Output 3 2" xfId="47501"/>
    <cellStyle name="Output 3 2 2" xfId="47502"/>
    <cellStyle name="Output 3 2 2 2" xfId="47503"/>
    <cellStyle name="Output 3 2 2 2 2" xfId="47504"/>
    <cellStyle name="Output 3 2 2 2 3" xfId="47505"/>
    <cellStyle name="Output 3 2 2 3" xfId="47506"/>
    <cellStyle name="Output 3 2 2 4" xfId="47507"/>
    <cellStyle name="Output 3 2 3" xfId="47508"/>
    <cellStyle name="Output 3 2 3 2" xfId="47509"/>
    <cellStyle name="Output 3 2 3 3" xfId="47510"/>
    <cellStyle name="Output 3 2 4" xfId="47511"/>
    <cellStyle name="Output 3 2 4 2" xfId="47512"/>
    <cellStyle name="Output 3 2 4 3" xfId="47513"/>
    <cellStyle name="Output 3 2 5" xfId="47514"/>
    <cellStyle name="Output 3 2 5 2" xfId="47515"/>
    <cellStyle name="Output 3 2 5 3" xfId="47516"/>
    <cellStyle name="Output 3 2 6" xfId="47517"/>
    <cellStyle name="Output 3 2 6 2" xfId="47518"/>
    <cellStyle name="Output 3 2 6 3" xfId="47519"/>
    <cellStyle name="Output 3 2 7" xfId="47520"/>
    <cellStyle name="Output 3 2 7 2" xfId="47521"/>
    <cellStyle name="Output 3 2 7 3" xfId="47522"/>
    <cellStyle name="Output 3 2 8" xfId="47523"/>
    <cellStyle name="Output 3 2 9" xfId="47524"/>
    <cellStyle name="Output 3 2_Dakota Panel" xfId="47525"/>
    <cellStyle name="Output 3 3" xfId="47526"/>
    <cellStyle name="Output 3 3 2" xfId="47527"/>
    <cellStyle name="Output 3 3 3" xfId="47528"/>
    <cellStyle name="Output 3 4" xfId="47529"/>
    <cellStyle name="Output 3 5" xfId="47530"/>
    <cellStyle name="Output 3_1-10 BHU IS" xfId="47531"/>
    <cellStyle name="Output 4" xfId="47532"/>
    <cellStyle name="Output 4 2" xfId="47533"/>
    <cellStyle name="Output 4 2 2" xfId="47534"/>
    <cellStyle name="Output 4 2 2 2" xfId="47535"/>
    <cellStyle name="Output 4 2 2 2 2" xfId="47536"/>
    <cellStyle name="Output 4 2 2 2 3" xfId="47537"/>
    <cellStyle name="Output 4 2 2 3" xfId="47538"/>
    <cellStyle name="Output 4 2 2 4" xfId="47539"/>
    <cellStyle name="Output 4 2 3" xfId="47540"/>
    <cellStyle name="Output 4 2 3 2" xfId="47541"/>
    <cellStyle name="Output 4 2 3 3" xfId="47542"/>
    <cellStyle name="Output 4 2 4" xfId="47543"/>
    <cellStyle name="Output 4 2 4 2" xfId="47544"/>
    <cellStyle name="Output 4 2 4 3" xfId="47545"/>
    <cellStyle name="Output 4 2 5" xfId="47546"/>
    <cellStyle name="Output 4 2 5 2" xfId="47547"/>
    <cellStyle name="Output 4 2 5 3" xfId="47548"/>
    <cellStyle name="Output 4 2 6" xfId="47549"/>
    <cellStyle name="Output 4 2 6 2" xfId="47550"/>
    <cellStyle name="Output 4 2 6 3" xfId="47551"/>
    <cellStyle name="Output 4 2 7" xfId="47552"/>
    <cellStyle name="Output 4 2 7 2" xfId="47553"/>
    <cellStyle name="Output 4 2 7 3" xfId="47554"/>
    <cellStyle name="Output 4 2 8" xfId="47555"/>
    <cellStyle name="Output 4 2 9" xfId="47556"/>
    <cellStyle name="Output 4 3" xfId="47557"/>
    <cellStyle name="Output 4 3 2" xfId="47558"/>
    <cellStyle name="Output 4 4" xfId="47559"/>
    <cellStyle name="Output 4_1-10 BHU IS" xfId="47560"/>
    <cellStyle name="Output 5" xfId="47561"/>
    <cellStyle name="Output 5 2" xfId="47562"/>
    <cellStyle name="Output 5 2 2" xfId="47563"/>
    <cellStyle name="Output 5 2 2 2" xfId="47564"/>
    <cellStyle name="Output 5 2 3" xfId="47565"/>
    <cellStyle name="Output 5 3" xfId="47566"/>
    <cellStyle name="Output 5 3 2" xfId="47567"/>
    <cellStyle name="Output 5 4" xfId="47568"/>
    <cellStyle name="Output 5_1-10 BHU IS" xfId="47569"/>
    <cellStyle name="Output 6" xfId="47570"/>
    <cellStyle name="Output 6 2" xfId="47571"/>
    <cellStyle name="Output 6 2 2" xfId="47572"/>
    <cellStyle name="Output 6 2 3" xfId="47573"/>
    <cellStyle name="Output 6 3" xfId="47574"/>
    <cellStyle name="Output 6 3 2" xfId="47575"/>
    <cellStyle name="Output 6 4" xfId="47576"/>
    <cellStyle name="Output 7" xfId="47577"/>
    <cellStyle name="Output 7 2" xfId="47578"/>
    <cellStyle name="Output 7 2 2" xfId="47579"/>
    <cellStyle name="Output 7 2 3" xfId="47580"/>
    <cellStyle name="Output 7 3" xfId="47581"/>
    <cellStyle name="Output 7 3 2" xfId="47582"/>
    <cellStyle name="Output 7 4" xfId="47583"/>
    <cellStyle name="Output 8" xfId="47584"/>
    <cellStyle name="Output 8 2" xfId="47585"/>
    <cellStyle name="Output 8 2 2" xfId="47586"/>
    <cellStyle name="Output 8 2 3" xfId="47587"/>
    <cellStyle name="Output 8 3" xfId="47588"/>
    <cellStyle name="Output 8 3 2" xfId="47589"/>
    <cellStyle name="Output 8 4" xfId="47590"/>
    <cellStyle name="Output 9" xfId="47591"/>
    <cellStyle name="Output 9 2" xfId="47592"/>
    <cellStyle name="Output 9 2 2" xfId="47593"/>
    <cellStyle name="Output 9 2 3" xfId="47594"/>
    <cellStyle name="Output 9 3" xfId="47595"/>
    <cellStyle name="Output 9 3 2" xfId="47596"/>
    <cellStyle name="Output 9 4" xfId="47597"/>
    <cellStyle name="Parent row" xfId="38"/>
    <cellStyle name="per.style" xfId="47598"/>
    <cellStyle name="Percent" xfId="2" builtinId="5"/>
    <cellStyle name="Percent (0.0)" xfId="47599"/>
    <cellStyle name="Percent (0.0) 2" xfId="47600"/>
    <cellStyle name="Percent [0 Decimal]" xfId="47601"/>
    <cellStyle name="Percent [0 Decimal] 2" xfId="47602"/>
    <cellStyle name="Percent [0 Decimal] 2 2" xfId="47603"/>
    <cellStyle name="Percent [0 Decimal] 2 2 2" xfId="47604"/>
    <cellStyle name="Percent [0 Decimal] 2 3" xfId="47605"/>
    <cellStyle name="Percent [0 Decimal] 3" xfId="47606"/>
    <cellStyle name="Percent [0 Decimal] 4" xfId="47607"/>
    <cellStyle name="Percent [0 Decimal]_Dakota Panel" xfId="47608"/>
    <cellStyle name="Percent [0]" xfId="47609"/>
    <cellStyle name="Percent [00]" xfId="47610"/>
    <cellStyle name="Percent [00] 2" xfId="47611"/>
    <cellStyle name="Percent [2 Decimal]" xfId="47612"/>
    <cellStyle name="Percent [2 Decimal] 2" xfId="47613"/>
    <cellStyle name="Percent [2 Decimal] 2 2" xfId="47614"/>
    <cellStyle name="Percent [2 Decimal] 2 2 2" xfId="47615"/>
    <cellStyle name="Percent [2 Decimal] 2 3" xfId="47616"/>
    <cellStyle name="Percent [2 Decimal] 3" xfId="47617"/>
    <cellStyle name="Percent [2 Decimal] 4" xfId="47618"/>
    <cellStyle name="Percent [2 Decimal]_Dakota Panel" xfId="47619"/>
    <cellStyle name="Percent [2]" xfId="47620"/>
    <cellStyle name="Percent [2] 10" xfId="47621"/>
    <cellStyle name="Percent [2] 10 2" xfId="47622"/>
    <cellStyle name="Percent [2] 2" xfId="47623"/>
    <cellStyle name="Percent [2] 2 2" xfId="47624"/>
    <cellStyle name="Percent [2] 2 2 2" xfId="47625"/>
    <cellStyle name="Percent [2] 2 2 3" xfId="47626"/>
    <cellStyle name="Percent [2] 2 3" xfId="47627"/>
    <cellStyle name="Percent [2] 2 4" xfId="47628"/>
    <cellStyle name="Percent [2] 2_Dakota Panel" xfId="47629"/>
    <cellStyle name="Percent [2] 3" xfId="47630"/>
    <cellStyle name="Percent [2] 3 2" xfId="47631"/>
    <cellStyle name="Percent [2] 3 2 2" xfId="47632"/>
    <cellStyle name="Percent [2] 3 3" xfId="47633"/>
    <cellStyle name="Percent [2] 4" xfId="47634"/>
    <cellStyle name="Percent [2] 4 2" xfId="47635"/>
    <cellStyle name="Percent [2] 5" xfId="47636"/>
    <cellStyle name="Percent [2] 5 2" xfId="47637"/>
    <cellStyle name="Percent [2] 6" xfId="47638"/>
    <cellStyle name="Percent [2] 6 2" xfId="47639"/>
    <cellStyle name="Percent [2] 7" xfId="47640"/>
    <cellStyle name="Percent [2] 7 2" xfId="47641"/>
    <cellStyle name="Percent [2] 8" xfId="47642"/>
    <cellStyle name="Percent [2] 8 2" xfId="47643"/>
    <cellStyle name="Percent [2] 9" xfId="47644"/>
    <cellStyle name="Percent [2] 9 2" xfId="47645"/>
    <cellStyle name="Percent [2]_Dakota Panel" xfId="47646"/>
    <cellStyle name="Percent 10" xfId="47647"/>
    <cellStyle name="Percent 10 2" xfId="47648"/>
    <cellStyle name="Percent 10 2 2" xfId="47649"/>
    <cellStyle name="Percent 10 2 3" xfId="47650"/>
    <cellStyle name="Percent 10 3" xfId="47651"/>
    <cellStyle name="Percent 10 3 2" xfId="47652"/>
    <cellStyle name="Percent 10 3 3" xfId="47653"/>
    <cellStyle name="Percent 10 4" xfId="47654"/>
    <cellStyle name="Percent 10 4 2" xfId="47655"/>
    <cellStyle name="Percent 10 5" xfId="47656"/>
    <cellStyle name="Percent 10 5 2" xfId="47657"/>
    <cellStyle name="Percent 10 6" xfId="47658"/>
    <cellStyle name="Percent 10 7" xfId="47659"/>
    <cellStyle name="Percent 10_Dakota Panel" xfId="47660"/>
    <cellStyle name="Percent 100" xfId="47661"/>
    <cellStyle name="Percent 100 2" xfId="47662"/>
    <cellStyle name="Percent 100_Dakota Panel" xfId="47663"/>
    <cellStyle name="Percent 101" xfId="47664"/>
    <cellStyle name="Percent 101 2" xfId="47665"/>
    <cellStyle name="Percent 101_Dakota Panel" xfId="47666"/>
    <cellStyle name="Percent 102" xfId="47667"/>
    <cellStyle name="Percent 102 2" xfId="47668"/>
    <cellStyle name="Percent 102_Dakota Panel" xfId="47669"/>
    <cellStyle name="Percent 103" xfId="47670"/>
    <cellStyle name="Percent 103 2" xfId="47671"/>
    <cellStyle name="Percent 103_Dakota Panel" xfId="47672"/>
    <cellStyle name="Percent 104" xfId="47673"/>
    <cellStyle name="Percent 104 2" xfId="47674"/>
    <cellStyle name="Percent 104_Dakota Panel" xfId="47675"/>
    <cellStyle name="Percent 105" xfId="47676"/>
    <cellStyle name="Percent 105 2" xfId="47677"/>
    <cellStyle name="Percent 105_Dakota Panel" xfId="47678"/>
    <cellStyle name="Percent 106" xfId="47679"/>
    <cellStyle name="Percent 106 2" xfId="47680"/>
    <cellStyle name="Percent 106_Dakota Panel" xfId="47681"/>
    <cellStyle name="Percent 107" xfId="47682"/>
    <cellStyle name="Percent 107 2" xfId="47683"/>
    <cellStyle name="Percent 107_Dakota Panel" xfId="47684"/>
    <cellStyle name="Percent 108" xfId="47685"/>
    <cellStyle name="Percent 108 2" xfId="47686"/>
    <cellStyle name="Percent 108_Dakota Panel" xfId="47687"/>
    <cellStyle name="Percent 109" xfId="47688"/>
    <cellStyle name="Percent 109 2" xfId="47689"/>
    <cellStyle name="Percent 109_Dakota Panel" xfId="47690"/>
    <cellStyle name="Percent 11" xfId="47691"/>
    <cellStyle name="Percent 11 2" xfId="47692"/>
    <cellStyle name="Percent 11 2 2" xfId="47693"/>
    <cellStyle name="Percent 11 2 3" xfId="47694"/>
    <cellStyle name="Percent 11 3" xfId="47695"/>
    <cellStyle name="Percent 11 3 2" xfId="47696"/>
    <cellStyle name="Percent 11 3 3" xfId="47697"/>
    <cellStyle name="Percent 11 4" xfId="47698"/>
    <cellStyle name="Percent 11 4 2" xfId="47699"/>
    <cellStyle name="Percent 11 5" xfId="47700"/>
    <cellStyle name="Percent 11 5 2" xfId="47701"/>
    <cellStyle name="Percent 11 6" xfId="47702"/>
    <cellStyle name="Percent 11 7" xfId="47703"/>
    <cellStyle name="Percent 11_Dakota Panel" xfId="47704"/>
    <cellStyle name="Percent 110" xfId="47705"/>
    <cellStyle name="Percent 110 2" xfId="47706"/>
    <cellStyle name="Percent 110_Dakota Panel" xfId="47707"/>
    <cellStyle name="Percent 111" xfId="47708"/>
    <cellStyle name="Percent 111 2" xfId="47709"/>
    <cellStyle name="Percent 111_Dakota Panel" xfId="47710"/>
    <cellStyle name="Percent 112" xfId="47711"/>
    <cellStyle name="Percent 112 2" xfId="47712"/>
    <cellStyle name="Percent 112_Dakota Panel" xfId="47713"/>
    <cellStyle name="Percent 113" xfId="47714"/>
    <cellStyle name="Percent 113 2" xfId="47715"/>
    <cellStyle name="Percent 113_Dakota Panel" xfId="47716"/>
    <cellStyle name="Percent 114" xfId="47717"/>
    <cellStyle name="Percent 114 2" xfId="47718"/>
    <cellStyle name="Percent 114_Dakota Panel" xfId="47719"/>
    <cellStyle name="Percent 115" xfId="47720"/>
    <cellStyle name="Percent 115 2" xfId="47721"/>
    <cellStyle name="Percent 115_Dakota Panel" xfId="47722"/>
    <cellStyle name="Percent 116" xfId="47723"/>
    <cellStyle name="Percent 116 2" xfId="47724"/>
    <cellStyle name="Percent 116_Dakota Panel" xfId="47725"/>
    <cellStyle name="Percent 117" xfId="47726"/>
    <cellStyle name="Percent 117 2" xfId="47727"/>
    <cellStyle name="Percent 117_Dakota Panel" xfId="47728"/>
    <cellStyle name="Percent 118" xfId="47729"/>
    <cellStyle name="Percent 118 2" xfId="47730"/>
    <cellStyle name="Percent 118_Dakota Panel" xfId="47731"/>
    <cellStyle name="Percent 119" xfId="47732"/>
    <cellStyle name="Percent 119 2" xfId="47733"/>
    <cellStyle name="Percent 119_Dakota Panel" xfId="47734"/>
    <cellStyle name="Percent 12" xfId="47735"/>
    <cellStyle name="Percent 12 2" xfId="47736"/>
    <cellStyle name="Percent 12 2 2" xfId="47737"/>
    <cellStyle name="Percent 12 2 3" xfId="47738"/>
    <cellStyle name="Percent 12 3" xfId="47739"/>
    <cellStyle name="Percent 12 3 2" xfId="47740"/>
    <cellStyle name="Percent 12 3 3" xfId="47741"/>
    <cellStyle name="Percent 12 4" xfId="47742"/>
    <cellStyle name="Percent 12 4 2" xfId="47743"/>
    <cellStyle name="Percent 12 4 3" xfId="47744"/>
    <cellStyle name="Percent 12 5" xfId="47745"/>
    <cellStyle name="Percent 12 5 2" xfId="47746"/>
    <cellStyle name="Percent 12 6" xfId="47747"/>
    <cellStyle name="Percent 12 6 2" xfId="47748"/>
    <cellStyle name="Percent 12 7" xfId="47749"/>
    <cellStyle name="Percent 12 8" xfId="47750"/>
    <cellStyle name="Percent 12_Dakota Panel" xfId="47751"/>
    <cellStyle name="Percent 120" xfId="47752"/>
    <cellStyle name="Percent 120 2" xfId="47753"/>
    <cellStyle name="Percent 120_Dakota Panel" xfId="47754"/>
    <cellStyle name="Percent 121" xfId="47755"/>
    <cellStyle name="Percent 121 2" xfId="47756"/>
    <cellStyle name="Percent 121_Dakota Panel" xfId="47757"/>
    <cellStyle name="Percent 122" xfId="47758"/>
    <cellStyle name="Percent 122 2" xfId="47759"/>
    <cellStyle name="Percent 122_Dakota Panel" xfId="47760"/>
    <cellStyle name="Percent 123" xfId="47761"/>
    <cellStyle name="Percent 123 2" xfId="47762"/>
    <cellStyle name="Percent 123_Dakota Panel" xfId="47763"/>
    <cellStyle name="Percent 124" xfId="47764"/>
    <cellStyle name="Percent 124 2" xfId="47765"/>
    <cellStyle name="Percent 124_Dakota Panel" xfId="47766"/>
    <cellStyle name="Percent 125" xfId="47767"/>
    <cellStyle name="Percent 125 2" xfId="47768"/>
    <cellStyle name="Percent 125_Dakota Panel" xfId="47769"/>
    <cellStyle name="Percent 126" xfId="47770"/>
    <cellStyle name="Percent 126 2" xfId="47771"/>
    <cellStyle name="Percent 126_Dakota Panel" xfId="47772"/>
    <cellStyle name="Percent 127" xfId="47773"/>
    <cellStyle name="Percent 127 2" xfId="47774"/>
    <cellStyle name="Percent 127_Dakota Panel" xfId="47775"/>
    <cellStyle name="Percent 128" xfId="47776"/>
    <cellStyle name="Percent 128 2" xfId="47777"/>
    <cellStyle name="Percent 128_Dakota Panel" xfId="47778"/>
    <cellStyle name="Percent 129" xfId="47779"/>
    <cellStyle name="Percent 129 2" xfId="47780"/>
    <cellStyle name="Percent 129_Dakota Panel" xfId="47781"/>
    <cellStyle name="Percent 13" xfId="47782"/>
    <cellStyle name="Percent 13 2" xfId="47783"/>
    <cellStyle name="Percent 13 2 2" xfId="47784"/>
    <cellStyle name="Percent 13 2 3" xfId="47785"/>
    <cellStyle name="Percent 13 3" xfId="47786"/>
    <cellStyle name="Percent 13 3 2" xfId="47787"/>
    <cellStyle name="Percent 13 3 3" xfId="47788"/>
    <cellStyle name="Percent 13 4" xfId="47789"/>
    <cellStyle name="Percent 13 4 2" xfId="47790"/>
    <cellStyle name="Percent 13 4 3" xfId="47791"/>
    <cellStyle name="Percent 13 5" xfId="47792"/>
    <cellStyle name="Percent 13 5 2" xfId="47793"/>
    <cellStyle name="Percent 13 6" xfId="47794"/>
    <cellStyle name="Percent 13 6 2" xfId="47795"/>
    <cellStyle name="Percent 13 7" xfId="47796"/>
    <cellStyle name="Percent 13 8" xfId="47797"/>
    <cellStyle name="Percent 13_Dakota Panel" xfId="47798"/>
    <cellStyle name="Percent 130" xfId="47799"/>
    <cellStyle name="Percent 130 2" xfId="47800"/>
    <cellStyle name="Percent 130_Dakota Panel" xfId="47801"/>
    <cellStyle name="Percent 131" xfId="47802"/>
    <cellStyle name="Percent 131 2" xfId="47803"/>
    <cellStyle name="Percent 131_Dakota Panel" xfId="47804"/>
    <cellStyle name="Percent 132" xfId="47805"/>
    <cellStyle name="Percent 132 2" xfId="47806"/>
    <cellStyle name="Percent 132_Dakota Panel" xfId="47807"/>
    <cellStyle name="Percent 133" xfId="47808"/>
    <cellStyle name="Percent 133 2" xfId="47809"/>
    <cellStyle name="Percent 133_Dakota Panel" xfId="47810"/>
    <cellStyle name="Percent 134" xfId="47811"/>
    <cellStyle name="Percent 134 2" xfId="47812"/>
    <cellStyle name="Percent 134_Dakota Panel" xfId="47813"/>
    <cellStyle name="Percent 135" xfId="47814"/>
    <cellStyle name="Percent 135 2" xfId="47815"/>
    <cellStyle name="Percent 135_Dakota Panel" xfId="47816"/>
    <cellStyle name="Percent 136" xfId="47817"/>
    <cellStyle name="Percent 136 2" xfId="47818"/>
    <cellStyle name="Percent 136_Dakota Panel" xfId="47819"/>
    <cellStyle name="Percent 137" xfId="47820"/>
    <cellStyle name="Percent 137 2" xfId="47821"/>
    <cellStyle name="Percent 137_Dakota Panel" xfId="47822"/>
    <cellStyle name="Percent 138" xfId="47823"/>
    <cellStyle name="Percent 138 2" xfId="47824"/>
    <cellStyle name="Percent 138_Dakota Panel" xfId="47825"/>
    <cellStyle name="Percent 139" xfId="47826"/>
    <cellStyle name="Percent 139 2" xfId="47827"/>
    <cellStyle name="Percent 139_Dakota Panel" xfId="47828"/>
    <cellStyle name="Percent 14" xfId="47829"/>
    <cellStyle name="Percent 14 2" xfId="47830"/>
    <cellStyle name="Percent 14 2 2" xfId="47831"/>
    <cellStyle name="Percent 14 2 3" xfId="47832"/>
    <cellStyle name="Percent 14 3" xfId="47833"/>
    <cellStyle name="Percent 14 3 2" xfId="47834"/>
    <cellStyle name="Percent 14 3 2 2" xfId="47835"/>
    <cellStyle name="Percent 14 3 2 2 2" xfId="47836"/>
    <cellStyle name="Percent 14 3 2 3" xfId="47837"/>
    <cellStyle name="Percent 14 3 3" xfId="47838"/>
    <cellStyle name="Percent 14 3 3 2" xfId="47839"/>
    <cellStyle name="Percent 14 3 4" xfId="47840"/>
    <cellStyle name="Percent 14 4" xfId="47841"/>
    <cellStyle name="Percent 14 4 2" xfId="47842"/>
    <cellStyle name="Percent 14 4 2 2" xfId="47843"/>
    <cellStyle name="Percent 14 4 3" xfId="47844"/>
    <cellStyle name="Percent 14 5" xfId="47845"/>
    <cellStyle name="Percent 14 5 2" xfId="47846"/>
    <cellStyle name="Percent 14 6" xfId="47847"/>
    <cellStyle name="Percent 14_Dakota Panel" xfId="47848"/>
    <cellStyle name="Percent 140" xfId="47849"/>
    <cellStyle name="Percent 140 2" xfId="47850"/>
    <cellStyle name="Percent 140_Dakota Panel" xfId="47851"/>
    <cellStyle name="Percent 141" xfId="47852"/>
    <cellStyle name="Percent 141 2" xfId="47853"/>
    <cellStyle name="Percent 141_Dakota Panel" xfId="47854"/>
    <cellStyle name="Percent 142" xfId="47855"/>
    <cellStyle name="Percent 142 2" xfId="47856"/>
    <cellStyle name="Percent 142_Dakota Panel" xfId="47857"/>
    <cellStyle name="Percent 143" xfId="47858"/>
    <cellStyle name="Percent 143 2" xfId="47859"/>
    <cellStyle name="Percent 143_Dakota Panel" xfId="47860"/>
    <cellStyle name="Percent 144" xfId="47861"/>
    <cellStyle name="Percent 144 2" xfId="47862"/>
    <cellStyle name="Percent 144_Dakota Panel" xfId="47863"/>
    <cellStyle name="Percent 145" xfId="47864"/>
    <cellStyle name="Percent 145 2" xfId="47865"/>
    <cellStyle name="Percent 145_Dakota Panel" xfId="47866"/>
    <cellStyle name="Percent 146" xfId="47867"/>
    <cellStyle name="Percent 146 2" xfId="47868"/>
    <cellStyle name="Percent 146_Dakota Panel" xfId="47869"/>
    <cellStyle name="Percent 147" xfId="47870"/>
    <cellStyle name="Percent 147 2" xfId="47871"/>
    <cellStyle name="Percent 147_Dakota Panel" xfId="47872"/>
    <cellStyle name="Percent 148" xfId="47873"/>
    <cellStyle name="Percent 148 2" xfId="47874"/>
    <cellStyle name="Percent 148_Dakota Panel" xfId="47875"/>
    <cellStyle name="Percent 149" xfId="47876"/>
    <cellStyle name="Percent 149 2" xfId="47877"/>
    <cellStyle name="Percent 149_Dakota Panel" xfId="47878"/>
    <cellStyle name="Percent 15" xfId="47879"/>
    <cellStyle name="Percent 15 2" xfId="47880"/>
    <cellStyle name="Percent 15 2 2" xfId="47881"/>
    <cellStyle name="Percent 15 2 3" xfId="47882"/>
    <cellStyle name="Percent 15 3" xfId="47883"/>
    <cellStyle name="Percent 15 3 2" xfId="47884"/>
    <cellStyle name="Percent 15 4" xfId="47885"/>
    <cellStyle name="Percent 15 5" xfId="47886"/>
    <cellStyle name="Percent 15 6" xfId="47887"/>
    <cellStyle name="Percent 15_Dakota Panel" xfId="47888"/>
    <cellStyle name="Percent 150" xfId="47889"/>
    <cellStyle name="Percent 150 2" xfId="47890"/>
    <cellStyle name="Percent 150_Dakota Panel" xfId="47891"/>
    <cellStyle name="Percent 151" xfId="47892"/>
    <cellStyle name="Percent 151 2" xfId="47893"/>
    <cellStyle name="Percent 151_Dakota Panel" xfId="47894"/>
    <cellStyle name="Percent 152" xfId="47895"/>
    <cellStyle name="Percent 152 2" xfId="47896"/>
    <cellStyle name="Percent 152_Dakota Panel" xfId="47897"/>
    <cellStyle name="Percent 153" xfId="47898"/>
    <cellStyle name="Percent 153 2" xfId="47899"/>
    <cellStyle name="Percent 153_Dakota Panel" xfId="47900"/>
    <cellStyle name="Percent 154" xfId="47901"/>
    <cellStyle name="Percent 154 2" xfId="47902"/>
    <cellStyle name="Percent 154_Dakota Panel" xfId="47903"/>
    <cellStyle name="Percent 155" xfId="47904"/>
    <cellStyle name="Percent 155 2" xfId="47905"/>
    <cellStyle name="Percent 155_Dakota Panel" xfId="47906"/>
    <cellStyle name="Percent 156" xfId="47907"/>
    <cellStyle name="Percent 156 2" xfId="47908"/>
    <cellStyle name="Percent 156_Dakota Panel" xfId="47909"/>
    <cellStyle name="Percent 157" xfId="47910"/>
    <cellStyle name="Percent 157 2" xfId="47911"/>
    <cellStyle name="Percent 157_Dakota Panel" xfId="47912"/>
    <cellStyle name="Percent 158" xfId="47913"/>
    <cellStyle name="Percent 158 2" xfId="47914"/>
    <cellStyle name="Percent 158_Dakota Panel" xfId="47915"/>
    <cellStyle name="Percent 159" xfId="47916"/>
    <cellStyle name="Percent 159 2" xfId="47917"/>
    <cellStyle name="Percent 159_Dakota Panel" xfId="47918"/>
    <cellStyle name="Percent 16" xfId="47919"/>
    <cellStyle name="Percent 16 2" xfId="47920"/>
    <cellStyle name="Percent 16 2 2" xfId="47921"/>
    <cellStyle name="Percent 16 2 3" xfId="47922"/>
    <cellStyle name="Percent 16 3" xfId="47923"/>
    <cellStyle name="Percent 16 3 2" xfId="47924"/>
    <cellStyle name="Percent 16 4" xfId="47925"/>
    <cellStyle name="Percent 16 5" xfId="47926"/>
    <cellStyle name="Percent 16 6" xfId="47927"/>
    <cellStyle name="Percent 16_Dakota Panel" xfId="47928"/>
    <cellStyle name="Percent 160" xfId="47929"/>
    <cellStyle name="Percent 160 2" xfId="47930"/>
    <cellStyle name="Percent 160_Dakota Panel" xfId="47931"/>
    <cellStyle name="Percent 161" xfId="47932"/>
    <cellStyle name="Percent 161 2" xfId="47933"/>
    <cellStyle name="Percent 161_Dakota Panel" xfId="47934"/>
    <cellStyle name="Percent 162" xfId="47935"/>
    <cellStyle name="Percent 162 2" xfId="47936"/>
    <cellStyle name="Percent 162_Dakota Panel" xfId="47937"/>
    <cellStyle name="Percent 163" xfId="47938"/>
    <cellStyle name="Percent 163 2" xfId="47939"/>
    <cellStyle name="Percent 163_Dakota Panel" xfId="47940"/>
    <cellStyle name="Percent 164" xfId="47941"/>
    <cellStyle name="Percent 164 2" xfId="47942"/>
    <cellStyle name="Percent 165" xfId="47943"/>
    <cellStyle name="Percent 165 2" xfId="47944"/>
    <cellStyle name="Percent 166" xfId="47945"/>
    <cellStyle name="Percent 166 2" xfId="47946"/>
    <cellStyle name="Percent 167" xfId="47947"/>
    <cellStyle name="Percent 168" xfId="47948"/>
    <cellStyle name="Percent 169" xfId="47949"/>
    <cellStyle name="Percent 17" xfId="47950"/>
    <cellStyle name="Percent 17 2" xfId="47951"/>
    <cellStyle name="Percent 17 2 2" xfId="47952"/>
    <cellStyle name="Percent 17 2 3" xfId="47953"/>
    <cellStyle name="Percent 17 3" xfId="47954"/>
    <cellStyle name="Percent 17 3 2" xfId="47955"/>
    <cellStyle name="Percent 17 4" xfId="47956"/>
    <cellStyle name="Percent 17 5" xfId="47957"/>
    <cellStyle name="Percent 17 6" xfId="47958"/>
    <cellStyle name="Percent 17_Dakota Panel" xfId="47959"/>
    <cellStyle name="Percent 170" xfId="47960"/>
    <cellStyle name="Percent 171" xfId="47961"/>
    <cellStyle name="Percent 172" xfId="47962"/>
    <cellStyle name="Percent 173" xfId="47963"/>
    <cellStyle name="Percent 174" xfId="47964"/>
    <cellStyle name="Percent 175" xfId="47965"/>
    <cellStyle name="Percent 176" xfId="47966"/>
    <cellStyle name="Percent 177" xfId="47967"/>
    <cellStyle name="Percent 178" xfId="47968"/>
    <cellStyle name="Percent 179" xfId="47969"/>
    <cellStyle name="Percent 18" xfId="47970"/>
    <cellStyle name="Percent 18 2" xfId="47971"/>
    <cellStyle name="Percent 18 2 2" xfId="47972"/>
    <cellStyle name="Percent 18 2 3" xfId="47973"/>
    <cellStyle name="Percent 18 3" xfId="47974"/>
    <cellStyle name="Percent 18 3 2" xfId="47975"/>
    <cellStyle name="Percent 18 4" xfId="47976"/>
    <cellStyle name="Percent 18 5" xfId="47977"/>
    <cellStyle name="Percent 18 6" xfId="47978"/>
    <cellStyle name="Percent 18_Dakota Panel" xfId="47979"/>
    <cellStyle name="Percent 180" xfId="47980"/>
    <cellStyle name="Percent 181" xfId="47981"/>
    <cellStyle name="Percent 182" xfId="47982"/>
    <cellStyle name="Percent 183" xfId="47983"/>
    <cellStyle name="Percent 184" xfId="47984"/>
    <cellStyle name="Percent 185" xfId="47985"/>
    <cellStyle name="Percent 186" xfId="47986"/>
    <cellStyle name="Percent 187" xfId="47987"/>
    <cellStyle name="Percent 188" xfId="47988"/>
    <cellStyle name="Percent 189" xfId="47989"/>
    <cellStyle name="Percent 19" xfId="47990"/>
    <cellStyle name="Percent 19 2" xfId="47991"/>
    <cellStyle name="Percent 19 2 2" xfId="47992"/>
    <cellStyle name="Percent 19 3" xfId="47993"/>
    <cellStyle name="Percent 19 4" xfId="47994"/>
    <cellStyle name="Percent 19 5" xfId="47995"/>
    <cellStyle name="Percent 190" xfId="47996"/>
    <cellStyle name="Percent 191" xfId="47997"/>
    <cellStyle name="Percent 192" xfId="47998"/>
    <cellStyle name="Percent 193" xfId="47999"/>
    <cellStyle name="Percent 194" xfId="48000"/>
    <cellStyle name="Percent 195" xfId="48001"/>
    <cellStyle name="Percent 196" xfId="48002"/>
    <cellStyle name="Percent 2" xfId="48003"/>
    <cellStyle name="Percent 2 10" xfId="48004"/>
    <cellStyle name="Percent 2 10 2" xfId="48005"/>
    <cellStyle name="Percent 2 10 3" xfId="48006"/>
    <cellStyle name="Percent 2 11" xfId="48007"/>
    <cellStyle name="Percent 2 12" xfId="48008"/>
    <cellStyle name="Percent 2 2" xfId="48009"/>
    <cellStyle name="Percent 2 2 10" xfId="48010"/>
    <cellStyle name="Percent 2 2 10 2" xfId="48011"/>
    <cellStyle name="Percent 2 2 10 3" xfId="48012"/>
    <cellStyle name="Percent 2 2 11" xfId="48013"/>
    <cellStyle name="Percent 2 2 11 2" xfId="48014"/>
    <cellStyle name="Percent 2 2 12" xfId="48015"/>
    <cellStyle name="Percent 2 2 13" xfId="48016"/>
    <cellStyle name="Percent 2 2 14" xfId="48017"/>
    <cellStyle name="Percent 2 2 2" xfId="48018"/>
    <cellStyle name="Percent 2 2 2 2" xfId="48019"/>
    <cellStyle name="Percent 2 2 2 2 2" xfId="48020"/>
    <cellStyle name="Percent 2 2 2 3" xfId="48021"/>
    <cellStyle name="Percent 2 2 3" xfId="48022"/>
    <cellStyle name="Percent 2 2 3 2" xfId="48023"/>
    <cellStyle name="Percent 2 2 3 2 2" xfId="48024"/>
    <cellStyle name="Percent 2 2 3 3" xfId="48025"/>
    <cellStyle name="Percent 2 2 4" xfId="48026"/>
    <cellStyle name="Percent 2 2 4 2" xfId="48027"/>
    <cellStyle name="Percent 2 2 4 2 2" xfId="48028"/>
    <cellStyle name="Percent 2 2 4 3" xfId="48029"/>
    <cellStyle name="Percent 2 2 5" xfId="48030"/>
    <cellStyle name="Percent 2 2 5 2" xfId="48031"/>
    <cellStyle name="Percent 2 2 5 2 2" xfId="48032"/>
    <cellStyle name="Percent 2 2 5 3" xfId="48033"/>
    <cellStyle name="Percent 2 2 6" xfId="48034"/>
    <cellStyle name="Percent 2 2 6 2" xfId="48035"/>
    <cellStyle name="Percent 2 2 6 2 2" xfId="48036"/>
    <cellStyle name="Percent 2 2 6 3" xfId="48037"/>
    <cellStyle name="Percent 2 2 7" xfId="48038"/>
    <cellStyle name="Percent 2 2 7 2" xfId="48039"/>
    <cellStyle name="Percent 2 2 7 3" xfId="48040"/>
    <cellStyle name="Percent 2 2 8" xfId="48041"/>
    <cellStyle name="Percent 2 2 8 2" xfId="48042"/>
    <cellStyle name="Percent 2 2 8 3" xfId="48043"/>
    <cellStyle name="Percent 2 2 9" xfId="48044"/>
    <cellStyle name="Percent 2 2 9 2" xfId="48045"/>
    <cellStyle name="Percent 2 3" xfId="48046"/>
    <cellStyle name="Percent 2 3 2" xfId="48047"/>
    <cellStyle name="Percent 2 3 2 2" xfId="48048"/>
    <cellStyle name="Percent 2 3 2 3" xfId="48049"/>
    <cellStyle name="Percent 2 3 3" xfId="48050"/>
    <cellStyle name="Percent 2 3 4" xfId="48051"/>
    <cellStyle name="Percent 2 3_Dakota Panel" xfId="48052"/>
    <cellStyle name="Percent 2 4" xfId="48053"/>
    <cellStyle name="Percent 2 4 2" xfId="48054"/>
    <cellStyle name="Percent 2 4 2 2" xfId="48055"/>
    <cellStyle name="Percent 2 4 3" xfId="48056"/>
    <cellStyle name="Percent 2 4 3 2" xfId="48057"/>
    <cellStyle name="Percent 2 4 4" xfId="48058"/>
    <cellStyle name="Percent 2 5" xfId="48059"/>
    <cellStyle name="Percent 2 5 2" xfId="48060"/>
    <cellStyle name="Percent 2 5 2 2" xfId="48061"/>
    <cellStyle name="Percent 2 5 3" xfId="48062"/>
    <cellStyle name="Percent 2 6" xfId="48063"/>
    <cellStyle name="Percent 2 6 2" xfId="48064"/>
    <cellStyle name="Percent 2 6 2 2" xfId="48065"/>
    <cellStyle name="Percent 2 6 2 2 2" xfId="48066"/>
    <cellStyle name="Percent 2 6 2 3" xfId="48067"/>
    <cellStyle name="Percent 2 6 3" xfId="48068"/>
    <cellStyle name="Percent 2 6 3 2" xfId="48069"/>
    <cellStyle name="Percent 2 6 4" xfId="48070"/>
    <cellStyle name="Percent 2 7" xfId="48071"/>
    <cellStyle name="Percent 2 7 2" xfId="48072"/>
    <cellStyle name="Percent 2 7 2 2" xfId="48073"/>
    <cellStyle name="Percent 2 7 3" xfId="48074"/>
    <cellStyle name="Percent 2 8" xfId="48075"/>
    <cellStyle name="Percent 2 8 2" xfId="48076"/>
    <cellStyle name="Percent 2 8 3" xfId="48077"/>
    <cellStyle name="Percent 2 9" xfId="48078"/>
    <cellStyle name="Percent 2 9 2" xfId="48079"/>
    <cellStyle name="Percent 2_Dakota Panel" xfId="48080"/>
    <cellStyle name="Percent 20" xfId="48081"/>
    <cellStyle name="Percent 20 2" xfId="48082"/>
    <cellStyle name="Percent 20 2 2" xfId="48083"/>
    <cellStyle name="Percent 20 3" xfId="48084"/>
    <cellStyle name="Percent 20 4" xfId="48085"/>
    <cellStyle name="Percent 20 5" xfId="48086"/>
    <cellStyle name="Percent 21" xfId="48087"/>
    <cellStyle name="Percent 21 2" xfId="48088"/>
    <cellStyle name="Percent 21 2 2" xfId="48089"/>
    <cellStyle name="Percent 21 2 2 2" xfId="48090"/>
    <cellStyle name="Percent 21 2 2 2 2" xfId="48091"/>
    <cellStyle name="Percent 21 2 2 3" xfId="48092"/>
    <cellStyle name="Percent 21 2 3" xfId="48093"/>
    <cellStyle name="Percent 21 2 3 2" xfId="48094"/>
    <cellStyle name="Percent 21 2 4" xfId="48095"/>
    <cellStyle name="Percent 21 3" xfId="48096"/>
    <cellStyle name="Percent 21 3 2" xfId="48097"/>
    <cellStyle name="Percent 21 3 2 2" xfId="48098"/>
    <cellStyle name="Percent 21 3 3" xfId="48099"/>
    <cellStyle name="Percent 21 4" xfId="48100"/>
    <cellStyle name="Percent 21 4 2" xfId="48101"/>
    <cellStyle name="Percent 21 5" xfId="48102"/>
    <cellStyle name="Percent 22" xfId="48103"/>
    <cellStyle name="Percent 22 2" xfId="48104"/>
    <cellStyle name="Percent 22 2 2" xfId="48105"/>
    <cellStyle name="Percent 22 3" xfId="48106"/>
    <cellStyle name="Percent 22 4" xfId="48107"/>
    <cellStyle name="Percent 22 5" xfId="48108"/>
    <cellStyle name="Percent 23" xfId="48109"/>
    <cellStyle name="Percent 23 2" xfId="48110"/>
    <cellStyle name="Percent 23 2 2" xfId="48111"/>
    <cellStyle name="Percent 23 2 3" xfId="48112"/>
    <cellStyle name="Percent 23 3" xfId="48113"/>
    <cellStyle name="Percent 23 3 2" xfId="48114"/>
    <cellStyle name="Percent 23 3 3" xfId="48115"/>
    <cellStyle name="Percent 23 4" xfId="48116"/>
    <cellStyle name="Percent 23 4 2" xfId="48117"/>
    <cellStyle name="Percent 23 5" xfId="48118"/>
    <cellStyle name="Percent 23 6" xfId="48119"/>
    <cellStyle name="Percent 23 7" xfId="48120"/>
    <cellStyle name="Percent 23 8" xfId="48121"/>
    <cellStyle name="Percent 23_Dakota Panel" xfId="48122"/>
    <cellStyle name="Percent 24" xfId="48123"/>
    <cellStyle name="Percent 24 2" xfId="48124"/>
    <cellStyle name="Percent 24 2 2" xfId="48125"/>
    <cellStyle name="Percent 24 2 3" xfId="48126"/>
    <cellStyle name="Percent 24 3" xfId="48127"/>
    <cellStyle name="Percent 24 3 2" xfId="48128"/>
    <cellStyle name="Percent 24 4" xfId="48129"/>
    <cellStyle name="Percent 24 5" xfId="48130"/>
    <cellStyle name="Percent 24 6" xfId="48131"/>
    <cellStyle name="Percent 24 7" xfId="48132"/>
    <cellStyle name="Percent 24_Dakota Panel" xfId="48133"/>
    <cellStyle name="Percent 25" xfId="48134"/>
    <cellStyle name="Percent 25 2" xfId="48135"/>
    <cellStyle name="Percent 25 2 2" xfId="48136"/>
    <cellStyle name="Percent 25 2 3" xfId="48137"/>
    <cellStyle name="Percent 25 3" xfId="48138"/>
    <cellStyle name="Percent 25 3 2" xfId="48139"/>
    <cellStyle name="Percent 25 4" xfId="48140"/>
    <cellStyle name="Percent 25 5" xfId="48141"/>
    <cellStyle name="Percent 25 6" xfId="48142"/>
    <cellStyle name="Percent 25 7" xfId="48143"/>
    <cellStyle name="Percent 25_Dakota Panel" xfId="48144"/>
    <cellStyle name="Percent 26" xfId="48145"/>
    <cellStyle name="Percent 26 2" xfId="48146"/>
    <cellStyle name="Percent 26 2 2" xfId="48147"/>
    <cellStyle name="Percent 26 2 3" xfId="48148"/>
    <cellStyle name="Percent 26 3" xfId="48149"/>
    <cellStyle name="Percent 26 3 2" xfId="48150"/>
    <cellStyle name="Percent 26 4" xfId="48151"/>
    <cellStyle name="Percent 26 5" xfId="48152"/>
    <cellStyle name="Percent 26 6" xfId="48153"/>
    <cellStyle name="Percent 26 7" xfId="48154"/>
    <cellStyle name="Percent 26_Dakota Panel" xfId="48155"/>
    <cellStyle name="Percent 27" xfId="48156"/>
    <cellStyle name="Percent 27 2" xfId="48157"/>
    <cellStyle name="Percent 27 2 2" xfId="48158"/>
    <cellStyle name="Percent 27 2 3" xfId="48159"/>
    <cellStyle name="Percent 27 3" xfId="48160"/>
    <cellStyle name="Percent 27 4" xfId="48161"/>
    <cellStyle name="Percent 27_Dakota Panel" xfId="48162"/>
    <cellStyle name="Percent 28" xfId="48163"/>
    <cellStyle name="Percent 28 2" xfId="48164"/>
    <cellStyle name="Percent 28 2 2" xfId="48165"/>
    <cellStyle name="Percent 28 2 3" xfId="48166"/>
    <cellStyle name="Percent 28 3" xfId="48167"/>
    <cellStyle name="Percent 28 4" xfId="48168"/>
    <cellStyle name="Percent 28_Dakota Panel" xfId="48169"/>
    <cellStyle name="Percent 29" xfId="48170"/>
    <cellStyle name="Percent 29 2" xfId="48171"/>
    <cellStyle name="Percent 29 2 2" xfId="48172"/>
    <cellStyle name="Percent 29 2 3" xfId="48173"/>
    <cellStyle name="Percent 29 3" xfId="48174"/>
    <cellStyle name="Percent 29 4" xfId="48175"/>
    <cellStyle name="Percent 29_Dakota Panel" xfId="48176"/>
    <cellStyle name="Percent 3" xfId="48177"/>
    <cellStyle name="Percent 3 10" xfId="48178"/>
    <cellStyle name="Percent 3 2" xfId="48179"/>
    <cellStyle name="Percent 3 2 2" xfId="48180"/>
    <cellStyle name="Percent 3 2 2 2" xfId="48181"/>
    <cellStyle name="Percent 3 2 3" xfId="48182"/>
    <cellStyle name="Percent 3 2 4" xfId="48183"/>
    <cellStyle name="Percent 3 3" xfId="48184"/>
    <cellStyle name="Percent 3 3 2" xfId="48185"/>
    <cellStyle name="Percent 3 3 2 2" xfId="48186"/>
    <cellStyle name="Percent 3 3 2 3" xfId="48187"/>
    <cellStyle name="Percent 3 3 3" xfId="48188"/>
    <cellStyle name="Percent 3 3 4" xfId="48189"/>
    <cellStyle name="Percent 3 3 5" xfId="48190"/>
    <cellStyle name="Percent 3 3_Dakota Panel" xfId="48191"/>
    <cellStyle name="Percent 3 4" xfId="48192"/>
    <cellStyle name="Percent 3 4 2" xfId="48193"/>
    <cellStyle name="Percent 3 4 3" xfId="48194"/>
    <cellStyle name="Percent 3 5" xfId="48195"/>
    <cellStyle name="Percent 3 5 2" xfId="48196"/>
    <cellStyle name="Percent 3 5 3" xfId="48197"/>
    <cellStyle name="Percent 3 6" xfId="48198"/>
    <cellStyle name="Percent 3 6 2" xfId="48199"/>
    <cellStyle name="Percent 3 7" xfId="48200"/>
    <cellStyle name="Percent 3 7 2" xfId="48201"/>
    <cellStyle name="Percent 3 8" xfId="48202"/>
    <cellStyle name="Percent 3 9" xfId="48203"/>
    <cellStyle name="Percent 3_Dakota Panel" xfId="48204"/>
    <cellStyle name="Percent 30" xfId="48205"/>
    <cellStyle name="Percent 30 2" xfId="48206"/>
    <cellStyle name="Percent 30 3" xfId="48207"/>
    <cellStyle name="Percent 31" xfId="48208"/>
    <cellStyle name="Percent 31 2" xfId="48209"/>
    <cellStyle name="Percent 31 3" xfId="48210"/>
    <cellStyle name="Percent 32" xfId="48211"/>
    <cellStyle name="Percent 32 2" xfId="48212"/>
    <cellStyle name="Percent 32 3" xfId="48213"/>
    <cellStyle name="Percent 33" xfId="48214"/>
    <cellStyle name="Percent 33 2" xfId="48215"/>
    <cellStyle name="Percent 33 3" xfId="48216"/>
    <cellStyle name="Percent 34" xfId="48217"/>
    <cellStyle name="Percent 34 2" xfId="48218"/>
    <cellStyle name="Percent 34 3" xfId="48219"/>
    <cellStyle name="Percent 35" xfId="48220"/>
    <cellStyle name="Percent 35 2" xfId="48221"/>
    <cellStyle name="Percent 35 3" xfId="48222"/>
    <cellStyle name="Percent 36" xfId="48223"/>
    <cellStyle name="Percent 36 2" xfId="48224"/>
    <cellStyle name="Percent 36 2 2" xfId="48225"/>
    <cellStyle name="Percent 36 2 3" xfId="48226"/>
    <cellStyle name="Percent 36 3" xfId="48227"/>
    <cellStyle name="Percent 36 4" xfId="48228"/>
    <cellStyle name="Percent 36_Dakota Panel" xfId="48229"/>
    <cellStyle name="Percent 37" xfId="48230"/>
    <cellStyle name="Percent 37 2" xfId="48231"/>
    <cellStyle name="Percent 37 2 2" xfId="48232"/>
    <cellStyle name="Percent 37 2 3" xfId="48233"/>
    <cellStyle name="Percent 37 3" xfId="48234"/>
    <cellStyle name="Percent 37 4" xfId="48235"/>
    <cellStyle name="Percent 37_Dakota Panel" xfId="48236"/>
    <cellStyle name="Percent 38" xfId="48237"/>
    <cellStyle name="Percent 38 2" xfId="48238"/>
    <cellStyle name="Percent 38 2 2" xfId="48239"/>
    <cellStyle name="Percent 38 2 3" xfId="48240"/>
    <cellStyle name="Percent 38 3" xfId="48241"/>
    <cellStyle name="Percent 38 4" xfId="48242"/>
    <cellStyle name="Percent 38_Dakota Panel" xfId="48243"/>
    <cellStyle name="Percent 39" xfId="48244"/>
    <cellStyle name="Percent 39 2" xfId="48245"/>
    <cellStyle name="Percent 39 2 2" xfId="48246"/>
    <cellStyle name="Percent 39 2 3" xfId="48247"/>
    <cellStyle name="Percent 39 3" xfId="48248"/>
    <cellStyle name="Percent 39 4" xfId="48249"/>
    <cellStyle name="Percent 39_Dakota Panel" xfId="48250"/>
    <cellStyle name="Percent 4" xfId="48251"/>
    <cellStyle name="Percent 4 2" xfId="48252"/>
    <cellStyle name="Percent 4 2 2" xfId="48253"/>
    <cellStyle name="Percent 4 2 2 2" xfId="48254"/>
    <cellStyle name="Percent 4 2 3" xfId="48255"/>
    <cellStyle name="Percent 4 2 4" xfId="48256"/>
    <cellStyle name="Percent 4 2 5" xfId="48257"/>
    <cellStyle name="Percent 4 3" xfId="48258"/>
    <cellStyle name="Percent 4 3 2" xfId="48259"/>
    <cellStyle name="Percent 4 3 3" xfId="48260"/>
    <cellStyle name="Percent 4 4" xfId="48261"/>
    <cellStyle name="Percent 4 4 2" xfId="48262"/>
    <cellStyle name="Percent 4 4 3" xfId="48263"/>
    <cellStyle name="Percent 4 5" xfId="48264"/>
    <cellStyle name="Percent 4 6" xfId="48265"/>
    <cellStyle name="Percent 4 6 2" xfId="48266"/>
    <cellStyle name="Percent 4 7" xfId="48267"/>
    <cellStyle name="Percent 4 8" xfId="48268"/>
    <cellStyle name="Percent 4_Dakota Panel" xfId="48269"/>
    <cellStyle name="Percent 40" xfId="48270"/>
    <cellStyle name="Percent 40 2" xfId="48271"/>
    <cellStyle name="Percent 40 3" xfId="48272"/>
    <cellStyle name="Percent 41" xfId="48273"/>
    <cellStyle name="Percent 41 2" xfId="48274"/>
    <cellStyle name="Percent 41 3" xfId="48275"/>
    <cellStyle name="Percent 42" xfId="48276"/>
    <cellStyle name="Percent 42 2" xfId="48277"/>
    <cellStyle name="Percent 42 3" xfId="48278"/>
    <cellStyle name="Percent 43" xfId="48279"/>
    <cellStyle name="Percent 43 2" xfId="48280"/>
    <cellStyle name="Percent 43 3" xfId="48281"/>
    <cellStyle name="Percent 44" xfId="48282"/>
    <cellStyle name="Percent 44 2" xfId="48283"/>
    <cellStyle name="Percent 44 3" xfId="48284"/>
    <cellStyle name="Percent 45" xfId="48285"/>
    <cellStyle name="Percent 45 2" xfId="48286"/>
    <cellStyle name="Percent 45 3" xfId="48287"/>
    <cellStyle name="Percent 46" xfId="48288"/>
    <cellStyle name="Percent 46 2" xfId="48289"/>
    <cellStyle name="Percent 46 2 2" xfId="48290"/>
    <cellStyle name="Percent 46 3" xfId="48291"/>
    <cellStyle name="Percent 47" xfId="48292"/>
    <cellStyle name="Percent 47 2" xfId="48293"/>
    <cellStyle name="Percent 47 2 2" xfId="48294"/>
    <cellStyle name="Percent 47 3" xfId="48295"/>
    <cellStyle name="Percent 48" xfId="48296"/>
    <cellStyle name="Percent 48 2" xfId="48297"/>
    <cellStyle name="Percent 48 2 2" xfId="48298"/>
    <cellStyle name="Percent 48 3" xfId="48299"/>
    <cellStyle name="Percent 48_Dakota Panel" xfId="48300"/>
    <cellStyle name="Percent 49" xfId="48301"/>
    <cellStyle name="Percent 49 2" xfId="48302"/>
    <cellStyle name="Percent 49 2 2" xfId="48303"/>
    <cellStyle name="Percent 49 3" xfId="48304"/>
    <cellStyle name="Percent 49_Dakota Panel" xfId="48305"/>
    <cellStyle name="Percent 5" xfId="48306"/>
    <cellStyle name="Percent 5 2" xfId="48307"/>
    <cellStyle name="Percent 5 2 2" xfId="48308"/>
    <cellStyle name="Percent 5 2 2 2" xfId="48309"/>
    <cellStyle name="Percent 5 2 3" xfId="48310"/>
    <cellStyle name="Percent 5 2 4" xfId="48311"/>
    <cellStyle name="Percent 5 2 5" xfId="48312"/>
    <cellStyle name="Percent 5 3" xfId="48313"/>
    <cellStyle name="Percent 5 3 2" xfId="48314"/>
    <cellStyle name="Percent 5 3 3" xfId="48315"/>
    <cellStyle name="Percent 5 4" xfId="48316"/>
    <cellStyle name="Percent 5 5" xfId="48317"/>
    <cellStyle name="Percent 5 5 2" xfId="48318"/>
    <cellStyle name="Percent 5 6" xfId="48319"/>
    <cellStyle name="Percent 5 7" xfId="48320"/>
    <cellStyle name="Percent 5 8" xfId="48321"/>
    <cellStyle name="Percent 5_Dakota Panel" xfId="48322"/>
    <cellStyle name="Percent 50" xfId="48323"/>
    <cellStyle name="Percent 50 2" xfId="48324"/>
    <cellStyle name="Percent 50 2 2" xfId="48325"/>
    <cellStyle name="Percent 50 3" xfId="48326"/>
    <cellStyle name="Percent 50_Dakota Panel" xfId="48327"/>
    <cellStyle name="Percent 51" xfId="48328"/>
    <cellStyle name="Percent 51 2" xfId="48329"/>
    <cellStyle name="Percent 51 2 2" xfId="48330"/>
    <cellStyle name="Percent 51 3" xfId="48331"/>
    <cellStyle name="Percent 51_Dakota Panel" xfId="48332"/>
    <cellStyle name="Percent 52" xfId="48333"/>
    <cellStyle name="Percent 52 2" xfId="48334"/>
    <cellStyle name="Percent 52 2 2" xfId="48335"/>
    <cellStyle name="Percent 52 3" xfId="48336"/>
    <cellStyle name="Percent 52_Dakota Panel" xfId="48337"/>
    <cellStyle name="Percent 53" xfId="48338"/>
    <cellStyle name="Percent 53 2" xfId="48339"/>
    <cellStyle name="Percent 53 2 2" xfId="48340"/>
    <cellStyle name="Percent 53 3" xfId="48341"/>
    <cellStyle name="Percent 53_Dakota Panel" xfId="48342"/>
    <cellStyle name="Percent 54" xfId="48343"/>
    <cellStyle name="Percent 54 2" xfId="48344"/>
    <cellStyle name="Percent 54 3" xfId="48345"/>
    <cellStyle name="Percent 55" xfId="48346"/>
    <cellStyle name="Percent 55 2" xfId="48347"/>
    <cellStyle name="Percent 55 3" xfId="48348"/>
    <cellStyle name="Percent 56" xfId="48349"/>
    <cellStyle name="Percent 56 2" xfId="48350"/>
    <cellStyle name="Percent 56 3" xfId="48351"/>
    <cellStyle name="Percent 57" xfId="48352"/>
    <cellStyle name="Percent 57 2" xfId="48353"/>
    <cellStyle name="Percent 57 2 2" xfId="48354"/>
    <cellStyle name="Percent 57 3" xfId="48355"/>
    <cellStyle name="Percent 57_Dakota Panel" xfId="48356"/>
    <cellStyle name="Percent 58" xfId="48357"/>
    <cellStyle name="Percent 58 10" xfId="48358"/>
    <cellStyle name="Percent 58 2" xfId="48359"/>
    <cellStyle name="Percent 58 2 2" xfId="48360"/>
    <cellStyle name="Percent 58 2 2 2" xfId="48361"/>
    <cellStyle name="Percent 58 2 3" xfId="48362"/>
    <cellStyle name="Percent 58 2 3 2" xfId="48363"/>
    <cellStyle name="Percent 58 2_Dakota Panel" xfId="48364"/>
    <cellStyle name="Percent 58 3" xfId="48365"/>
    <cellStyle name="Percent 58 3 2" xfId="48366"/>
    <cellStyle name="Percent 58 3 2 2" xfId="48367"/>
    <cellStyle name="Percent 58 3 3" xfId="48368"/>
    <cellStyle name="Percent 58 3 4" xfId="48369"/>
    <cellStyle name="Percent 58 4" xfId="48370"/>
    <cellStyle name="Percent 58 4 2" xfId="48371"/>
    <cellStyle name="Percent 58 5" xfId="48372"/>
    <cellStyle name="Percent 58 5 2" xfId="48373"/>
    <cellStyle name="Percent 58 6" xfId="48374"/>
    <cellStyle name="Percent 58 6 2" xfId="48375"/>
    <cellStyle name="Percent 58 7" xfId="48376"/>
    <cellStyle name="Percent 58 7 2" xfId="48377"/>
    <cellStyle name="Percent 58 8" xfId="48378"/>
    <cellStyle name="Percent 58 9" xfId="48379"/>
    <cellStyle name="Percent 58_Dakota Panel" xfId="48380"/>
    <cellStyle name="Percent 59" xfId="48381"/>
    <cellStyle name="Percent 59 10" xfId="48382"/>
    <cellStyle name="Percent 59 2" xfId="48383"/>
    <cellStyle name="Percent 59 2 2" xfId="48384"/>
    <cellStyle name="Percent 59 2 2 2" xfId="48385"/>
    <cellStyle name="Percent 59 2 3" xfId="48386"/>
    <cellStyle name="Percent 59 2 3 2" xfId="48387"/>
    <cellStyle name="Percent 59 2_Dakota Panel" xfId="48388"/>
    <cellStyle name="Percent 59 3" xfId="48389"/>
    <cellStyle name="Percent 59 3 2" xfId="48390"/>
    <cellStyle name="Percent 59 3 2 2" xfId="48391"/>
    <cellStyle name="Percent 59 3 3" xfId="48392"/>
    <cellStyle name="Percent 59 3 4" xfId="48393"/>
    <cellStyle name="Percent 59 4" xfId="48394"/>
    <cellStyle name="Percent 59 4 2" xfId="48395"/>
    <cellStyle name="Percent 59 5" xfId="48396"/>
    <cellStyle name="Percent 59 5 2" xfId="48397"/>
    <cellStyle name="Percent 59 6" xfId="48398"/>
    <cellStyle name="Percent 59 6 2" xfId="48399"/>
    <cellStyle name="Percent 59 7" xfId="48400"/>
    <cellStyle name="Percent 59 7 2" xfId="48401"/>
    <cellStyle name="Percent 59 8" xfId="48402"/>
    <cellStyle name="Percent 59 9" xfId="48403"/>
    <cellStyle name="Percent 59_Dakota Panel" xfId="48404"/>
    <cellStyle name="Percent 6" xfId="48405"/>
    <cellStyle name="Percent 6 2" xfId="48406"/>
    <cellStyle name="Percent 6 2 2" xfId="48407"/>
    <cellStyle name="Percent 6 2 2 2" xfId="48408"/>
    <cellStyle name="Percent 6 2 3" xfId="48409"/>
    <cellStyle name="Percent 6 2 3 2" xfId="48410"/>
    <cellStyle name="Percent 6 2 4" xfId="48411"/>
    <cellStyle name="Percent 6 2 5" xfId="48412"/>
    <cellStyle name="Percent 6 2 6" xfId="48413"/>
    <cellStyle name="Percent 6 3" xfId="48414"/>
    <cellStyle name="Percent 6 3 2" xfId="48415"/>
    <cellStyle name="Percent 6 3 2 2" xfId="48416"/>
    <cellStyle name="Percent 6 3 3" xfId="48417"/>
    <cellStyle name="Percent 6 4" xfId="48418"/>
    <cellStyle name="Percent 6 4 2" xfId="48419"/>
    <cellStyle name="Percent 6 4 2 2" xfId="48420"/>
    <cellStyle name="Percent 6 4 3" xfId="48421"/>
    <cellStyle name="Percent 6 5" xfId="48422"/>
    <cellStyle name="Percent 6 5 2" xfId="48423"/>
    <cellStyle name="Percent 6 5 2 2" xfId="48424"/>
    <cellStyle name="Percent 6 5 3" xfId="48425"/>
    <cellStyle name="Percent 6 6" xfId="48426"/>
    <cellStyle name="Percent 6 6 2" xfId="48427"/>
    <cellStyle name="Percent 6 6 2 2" xfId="48428"/>
    <cellStyle name="Percent 6 6 3" xfId="48429"/>
    <cellStyle name="Percent 6 7" xfId="48430"/>
    <cellStyle name="Percent 6 7 2" xfId="48431"/>
    <cellStyle name="Percent 6 7 3" xfId="48432"/>
    <cellStyle name="Percent 6 8" xfId="48433"/>
    <cellStyle name="Percent 6 9" xfId="48434"/>
    <cellStyle name="Percent 6_Dakota Panel" xfId="48435"/>
    <cellStyle name="Percent 60" xfId="48436"/>
    <cellStyle name="Percent 60 10" xfId="48437"/>
    <cellStyle name="Percent 60 2" xfId="48438"/>
    <cellStyle name="Percent 60 2 2" xfId="48439"/>
    <cellStyle name="Percent 60 2 2 2" xfId="48440"/>
    <cellStyle name="Percent 60 2 3" xfId="48441"/>
    <cellStyle name="Percent 60 2 3 2" xfId="48442"/>
    <cellStyle name="Percent 60 2_Dakota Panel" xfId="48443"/>
    <cellStyle name="Percent 60 3" xfId="48444"/>
    <cellStyle name="Percent 60 3 2" xfId="48445"/>
    <cellStyle name="Percent 60 3 2 2" xfId="48446"/>
    <cellStyle name="Percent 60 3 3" xfId="48447"/>
    <cellStyle name="Percent 60 3 4" xfId="48448"/>
    <cellStyle name="Percent 60 4" xfId="48449"/>
    <cellStyle name="Percent 60 4 2" xfId="48450"/>
    <cellStyle name="Percent 60 5" xfId="48451"/>
    <cellStyle name="Percent 60 5 2" xfId="48452"/>
    <cellStyle name="Percent 60 6" xfId="48453"/>
    <cellStyle name="Percent 60 6 2" xfId="48454"/>
    <cellStyle name="Percent 60 7" xfId="48455"/>
    <cellStyle name="Percent 60 7 2" xfId="48456"/>
    <cellStyle name="Percent 60 8" xfId="48457"/>
    <cellStyle name="Percent 60 9" xfId="48458"/>
    <cellStyle name="Percent 60_Dakota Panel" xfId="48459"/>
    <cellStyle name="Percent 61" xfId="48460"/>
    <cellStyle name="Percent 61 10" xfId="48461"/>
    <cellStyle name="Percent 61 2" xfId="48462"/>
    <cellStyle name="Percent 61 2 2" xfId="48463"/>
    <cellStyle name="Percent 61 2 2 2" xfId="48464"/>
    <cellStyle name="Percent 61 2 3" xfId="48465"/>
    <cellStyle name="Percent 61 2 3 2" xfId="48466"/>
    <cellStyle name="Percent 61 2_Dakota Panel" xfId="48467"/>
    <cellStyle name="Percent 61 3" xfId="48468"/>
    <cellStyle name="Percent 61 3 2" xfId="48469"/>
    <cellStyle name="Percent 61 3 2 2" xfId="48470"/>
    <cellStyle name="Percent 61 3 3" xfId="48471"/>
    <cellStyle name="Percent 61 3 4" xfId="48472"/>
    <cellStyle name="Percent 61 4" xfId="48473"/>
    <cellStyle name="Percent 61 4 2" xfId="48474"/>
    <cellStyle name="Percent 61 5" xfId="48475"/>
    <cellStyle name="Percent 61 5 2" xfId="48476"/>
    <cellStyle name="Percent 61 6" xfId="48477"/>
    <cellStyle name="Percent 61 6 2" xfId="48478"/>
    <cellStyle name="Percent 61 7" xfId="48479"/>
    <cellStyle name="Percent 61 7 2" xfId="48480"/>
    <cellStyle name="Percent 61 8" xfId="48481"/>
    <cellStyle name="Percent 61 9" xfId="48482"/>
    <cellStyle name="Percent 61_Dakota Panel" xfId="48483"/>
    <cellStyle name="Percent 62" xfId="48484"/>
    <cellStyle name="Percent 62 10" xfId="48485"/>
    <cellStyle name="Percent 62 2" xfId="48486"/>
    <cellStyle name="Percent 62 2 2" xfId="48487"/>
    <cellStyle name="Percent 62 2 2 2" xfId="48488"/>
    <cellStyle name="Percent 62 2 3" xfId="48489"/>
    <cellStyle name="Percent 62 2 3 2" xfId="48490"/>
    <cellStyle name="Percent 62 2_Dakota Panel" xfId="48491"/>
    <cellStyle name="Percent 62 3" xfId="48492"/>
    <cellStyle name="Percent 62 3 2" xfId="48493"/>
    <cellStyle name="Percent 62 3 2 2" xfId="48494"/>
    <cellStyle name="Percent 62 3 3" xfId="48495"/>
    <cellStyle name="Percent 62 3 4" xfId="48496"/>
    <cellStyle name="Percent 62 4" xfId="48497"/>
    <cellStyle name="Percent 62 4 2" xfId="48498"/>
    <cellStyle name="Percent 62 5" xfId="48499"/>
    <cellStyle name="Percent 62 5 2" xfId="48500"/>
    <cellStyle name="Percent 62 6" xfId="48501"/>
    <cellStyle name="Percent 62 6 2" xfId="48502"/>
    <cellStyle name="Percent 62 7" xfId="48503"/>
    <cellStyle name="Percent 62 7 2" xfId="48504"/>
    <cellStyle name="Percent 62 8" xfId="48505"/>
    <cellStyle name="Percent 62 9" xfId="48506"/>
    <cellStyle name="Percent 62_Dakota Panel" xfId="48507"/>
    <cellStyle name="Percent 63" xfId="48508"/>
    <cellStyle name="Percent 63 2" xfId="48509"/>
    <cellStyle name="Percent 63 2 2" xfId="48510"/>
    <cellStyle name="Percent 63 3" xfId="48511"/>
    <cellStyle name="Percent 63 4" xfId="48512"/>
    <cellStyle name="Percent 63_Dakota Panel" xfId="48513"/>
    <cellStyle name="Percent 64" xfId="48514"/>
    <cellStyle name="Percent 64 2" xfId="48515"/>
    <cellStyle name="Percent 64 2 2" xfId="48516"/>
    <cellStyle name="Percent 64 3" xfId="48517"/>
    <cellStyle name="Percent 64 4" xfId="48518"/>
    <cellStyle name="Percent 64_Dakota Panel" xfId="48519"/>
    <cellStyle name="Percent 65" xfId="48520"/>
    <cellStyle name="Percent 65 2" xfId="48521"/>
    <cellStyle name="Percent 65 2 2" xfId="48522"/>
    <cellStyle name="Percent 65 2 2 2" xfId="48523"/>
    <cellStyle name="Percent 65 2 2 2 2" xfId="48524"/>
    <cellStyle name="Percent 65 2 2 3" xfId="48525"/>
    <cellStyle name="Percent 65 2 3" xfId="48526"/>
    <cellStyle name="Percent 65 2 3 2" xfId="48527"/>
    <cellStyle name="Percent 65 2 4" xfId="48528"/>
    <cellStyle name="Percent 65 2 5" xfId="48529"/>
    <cellStyle name="Percent 65 3" xfId="48530"/>
    <cellStyle name="Percent 65 3 2" xfId="48531"/>
    <cellStyle name="Percent 65 3 3" xfId="48532"/>
    <cellStyle name="Percent 65 3 3 2" xfId="48533"/>
    <cellStyle name="Percent 65 3 4" xfId="48534"/>
    <cellStyle name="Percent 65 3 5" xfId="48535"/>
    <cellStyle name="Percent 65 4" xfId="48536"/>
    <cellStyle name="Percent 65 4 2" xfId="48537"/>
    <cellStyle name="Percent 65 4 2 2" xfId="48538"/>
    <cellStyle name="Percent 65 4 3" xfId="48539"/>
    <cellStyle name="Percent 65 4 4" xfId="48540"/>
    <cellStyle name="Percent 65 5" xfId="48541"/>
    <cellStyle name="Percent 65 6" xfId="48542"/>
    <cellStyle name="Percent 65 6 2" xfId="48543"/>
    <cellStyle name="Percent 65 7" xfId="48544"/>
    <cellStyle name="Percent 65 8" xfId="48545"/>
    <cellStyle name="Percent 65 9" xfId="48546"/>
    <cellStyle name="Percent 65_Dakota Panel" xfId="48547"/>
    <cellStyle name="Percent 66" xfId="48548"/>
    <cellStyle name="Percent 66 2" xfId="48549"/>
    <cellStyle name="Percent 66 3" xfId="48550"/>
    <cellStyle name="Percent 66 4" xfId="48551"/>
    <cellStyle name="Percent 66_Dakota Panel" xfId="48552"/>
    <cellStyle name="Percent 67" xfId="48553"/>
    <cellStyle name="Percent 67 2" xfId="48554"/>
    <cellStyle name="Percent 67 3" xfId="48555"/>
    <cellStyle name="Percent 67 4" xfId="48556"/>
    <cellStyle name="Percent 67_Dakota Panel" xfId="48557"/>
    <cellStyle name="Percent 68" xfId="48558"/>
    <cellStyle name="Percent 68 2" xfId="48559"/>
    <cellStyle name="Percent 68 2 2" xfId="48560"/>
    <cellStyle name="Percent 68 2 2 2" xfId="48561"/>
    <cellStyle name="Percent 68 2 2 2 2" xfId="48562"/>
    <cellStyle name="Percent 68 2 2 3" xfId="48563"/>
    <cellStyle name="Percent 68 2 3" xfId="48564"/>
    <cellStyle name="Percent 68 2 3 2" xfId="48565"/>
    <cellStyle name="Percent 68 2 4" xfId="48566"/>
    <cellStyle name="Percent 68 2 5" xfId="48567"/>
    <cellStyle name="Percent 68 3" xfId="48568"/>
    <cellStyle name="Percent 68 3 2" xfId="48569"/>
    <cellStyle name="Percent 68 3 3" xfId="48570"/>
    <cellStyle name="Percent 68 3 3 2" xfId="48571"/>
    <cellStyle name="Percent 68 3 4" xfId="48572"/>
    <cellStyle name="Percent 68 3 5" xfId="48573"/>
    <cellStyle name="Percent 68 4" xfId="48574"/>
    <cellStyle name="Percent 68 4 2" xfId="48575"/>
    <cellStyle name="Percent 68 4 2 2" xfId="48576"/>
    <cellStyle name="Percent 68 4 3" xfId="48577"/>
    <cellStyle name="Percent 68 4 4" xfId="48578"/>
    <cellStyle name="Percent 68 5" xfId="48579"/>
    <cellStyle name="Percent 68 6" xfId="48580"/>
    <cellStyle name="Percent 68 6 2" xfId="48581"/>
    <cellStyle name="Percent 68 7" xfId="48582"/>
    <cellStyle name="Percent 68 8" xfId="48583"/>
    <cellStyle name="Percent 68 9" xfId="48584"/>
    <cellStyle name="Percent 68_Dakota Panel" xfId="48585"/>
    <cellStyle name="Percent 69" xfId="48586"/>
    <cellStyle name="Percent 69 2" xfId="48587"/>
    <cellStyle name="Percent 69 2 2" xfId="48588"/>
    <cellStyle name="Percent 69 2 2 2" xfId="48589"/>
    <cellStyle name="Percent 69 2 2 2 2" xfId="48590"/>
    <cellStyle name="Percent 69 2 2 3" xfId="48591"/>
    <cellStyle name="Percent 69 2 3" xfId="48592"/>
    <cellStyle name="Percent 69 2 3 2" xfId="48593"/>
    <cellStyle name="Percent 69 2 4" xfId="48594"/>
    <cellStyle name="Percent 69 2 5" xfId="48595"/>
    <cellStyle name="Percent 69 3" xfId="48596"/>
    <cellStyle name="Percent 69 3 2" xfId="48597"/>
    <cellStyle name="Percent 69 3 3" xfId="48598"/>
    <cellStyle name="Percent 69 3 3 2" xfId="48599"/>
    <cellStyle name="Percent 69 3 4" xfId="48600"/>
    <cellStyle name="Percent 69 3 5" xfId="48601"/>
    <cellStyle name="Percent 69 4" xfId="48602"/>
    <cellStyle name="Percent 69 4 2" xfId="48603"/>
    <cellStyle name="Percent 69 4 2 2" xfId="48604"/>
    <cellStyle name="Percent 69 4 3" xfId="48605"/>
    <cellStyle name="Percent 69 4 4" xfId="48606"/>
    <cellStyle name="Percent 69 5" xfId="48607"/>
    <cellStyle name="Percent 69 6" xfId="48608"/>
    <cellStyle name="Percent 69 6 2" xfId="48609"/>
    <cellStyle name="Percent 69 7" xfId="48610"/>
    <cellStyle name="Percent 69 8" xfId="48611"/>
    <cellStyle name="Percent 69 9" xfId="48612"/>
    <cellStyle name="Percent 69_Dakota Panel" xfId="48613"/>
    <cellStyle name="Percent 7" xfId="48614"/>
    <cellStyle name="Percent 7 2" xfId="48615"/>
    <cellStyle name="Percent 7 2 2" xfId="48616"/>
    <cellStyle name="Percent 7 2 2 2" xfId="48617"/>
    <cellStyle name="Percent 7 2 3" xfId="48618"/>
    <cellStyle name="Percent 7 2 4" xfId="48619"/>
    <cellStyle name="Percent 7 2 5" xfId="48620"/>
    <cellStyle name="Percent 7 3" xfId="48621"/>
    <cellStyle name="Percent 7 4" xfId="48622"/>
    <cellStyle name="Percent 7 4 2" xfId="48623"/>
    <cellStyle name="Percent 7 5" xfId="48624"/>
    <cellStyle name="Percent 7 6" xfId="48625"/>
    <cellStyle name="Percent 7 7" xfId="48626"/>
    <cellStyle name="Percent 7 8" xfId="48627"/>
    <cellStyle name="Percent 7_Dakota Panel" xfId="48628"/>
    <cellStyle name="Percent 70" xfId="48629"/>
    <cellStyle name="Percent 70 2" xfId="48630"/>
    <cellStyle name="Percent 70 2 2" xfId="48631"/>
    <cellStyle name="Percent 70 2 2 2" xfId="48632"/>
    <cellStyle name="Percent 70 2 2 2 2" xfId="48633"/>
    <cellStyle name="Percent 70 2 2 3" xfId="48634"/>
    <cellStyle name="Percent 70 2 3" xfId="48635"/>
    <cellStyle name="Percent 70 2 3 2" xfId="48636"/>
    <cellStyle name="Percent 70 2 4" xfId="48637"/>
    <cellStyle name="Percent 70 2 5" xfId="48638"/>
    <cellStyle name="Percent 70 3" xfId="48639"/>
    <cellStyle name="Percent 70 3 2" xfId="48640"/>
    <cellStyle name="Percent 70 3 3" xfId="48641"/>
    <cellStyle name="Percent 70 3 3 2" xfId="48642"/>
    <cellStyle name="Percent 70 3 4" xfId="48643"/>
    <cellStyle name="Percent 70 3 5" xfId="48644"/>
    <cellStyle name="Percent 70 4" xfId="48645"/>
    <cellStyle name="Percent 70 4 2" xfId="48646"/>
    <cellStyle name="Percent 70 4 2 2" xfId="48647"/>
    <cellStyle name="Percent 70 4 3" xfId="48648"/>
    <cellStyle name="Percent 70 4 4" xfId="48649"/>
    <cellStyle name="Percent 70 5" xfId="48650"/>
    <cellStyle name="Percent 70 6" xfId="48651"/>
    <cellStyle name="Percent 70 6 2" xfId="48652"/>
    <cellStyle name="Percent 70 7" xfId="48653"/>
    <cellStyle name="Percent 70 8" xfId="48654"/>
    <cellStyle name="Percent 70 9" xfId="48655"/>
    <cellStyle name="Percent 70_Dakota Panel" xfId="48656"/>
    <cellStyle name="Percent 71" xfId="48657"/>
    <cellStyle name="Percent 71 2" xfId="48658"/>
    <cellStyle name="Percent 71 2 2" xfId="48659"/>
    <cellStyle name="Percent 71 2 2 2" xfId="48660"/>
    <cellStyle name="Percent 71 2 2 2 2" xfId="48661"/>
    <cellStyle name="Percent 71 2 2 3" xfId="48662"/>
    <cellStyle name="Percent 71 2 3" xfId="48663"/>
    <cellStyle name="Percent 71 2 3 2" xfId="48664"/>
    <cellStyle name="Percent 71 2 4" xfId="48665"/>
    <cellStyle name="Percent 71 2 5" xfId="48666"/>
    <cellStyle name="Percent 71 3" xfId="48667"/>
    <cellStyle name="Percent 71 3 2" xfId="48668"/>
    <cellStyle name="Percent 71 3 3" xfId="48669"/>
    <cellStyle name="Percent 71 3 3 2" xfId="48670"/>
    <cellStyle name="Percent 71 3 4" xfId="48671"/>
    <cellStyle name="Percent 71 3 5" xfId="48672"/>
    <cellStyle name="Percent 71 4" xfId="48673"/>
    <cellStyle name="Percent 71 4 2" xfId="48674"/>
    <cellStyle name="Percent 71 4 2 2" xfId="48675"/>
    <cellStyle name="Percent 71 4 3" xfId="48676"/>
    <cellStyle name="Percent 71 4 4" xfId="48677"/>
    <cellStyle name="Percent 71 5" xfId="48678"/>
    <cellStyle name="Percent 71 6" xfId="48679"/>
    <cellStyle name="Percent 71 6 2" xfId="48680"/>
    <cellStyle name="Percent 71 7" xfId="48681"/>
    <cellStyle name="Percent 71 8" xfId="48682"/>
    <cellStyle name="Percent 71 9" xfId="48683"/>
    <cellStyle name="Percent 71_Dakota Panel" xfId="48684"/>
    <cellStyle name="Percent 72" xfId="48685"/>
    <cellStyle name="Percent 72 2" xfId="48686"/>
    <cellStyle name="Percent 72 2 2" xfId="48687"/>
    <cellStyle name="Percent 72 2 2 2" xfId="48688"/>
    <cellStyle name="Percent 72 2 2 2 2" xfId="48689"/>
    <cellStyle name="Percent 72 2 2 3" xfId="48690"/>
    <cellStyle name="Percent 72 2 3" xfId="48691"/>
    <cellStyle name="Percent 72 2 3 2" xfId="48692"/>
    <cellStyle name="Percent 72 2 4" xfId="48693"/>
    <cellStyle name="Percent 72 2 5" xfId="48694"/>
    <cellStyle name="Percent 72 3" xfId="48695"/>
    <cellStyle name="Percent 72 3 2" xfId="48696"/>
    <cellStyle name="Percent 72 3 3" xfId="48697"/>
    <cellStyle name="Percent 72 3 3 2" xfId="48698"/>
    <cellStyle name="Percent 72 3 4" xfId="48699"/>
    <cellStyle name="Percent 72 3 5" xfId="48700"/>
    <cellStyle name="Percent 72 4" xfId="48701"/>
    <cellStyle name="Percent 72 4 2" xfId="48702"/>
    <cellStyle name="Percent 72 4 2 2" xfId="48703"/>
    <cellStyle name="Percent 72 4 3" xfId="48704"/>
    <cellStyle name="Percent 72 4 4" xfId="48705"/>
    <cellStyle name="Percent 72 5" xfId="48706"/>
    <cellStyle name="Percent 72 6" xfId="48707"/>
    <cellStyle name="Percent 72 6 2" xfId="48708"/>
    <cellStyle name="Percent 72 7" xfId="48709"/>
    <cellStyle name="Percent 72 8" xfId="48710"/>
    <cellStyle name="Percent 72 9" xfId="48711"/>
    <cellStyle name="Percent 72_Dakota Panel" xfId="48712"/>
    <cellStyle name="Percent 73" xfId="48713"/>
    <cellStyle name="Percent 73 2" xfId="48714"/>
    <cellStyle name="Percent 73 2 2" xfId="48715"/>
    <cellStyle name="Percent 73 2 2 2" xfId="48716"/>
    <cellStyle name="Percent 73 2 2 2 2" xfId="48717"/>
    <cellStyle name="Percent 73 2 2 3" xfId="48718"/>
    <cellStyle name="Percent 73 2 3" xfId="48719"/>
    <cellStyle name="Percent 73 2 3 2" xfId="48720"/>
    <cellStyle name="Percent 73 2 4" xfId="48721"/>
    <cellStyle name="Percent 73 2 5" xfId="48722"/>
    <cellStyle name="Percent 73 3" xfId="48723"/>
    <cellStyle name="Percent 73 3 2" xfId="48724"/>
    <cellStyle name="Percent 73 3 3" xfId="48725"/>
    <cellStyle name="Percent 73 3 3 2" xfId="48726"/>
    <cellStyle name="Percent 73 3 4" xfId="48727"/>
    <cellStyle name="Percent 73 3 5" xfId="48728"/>
    <cellStyle name="Percent 73 4" xfId="48729"/>
    <cellStyle name="Percent 73 4 2" xfId="48730"/>
    <cellStyle name="Percent 73 4 2 2" xfId="48731"/>
    <cellStyle name="Percent 73 4 3" xfId="48732"/>
    <cellStyle name="Percent 73 4 4" xfId="48733"/>
    <cellStyle name="Percent 73 5" xfId="48734"/>
    <cellStyle name="Percent 73 6" xfId="48735"/>
    <cellStyle name="Percent 73 6 2" xfId="48736"/>
    <cellStyle name="Percent 73 7" xfId="48737"/>
    <cellStyle name="Percent 73 8" xfId="48738"/>
    <cellStyle name="Percent 73 9" xfId="48739"/>
    <cellStyle name="Percent 73_Dakota Panel" xfId="48740"/>
    <cellStyle name="Percent 74" xfId="48741"/>
    <cellStyle name="Percent 74 2" xfId="48742"/>
    <cellStyle name="Percent 74 3" xfId="48743"/>
    <cellStyle name="Percent 74_Dakota Panel" xfId="48744"/>
    <cellStyle name="Percent 75" xfId="48745"/>
    <cellStyle name="Percent 75 2" xfId="48746"/>
    <cellStyle name="Percent 75_Dakota Panel" xfId="48747"/>
    <cellStyle name="Percent 76" xfId="48748"/>
    <cellStyle name="Percent 76 2" xfId="48749"/>
    <cellStyle name="Percent 76_Dakota Panel" xfId="48750"/>
    <cellStyle name="Percent 77" xfId="48751"/>
    <cellStyle name="Percent 77 2" xfId="48752"/>
    <cellStyle name="Percent 77_Dakota Panel" xfId="48753"/>
    <cellStyle name="Percent 78" xfId="48754"/>
    <cellStyle name="Percent 78 2" xfId="48755"/>
    <cellStyle name="Percent 78_Dakota Panel" xfId="48756"/>
    <cellStyle name="Percent 79" xfId="48757"/>
    <cellStyle name="Percent 79 2" xfId="48758"/>
    <cellStyle name="Percent 79_Dakota Panel" xfId="48759"/>
    <cellStyle name="Percent 8" xfId="48760"/>
    <cellStyle name="Percent 8 2" xfId="48761"/>
    <cellStyle name="Percent 8 2 2" xfId="48762"/>
    <cellStyle name="Percent 8 2 3" xfId="48763"/>
    <cellStyle name="Percent 8 3" xfId="48764"/>
    <cellStyle name="Percent 8 3 2" xfId="48765"/>
    <cellStyle name="Percent 8 3 3" xfId="48766"/>
    <cellStyle name="Percent 8 4" xfId="48767"/>
    <cellStyle name="Percent 8 4 2" xfId="48768"/>
    <cellStyle name="Percent 8 5" xfId="48769"/>
    <cellStyle name="Percent 8 5 2" xfId="48770"/>
    <cellStyle name="Percent 8 6" xfId="48771"/>
    <cellStyle name="Percent 8 7" xfId="48772"/>
    <cellStyle name="Percent 8 8" xfId="48773"/>
    <cellStyle name="Percent 8_Dakota Panel" xfId="48774"/>
    <cellStyle name="Percent 80" xfId="48775"/>
    <cellStyle name="Percent 80 2" xfId="48776"/>
    <cellStyle name="Percent 80_Dakota Panel" xfId="48777"/>
    <cellStyle name="Percent 81" xfId="48778"/>
    <cellStyle name="Percent 81 2" xfId="48779"/>
    <cellStyle name="Percent 81_Dakota Panel" xfId="48780"/>
    <cellStyle name="Percent 82" xfId="48781"/>
    <cellStyle name="Percent 82 2" xfId="48782"/>
    <cellStyle name="Percent 82_Dakota Panel" xfId="48783"/>
    <cellStyle name="Percent 83" xfId="48784"/>
    <cellStyle name="Percent 83 2" xfId="48785"/>
    <cellStyle name="Percent 83_Dakota Panel" xfId="48786"/>
    <cellStyle name="Percent 84" xfId="48787"/>
    <cellStyle name="Percent 84 2" xfId="48788"/>
    <cellStyle name="Percent 84_Dakota Panel" xfId="48789"/>
    <cellStyle name="Percent 85" xfId="48790"/>
    <cellStyle name="Percent 85 2" xfId="48791"/>
    <cellStyle name="Percent 85_Dakota Panel" xfId="48792"/>
    <cellStyle name="Percent 86" xfId="48793"/>
    <cellStyle name="Percent 86 2" xfId="48794"/>
    <cellStyle name="Percent 86_Dakota Panel" xfId="48795"/>
    <cellStyle name="Percent 87" xfId="48796"/>
    <cellStyle name="Percent 87 2" xfId="48797"/>
    <cellStyle name="Percent 87_Dakota Panel" xfId="48798"/>
    <cellStyle name="Percent 88" xfId="48799"/>
    <cellStyle name="Percent 88 2" xfId="48800"/>
    <cellStyle name="Percent 88_Dakota Panel" xfId="48801"/>
    <cellStyle name="Percent 89" xfId="48802"/>
    <cellStyle name="Percent 89 2" xfId="48803"/>
    <cellStyle name="Percent 89_Dakota Panel" xfId="48804"/>
    <cellStyle name="Percent 9" xfId="48805"/>
    <cellStyle name="Percent 9 2" xfId="48806"/>
    <cellStyle name="Percent 9 2 2" xfId="48807"/>
    <cellStyle name="Percent 9 2 3" xfId="48808"/>
    <cellStyle name="Percent 9 3" xfId="48809"/>
    <cellStyle name="Percent 9 3 2" xfId="48810"/>
    <cellStyle name="Percent 9 3 3" xfId="48811"/>
    <cellStyle name="Percent 9 4" xfId="48812"/>
    <cellStyle name="Percent 9 4 2" xfId="48813"/>
    <cellStyle name="Percent 9 5" xfId="48814"/>
    <cellStyle name="Percent 9 5 2" xfId="48815"/>
    <cellStyle name="Percent 9 6" xfId="48816"/>
    <cellStyle name="Percent 9 7" xfId="48817"/>
    <cellStyle name="Percent 9 8" xfId="48818"/>
    <cellStyle name="Percent 9_Dakota Panel" xfId="48819"/>
    <cellStyle name="Percent 90" xfId="48820"/>
    <cellStyle name="Percent 90 2" xfId="48821"/>
    <cellStyle name="Percent 90_Dakota Panel" xfId="48822"/>
    <cellStyle name="Percent 91" xfId="48823"/>
    <cellStyle name="Percent 91 2" xfId="48824"/>
    <cellStyle name="Percent 91_Dakota Panel" xfId="48825"/>
    <cellStyle name="Percent 92" xfId="48826"/>
    <cellStyle name="Percent 92 2" xfId="48827"/>
    <cellStyle name="Percent 92_Dakota Panel" xfId="48828"/>
    <cellStyle name="Percent 93" xfId="48829"/>
    <cellStyle name="Percent 93 2" xfId="48830"/>
    <cellStyle name="Percent 93_Dakota Panel" xfId="48831"/>
    <cellStyle name="Percent 94" xfId="48832"/>
    <cellStyle name="Percent 94 2" xfId="48833"/>
    <cellStyle name="Percent 94_Dakota Panel" xfId="48834"/>
    <cellStyle name="Percent 95" xfId="48835"/>
    <cellStyle name="Percent 95 2" xfId="48836"/>
    <cellStyle name="Percent 95_Dakota Panel" xfId="48837"/>
    <cellStyle name="Percent 96" xfId="48838"/>
    <cellStyle name="Percent 96 2" xfId="48839"/>
    <cellStyle name="Percent 96_Dakota Panel" xfId="48840"/>
    <cellStyle name="Percent 97" xfId="48841"/>
    <cellStyle name="Percent 97 2" xfId="48842"/>
    <cellStyle name="Percent 97_Dakota Panel" xfId="48843"/>
    <cellStyle name="Percent 98" xfId="48844"/>
    <cellStyle name="Percent 98 2" xfId="48845"/>
    <cellStyle name="Percent 98_Dakota Panel" xfId="48846"/>
    <cellStyle name="Percent 99" xfId="48847"/>
    <cellStyle name="Percent 99 2" xfId="48848"/>
    <cellStyle name="Percent 99_Dakota Panel" xfId="48849"/>
    <cellStyle name="Percent(1)" xfId="48850"/>
    <cellStyle name="Percent(1) 2" xfId="48851"/>
    <cellStyle name="Percent(1) 2 2" xfId="48852"/>
    <cellStyle name="Percent(1) 3" xfId="48853"/>
    <cellStyle name="Period" xfId="48854"/>
    <cellStyle name="PrePop Currency (0)" xfId="48855"/>
    <cellStyle name="PrePop Currency (2)" xfId="48856"/>
    <cellStyle name="PrePop Units (0)" xfId="48857"/>
    <cellStyle name="PrePop Units (1)" xfId="48858"/>
    <cellStyle name="PrePop Units (2)" xfId="48859"/>
    <cellStyle name="Price" xfId="48860"/>
    <cellStyle name="Price  .00" xfId="48861"/>
    <cellStyle name="Price 10" xfId="48862"/>
    <cellStyle name="Price 11" xfId="48863"/>
    <cellStyle name="Price 12" xfId="48864"/>
    <cellStyle name="Price 13" xfId="48865"/>
    <cellStyle name="Price 14" xfId="48866"/>
    <cellStyle name="Price 15" xfId="48867"/>
    <cellStyle name="Price 16" xfId="48868"/>
    <cellStyle name="Price 17" xfId="48869"/>
    <cellStyle name="Price 18" xfId="48870"/>
    <cellStyle name="Price 2" xfId="48871"/>
    <cellStyle name="Price 3" xfId="48872"/>
    <cellStyle name="Price 4" xfId="48873"/>
    <cellStyle name="Price 5" xfId="48874"/>
    <cellStyle name="Price 6" xfId="48875"/>
    <cellStyle name="Price 7" xfId="48876"/>
    <cellStyle name="Price 8" xfId="48877"/>
    <cellStyle name="Price 9" xfId="48878"/>
    <cellStyle name="PROJ_NUM" xfId="48879"/>
    <cellStyle name="PSChar" xfId="48880"/>
    <cellStyle name="PSChar 10" xfId="48881"/>
    <cellStyle name="PSChar 10 2" xfId="48882"/>
    <cellStyle name="PSChar 2" xfId="48883"/>
    <cellStyle name="PSChar 2 2" xfId="48884"/>
    <cellStyle name="PSChar 2 2 2" xfId="48885"/>
    <cellStyle name="PSChar 2 2 2 2" xfId="48886"/>
    <cellStyle name="PSChar 2 2 3" xfId="48887"/>
    <cellStyle name="PSChar 2 3" xfId="48888"/>
    <cellStyle name="PSChar 2 3 2" xfId="48889"/>
    <cellStyle name="PSChar 2 4" xfId="48890"/>
    <cellStyle name="PSChar 2 4 2" xfId="48891"/>
    <cellStyle name="PSChar 2 5" xfId="48892"/>
    <cellStyle name="PSChar 2 6" xfId="48893"/>
    <cellStyle name="PSChar 2 7" xfId="48894"/>
    <cellStyle name="PSChar 2_Dakota Panel" xfId="48895"/>
    <cellStyle name="PSChar 3" xfId="48896"/>
    <cellStyle name="PSChar 3 2" xfId="48897"/>
    <cellStyle name="PSChar 3 2 2" xfId="48898"/>
    <cellStyle name="PSChar 3 3" xfId="48899"/>
    <cellStyle name="PSChar 3 3 2" xfId="48900"/>
    <cellStyle name="PSChar 3 4" xfId="48901"/>
    <cellStyle name="PSChar 3 5" xfId="48902"/>
    <cellStyle name="PSChar 4" xfId="48903"/>
    <cellStyle name="PSChar 4 2" xfId="48904"/>
    <cellStyle name="PSChar 4 2 2" xfId="48905"/>
    <cellStyle name="PSChar 4 3" xfId="48906"/>
    <cellStyle name="PSChar 4 3 2" xfId="48907"/>
    <cellStyle name="PSChar 4 4" xfId="48908"/>
    <cellStyle name="PSChar 5" xfId="48909"/>
    <cellStyle name="PSChar 5 2" xfId="48910"/>
    <cellStyle name="PSChar 6" xfId="48911"/>
    <cellStyle name="PSChar 6 2" xfId="48912"/>
    <cellStyle name="PSChar 7" xfId="48913"/>
    <cellStyle name="PSChar 7 2" xfId="48914"/>
    <cellStyle name="PSChar 8" xfId="48915"/>
    <cellStyle name="PSChar 8 2" xfId="48916"/>
    <cellStyle name="PSChar 9" xfId="48917"/>
    <cellStyle name="PSChar 9 2" xfId="48918"/>
    <cellStyle name="PSChar_Dakota Panel" xfId="48919"/>
    <cellStyle name="PSDate" xfId="48920"/>
    <cellStyle name="PSDate 10" xfId="48921"/>
    <cellStyle name="PSDate 10 2" xfId="48922"/>
    <cellStyle name="PSDate 2" xfId="48923"/>
    <cellStyle name="PSDate 2 2" xfId="48924"/>
    <cellStyle name="PSDate 2 2 2" xfId="48925"/>
    <cellStyle name="PSDate 2 2 3" xfId="48926"/>
    <cellStyle name="PSDate 2 3" xfId="48927"/>
    <cellStyle name="PSDate 2 3 2" xfId="48928"/>
    <cellStyle name="PSDate 2 4" xfId="48929"/>
    <cellStyle name="PSDate 2 4 2" xfId="48930"/>
    <cellStyle name="PSDate 2 5" xfId="48931"/>
    <cellStyle name="PSDate 2 6" xfId="48932"/>
    <cellStyle name="PSDate 2 7" xfId="48933"/>
    <cellStyle name="PSDate 3" xfId="48934"/>
    <cellStyle name="PSDate 3 2" xfId="48935"/>
    <cellStyle name="PSDate 3 2 2" xfId="48936"/>
    <cellStyle name="PSDate 3 3" xfId="48937"/>
    <cellStyle name="PSDate 3 3 2" xfId="48938"/>
    <cellStyle name="PSDate 3 4" xfId="48939"/>
    <cellStyle name="PSDate 4" xfId="48940"/>
    <cellStyle name="PSDate 4 2" xfId="48941"/>
    <cellStyle name="PSDate 4 2 2" xfId="48942"/>
    <cellStyle name="PSDate 4 3" xfId="48943"/>
    <cellStyle name="PSDate 4 3 2" xfId="48944"/>
    <cellStyle name="PSDate 4 4" xfId="48945"/>
    <cellStyle name="PSDate 5" xfId="48946"/>
    <cellStyle name="PSDate 5 2" xfId="48947"/>
    <cellStyle name="PSDate 6" xfId="48948"/>
    <cellStyle name="PSDate 6 2" xfId="48949"/>
    <cellStyle name="PSDate 7" xfId="48950"/>
    <cellStyle name="PSDate 7 2" xfId="48951"/>
    <cellStyle name="PSDate 8" xfId="48952"/>
    <cellStyle name="PSDate 8 2" xfId="48953"/>
    <cellStyle name="PSDate 9" xfId="48954"/>
    <cellStyle name="PSDate 9 2" xfId="48955"/>
    <cellStyle name="PSDate_Dakota Panel" xfId="48956"/>
    <cellStyle name="PSDec" xfId="48957"/>
    <cellStyle name="PSDec 10" xfId="48958"/>
    <cellStyle name="PSDec 10 2" xfId="48959"/>
    <cellStyle name="PSDec 2" xfId="48960"/>
    <cellStyle name="PSDec 2 2" xfId="48961"/>
    <cellStyle name="PSDec 2 2 2" xfId="48962"/>
    <cellStyle name="PSDec 2 2 3" xfId="48963"/>
    <cellStyle name="PSDec 2 3" xfId="48964"/>
    <cellStyle name="PSDec 2 3 2" xfId="48965"/>
    <cellStyle name="PSDec 2 4" xfId="48966"/>
    <cellStyle name="PSDec 2 4 2" xfId="48967"/>
    <cellStyle name="PSDec 2 5" xfId="48968"/>
    <cellStyle name="PSDec 2 6" xfId="48969"/>
    <cellStyle name="PSDec 2 7" xfId="48970"/>
    <cellStyle name="PSDec 3" xfId="48971"/>
    <cellStyle name="PSDec 3 2" xfId="48972"/>
    <cellStyle name="PSDec 3 2 2" xfId="48973"/>
    <cellStyle name="PSDec 3 3" xfId="48974"/>
    <cellStyle name="PSDec 3 3 2" xfId="48975"/>
    <cellStyle name="PSDec 3 4" xfId="48976"/>
    <cellStyle name="PSDec 4" xfId="48977"/>
    <cellStyle name="PSDec 4 2" xfId="48978"/>
    <cellStyle name="PSDec 4 2 2" xfId="48979"/>
    <cellStyle name="PSDec 4 3" xfId="48980"/>
    <cellStyle name="PSDec 4 3 2" xfId="48981"/>
    <cellStyle name="PSDec 4 4" xfId="48982"/>
    <cellStyle name="PSDec 5" xfId="48983"/>
    <cellStyle name="PSDec 5 2" xfId="48984"/>
    <cellStyle name="PSDec 6" xfId="48985"/>
    <cellStyle name="PSDec 6 2" xfId="48986"/>
    <cellStyle name="PSDec 7" xfId="48987"/>
    <cellStyle name="PSDec 7 2" xfId="48988"/>
    <cellStyle name="PSDec 8" xfId="48989"/>
    <cellStyle name="PSDec 8 2" xfId="48990"/>
    <cellStyle name="PSDec 9" xfId="48991"/>
    <cellStyle name="PSDec 9 2" xfId="48992"/>
    <cellStyle name="PSDec_Dakota Panel" xfId="48993"/>
    <cellStyle name="PSHeading" xfId="48994"/>
    <cellStyle name="PSHeading 10" xfId="48995"/>
    <cellStyle name="PSHeading 10 2" xfId="48996"/>
    <cellStyle name="PSHeading 2" xfId="48997"/>
    <cellStyle name="PSHeading 2 10" xfId="48998"/>
    <cellStyle name="PSHeading 2 11" xfId="48999"/>
    <cellStyle name="PSHeading 2 2" xfId="49000"/>
    <cellStyle name="PSHeading 2 2 2" xfId="49001"/>
    <cellStyle name="PSHeading 2 2 2 2" xfId="49002"/>
    <cellStyle name="PSHeading 2 2 2 3" xfId="49003"/>
    <cellStyle name="PSHeading 2 2 3" xfId="49004"/>
    <cellStyle name="PSHeading 2 2 3 2" xfId="49005"/>
    <cellStyle name="PSHeading 2 2 3 3" xfId="49006"/>
    <cellStyle name="PSHeading 2 2 4" xfId="49007"/>
    <cellStyle name="PSHeading 2 2 4 2" xfId="49008"/>
    <cellStyle name="PSHeading 2 2 4 3" xfId="49009"/>
    <cellStyle name="PSHeading 2 2 5" xfId="49010"/>
    <cellStyle name="PSHeading 2 2 6" xfId="49011"/>
    <cellStyle name="PSHeading 2 2_Dakota Panel" xfId="49012"/>
    <cellStyle name="PSHeading 2 3" xfId="49013"/>
    <cellStyle name="PSHeading 2 3 2" xfId="49014"/>
    <cellStyle name="PSHeading 2 3 2 2" xfId="49015"/>
    <cellStyle name="PSHeading 2 3 3" xfId="49016"/>
    <cellStyle name="PSHeading 2 3 3 2" xfId="49017"/>
    <cellStyle name="PSHeading 2 3 4" xfId="49018"/>
    <cellStyle name="PSHeading 2 3 4 2" xfId="49019"/>
    <cellStyle name="PSHeading 2 3 5" xfId="49020"/>
    <cellStyle name="PSHeading 2 4" xfId="49021"/>
    <cellStyle name="PSHeading 2 4 2" xfId="49022"/>
    <cellStyle name="PSHeading 2 4 2 2" xfId="49023"/>
    <cellStyle name="PSHeading 2 4 3" xfId="49024"/>
    <cellStyle name="PSHeading 2 4 3 2" xfId="49025"/>
    <cellStyle name="PSHeading 2 4 4" xfId="49026"/>
    <cellStyle name="PSHeading 2 4 4 2" xfId="49027"/>
    <cellStyle name="PSHeading 2 4 5" xfId="49028"/>
    <cellStyle name="PSHeading 2 5" xfId="49029"/>
    <cellStyle name="PSHeading 2 5 2" xfId="49030"/>
    <cellStyle name="PSHeading 2 5 2 2" xfId="49031"/>
    <cellStyle name="PSHeading 2 5 3" xfId="49032"/>
    <cellStyle name="PSHeading 2 5 3 2" xfId="49033"/>
    <cellStyle name="PSHeading 2 5 4" xfId="49034"/>
    <cellStyle name="PSHeading 2 5 4 2" xfId="49035"/>
    <cellStyle name="PSHeading 2 5 5" xfId="49036"/>
    <cellStyle name="PSHeading 2 6" xfId="49037"/>
    <cellStyle name="PSHeading 2 6 2" xfId="49038"/>
    <cellStyle name="PSHeading 2 6 2 2" xfId="49039"/>
    <cellStyle name="PSHeading 2 6 3" xfId="49040"/>
    <cellStyle name="PSHeading 2 6 3 2" xfId="49041"/>
    <cellStyle name="PSHeading 2 6 4" xfId="49042"/>
    <cellStyle name="PSHeading 2 6 4 2" xfId="49043"/>
    <cellStyle name="PSHeading 2 6 5" xfId="49044"/>
    <cellStyle name="PSHeading 2 7" xfId="49045"/>
    <cellStyle name="PSHeading 2 7 2" xfId="49046"/>
    <cellStyle name="PSHeading 2 8" xfId="49047"/>
    <cellStyle name="PSHeading 2 8 2" xfId="49048"/>
    <cellStyle name="PSHeading 2 9" xfId="49049"/>
    <cellStyle name="PSHeading 2 9 2" xfId="49050"/>
    <cellStyle name="PSHeading 2_Dakota Panel" xfId="49051"/>
    <cellStyle name="PSHeading 3" xfId="49052"/>
    <cellStyle name="PSHeading 3 2" xfId="49053"/>
    <cellStyle name="PSHeading 3 2 2" xfId="49054"/>
    <cellStyle name="PSHeading 3 2 3" xfId="49055"/>
    <cellStyle name="PSHeading 3 3" xfId="49056"/>
    <cellStyle name="PSHeading 3 3 2" xfId="49057"/>
    <cellStyle name="PSHeading 3 4" xfId="49058"/>
    <cellStyle name="PSHeading 3 4 2" xfId="49059"/>
    <cellStyle name="PSHeading 3 5" xfId="49060"/>
    <cellStyle name="PSHeading 3 6" xfId="49061"/>
    <cellStyle name="PSHeading 3_Dakota Panel" xfId="49062"/>
    <cellStyle name="PSHeading 4" xfId="49063"/>
    <cellStyle name="PSHeading 4 2" xfId="49064"/>
    <cellStyle name="PSHeading 4 2 2" xfId="49065"/>
    <cellStyle name="PSHeading 4 3" xfId="49066"/>
    <cellStyle name="PSHeading 4 3 2" xfId="49067"/>
    <cellStyle name="PSHeading 4 4" xfId="49068"/>
    <cellStyle name="PSHeading 4 4 2" xfId="49069"/>
    <cellStyle name="PSHeading 4 5" xfId="49070"/>
    <cellStyle name="PSHeading 5" xfId="49071"/>
    <cellStyle name="PSHeading 5 2" xfId="49072"/>
    <cellStyle name="PSHeading 5 2 2" xfId="49073"/>
    <cellStyle name="PSHeading 5 3" xfId="49074"/>
    <cellStyle name="PSHeading 5 3 2" xfId="49075"/>
    <cellStyle name="PSHeading 5 4" xfId="49076"/>
    <cellStyle name="PSHeading 5 4 2" xfId="49077"/>
    <cellStyle name="PSHeading 5 5" xfId="49078"/>
    <cellStyle name="PSHeading 6" xfId="49079"/>
    <cellStyle name="PSHeading 6 2" xfId="49080"/>
    <cellStyle name="PSHeading 6 3" xfId="49081"/>
    <cellStyle name="PSHeading 7" xfId="49082"/>
    <cellStyle name="PSHeading 7 2" xfId="49083"/>
    <cellStyle name="PSHeading 8" xfId="49084"/>
    <cellStyle name="PSHeading 8 2" xfId="49085"/>
    <cellStyle name="PSHeading 9" xfId="49086"/>
    <cellStyle name="PSHeading 9 2" xfId="49087"/>
    <cellStyle name="PSHeading_BH Electric Utilities 2010 Strategic Plan" xfId="49088"/>
    <cellStyle name="PSInt" xfId="49089"/>
    <cellStyle name="PSInt 10" xfId="49090"/>
    <cellStyle name="PSInt 10 2" xfId="49091"/>
    <cellStyle name="PSInt 2" xfId="49092"/>
    <cellStyle name="PSInt 2 2" xfId="49093"/>
    <cellStyle name="PSInt 2 2 2" xfId="49094"/>
    <cellStyle name="PSInt 2 2 3" xfId="49095"/>
    <cellStyle name="PSInt 2 3" xfId="49096"/>
    <cellStyle name="PSInt 2 3 2" xfId="49097"/>
    <cellStyle name="PSInt 2 4" xfId="49098"/>
    <cellStyle name="PSInt 2 4 2" xfId="49099"/>
    <cellStyle name="PSInt 2 5" xfId="49100"/>
    <cellStyle name="PSInt 2 6" xfId="49101"/>
    <cellStyle name="PSInt 2 7" xfId="49102"/>
    <cellStyle name="PSInt 3" xfId="49103"/>
    <cellStyle name="PSInt 3 2" xfId="49104"/>
    <cellStyle name="PSInt 3 2 2" xfId="49105"/>
    <cellStyle name="PSInt 3 3" xfId="49106"/>
    <cellStyle name="PSInt 3 3 2" xfId="49107"/>
    <cellStyle name="PSInt 3 4" xfId="49108"/>
    <cellStyle name="PSInt 4" xfId="49109"/>
    <cellStyle name="PSInt 4 2" xfId="49110"/>
    <cellStyle name="PSInt 4 2 2" xfId="49111"/>
    <cellStyle name="PSInt 4 3" xfId="49112"/>
    <cellStyle name="PSInt 4 3 2" xfId="49113"/>
    <cellStyle name="PSInt 4 4" xfId="49114"/>
    <cellStyle name="PSInt 5" xfId="49115"/>
    <cellStyle name="PSInt 5 2" xfId="49116"/>
    <cellStyle name="PSInt 6" xfId="49117"/>
    <cellStyle name="PSInt 6 2" xfId="49118"/>
    <cellStyle name="PSInt 7" xfId="49119"/>
    <cellStyle name="PSInt 7 2" xfId="49120"/>
    <cellStyle name="PSInt 8" xfId="49121"/>
    <cellStyle name="PSInt 8 2" xfId="49122"/>
    <cellStyle name="PSInt 9" xfId="49123"/>
    <cellStyle name="PSInt 9 2" xfId="49124"/>
    <cellStyle name="PSInt_Dakota Panel" xfId="49125"/>
    <cellStyle name="PSSpacer" xfId="49126"/>
    <cellStyle name="PSSpacer 10" xfId="49127"/>
    <cellStyle name="PSSpacer 10 2" xfId="49128"/>
    <cellStyle name="PSSpacer 2" xfId="49129"/>
    <cellStyle name="PSSpacer 2 2" xfId="49130"/>
    <cellStyle name="PSSpacer 2 2 2" xfId="49131"/>
    <cellStyle name="PSSpacer 2 2 2 2" xfId="49132"/>
    <cellStyle name="PSSpacer 2 2 3" xfId="49133"/>
    <cellStyle name="PSSpacer 2 3" xfId="49134"/>
    <cellStyle name="PSSpacer 2 3 2" xfId="49135"/>
    <cellStyle name="PSSpacer 2 4" xfId="49136"/>
    <cellStyle name="PSSpacer 2 4 2" xfId="49137"/>
    <cellStyle name="PSSpacer 2 5" xfId="49138"/>
    <cellStyle name="PSSpacer 2 6" xfId="49139"/>
    <cellStyle name="PSSpacer 2 7" xfId="49140"/>
    <cellStyle name="PSSpacer 2_Dakota Panel" xfId="49141"/>
    <cellStyle name="PSSpacer 3" xfId="49142"/>
    <cellStyle name="PSSpacer 3 2" xfId="49143"/>
    <cellStyle name="PSSpacer 3 2 2" xfId="49144"/>
    <cellStyle name="PSSpacer 3 3" xfId="49145"/>
    <cellStyle name="PSSpacer 3 3 2" xfId="49146"/>
    <cellStyle name="PSSpacer 3 4" xfId="49147"/>
    <cellStyle name="PSSpacer 3 5" xfId="49148"/>
    <cellStyle name="PSSpacer 4" xfId="49149"/>
    <cellStyle name="PSSpacer 4 2" xfId="49150"/>
    <cellStyle name="PSSpacer 4 2 2" xfId="49151"/>
    <cellStyle name="PSSpacer 4 3" xfId="49152"/>
    <cellStyle name="PSSpacer 4 3 2" xfId="49153"/>
    <cellStyle name="PSSpacer 4 4" xfId="49154"/>
    <cellStyle name="PSSpacer 5" xfId="49155"/>
    <cellStyle name="PSSpacer 5 2" xfId="49156"/>
    <cellStyle name="PSSpacer 6" xfId="49157"/>
    <cellStyle name="PSSpacer 6 2" xfId="49158"/>
    <cellStyle name="PSSpacer 7" xfId="49159"/>
    <cellStyle name="PSSpacer 7 2" xfId="49160"/>
    <cellStyle name="PSSpacer 8" xfId="49161"/>
    <cellStyle name="PSSpacer 8 2" xfId="49162"/>
    <cellStyle name="PSSpacer 9" xfId="49163"/>
    <cellStyle name="PSSpacer 9 2" xfId="49164"/>
    <cellStyle name="PSSpacer_Dakota Panel" xfId="49165"/>
    <cellStyle name="Qty" xfId="49166"/>
    <cellStyle name="Qty 2" xfId="49167"/>
    <cellStyle name="regstoresfromspecstores" xfId="49168"/>
    <cellStyle name="Resource Detail" xfId="49169"/>
    <cellStyle name="Resource Detail 2" xfId="49170"/>
    <cellStyle name="Resource Detail 2 2" xfId="49171"/>
    <cellStyle name="Resource Detail 3" xfId="49172"/>
    <cellStyle name="RevList" xfId="49173"/>
    <cellStyle name="RM" xfId="49174"/>
    <cellStyle name="RowLabel" xfId="49175"/>
    <cellStyle name="RowLabels" xfId="49176"/>
    <cellStyle name="Shade" xfId="49177"/>
    <cellStyle name="Shade 2" xfId="49178"/>
    <cellStyle name="Shade 2 2" xfId="49179"/>
    <cellStyle name="Shade 2 2 2" xfId="49180"/>
    <cellStyle name="Shade 2 2 3" xfId="49181"/>
    <cellStyle name="Shade 2 3" xfId="49182"/>
    <cellStyle name="Shade 2 4" xfId="49183"/>
    <cellStyle name="Shade 2_Dakota Panel" xfId="49184"/>
    <cellStyle name="Shade 3" xfId="49185"/>
    <cellStyle name="Shade 3 2" xfId="49186"/>
    <cellStyle name="Shade 3 2 2" xfId="49187"/>
    <cellStyle name="Shade 3 3" xfId="49188"/>
    <cellStyle name="Shade 4" xfId="49189"/>
    <cellStyle name="Shade 4 2" xfId="49190"/>
    <cellStyle name="Shade 5" xfId="49191"/>
    <cellStyle name="Shade 6" xfId="49192"/>
    <cellStyle name="Shade_Dakota Panel" xfId="49193"/>
    <cellStyle name="SHADEDSTORES" xfId="49194"/>
    <cellStyle name="SHADEDSTORES 2" xfId="49195"/>
    <cellStyle name="SHADEDSTORES 2 2" xfId="49196"/>
    <cellStyle name="SHADEDSTORES 2 2 2" xfId="49197"/>
    <cellStyle name="SHADEDSTORES 2 2 2 2" xfId="49198"/>
    <cellStyle name="SHADEDSTORES 2 2 2 3" xfId="49199"/>
    <cellStyle name="SHADEDSTORES 2 2 3" xfId="49200"/>
    <cellStyle name="SHADEDSTORES 2 2 3 2" xfId="49201"/>
    <cellStyle name="SHADEDSTORES 2 2 3 3" xfId="49202"/>
    <cellStyle name="SHADEDSTORES 2 2 4" xfId="49203"/>
    <cellStyle name="SHADEDSTORES 2 2 4 2" xfId="49204"/>
    <cellStyle name="SHADEDSTORES 2 2 4 3" xfId="49205"/>
    <cellStyle name="SHADEDSTORES 2 2 5" xfId="49206"/>
    <cellStyle name="SHADEDSTORES 2 2 5 2" xfId="49207"/>
    <cellStyle name="SHADEDSTORES 2 2 5 3" xfId="49208"/>
    <cellStyle name="SHADEDSTORES 2 2 6" xfId="49209"/>
    <cellStyle name="SHADEDSTORES 2 2 6 2" xfId="49210"/>
    <cellStyle name="SHADEDSTORES 2 2 6 3" xfId="49211"/>
    <cellStyle name="SHADEDSTORES 2 2 7" xfId="49212"/>
    <cellStyle name="SHADEDSTORES 2 2 8" xfId="49213"/>
    <cellStyle name="SHADEDSTORES 2 3" xfId="49214"/>
    <cellStyle name="SHADEDSTORES 2 3 2" xfId="49215"/>
    <cellStyle name="SHADEDSTORES 2 3 3" xfId="49216"/>
    <cellStyle name="SHADEDSTORES 2 4" xfId="49217"/>
    <cellStyle name="SHADEDSTORES 2 4 2" xfId="49218"/>
    <cellStyle name="SHADEDSTORES 2 4 3" xfId="49219"/>
    <cellStyle name="SHADEDSTORES 2 5" xfId="49220"/>
    <cellStyle name="SHADEDSTORES 2 5 2" xfId="49221"/>
    <cellStyle name="SHADEDSTORES 2 5 3" xfId="49222"/>
    <cellStyle name="SHADEDSTORES 2 6" xfId="49223"/>
    <cellStyle name="SHADEDSTORES 2 6 2" xfId="49224"/>
    <cellStyle name="SHADEDSTORES 2 6 3" xfId="49225"/>
    <cellStyle name="SHADEDSTORES 2 7" xfId="49226"/>
    <cellStyle name="SHADEDSTORES 2 7 2" xfId="49227"/>
    <cellStyle name="SHADEDSTORES 2 7 3" xfId="49228"/>
    <cellStyle name="SHADEDSTORES 2 8" xfId="49229"/>
    <cellStyle name="SHADEDSTORES 2 9" xfId="49230"/>
    <cellStyle name="SHADEDSTORES 3" xfId="49231"/>
    <cellStyle name="SHADEDSTORES 3 2" xfId="49232"/>
    <cellStyle name="SHADEDSTORES 3 2 2" xfId="49233"/>
    <cellStyle name="SHADEDSTORES 3 2 3" xfId="49234"/>
    <cellStyle name="SHADEDSTORES 3 3" xfId="49235"/>
    <cellStyle name="SHADEDSTORES 3 3 2" xfId="49236"/>
    <cellStyle name="SHADEDSTORES 3 3 3" xfId="49237"/>
    <cellStyle name="SHADEDSTORES 3 4" xfId="49238"/>
    <cellStyle name="SHADEDSTORES 3 4 2" xfId="49239"/>
    <cellStyle name="SHADEDSTORES 3 4 3" xfId="49240"/>
    <cellStyle name="SHADEDSTORES 3 5" xfId="49241"/>
    <cellStyle name="SHADEDSTORES 3 5 2" xfId="49242"/>
    <cellStyle name="SHADEDSTORES 3 5 3" xfId="49243"/>
    <cellStyle name="SHADEDSTORES 3 6" xfId="49244"/>
    <cellStyle name="SHADEDSTORES 3 6 2" xfId="49245"/>
    <cellStyle name="SHADEDSTORES 3 6 3" xfId="49246"/>
    <cellStyle name="SHADEDSTORES 3 7" xfId="49247"/>
    <cellStyle name="SHADEDSTORES 3 8" xfId="49248"/>
    <cellStyle name="SHADEDSTORES 4" xfId="49249"/>
    <cellStyle name="SHADEDSTORES 4 2" xfId="49250"/>
    <cellStyle name="SHADEDSTORES 4 2 2" xfId="49251"/>
    <cellStyle name="SHADEDSTORES 4 2 3" xfId="49252"/>
    <cellStyle name="SHADEDSTORES 4 3" xfId="49253"/>
    <cellStyle name="SHADEDSTORES 4 3 2" xfId="49254"/>
    <cellStyle name="SHADEDSTORES 4 3 3" xfId="49255"/>
    <cellStyle name="SHADEDSTORES 4 4" xfId="49256"/>
    <cellStyle name="SHADEDSTORES 4 4 2" xfId="49257"/>
    <cellStyle name="SHADEDSTORES 4 4 3" xfId="49258"/>
    <cellStyle name="SHADEDSTORES 4 5" xfId="49259"/>
    <cellStyle name="SHADEDSTORES 4 5 2" xfId="49260"/>
    <cellStyle name="SHADEDSTORES 4 5 3" xfId="49261"/>
    <cellStyle name="SHADEDSTORES 4 6" xfId="49262"/>
    <cellStyle name="SHADEDSTORES 4 6 2" xfId="49263"/>
    <cellStyle name="SHADEDSTORES 4 6 3" xfId="49264"/>
    <cellStyle name="SHADEDSTORES 4 7" xfId="49265"/>
    <cellStyle name="SHADEDSTORES 4 8" xfId="49266"/>
    <cellStyle name="SHADEDSTORES 5" xfId="49267"/>
    <cellStyle name="SHADEDSTORES 5 2" xfId="49268"/>
    <cellStyle name="SHADEDSTORES 5 3" xfId="49269"/>
    <cellStyle name="SHADEDSTORES 6" xfId="49270"/>
    <cellStyle name="SHADEDSTORES 6 2" xfId="49271"/>
    <cellStyle name="SHADEDSTORES 6 3" xfId="49272"/>
    <cellStyle name="SHADEDSTORES 7" xfId="49273"/>
    <cellStyle name="SHADEDSTORES 7 2" xfId="49274"/>
    <cellStyle name="SHADEDSTORES 7 3" xfId="49275"/>
    <cellStyle name="SHADEDSTORES 8" xfId="49276"/>
    <cellStyle name="SHADEDSTORES 9" xfId="49277"/>
    <cellStyle name="Sheet Header" xfId="49278"/>
    <cellStyle name="Small Page Heading" xfId="49279"/>
    <cellStyle name="Small Page Heading 2" xfId="49280"/>
    <cellStyle name="Small Page Heading 2 2" xfId="49281"/>
    <cellStyle name="Small Page Heading 3" xfId="49282"/>
    <cellStyle name="specstores" xfId="49283"/>
    <cellStyle name="Standard_Anpassen der Amortisation" xfId="49284"/>
    <cellStyle name="Structure" xfId="49285"/>
    <cellStyle name="Structure 2" xfId="49286"/>
    <cellStyle name="Structure 2 2" xfId="49287"/>
    <cellStyle name="Structure 2 2 2" xfId="49288"/>
    <cellStyle name="Structure 2 2 2 2" xfId="49289"/>
    <cellStyle name="Structure 2 2 2 3" xfId="49290"/>
    <cellStyle name="Structure 2 2 3" xfId="49291"/>
    <cellStyle name="Structure 2 2 3 2" xfId="49292"/>
    <cellStyle name="Structure 2 2 3 3" xfId="49293"/>
    <cellStyle name="Structure 2 2 4" xfId="49294"/>
    <cellStyle name="Structure 2 2 4 2" xfId="49295"/>
    <cellStyle name="Structure 2 2 4 3" xfId="49296"/>
    <cellStyle name="Structure 2 2 5" xfId="49297"/>
    <cellStyle name="Structure 2 2 5 2" xfId="49298"/>
    <cellStyle name="Structure 2 2 5 3" xfId="49299"/>
    <cellStyle name="Structure 2 2 6" xfId="49300"/>
    <cellStyle name="Structure 2 2 6 2" xfId="49301"/>
    <cellStyle name="Structure 2 2 6 3" xfId="49302"/>
    <cellStyle name="Structure 2 2 7" xfId="49303"/>
    <cellStyle name="Structure 2 2 8" xfId="49304"/>
    <cellStyle name="Structure 2 3" xfId="49305"/>
    <cellStyle name="Structure 2 3 2" xfId="49306"/>
    <cellStyle name="Structure 2 3 3" xfId="49307"/>
    <cellStyle name="Structure 2 4" xfId="49308"/>
    <cellStyle name="Structure 2 4 2" xfId="49309"/>
    <cellStyle name="Structure 2 4 3" xfId="49310"/>
    <cellStyle name="Structure 2 5" xfId="49311"/>
    <cellStyle name="Structure 2 5 2" xfId="49312"/>
    <cellStyle name="Structure 2 5 3" xfId="49313"/>
    <cellStyle name="Structure 2 6" xfId="49314"/>
    <cellStyle name="Structure 2 6 2" xfId="49315"/>
    <cellStyle name="Structure 2 6 3" xfId="49316"/>
    <cellStyle name="Structure 2 7" xfId="49317"/>
    <cellStyle name="Structure 2 7 2" xfId="49318"/>
    <cellStyle name="Structure 2 7 3" xfId="49319"/>
    <cellStyle name="Structure 2 8" xfId="49320"/>
    <cellStyle name="Structure 2 9" xfId="49321"/>
    <cellStyle name="Structure 3" xfId="49322"/>
    <cellStyle name="Structure 3 2" xfId="49323"/>
    <cellStyle name="Structure 3 2 2" xfId="49324"/>
    <cellStyle name="Structure 3 2 3" xfId="49325"/>
    <cellStyle name="Structure 3 3" xfId="49326"/>
    <cellStyle name="Structure 3 3 2" xfId="49327"/>
    <cellStyle name="Structure 3 3 3" xfId="49328"/>
    <cellStyle name="Structure 3 4" xfId="49329"/>
    <cellStyle name="Structure 3 4 2" xfId="49330"/>
    <cellStyle name="Structure 3 4 3" xfId="49331"/>
    <cellStyle name="Structure 3 5" xfId="49332"/>
    <cellStyle name="Structure 3 5 2" xfId="49333"/>
    <cellStyle name="Structure 3 5 3" xfId="49334"/>
    <cellStyle name="Structure 3 6" xfId="49335"/>
    <cellStyle name="Structure 3 6 2" xfId="49336"/>
    <cellStyle name="Structure 3 6 3" xfId="49337"/>
    <cellStyle name="Structure 3 7" xfId="49338"/>
    <cellStyle name="Structure 3 8" xfId="49339"/>
    <cellStyle name="Structure 4" xfId="49340"/>
    <cellStyle name="Structure 4 2" xfId="49341"/>
    <cellStyle name="Structure 4 3" xfId="49342"/>
    <cellStyle name="Structure 5" xfId="49343"/>
    <cellStyle name="Structure 5 2" xfId="49344"/>
    <cellStyle name="Structure 5 3" xfId="49345"/>
    <cellStyle name="Structure 6" xfId="49346"/>
    <cellStyle name="Structure 6 2" xfId="49347"/>
    <cellStyle name="Structure 6 3" xfId="49348"/>
    <cellStyle name="Structure 7" xfId="49349"/>
    <cellStyle name="Structure 8" xfId="49350"/>
    <cellStyle name="style" xfId="49351"/>
    <cellStyle name="Style 1" xfId="49352"/>
    <cellStyle name="Style 1 10" xfId="49353"/>
    <cellStyle name="Style 1 10 2" xfId="49354"/>
    <cellStyle name="Style 1 11" xfId="49355"/>
    <cellStyle name="Style 1 2" xfId="49356"/>
    <cellStyle name="Style 1 2 2" xfId="49357"/>
    <cellStyle name="Style 1 2 2 2" xfId="49358"/>
    <cellStyle name="Style 1 2 2 3" xfId="49359"/>
    <cellStyle name="Style 1 2 3" xfId="49360"/>
    <cellStyle name="Style 1 2 3 2" xfId="49361"/>
    <cellStyle name="Style 1 2 4" xfId="49362"/>
    <cellStyle name="Style 1 2 5" xfId="49363"/>
    <cellStyle name="Style 1 2 6" xfId="49364"/>
    <cellStyle name="Style 1 3" xfId="49365"/>
    <cellStyle name="Style 1 3 2" xfId="49366"/>
    <cellStyle name="Style 1 3 2 2" xfId="49367"/>
    <cellStyle name="Style 1 3 3" xfId="49368"/>
    <cellStyle name="Style 1 4" xfId="49369"/>
    <cellStyle name="Style 1 4 2" xfId="49370"/>
    <cellStyle name="Style 1 5" xfId="49371"/>
    <cellStyle name="Style 1 5 2" xfId="49372"/>
    <cellStyle name="Style 1 6" xfId="49373"/>
    <cellStyle name="Style 1 6 2" xfId="49374"/>
    <cellStyle name="Style 1 6 3" xfId="49375"/>
    <cellStyle name="Style 1 7" xfId="49376"/>
    <cellStyle name="Style 1 7 2" xfId="49377"/>
    <cellStyle name="Style 1 8" xfId="49378"/>
    <cellStyle name="Style 1 8 2" xfId="49379"/>
    <cellStyle name="Style 1 9" xfId="49380"/>
    <cellStyle name="Style 1 9 2" xfId="49381"/>
    <cellStyle name="Style 1_Dakota Panel" xfId="49382"/>
    <cellStyle name="Style 2" xfId="49383"/>
    <cellStyle name="Style 2 2" xfId="49384"/>
    <cellStyle name="Style 2 2 2" xfId="49385"/>
    <cellStyle name="Style 2 3" xfId="49386"/>
    <cellStyle name="Style 3" xfId="49387"/>
    <cellStyle name="Style 3 2" xfId="49388"/>
    <cellStyle name="Style 3 2 2" xfId="49389"/>
    <cellStyle name="Style 3 2 2 2" xfId="49390"/>
    <cellStyle name="Style 3 2 3" xfId="49391"/>
    <cellStyle name="Style 3 2 3 2" xfId="49392"/>
    <cellStyle name="Style 3 2 4" xfId="49393"/>
    <cellStyle name="Style 3 3" xfId="49394"/>
    <cellStyle name="Style 3 3 2" xfId="49395"/>
    <cellStyle name="Style 3 3 2 2" xfId="49396"/>
    <cellStyle name="Style 3 3 3" xfId="49397"/>
    <cellStyle name="Style 3 3 3 2" xfId="49398"/>
    <cellStyle name="Style 3 3 4" xfId="49399"/>
    <cellStyle name="Style 3 4" xfId="49400"/>
    <cellStyle name="Style 3 4 2" xfId="49401"/>
    <cellStyle name="Style 3 4 2 2" xfId="49402"/>
    <cellStyle name="Style 3 4 3" xfId="49403"/>
    <cellStyle name="Style 3 4 3 2" xfId="49404"/>
    <cellStyle name="Style 3 4 4" xfId="49405"/>
    <cellStyle name="Style 3 5" xfId="49406"/>
    <cellStyle name="Style 3 5 2" xfId="49407"/>
    <cellStyle name="Style 3 6" xfId="49408"/>
    <cellStyle name="Style 4" xfId="49409"/>
    <cellStyle name="Style 4 2" xfId="49410"/>
    <cellStyle name="Style 4 2 2" xfId="49411"/>
    <cellStyle name="Style 4 2 2 2" xfId="49412"/>
    <cellStyle name="Style 4 2 3" xfId="49413"/>
    <cellStyle name="Style 4 2 3 2" xfId="49414"/>
    <cellStyle name="Style 4 2 4" xfId="49415"/>
    <cellStyle name="Style 4 3" xfId="49416"/>
    <cellStyle name="Style 4 3 2" xfId="49417"/>
    <cellStyle name="Style 4 3 2 2" xfId="49418"/>
    <cellStyle name="Style 4 3 3" xfId="49419"/>
    <cellStyle name="Style 4 3 3 2" xfId="49420"/>
    <cellStyle name="Style 4 3 4" xfId="49421"/>
    <cellStyle name="Style 4 4" xfId="49422"/>
    <cellStyle name="Style 4 4 2" xfId="49423"/>
    <cellStyle name="Style 4 4 2 2" xfId="49424"/>
    <cellStyle name="Style 4 4 3" xfId="49425"/>
    <cellStyle name="Style 4 4 3 2" xfId="49426"/>
    <cellStyle name="Style 4 4 4" xfId="49427"/>
    <cellStyle name="Style 4 5" xfId="49428"/>
    <cellStyle name="Style 4 5 2" xfId="49429"/>
    <cellStyle name="Style 4 6" xfId="49430"/>
    <cellStyle name="Style 5" xfId="49431"/>
    <cellStyle name="Style 5 2" xfId="49432"/>
    <cellStyle name="Style 5 2 2" xfId="49433"/>
    <cellStyle name="Style 5 2 2 2" xfId="49434"/>
    <cellStyle name="Style 5 2 3" xfId="49435"/>
    <cellStyle name="Style 5 2 3 2" xfId="49436"/>
    <cellStyle name="Style 5 2 4" xfId="49437"/>
    <cellStyle name="Style 5 3" xfId="49438"/>
    <cellStyle name="Style 5 3 2" xfId="49439"/>
    <cellStyle name="Style 5 3 2 2" xfId="49440"/>
    <cellStyle name="Style 5 3 3" xfId="49441"/>
    <cellStyle name="Style 5 3 3 2" xfId="49442"/>
    <cellStyle name="Style 5 3 4" xfId="49443"/>
    <cellStyle name="Style 5 4" xfId="49444"/>
    <cellStyle name="Style 5 4 2" xfId="49445"/>
    <cellStyle name="Style 5 5" xfId="49446"/>
    <cellStyle name="Style 5 5 2" xfId="49447"/>
    <cellStyle name="Style 5 6" xfId="49448"/>
    <cellStyle name="Style 6" xfId="49449"/>
    <cellStyle name="Style 6 2" xfId="49450"/>
    <cellStyle name="Style 6 2 2" xfId="49451"/>
    <cellStyle name="Style 6 3" xfId="49452"/>
    <cellStyle name="style1" xfId="49453"/>
    <cellStyle name="style2" xfId="49454"/>
    <cellStyle name="SubRoutine" xfId="49455"/>
    <cellStyle name="Subtotal" xfId="49456"/>
    <cellStyle name="Summe" xfId="49457"/>
    <cellStyle name="Table Sub Heading" xfId="49458"/>
    <cellStyle name="Table Sub Heading 2" xfId="49459"/>
    <cellStyle name="Table Sub Heading 2 2" xfId="49460"/>
    <cellStyle name="Table Sub Heading 3" xfId="49461"/>
    <cellStyle name="Table title" xfId="36"/>
    <cellStyle name="Table Title 2" xfId="49462"/>
    <cellStyle name="Table Title 2 2" xfId="49463"/>
    <cellStyle name="Table Title 3" xfId="49464"/>
    <cellStyle name="Table Units" xfId="49465"/>
    <cellStyle name="Table Units 2" xfId="49466"/>
    <cellStyle name="Table Units 2 2" xfId="49467"/>
    <cellStyle name="Table Units 3" xfId="49468"/>
    <cellStyle name="TableHead" xfId="49469"/>
    <cellStyle name="Test" xfId="49470"/>
    <cellStyle name="Test 2" xfId="49471"/>
    <cellStyle name="Test 2 2" xfId="49472"/>
    <cellStyle name="Test 3" xfId="49473"/>
    <cellStyle name="Test 3 2" xfId="49474"/>
    <cellStyle name="Test 4" xfId="49475"/>
    <cellStyle name="Text" xfId="49476"/>
    <cellStyle name="Text 2" xfId="49477"/>
    <cellStyle name="Text 2 2" xfId="49478"/>
    <cellStyle name="Text 2 2 2" xfId="49479"/>
    <cellStyle name="Text 2 2 2 2" xfId="49480"/>
    <cellStyle name="Text 2 2 2 3" xfId="49481"/>
    <cellStyle name="Text 2 2 3" xfId="49482"/>
    <cellStyle name="Text 2 2 3 2" xfId="49483"/>
    <cellStyle name="Text 2 2 3 3" xfId="49484"/>
    <cellStyle name="Text 2 2 4" xfId="49485"/>
    <cellStyle name="Text 2 2 4 2" xfId="49486"/>
    <cellStyle name="Text 2 2 4 3" xfId="49487"/>
    <cellStyle name="Text 2 2 5" xfId="49488"/>
    <cellStyle name="Text 2 2 5 2" xfId="49489"/>
    <cellStyle name="Text 2 2 5 3" xfId="49490"/>
    <cellStyle name="Text 2 2 6" xfId="49491"/>
    <cellStyle name="Text 2 2 6 2" xfId="49492"/>
    <cellStyle name="Text 2 2 6 3" xfId="49493"/>
    <cellStyle name="Text 2 2 7" xfId="49494"/>
    <cellStyle name="Text 2 2 8" xfId="49495"/>
    <cellStyle name="Text 2 3" xfId="49496"/>
    <cellStyle name="Text 2 3 2" xfId="49497"/>
    <cellStyle name="Text 2 3 3" xfId="49498"/>
    <cellStyle name="Text 2 4" xfId="49499"/>
    <cellStyle name="Text 2 4 2" xfId="49500"/>
    <cellStyle name="Text 2 4 3" xfId="49501"/>
    <cellStyle name="Text 2 5" xfId="49502"/>
    <cellStyle name="Text 2 5 2" xfId="49503"/>
    <cellStyle name="Text 2 5 3" xfId="49504"/>
    <cellStyle name="Text 2 6" xfId="49505"/>
    <cellStyle name="Text 2 6 2" xfId="49506"/>
    <cellStyle name="Text 2 6 3" xfId="49507"/>
    <cellStyle name="Text 2 7" xfId="49508"/>
    <cellStyle name="Text 2 7 2" xfId="49509"/>
    <cellStyle name="Text 2 7 3" xfId="49510"/>
    <cellStyle name="Text 2 8" xfId="49511"/>
    <cellStyle name="Text 2 9" xfId="49512"/>
    <cellStyle name="Text 3" xfId="49513"/>
    <cellStyle name="Text 3 2" xfId="49514"/>
    <cellStyle name="Text 3 2 2" xfId="49515"/>
    <cellStyle name="Text 3 2 3" xfId="49516"/>
    <cellStyle name="Text 3 3" xfId="49517"/>
    <cellStyle name="Text 3 3 2" xfId="49518"/>
    <cellStyle name="Text 3 3 3" xfId="49519"/>
    <cellStyle name="Text 3 4" xfId="49520"/>
    <cellStyle name="Text 3 4 2" xfId="49521"/>
    <cellStyle name="Text 3 4 3" xfId="49522"/>
    <cellStyle name="Text 3 5" xfId="49523"/>
    <cellStyle name="Text 3 5 2" xfId="49524"/>
    <cellStyle name="Text 3 5 3" xfId="49525"/>
    <cellStyle name="Text 3 6" xfId="49526"/>
    <cellStyle name="Text 3 6 2" xfId="49527"/>
    <cellStyle name="Text 3 6 3" xfId="49528"/>
    <cellStyle name="Text 3 7" xfId="49529"/>
    <cellStyle name="Text 3 8" xfId="49530"/>
    <cellStyle name="Text 4" xfId="49531"/>
    <cellStyle name="Text 4 2" xfId="49532"/>
    <cellStyle name="Text 4 3" xfId="49533"/>
    <cellStyle name="Text 5" xfId="49534"/>
    <cellStyle name="Text 5 2" xfId="49535"/>
    <cellStyle name="Text 5 3" xfId="49536"/>
    <cellStyle name="Text 6" xfId="49537"/>
    <cellStyle name="Text 6 2" xfId="49538"/>
    <cellStyle name="Text 6 3" xfId="49539"/>
    <cellStyle name="Text 7" xfId="49540"/>
    <cellStyle name="Text 8" xfId="49541"/>
    <cellStyle name="Text Indent A" xfId="49542"/>
    <cellStyle name="Text Indent B" xfId="49543"/>
    <cellStyle name="Text Indent C" xfId="49544"/>
    <cellStyle name="þ_x001d_ð &amp;ý&amp;†ýG_x0008__x0009_X_x000a__x0007__x0001__x0001_" xfId="49545"/>
    <cellStyle name="Thou" xfId="49546"/>
    <cellStyle name="Thou 2" xfId="49547"/>
    <cellStyle name="Thou 2 2" xfId="49548"/>
    <cellStyle name="Thou 3" xfId="49549"/>
    <cellStyle name="Thous" xfId="49550"/>
    <cellStyle name="Thous 2" xfId="49551"/>
    <cellStyle name="Thous 2 2" xfId="49552"/>
    <cellStyle name="Thous 2 2 2" xfId="49553"/>
    <cellStyle name="Thous 2 3" xfId="49554"/>
    <cellStyle name="Thous 3" xfId="49555"/>
    <cellStyle name="Thous 3 2" xfId="49556"/>
    <cellStyle name="Thous 3 2 2" xfId="49557"/>
    <cellStyle name="Thous 3 3" xfId="49558"/>
    <cellStyle name="Thous 4" xfId="49559"/>
    <cellStyle name="Thous 4 2" xfId="49560"/>
    <cellStyle name="Thous 5" xfId="49561"/>
    <cellStyle name="Thousand" xfId="49562"/>
    <cellStyle name="Thousand 2" xfId="49563"/>
    <cellStyle name="Thousand 2 2" xfId="49564"/>
    <cellStyle name="Thousand 2 2 2" xfId="49565"/>
    <cellStyle name="Thousand 2 3" xfId="49566"/>
    <cellStyle name="Thousand 3" xfId="49567"/>
    <cellStyle name="Thousand 3 2" xfId="49568"/>
    <cellStyle name="Thousand 3 2 2" xfId="49569"/>
    <cellStyle name="Thousand 3 3" xfId="49570"/>
    <cellStyle name="Thousand 4" xfId="49571"/>
    <cellStyle name="Thousand 4 2" xfId="49572"/>
    <cellStyle name="Thousand 5" xfId="49573"/>
    <cellStyle name="Time" xfId="49574"/>
    <cellStyle name="Time 2" xfId="49575"/>
    <cellStyle name="Time 2 2" xfId="49576"/>
    <cellStyle name="Time 2 2 2" xfId="49577"/>
    <cellStyle name="Time 2 2 2 2" xfId="49578"/>
    <cellStyle name="Time 2 2 2 3" xfId="49579"/>
    <cellStyle name="Time 2 2 3" xfId="49580"/>
    <cellStyle name="Time 2 2 3 2" xfId="49581"/>
    <cellStyle name="Time 2 2 3 3" xfId="49582"/>
    <cellStyle name="Time 2 2 4" xfId="49583"/>
    <cellStyle name="Time 2 2 4 2" xfId="49584"/>
    <cellStyle name="Time 2 2 4 3" xfId="49585"/>
    <cellStyle name="Time 2 2 5" xfId="49586"/>
    <cellStyle name="Time 2 2 5 2" xfId="49587"/>
    <cellStyle name="Time 2 2 5 3" xfId="49588"/>
    <cellStyle name="Time 2 2 6" xfId="49589"/>
    <cellStyle name="Time 2 2 6 2" xfId="49590"/>
    <cellStyle name="Time 2 2 6 3" xfId="49591"/>
    <cellStyle name="Time 2 2 7" xfId="49592"/>
    <cellStyle name="Time 2 2 8" xfId="49593"/>
    <cellStyle name="Time 2 3" xfId="49594"/>
    <cellStyle name="Time 2 3 2" xfId="49595"/>
    <cellStyle name="Time 2 3 3" xfId="49596"/>
    <cellStyle name="Time 2 4" xfId="49597"/>
    <cellStyle name="Time 2 4 2" xfId="49598"/>
    <cellStyle name="Time 2 4 3" xfId="49599"/>
    <cellStyle name="Time 2 5" xfId="49600"/>
    <cellStyle name="Time 2 5 2" xfId="49601"/>
    <cellStyle name="Time 2 5 3" xfId="49602"/>
    <cellStyle name="Time 2 6" xfId="49603"/>
    <cellStyle name="Time 2 6 2" xfId="49604"/>
    <cellStyle name="Time 2 6 3" xfId="49605"/>
    <cellStyle name="Time 2 7" xfId="49606"/>
    <cellStyle name="Time 2 7 2" xfId="49607"/>
    <cellStyle name="Time 2 7 3" xfId="49608"/>
    <cellStyle name="Time 2 8" xfId="49609"/>
    <cellStyle name="Time 2 9" xfId="49610"/>
    <cellStyle name="Time 3" xfId="49611"/>
    <cellStyle name="Time 3 2" xfId="49612"/>
    <cellStyle name="Time 3 2 2" xfId="49613"/>
    <cellStyle name="Time 3 2 3" xfId="49614"/>
    <cellStyle name="Time 3 3" xfId="49615"/>
    <cellStyle name="Time 3 3 2" xfId="49616"/>
    <cellStyle name="Time 3 3 3" xfId="49617"/>
    <cellStyle name="Time 3 4" xfId="49618"/>
    <cellStyle name="Time 3 4 2" xfId="49619"/>
    <cellStyle name="Time 3 4 3" xfId="49620"/>
    <cellStyle name="Time 3 5" xfId="49621"/>
    <cellStyle name="Time 3 5 2" xfId="49622"/>
    <cellStyle name="Time 3 5 3" xfId="49623"/>
    <cellStyle name="Time 3 6" xfId="49624"/>
    <cellStyle name="Time 3 6 2" xfId="49625"/>
    <cellStyle name="Time 3 6 3" xfId="49626"/>
    <cellStyle name="Time 3 7" xfId="49627"/>
    <cellStyle name="Time 3 8" xfId="49628"/>
    <cellStyle name="Time 4" xfId="49629"/>
    <cellStyle name="Time 4 2" xfId="49630"/>
    <cellStyle name="Time 4 3" xfId="49631"/>
    <cellStyle name="Time 5" xfId="49632"/>
    <cellStyle name="Time 5 2" xfId="49633"/>
    <cellStyle name="Time 5 3" xfId="49634"/>
    <cellStyle name="Time 6" xfId="49635"/>
    <cellStyle name="Time 6 2" xfId="49636"/>
    <cellStyle name="Time 6 3" xfId="49637"/>
    <cellStyle name="Time 7" xfId="49638"/>
    <cellStyle name="Time 8" xfId="49639"/>
    <cellStyle name="Times New Roman" xfId="49640"/>
    <cellStyle name="Title 10" xfId="49641"/>
    <cellStyle name="Title 10 2" xfId="49642"/>
    <cellStyle name="Title 10 2 2" xfId="49643"/>
    <cellStyle name="Title 10 2 3" xfId="49644"/>
    <cellStyle name="Title 10 3" xfId="49645"/>
    <cellStyle name="Title 10 3 2" xfId="49646"/>
    <cellStyle name="Title 10 4" xfId="49647"/>
    <cellStyle name="Title 11" xfId="49648"/>
    <cellStyle name="Title 11 2" xfId="49649"/>
    <cellStyle name="Title 11 2 2" xfId="49650"/>
    <cellStyle name="Title 11 2 3" xfId="49651"/>
    <cellStyle name="Title 11 3" xfId="49652"/>
    <cellStyle name="Title 11 3 2" xfId="49653"/>
    <cellStyle name="Title 11 4" xfId="49654"/>
    <cellStyle name="Title 12" xfId="49655"/>
    <cellStyle name="Title 12 2" xfId="49656"/>
    <cellStyle name="Title 12 2 2" xfId="49657"/>
    <cellStyle name="Title 12 3" xfId="49658"/>
    <cellStyle name="Title 13" xfId="49659"/>
    <cellStyle name="Title 13 2" xfId="49660"/>
    <cellStyle name="Title 13 2 2" xfId="49661"/>
    <cellStyle name="Title 13 3" xfId="49662"/>
    <cellStyle name="Title 14" xfId="49663"/>
    <cellStyle name="Title 14 2" xfId="49664"/>
    <cellStyle name="Title 14 2 2" xfId="49665"/>
    <cellStyle name="Title 14 3" xfId="49666"/>
    <cellStyle name="Title 15" xfId="49667"/>
    <cellStyle name="Title 15 2" xfId="49668"/>
    <cellStyle name="Title 15 2 2" xfId="49669"/>
    <cellStyle name="Title 15 3" xfId="49670"/>
    <cellStyle name="Title 16" xfId="49671"/>
    <cellStyle name="Title 16 2" xfId="49672"/>
    <cellStyle name="Title 16 3" xfId="49673"/>
    <cellStyle name="Title 17" xfId="49674"/>
    <cellStyle name="Title 18" xfId="49675"/>
    <cellStyle name="Title 2" xfId="49676"/>
    <cellStyle name="Title 2 10" xfId="49677"/>
    <cellStyle name="Title 2 10 2" xfId="49678"/>
    <cellStyle name="Title 2 10 3" xfId="49679"/>
    <cellStyle name="Title 2 11" xfId="49680"/>
    <cellStyle name="Title 2 11 2" xfId="49681"/>
    <cellStyle name="Title 2 11 3" xfId="49682"/>
    <cellStyle name="Title 2 12" xfId="49683"/>
    <cellStyle name="Title 2 12 2" xfId="49684"/>
    <cellStyle name="Title 2 12 3" xfId="49685"/>
    <cellStyle name="Title 2 13" xfId="49686"/>
    <cellStyle name="Title 2 13 2" xfId="49687"/>
    <cellStyle name="Title 2 14" xfId="49688"/>
    <cellStyle name="Title 2 14 2" xfId="49689"/>
    <cellStyle name="Title 2 15" xfId="49690"/>
    <cellStyle name="Title 2 16" xfId="49691"/>
    <cellStyle name="Title 2 2" xfId="49692"/>
    <cellStyle name="Title 2 2 10" xfId="49693"/>
    <cellStyle name="Title 2 2 10 2" xfId="49694"/>
    <cellStyle name="Title 2 2 10 3" xfId="49695"/>
    <cellStyle name="Title 2 2 11" xfId="49696"/>
    <cellStyle name="Title 2 2 11 2" xfId="49697"/>
    <cellStyle name="Title 2 2 12" xfId="49698"/>
    <cellStyle name="Title 2 2 13" xfId="49699"/>
    <cellStyle name="Title 2 2 2" xfId="49700"/>
    <cellStyle name="Title 2 2 2 10" xfId="49701"/>
    <cellStyle name="Title 2 2 2 10 2" xfId="49702"/>
    <cellStyle name="Title 2 2 2 10 3" xfId="49703"/>
    <cellStyle name="Title 2 2 2 11" xfId="49704"/>
    <cellStyle name="Title 2 2 2 12" xfId="49705"/>
    <cellStyle name="Title 2 2 2 2" xfId="49706"/>
    <cellStyle name="Title 2 2 2 2 2" xfId="49707"/>
    <cellStyle name="Title 2 2 2 2 3" xfId="49708"/>
    <cellStyle name="Title 2 2 2 3" xfId="49709"/>
    <cellStyle name="Title 2 2 2 3 2" xfId="49710"/>
    <cellStyle name="Title 2 2 2 3 3" xfId="49711"/>
    <cellStyle name="Title 2 2 2 4" xfId="49712"/>
    <cellStyle name="Title 2 2 2 4 2" xfId="49713"/>
    <cellStyle name="Title 2 2 2 4 3" xfId="49714"/>
    <cellStyle name="Title 2 2 2 5" xfId="49715"/>
    <cellStyle name="Title 2 2 2 5 2" xfId="49716"/>
    <cellStyle name="Title 2 2 2 5 3" xfId="49717"/>
    <cellStyle name="Title 2 2 2 6" xfId="49718"/>
    <cellStyle name="Title 2 2 2 6 2" xfId="49719"/>
    <cellStyle name="Title 2 2 2 6 3" xfId="49720"/>
    <cellStyle name="Title 2 2 2 7" xfId="49721"/>
    <cellStyle name="Title 2 2 2 7 2" xfId="49722"/>
    <cellStyle name="Title 2 2 2 7 3" xfId="49723"/>
    <cellStyle name="Title 2 2 2 8" xfId="49724"/>
    <cellStyle name="Title 2 2 2 8 2" xfId="49725"/>
    <cellStyle name="Title 2 2 2 8 3" xfId="49726"/>
    <cellStyle name="Title 2 2 2 9" xfId="49727"/>
    <cellStyle name="Title 2 2 2 9 2" xfId="49728"/>
    <cellStyle name="Title 2 2 2 9 3" xfId="49729"/>
    <cellStyle name="Title 2 2 3" xfId="49730"/>
    <cellStyle name="Title 2 2 3 2" xfId="49731"/>
    <cellStyle name="Title 2 2 3 3" xfId="49732"/>
    <cellStyle name="Title 2 2 4" xfId="49733"/>
    <cellStyle name="Title 2 2 4 2" xfId="49734"/>
    <cellStyle name="Title 2 2 4 3" xfId="49735"/>
    <cellStyle name="Title 2 2 5" xfId="49736"/>
    <cellStyle name="Title 2 2 5 2" xfId="49737"/>
    <cellStyle name="Title 2 2 5 3" xfId="49738"/>
    <cellStyle name="Title 2 2 6" xfId="49739"/>
    <cellStyle name="Title 2 2 6 2" xfId="49740"/>
    <cellStyle name="Title 2 2 6 3" xfId="49741"/>
    <cellStyle name="Title 2 2 7" xfId="49742"/>
    <cellStyle name="Title 2 2 7 2" xfId="49743"/>
    <cellStyle name="Title 2 2 7 3" xfId="49744"/>
    <cellStyle name="Title 2 2 8" xfId="49745"/>
    <cellStyle name="Title 2 2 8 2" xfId="49746"/>
    <cellStyle name="Title 2 2 8 3" xfId="49747"/>
    <cellStyle name="Title 2 2 9" xfId="49748"/>
    <cellStyle name="Title 2 2 9 2" xfId="49749"/>
    <cellStyle name="Title 2 2 9 3" xfId="49750"/>
    <cellStyle name="Title 2 3" xfId="49751"/>
    <cellStyle name="Title 2 3 2" xfId="49752"/>
    <cellStyle name="Title 2 3 2 2" xfId="49753"/>
    <cellStyle name="Title 2 3 3" xfId="49754"/>
    <cellStyle name="Title 2 4" xfId="49755"/>
    <cellStyle name="Title 2 4 2" xfId="49756"/>
    <cellStyle name="Title 2 4 2 2" xfId="49757"/>
    <cellStyle name="Title 2 4 3" xfId="49758"/>
    <cellStyle name="Title 2 5" xfId="49759"/>
    <cellStyle name="Title 2 5 2" xfId="49760"/>
    <cellStyle name="Title 2 5 2 2" xfId="49761"/>
    <cellStyle name="Title 2 5 3" xfId="49762"/>
    <cellStyle name="Title 2 6" xfId="49763"/>
    <cellStyle name="Title 2 6 2" xfId="49764"/>
    <cellStyle name="Title 2 6 2 2" xfId="49765"/>
    <cellStyle name="Title 2 6 3" xfId="49766"/>
    <cellStyle name="Title 2 7" xfId="49767"/>
    <cellStyle name="Title 2 7 2" xfId="49768"/>
    <cellStyle name="Title 2 7 2 2" xfId="49769"/>
    <cellStyle name="Title 2 7 3" xfId="49770"/>
    <cellStyle name="Title 2 8" xfId="49771"/>
    <cellStyle name="Title 2 8 2" xfId="49772"/>
    <cellStyle name="Title 2 8 3" xfId="49773"/>
    <cellStyle name="Title 2 9" xfId="49774"/>
    <cellStyle name="Title 2 9 2" xfId="49775"/>
    <cellStyle name="Title 2 9 3" xfId="49776"/>
    <cellStyle name="Title 2_1-10 BHU IS" xfId="49777"/>
    <cellStyle name="Title 3" xfId="49778"/>
    <cellStyle name="Title 3 2" xfId="49779"/>
    <cellStyle name="Title 3 2 2" xfId="49780"/>
    <cellStyle name="Title 3 2 2 2" xfId="49781"/>
    <cellStyle name="Title 3 2 2 3" xfId="49782"/>
    <cellStyle name="Title 3 2 3" xfId="49783"/>
    <cellStyle name="Title 3 2 4" xfId="49784"/>
    <cellStyle name="Title 3 2_Dakota Panel" xfId="49785"/>
    <cellStyle name="Title 3 3" xfId="49786"/>
    <cellStyle name="Title 3 3 2" xfId="49787"/>
    <cellStyle name="Title 3 3 2 2" xfId="49788"/>
    <cellStyle name="Title 3 3 2 3" xfId="49789"/>
    <cellStyle name="Title 3 3 3" xfId="49790"/>
    <cellStyle name="Title 3 3 4" xfId="49791"/>
    <cellStyle name="Title 3 3 5" xfId="49792"/>
    <cellStyle name="Title 3 3_Dakota Panel" xfId="49793"/>
    <cellStyle name="Title 3 4" xfId="49794"/>
    <cellStyle name="Title 3 4 2" xfId="49795"/>
    <cellStyle name="Title 3 5" xfId="49796"/>
    <cellStyle name="Title 3 5 2" xfId="49797"/>
    <cellStyle name="Title 3 6" xfId="49798"/>
    <cellStyle name="Title 3 7" xfId="49799"/>
    <cellStyle name="Title 3_Dakota Panel" xfId="49800"/>
    <cellStyle name="Title 4" xfId="49801"/>
    <cellStyle name="Title 4 2" xfId="49802"/>
    <cellStyle name="Title 4 2 2" xfId="49803"/>
    <cellStyle name="Title 4 2 2 2" xfId="49804"/>
    <cellStyle name="Title 4 2 3" xfId="49805"/>
    <cellStyle name="Title 4 3" xfId="49806"/>
    <cellStyle name="Title 4 3 2" xfId="49807"/>
    <cellStyle name="Title 4 4" xfId="49808"/>
    <cellStyle name="Title 5" xfId="49809"/>
    <cellStyle name="Title 5 2" xfId="49810"/>
    <cellStyle name="Title 5 2 2" xfId="49811"/>
    <cellStyle name="Title 5 2 2 2" xfId="49812"/>
    <cellStyle name="Title 5 2 3" xfId="49813"/>
    <cellStyle name="Title 5 3" xfId="49814"/>
    <cellStyle name="Title 5 3 2" xfId="49815"/>
    <cellStyle name="Title 5 4" xfId="49816"/>
    <cellStyle name="Title 6" xfId="49817"/>
    <cellStyle name="Title 6 2" xfId="49818"/>
    <cellStyle name="Title 6 2 2" xfId="49819"/>
    <cellStyle name="Title 6 2 3" xfId="49820"/>
    <cellStyle name="Title 6 3" xfId="49821"/>
    <cellStyle name="Title 6 3 2" xfId="49822"/>
    <cellStyle name="Title 6 4" xfId="49823"/>
    <cellStyle name="Title 7" xfId="49824"/>
    <cellStyle name="Title 7 2" xfId="49825"/>
    <cellStyle name="Title 7 2 2" xfId="49826"/>
    <cellStyle name="Title 7 2 3" xfId="49827"/>
    <cellStyle name="Title 7 3" xfId="49828"/>
    <cellStyle name="Title 7 3 2" xfId="49829"/>
    <cellStyle name="Title 7 4" xfId="49830"/>
    <cellStyle name="Title 8" xfId="49831"/>
    <cellStyle name="Title 8 2" xfId="49832"/>
    <cellStyle name="Title 8 2 2" xfId="49833"/>
    <cellStyle name="Title 8 2 3" xfId="49834"/>
    <cellStyle name="Title 8 3" xfId="49835"/>
    <cellStyle name="Title 8 3 2" xfId="49836"/>
    <cellStyle name="Title 8 4" xfId="49837"/>
    <cellStyle name="Title 9" xfId="49838"/>
    <cellStyle name="Title 9 2" xfId="49839"/>
    <cellStyle name="Title 9 2 2" xfId="49840"/>
    <cellStyle name="Title 9 2 3" xfId="49841"/>
    <cellStyle name="Title 9 3" xfId="49842"/>
    <cellStyle name="Title 9 3 2" xfId="49843"/>
    <cellStyle name="Title 9 4" xfId="49844"/>
    <cellStyle name="Titles" xfId="49845"/>
    <cellStyle name="Total 10" xfId="49846"/>
    <cellStyle name="Total 10 2" xfId="49847"/>
    <cellStyle name="Total 10 2 2" xfId="49848"/>
    <cellStyle name="Total 10 2 3" xfId="49849"/>
    <cellStyle name="Total 10 3" xfId="49850"/>
    <cellStyle name="Total 10 3 2" xfId="49851"/>
    <cellStyle name="Total 10 4" xfId="49852"/>
    <cellStyle name="Total 11" xfId="49853"/>
    <cellStyle name="Total 11 2" xfId="49854"/>
    <cellStyle name="Total 11 2 2" xfId="49855"/>
    <cellStyle name="Total 11 2 3" xfId="49856"/>
    <cellStyle name="Total 11 3" xfId="49857"/>
    <cellStyle name="Total 11 3 2" xfId="49858"/>
    <cellStyle name="Total 11 4" xfId="49859"/>
    <cellStyle name="Total 12" xfId="49860"/>
    <cellStyle name="Total 12 2" xfId="49861"/>
    <cellStyle name="Total 12 2 2" xfId="49862"/>
    <cellStyle name="Total 12 3" xfId="49863"/>
    <cellStyle name="Total 13" xfId="49864"/>
    <cellStyle name="Total 13 2" xfId="49865"/>
    <cellStyle name="Total 13 2 2" xfId="49866"/>
    <cellStyle name="Total 13 3" xfId="49867"/>
    <cellStyle name="Total 14" xfId="49868"/>
    <cellStyle name="Total 14 2" xfId="49869"/>
    <cellStyle name="Total 14 2 2" xfId="49870"/>
    <cellStyle name="Total 14 3" xfId="49871"/>
    <cellStyle name="Total 15" xfId="49872"/>
    <cellStyle name="Total 15 2" xfId="49873"/>
    <cellStyle name="Total 15 2 2" xfId="49874"/>
    <cellStyle name="Total 15 3" xfId="49875"/>
    <cellStyle name="Total 16" xfId="49876"/>
    <cellStyle name="Total 16 2" xfId="49877"/>
    <cellStyle name="Total 16 3" xfId="49878"/>
    <cellStyle name="Total 17" xfId="49879"/>
    <cellStyle name="Total 18" xfId="49880"/>
    <cellStyle name="Total 2" xfId="49881"/>
    <cellStyle name="Total 2 10" xfId="49882"/>
    <cellStyle name="Total 2 10 2" xfId="49883"/>
    <cellStyle name="Total 2 10 3" xfId="49884"/>
    <cellStyle name="Total 2 11" xfId="49885"/>
    <cellStyle name="Total 2 11 2" xfId="49886"/>
    <cellStyle name="Total 2 11 3" xfId="49887"/>
    <cellStyle name="Total 2 12" xfId="49888"/>
    <cellStyle name="Total 2 12 2" xfId="49889"/>
    <cellStyle name="Total 2 12 3" xfId="49890"/>
    <cellStyle name="Total 2 13" xfId="49891"/>
    <cellStyle name="Total 2 13 2" xfId="49892"/>
    <cellStyle name="Total 2 14" xfId="49893"/>
    <cellStyle name="Total 2 14 2" xfId="49894"/>
    <cellStyle name="Total 2 15" xfId="49895"/>
    <cellStyle name="Total 2 16" xfId="49896"/>
    <cellStyle name="Total 2 17" xfId="49897"/>
    <cellStyle name="Total 2 2" xfId="49898"/>
    <cellStyle name="Total 2 2 10" xfId="49899"/>
    <cellStyle name="Total 2 2 10 2" xfId="49900"/>
    <cellStyle name="Total 2 2 10 3" xfId="49901"/>
    <cellStyle name="Total 2 2 11" xfId="49902"/>
    <cellStyle name="Total 2 2 11 2" xfId="49903"/>
    <cellStyle name="Total 2 2 12" xfId="49904"/>
    <cellStyle name="Total 2 2 13" xfId="49905"/>
    <cellStyle name="Total 2 2 2" xfId="49906"/>
    <cellStyle name="Total 2 2 2 10" xfId="49907"/>
    <cellStyle name="Total 2 2 2 10 2" xfId="49908"/>
    <cellStyle name="Total 2 2 2 10 3" xfId="49909"/>
    <cellStyle name="Total 2 2 2 11" xfId="49910"/>
    <cellStyle name="Total 2 2 2 12" xfId="49911"/>
    <cellStyle name="Total 2 2 2 13" xfId="49912"/>
    <cellStyle name="Total 2 2 2 2" xfId="49913"/>
    <cellStyle name="Total 2 2 2 2 2" xfId="49914"/>
    <cellStyle name="Total 2 2 2 2 3" xfId="49915"/>
    <cellStyle name="Total 2 2 2 3" xfId="49916"/>
    <cellStyle name="Total 2 2 2 3 2" xfId="49917"/>
    <cellStyle name="Total 2 2 2 3 3" xfId="49918"/>
    <cellStyle name="Total 2 2 2 4" xfId="49919"/>
    <cellStyle name="Total 2 2 2 4 2" xfId="49920"/>
    <cellStyle name="Total 2 2 2 4 3" xfId="49921"/>
    <cellStyle name="Total 2 2 2 5" xfId="49922"/>
    <cellStyle name="Total 2 2 2 5 2" xfId="49923"/>
    <cellStyle name="Total 2 2 2 5 3" xfId="49924"/>
    <cellStyle name="Total 2 2 2 6" xfId="49925"/>
    <cellStyle name="Total 2 2 2 6 2" xfId="49926"/>
    <cellStyle name="Total 2 2 2 6 3" xfId="49927"/>
    <cellStyle name="Total 2 2 2 7" xfId="49928"/>
    <cellStyle name="Total 2 2 2 7 2" xfId="49929"/>
    <cellStyle name="Total 2 2 2 7 3" xfId="49930"/>
    <cellStyle name="Total 2 2 2 8" xfId="49931"/>
    <cellStyle name="Total 2 2 2 8 2" xfId="49932"/>
    <cellStyle name="Total 2 2 2 8 3" xfId="49933"/>
    <cellStyle name="Total 2 2 2 9" xfId="49934"/>
    <cellStyle name="Total 2 2 2 9 2" xfId="49935"/>
    <cellStyle name="Total 2 2 2 9 3" xfId="49936"/>
    <cellStyle name="Total 2 2 3" xfId="49937"/>
    <cellStyle name="Total 2 2 3 2" xfId="49938"/>
    <cellStyle name="Total 2 2 3 3" xfId="49939"/>
    <cellStyle name="Total 2 2 4" xfId="49940"/>
    <cellStyle name="Total 2 2 4 2" xfId="49941"/>
    <cellStyle name="Total 2 2 4 3" xfId="49942"/>
    <cellStyle name="Total 2 2 5" xfId="49943"/>
    <cellStyle name="Total 2 2 5 2" xfId="49944"/>
    <cellStyle name="Total 2 2 5 3" xfId="49945"/>
    <cellStyle name="Total 2 2 6" xfId="49946"/>
    <cellStyle name="Total 2 2 6 2" xfId="49947"/>
    <cellStyle name="Total 2 2 6 3" xfId="49948"/>
    <cellStyle name="Total 2 2 7" xfId="49949"/>
    <cellStyle name="Total 2 2 7 2" xfId="49950"/>
    <cellStyle name="Total 2 2 7 3" xfId="49951"/>
    <cellStyle name="Total 2 2 8" xfId="49952"/>
    <cellStyle name="Total 2 2 8 2" xfId="49953"/>
    <cellStyle name="Total 2 2 8 3" xfId="49954"/>
    <cellStyle name="Total 2 2 9" xfId="49955"/>
    <cellStyle name="Total 2 2 9 2" xfId="49956"/>
    <cellStyle name="Total 2 2 9 3" xfId="49957"/>
    <cellStyle name="Total 2 2_BHP 4Q 2010 Ops Review Senior Managment " xfId="24"/>
    <cellStyle name="Total 2 3" xfId="49958"/>
    <cellStyle name="Total 2 3 2" xfId="49959"/>
    <cellStyle name="Total 2 3 2 2" xfId="49960"/>
    <cellStyle name="Total 2 3 2 2 2" xfId="49961"/>
    <cellStyle name="Total 2 3 2 2 2 2" xfId="49962"/>
    <cellStyle name="Total 2 3 2 2 2 3" xfId="49963"/>
    <cellStyle name="Total 2 3 2 2 3" xfId="49964"/>
    <cellStyle name="Total 2 3 2 2 3 2" xfId="49965"/>
    <cellStyle name="Total 2 3 2 2 3 3" xfId="49966"/>
    <cellStyle name="Total 2 3 2 2 4" xfId="49967"/>
    <cellStyle name="Total 2 3 2 2 4 2" xfId="49968"/>
    <cellStyle name="Total 2 3 2 2 4 3" xfId="49969"/>
    <cellStyle name="Total 2 3 2 2 5" xfId="49970"/>
    <cellStyle name="Total 2 3 2 2 5 2" xfId="49971"/>
    <cellStyle name="Total 2 3 2 2 5 3" xfId="49972"/>
    <cellStyle name="Total 2 3 2 2 6" xfId="49973"/>
    <cellStyle name="Total 2 3 2 2 6 2" xfId="49974"/>
    <cellStyle name="Total 2 3 2 2 6 3" xfId="49975"/>
    <cellStyle name="Total 2 3 2 2 7" xfId="49976"/>
    <cellStyle name="Total 2 3 2 2 8" xfId="49977"/>
    <cellStyle name="Total 2 3 3" xfId="49978"/>
    <cellStyle name="Total 2 3 3 2" xfId="49979"/>
    <cellStyle name="Total 2 3 3 2 2" xfId="49980"/>
    <cellStyle name="Total 2 3 3 2 3" xfId="49981"/>
    <cellStyle name="Total 2 3 3 3" xfId="49982"/>
    <cellStyle name="Total 2 3 3 3 2" xfId="49983"/>
    <cellStyle name="Total 2 3 3 3 3" xfId="49984"/>
    <cellStyle name="Total 2 3 3 4" xfId="49985"/>
    <cellStyle name="Total 2 3 3 5" xfId="49986"/>
    <cellStyle name="Total 2 3 4" xfId="49987"/>
    <cellStyle name="Total 2 4" xfId="49988"/>
    <cellStyle name="Total 2 4 2" xfId="49989"/>
    <cellStyle name="Total 2 4 2 2" xfId="49990"/>
    <cellStyle name="Total 2 4 2 2 2" xfId="49991"/>
    <cellStyle name="Total 2 4 2 2 3" xfId="49992"/>
    <cellStyle name="Total 2 4 2 3" xfId="49993"/>
    <cellStyle name="Total 2 4 2 3 2" xfId="49994"/>
    <cellStyle name="Total 2 4 2 3 3" xfId="49995"/>
    <cellStyle name="Total 2 4 2 4" xfId="49996"/>
    <cellStyle name="Total 2 4 2 4 2" xfId="49997"/>
    <cellStyle name="Total 2 4 2 4 3" xfId="49998"/>
    <cellStyle name="Total 2 4 2 5" xfId="49999"/>
    <cellStyle name="Total 2 4 2 5 2" xfId="50000"/>
    <cellStyle name="Total 2 4 2 5 3" xfId="50001"/>
    <cellStyle name="Total 2 4 2 6" xfId="50002"/>
    <cellStyle name="Total 2 4 2 6 2" xfId="50003"/>
    <cellStyle name="Total 2 4 2 6 3" xfId="50004"/>
    <cellStyle name="Total 2 4 2 7" xfId="50005"/>
    <cellStyle name="Total 2 4 2 8" xfId="50006"/>
    <cellStyle name="Total 2 4 3" xfId="50007"/>
    <cellStyle name="Total 2 5" xfId="50008"/>
    <cellStyle name="Total 2 5 2" xfId="50009"/>
    <cellStyle name="Total 2 5 2 2" xfId="50010"/>
    <cellStyle name="Total 2 5 2 3" xfId="50011"/>
    <cellStyle name="Total 2 5 3" xfId="50012"/>
    <cellStyle name="Total 2 5 3 2" xfId="50013"/>
    <cellStyle name="Total 2 5 3 3" xfId="50014"/>
    <cellStyle name="Total 2 5 4" xfId="50015"/>
    <cellStyle name="Total 2 5 5" xfId="50016"/>
    <cellStyle name="Total 2 6" xfId="50017"/>
    <cellStyle name="Total 2 6 2" xfId="50018"/>
    <cellStyle name="Total 2 6 2 2" xfId="50019"/>
    <cellStyle name="Total 2 6 3" xfId="50020"/>
    <cellStyle name="Total 2 7" xfId="50021"/>
    <cellStyle name="Total 2 7 2" xfId="50022"/>
    <cellStyle name="Total 2 7 2 2" xfId="50023"/>
    <cellStyle name="Total 2 7 3" xfId="50024"/>
    <cellStyle name="Total 2 8" xfId="50025"/>
    <cellStyle name="Total 2 8 2" xfId="50026"/>
    <cellStyle name="Total 2 8 3" xfId="50027"/>
    <cellStyle name="Total 2 9" xfId="50028"/>
    <cellStyle name="Total 2 9 2" xfId="50029"/>
    <cellStyle name="Total 2 9 3" xfId="50030"/>
    <cellStyle name="Total 2_1-10 BHU IS" xfId="50031"/>
    <cellStyle name="Total 3" xfId="50032"/>
    <cellStyle name="Total 3 2" xfId="50033"/>
    <cellStyle name="Total 3 2 2" xfId="50034"/>
    <cellStyle name="Total 3 2 2 2" xfId="50035"/>
    <cellStyle name="Total 3 2 2 3" xfId="50036"/>
    <cellStyle name="Total 3 2 3" xfId="50037"/>
    <cellStyle name="Total 3 2 3 2" xfId="50038"/>
    <cellStyle name="Total 3 2 4" xfId="50039"/>
    <cellStyle name="Total 3 2 5" xfId="50040"/>
    <cellStyle name="Total 3 2 6" xfId="50041"/>
    <cellStyle name="Total 3 2_Dakota Panel" xfId="50042"/>
    <cellStyle name="Total 3 3" xfId="50043"/>
    <cellStyle name="Total 3 3 2" xfId="50044"/>
    <cellStyle name="Total 3 3 2 2" xfId="50045"/>
    <cellStyle name="Total 3 3 2 2 2" xfId="50046"/>
    <cellStyle name="Total 3 3 2 2 2 2" xfId="50047"/>
    <cellStyle name="Total 3 3 2 2 2 3" xfId="50048"/>
    <cellStyle name="Total 3 3 2 2 3" xfId="50049"/>
    <cellStyle name="Total 3 3 2 2 3 2" xfId="50050"/>
    <cellStyle name="Total 3 3 2 2 3 3" xfId="50051"/>
    <cellStyle name="Total 3 3 2 2 4" xfId="50052"/>
    <cellStyle name="Total 3 3 2 2 4 2" xfId="50053"/>
    <cellStyle name="Total 3 3 2 2 4 3" xfId="50054"/>
    <cellStyle name="Total 3 3 2 2 5" xfId="50055"/>
    <cellStyle name="Total 3 3 2 2 5 2" xfId="50056"/>
    <cellStyle name="Total 3 3 2 2 5 3" xfId="50057"/>
    <cellStyle name="Total 3 3 2 2 6" xfId="50058"/>
    <cellStyle name="Total 3 3 2 2 6 2" xfId="50059"/>
    <cellStyle name="Total 3 3 2 2 6 3" xfId="50060"/>
    <cellStyle name="Total 3 3 2 2 7" xfId="50061"/>
    <cellStyle name="Total 3 3 2 2 8" xfId="50062"/>
    <cellStyle name="Total 3 3 3" xfId="50063"/>
    <cellStyle name="Total 3 3 3 2" xfId="50064"/>
    <cellStyle name="Total 3 3 3 2 2" xfId="50065"/>
    <cellStyle name="Total 3 3 3 2 3" xfId="50066"/>
    <cellStyle name="Total 3 3 3 3" xfId="50067"/>
    <cellStyle name="Total 3 3 3 3 2" xfId="50068"/>
    <cellStyle name="Total 3 3 3 3 3" xfId="50069"/>
    <cellStyle name="Total 3 3 3 4" xfId="50070"/>
    <cellStyle name="Total 3 3 3 5" xfId="50071"/>
    <cellStyle name="Total 3 4" xfId="50072"/>
    <cellStyle name="Total 3 5" xfId="50073"/>
    <cellStyle name="Total 3_1-10 BHU IS" xfId="50074"/>
    <cellStyle name="Total 4" xfId="50075"/>
    <cellStyle name="Total 4 2" xfId="50076"/>
    <cellStyle name="Total 4 2 2" xfId="50077"/>
    <cellStyle name="Total 4 2 2 2" xfId="50078"/>
    <cellStyle name="Total 4 2 3" xfId="50079"/>
    <cellStyle name="Total 4 3" xfId="50080"/>
    <cellStyle name="Total 4 3 2" xfId="50081"/>
    <cellStyle name="Total 4 4" xfId="50082"/>
    <cellStyle name="Total 4_1-10 BHU IS" xfId="50083"/>
    <cellStyle name="Total 5" xfId="50084"/>
    <cellStyle name="Total 5 2" xfId="50085"/>
    <cellStyle name="Total 5 2 2" xfId="50086"/>
    <cellStyle name="Total 5 2 2 2" xfId="50087"/>
    <cellStyle name="Total 5 2 3" xfId="50088"/>
    <cellStyle name="Total 5 3" xfId="50089"/>
    <cellStyle name="Total 5 3 2" xfId="50090"/>
    <cellStyle name="Total 5 4" xfId="50091"/>
    <cellStyle name="Total 5_1-10 BHU IS" xfId="50092"/>
    <cellStyle name="Total 6" xfId="50093"/>
    <cellStyle name="Total 6 2" xfId="50094"/>
    <cellStyle name="Total 6 2 2" xfId="50095"/>
    <cellStyle name="Total 6 2 3" xfId="50096"/>
    <cellStyle name="Total 6 3" xfId="50097"/>
    <cellStyle name="Total 6 3 2" xfId="50098"/>
    <cellStyle name="Total 6 4" xfId="50099"/>
    <cellStyle name="Total 7" xfId="50100"/>
    <cellStyle name="Total 7 2" xfId="50101"/>
    <cellStyle name="Total 7 2 2" xfId="50102"/>
    <cellStyle name="Total 7 2 3" xfId="50103"/>
    <cellStyle name="Total 7 3" xfId="50104"/>
    <cellStyle name="Total 7 3 2" xfId="50105"/>
    <cellStyle name="Total 7 4" xfId="50106"/>
    <cellStyle name="Total 8" xfId="50107"/>
    <cellStyle name="Total 8 2" xfId="50108"/>
    <cellStyle name="Total 8 2 2" xfId="50109"/>
    <cellStyle name="Total 8 2 3" xfId="50110"/>
    <cellStyle name="Total 8 3" xfId="50111"/>
    <cellStyle name="Total 8 3 2" xfId="50112"/>
    <cellStyle name="Total 8 4" xfId="50113"/>
    <cellStyle name="Total 9" xfId="50114"/>
    <cellStyle name="Total 9 2" xfId="50115"/>
    <cellStyle name="Total 9 2 2" xfId="50116"/>
    <cellStyle name="Total 9 2 3" xfId="50117"/>
    <cellStyle name="Total 9 3" xfId="50118"/>
    <cellStyle name="Total 9 3 2" xfId="50119"/>
    <cellStyle name="Total 9 4" xfId="50120"/>
    <cellStyle name="Tusental (0)_pldt" xfId="50121"/>
    <cellStyle name="Tusental_pldt" xfId="50122"/>
    <cellStyle name="Unit" xfId="50123"/>
    <cellStyle name="Valuta (0)_pldt" xfId="50124"/>
    <cellStyle name="Valuta_pldt" xfId="50125"/>
    <cellStyle name="Währung [0]_Compiling Utility Macros" xfId="50126"/>
    <cellStyle name="Währung_Compiling Utility Macros" xfId="50127"/>
    <cellStyle name="Warning Text" xfId="26" builtinId="11"/>
    <cellStyle name="Warning Text 10" xfId="50128"/>
    <cellStyle name="Warning Text 10 2" xfId="50129"/>
    <cellStyle name="Warning Text 10 2 2" xfId="50130"/>
    <cellStyle name="Warning Text 10 3" xfId="50131"/>
    <cellStyle name="Warning Text 11" xfId="50132"/>
    <cellStyle name="Warning Text 11 2" xfId="50133"/>
    <cellStyle name="Warning Text 11 2 2" xfId="50134"/>
    <cellStyle name="Warning Text 11 3" xfId="50135"/>
    <cellStyle name="Warning Text 12" xfId="50136"/>
    <cellStyle name="Warning Text 12 2" xfId="50137"/>
    <cellStyle name="Warning Text 12 2 2" xfId="50138"/>
    <cellStyle name="Warning Text 12 3" xfId="50139"/>
    <cellStyle name="Warning Text 13" xfId="50140"/>
    <cellStyle name="Warning Text 13 2" xfId="50141"/>
    <cellStyle name="Warning Text 13 2 2" xfId="50142"/>
    <cellStyle name="Warning Text 13 3" xfId="50143"/>
    <cellStyle name="Warning Text 14" xfId="50144"/>
    <cellStyle name="Warning Text 14 2" xfId="50145"/>
    <cellStyle name="Warning Text 14 2 2" xfId="50146"/>
    <cellStyle name="Warning Text 14 3" xfId="50147"/>
    <cellStyle name="Warning Text 15" xfId="50148"/>
    <cellStyle name="Warning Text 15 2" xfId="50149"/>
    <cellStyle name="Warning Text 15 2 2" xfId="50150"/>
    <cellStyle name="Warning Text 15 3" xfId="50151"/>
    <cellStyle name="Warning Text 16" xfId="50152"/>
    <cellStyle name="Warning Text 16 2" xfId="50153"/>
    <cellStyle name="Warning Text 16 3" xfId="50154"/>
    <cellStyle name="Warning Text 17" xfId="50155"/>
    <cellStyle name="Warning Text 18" xfId="50156"/>
    <cellStyle name="Warning Text 2" xfId="50157"/>
    <cellStyle name="Warning Text 2 10" xfId="50158"/>
    <cellStyle name="Warning Text 2 10 2" xfId="50159"/>
    <cellStyle name="Warning Text 2 10 3" xfId="50160"/>
    <cellStyle name="Warning Text 2 11" xfId="50161"/>
    <cellStyle name="Warning Text 2 11 2" xfId="50162"/>
    <cellStyle name="Warning Text 2 11 3" xfId="50163"/>
    <cellStyle name="Warning Text 2 12" xfId="50164"/>
    <cellStyle name="Warning Text 2 12 2" xfId="50165"/>
    <cellStyle name="Warning Text 2 12 3" xfId="50166"/>
    <cellStyle name="Warning Text 2 13" xfId="50167"/>
    <cellStyle name="Warning Text 2 13 2" xfId="50168"/>
    <cellStyle name="Warning Text 2 14" xfId="50169"/>
    <cellStyle name="Warning Text 2 15" xfId="50170"/>
    <cellStyle name="Warning Text 2 2" xfId="50171"/>
    <cellStyle name="Warning Text 2 2 10" xfId="50172"/>
    <cellStyle name="Warning Text 2 2 10 2" xfId="50173"/>
    <cellStyle name="Warning Text 2 2 10 3" xfId="50174"/>
    <cellStyle name="Warning Text 2 2 11" xfId="50175"/>
    <cellStyle name="Warning Text 2 2 11 2" xfId="50176"/>
    <cellStyle name="Warning Text 2 2 12" xfId="50177"/>
    <cellStyle name="Warning Text 2 2 13" xfId="50178"/>
    <cellStyle name="Warning Text 2 2 2" xfId="50179"/>
    <cellStyle name="Warning Text 2 2 2 10" xfId="50180"/>
    <cellStyle name="Warning Text 2 2 2 10 2" xfId="50181"/>
    <cellStyle name="Warning Text 2 2 2 10 3" xfId="50182"/>
    <cellStyle name="Warning Text 2 2 2 11" xfId="50183"/>
    <cellStyle name="Warning Text 2 2 2 12" xfId="50184"/>
    <cellStyle name="Warning Text 2 2 2 2" xfId="50185"/>
    <cellStyle name="Warning Text 2 2 2 2 2" xfId="50186"/>
    <cellStyle name="Warning Text 2 2 2 2 3" xfId="50187"/>
    <cellStyle name="Warning Text 2 2 2 3" xfId="50188"/>
    <cellStyle name="Warning Text 2 2 2 3 2" xfId="50189"/>
    <cellStyle name="Warning Text 2 2 2 3 3" xfId="50190"/>
    <cellStyle name="Warning Text 2 2 2 4" xfId="50191"/>
    <cellStyle name="Warning Text 2 2 2 4 2" xfId="50192"/>
    <cellStyle name="Warning Text 2 2 2 4 3" xfId="50193"/>
    <cellStyle name="Warning Text 2 2 2 5" xfId="50194"/>
    <cellStyle name="Warning Text 2 2 2 5 2" xfId="50195"/>
    <cellStyle name="Warning Text 2 2 2 5 3" xfId="50196"/>
    <cellStyle name="Warning Text 2 2 2 6" xfId="50197"/>
    <cellStyle name="Warning Text 2 2 2 6 2" xfId="50198"/>
    <cellStyle name="Warning Text 2 2 2 6 3" xfId="50199"/>
    <cellStyle name="Warning Text 2 2 2 7" xfId="50200"/>
    <cellStyle name="Warning Text 2 2 2 7 2" xfId="50201"/>
    <cellStyle name="Warning Text 2 2 2 7 3" xfId="50202"/>
    <cellStyle name="Warning Text 2 2 2 8" xfId="50203"/>
    <cellStyle name="Warning Text 2 2 2 8 2" xfId="50204"/>
    <cellStyle name="Warning Text 2 2 2 8 3" xfId="50205"/>
    <cellStyle name="Warning Text 2 2 2 9" xfId="50206"/>
    <cellStyle name="Warning Text 2 2 2 9 2" xfId="50207"/>
    <cellStyle name="Warning Text 2 2 2 9 3" xfId="50208"/>
    <cellStyle name="Warning Text 2 2 3" xfId="50209"/>
    <cellStyle name="Warning Text 2 2 3 2" xfId="50210"/>
    <cellStyle name="Warning Text 2 2 3 3" xfId="50211"/>
    <cellStyle name="Warning Text 2 2 4" xfId="50212"/>
    <cellStyle name="Warning Text 2 2 4 2" xfId="50213"/>
    <cellStyle name="Warning Text 2 2 4 3" xfId="50214"/>
    <cellStyle name="Warning Text 2 2 5" xfId="50215"/>
    <cellStyle name="Warning Text 2 2 5 2" xfId="50216"/>
    <cellStyle name="Warning Text 2 2 5 3" xfId="50217"/>
    <cellStyle name="Warning Text 2 2 6" xfId="50218"/>
    <cellStyle name="Warning Text 2 2 6 2" xfId="50219"/>
    <cellStyle name="Warning Text 2 2 6 3" xfId="50220"/>
    <cellStyle name="Warning Text 2 2 7" xfId="50221"/>
    <cellStyle name="Warning Text 2 2 7 2" xfId="50222"/>
    <cellStyle name="Warning Text 2 2 7 3" xfId="50223"/>
    <cellStyle name="Warning Text 2 2 8" xfId="50224"/>
    <cellStyle name="Warning Text 2 2 8 2" xfId="50225"/>
    <cellStyle name="Warning Text 2 2 8 3" xfId="50226"/>
    <cellStyle name="Warning Text 2 2 9" xfId="50227"/>
    <cellStyle name="Warning Text 2 2 9 2" xfId="50228"/>
    <cellStyle name="Warning Text 2 2 9 3" xfId="50229"/>
    <cellStyle name="Warning Text 2 3" xfId="50230"/>
    <cellStyle name="Warning Text 2 3 2" xfId="50231"/>
    <cellStyle name="Warning Text 2 3 2 2" xfId="50232"/>
    <cellStyle name="Warning Text 2 3 3" xfId="50233"/>
    <cellStyle name="Warning Text 2 4" xfId="50234"/>
    <cellStyle name="Warning Text 2 4 2" xfId="50235"/>
    <cellStyle name="Warning Text 2 4 2 2" xfId="50236"/>
    <cellStyle name="Warning Text 2 4 3" xfId="50237"/>
    <cellStyle name="Warning Text 2 5" xfId="50238"/>
    <cellStyle name="Warning Text 2 5 2" xfId="50239"/>
    <cellStyle name="Warning Text 2 5 2 2" xfId="50240"/>
    <cellStyle name="Warning Text 2 5 3" xfId="50241"/>
    <cellStyle name="Warning Text 2 6" xfId="50242"/>
    <cellStyle name="Warning Text 2 6 2" xfId="50243"/>
    <cellStyle name="Warning Text 2 6 2 2" xfId="50244"/>
    <cellStyle name="Warning Text 2 6 3" xfId="50245"/>
    <cellStyle name="Warning Text 2 7" xfId="50246"/>
    <cellStyle name="Warning Text 2 7 2" xfId="50247"/>
    <cellStyle name="Warning Text 2 7 3" xfId="50248"/>
    <cellStyle name="Warning Text 2 8" xfId="50249"/>
    <cellStyle name="Warning Text 2 8 2" xfId="50250"/>
    <cellStyle name="Warning Text 2 8 3" xfId="50251"/>
    <cellStyle name="Warning Text 2 9" xfId="50252"/>
    <cellStyle name="Warning Text 2 9 2" xfId="50253"/>
    <cellStyle name="Warning Text 2 9 3" xfId="50254"/>
    <cellStyle name="Warning Text 2_Dakota Panel" xfId="50255"/>
    <cellStyle name="Warning Text 3" xfId="50256"/>
    <cellStyle name="Warning Text 3 2" xfId="50257"/>
    <cellStyle name="Warning Text 3 2 2" xfId="50258"/>
    <cellStyle name="Warning Text 3 2 2 2" xfId="50259"/>
    <cellStyle name="Warning Text 3 2 3" xfId="50260"/>
    <cellStyle name="Warning Text 3 3" xfId="50261"/>
    <cellStyle name="Warning Text 3 3 2" xfId="50262"/>
    <cellStyle name="Warning Text 3 4" xfId="50263"/>
    <cellStyle name="Warning Text 3 5" xfId="50264"/>
    <cellStyle name="Warning Text 4" xfId="50265"/>
    <cellStyle name="Warning Text 4 2" xfId="50266"/>
    <cellStyle name="Warning Text 4 2 2" xfId="50267"/>
    <cellStyle name="Warning Text 4 2 2 2" xfId="50268"/>
    <cellStyle name="Warning Text 4 2 3" xfId="50269"/>
    <cellStyle name="Warning Text 4 3" xfId="50270"/>
    <cellStyle name="Warning Text 4 3 2" xfId="50271"/>
    <cellStyle name="Warning Text 4 4" xfId="50272"/>
    <cellStyle name="Warning Text 5" xfId="50273"/>
    <cellStyle name="Warning Text 5 2" xfId="50274"/>
    <cellStyle name="Warning Text 5 2 2" xfId="50275"/>
    <cellStyle name="Warning Text 5 2 2 2" xfId="50276"/>
    <cellStyle name="Warning Text 5 2 3" xfId="50277"/>
    <cellStyle name="Warning Text 5 3" xfId="50278"/>
    <cellStyle name="Warning Text 5 3 2" xfId="50279"/>
    <cellStyle name="Warning Text 5 4" xfId="50280"/>
    <cellStyle name="Warning Text 6" xfId="50281"/>
    <cellStyle name="Warning Text 6 2" xfId="50282"/>
    <cellStyle name="Warning Text 6 2 2" xfId="50283"/>
    <cellStyle name="Warning Text 6 3" xfId="50284"/>
    <cellStyle name="Warning Text 7" xfId="50285"/>
    <cellStyle name="Warning Text 7 2" xfId="50286"/>
    <cellStyle name="Warning Text 7 2 2" xfId="50287"/>
    <cellStyle name="Warning Text 7 3" xfId="50288"/>
    <cellStyle name="Warning Text 8" xfId="50289"/>
    <cellStyle name="Warning Text 8 2" xfId="50290"/>
    <cellStyle name="Warning Text 8 2 2" xfId="50291"/>
    <cellStyle name="Warning Text 8 3" xfId="50292"/>
    <cellStyle name="Warning Text 9" xfId="50293"/>
    <cellStyle name="Warning Text 9 2" xfId="50294"/>
    <cellStyle name="Warning Text 9 2 2" xfId="50295"/>
    <cellStyle name="Warning Text 9 3" xfId="50296"/>
    <cellStyle name="Wrap" xfId="50297"/>
    <cellStyle name="Year" xfId="50298"/>
    <cellStyle name="Zip Code" xfId="50299"/>
  </cellStyles>
  <dxfs count="67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auto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auto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auto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auto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auto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auto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auto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66FF"/>
      <color rgb="FFFFFFCC"/>
      <color rgb="FFBFBFBF"/>
      <color rgb="FF1A1D5D"/>
      <color rgb="FF8EB4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'Portfolio Summary'!$AC$16</c:f>
          <c:strCache>
            <c:ptCount val="1"/>
            <c:pt idx="0">
              <c:v>Total Budget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8"/>
          <c:order val="0"/>
          <c:tx>
            <c:strRef>
              <c:f>'Portfolio Summary'!$V$26</c:f>
              <c:strCache>
                <c:ptCount val="1"/>
                <c:pt idx="0">
                  <c:v>C&amp;I Prescriptive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'Portfolio Summary'!$AC$17:$AE$17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Summary'!$AC$26:$AE$26</c:f>
              <c:numCache>
                <c:formatCode>_("$"* #,##0_);_("$"* \(#,##0\);_("$"* "-"??_);_(@_)</c:formatCode>
                <c:ptCount val="3"/>
                <c:pt idx="0">
                  <c:v>286045.2</c:v>
                </c:pt>
                <c:pt idx="1">
                  <c:v>286045.2</c:v>
                </c:pt>
                <c:pt idx="2">
                  <c:v>286045.2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D3B-4841-9B1A-61286BDDF051}"/>
            </c:ext>
          </c:extLst>
        </c:ser>
        <c:ser>
          <c:idx val="7"/>
          <c:order val="1"/>
          <c:tx>
            <c:strRef>
              <c:f>'Portfolio Summary'!$V$25</c:f>
              <c:strCache>
                <c:ptCount val="1"/>
                <c:pt idx="0">
                  <c:v>C&amp;I Custom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'Portfolio Summary'!$AC$17:$AE$17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Summary'!$AC$25:$AE$25</c:f>
              <c:numCache>
                <c:formatCode>_("$"* #,##0_);_("$"* \(#,##0\);_("$"* "-"??_);_(@_)</c:formatCode>
                <c:ptCount val="3"/>
                <c:pt idx="0">
                  <c:v>367661.7</c:v>
                </c:pt>
                <c:pt idx="1">
                  <c:v>373789.39500000002</c:v>
                </c:pt>
                <c:pt idx="2">
                  <c:v>379917.08999999997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D3B-4841-9B1A-61286BDDF051}"/>
            </c:ext>
          </c:extLst>
        </c:ser>
        <c:ser>
          <c:idx val="6"/>
          <c:order val="2"/>
          <c:tx>
            <c:strRef>
              <c:f>'Portfolio Summary'!$V$24</c:f>
              <c:strCache>
                <c:ptCount val="1"/>
                <c:pt idx="0">
                  <c:v>Weatherization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'Portfolio Summary'!$AC$17:$AE$17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Summary'!$AC$24:$AE$24</c:f>
              <c:numCache>
                <c:formatCode>_("$"* #,##0_);_("$"* \(#,##0\);_("$"* "-"??_);_(@_)</c:formatCode>
                <c:ptCount val="3"/>
                <c:pt idx="0">
                  <c:v>13230</c:v>
                </c:pt>
                <c:pt idx="1">
                  <c:v>13230</c:v>
                </c:pt>
                <c:pt idx="2">
                  <c:v>13230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D3B-4841-9B1A-61286BDDF051}"/>
            </c:ext>
          </c:extLst>
        </c:ser>
        <c:ser>
          <c:idx val="5"/>
          <c:order val="3"/>
          <c:tx>
            <c:strRef>
              <c:f>'Portfolio Summary'!$V$23</c:f>
              <c:strCache>
                <c:ptCount val="1"/>
                <c:pt idx="0">
                  <c:v>School-Based Education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'Portfolio Summary'!$AC$17:$AE$17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Summary'!$AC$23:$AE$23</c:f>
              <c:numCache>
                <c:formatCode>_("$"* #,##0_);_("$"* \(#,##0\);_("$"* "-"??_);_(@_)</c:formatCode>
                <c:ptCount val="3"/>
                <c:pt idx="0">
                  <c:v>66150</c:v>
                </c:pt>
                <c:pt idx="1">
                  <c:v>66150</c:v>
                </c:pt>
                <c:pt idx="2">
                  <c:v>66150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D3B-4841-9B1A-61286BDDF051}"/>
            </c:ext>
          </c:extLst>
        </c:ser>
        <c:ser>
          <c:idx val="4"/>
          <c:order val="4"/>
          <c:tx>
            <c:strRef>
              <c:f>'Portfolio Summary'!$V$22</c:f>
              <c:strCache>
                <c:ptCount val="1"/>
                <c:pt idx="0">
                  <c:v>Residential Audit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'Portfolio Summary'!$AC$17:$AE$17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Summary'!$AC$22:$AE$22</c:f>
              <c:numCache>
                <c:formatCode>_("$"* #,##0_);_("$"* \(#,##0\);_("$"* "-"??_);_(@_)</c:formatCode>
                <c:ptCount val="3"/>
                <c:pt idx="0">
                  <c:v>32628.75</c:v>
                </c:pt>
                <c:pt idx="1">
                  <c:v>32628.75</c:v>
                </c:pt>
                <c:pt idx="2">
                  <c:v>32628.75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D3B-4841-9B1A-61286BDDF051}"/>
            </c:ext>
          </c:extLst>
        </c:ser>
        <c:ser>
          <c:idx val="3"/>
          <c:order val="5"/>
          <c:tx>
            <c:strRef>
              <c:f>'Portfolio Summary'!$V$21</c:f>
              <c:strCache>
                <c:ptCount val="1"/>
                <c:pt idx="0">
                  <c:v>Whole House Efficiency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'Portfolio Summary'!$AC$17:$AE$17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Summary'!$AC$21:$AE$21</c:f>
              <c:numCache>
                <c:formatCode>_("$"* #,##0_);_("$"* \(#,##0\);_("$"* "-"??_);_(@_)</c:formatCode>
                <c:ptCount val="3"/>
                <c:pt idx="0">
                  <c:v>12592.125</c:v>
                </c:pt>
                <c:pt idx="1">
                  <c:v>12592.125</c:v>
                </c:pt>
                <c:pt idx="2">
                  <c:v>12592.125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FD3B-4841-9B1A-61286BDDF051}"/>
            </c:ext>
          </c:extLst>
        </c:ser>
        <c:ser>
          <c:idx val="2"/>
          <c:order val="6"/>
          <c:tx>
            <c:strRef>
              <c:f>'Portfolio Summary'!$V$20</c:f>
              <c:strCache>
                <c:ptCount val="1"/>
                <c:pt idx="0">
                  <c:v>High Efficiency HVAC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'Portfolio Summary'!$AC$17:$AE$17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Summary'!$AC$20:$AE$20</c:f>
              <c:numCache>
                <c:formatCode>_("$"* #,##0_);_("$"* \(#,##0\);_("$"* "-"??_);_(@_)</c:formatCode>
                <c:ptCount val="3"/>
                <c:pt idx="0">
                  <c:v>35606.654999999999</c:v>
                </c:pt>
                <c:pt idx="1">
                  <c:v>42224.805</c:v>
                </c:pt>
                <c:pt idx="2">
                  <c:v>48842.955000000002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FD3B-4841-9B1A-61286BDDF051}"/>
            </c:ext>
          </c:extLst>
        </c:ser>
        <c:ser>
          <c:idx val="1"/>
          <c:order val="7"/>
          <c:tx>
            <c:strRef>
              <c:f>'Portfolio Summary'!$V$19</c:f>
              <c:strCache>
                <c:ptCount val="1"/>
                <c:pt idx="0">
                  <c:v>Appliance Recycling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'Portfolio Summary'!$AC$17:$AE$17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Summary'!$AC$19:$AE$19</c:f>
              <c:numCache>
                <c:formatCode>_("$"* #,##0_);_("$"* \(#,##0\);_("$"* "-"??_);_(@_)</c:formatCode>
                <c:ptCount val="3"/>
                <c:pt idx="0">
                  <c:v>16231.6875</c:v>
                </c:pt>
                <c:pt idx="1">
                  <c:v>16231.6875</c:v>
                </c:pt>
                <c:pt idx="2">
                  <c:v>16231.6875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FD3B-4841-9B1A-61286BDDF051}"/>
            </c:ext>
          </c:extLst>
        </c:ser>
        <c:ser>
          <c:idx val="0"/>
          <c:order val="8"/>
          <c:tx>
            <c:strRef>
              <c:f>'Portfolio Summary'!$V$18</c:f>
              <c:strCache>
                <c:ptCount val="1"/>
                <c:pt idx="0">
                  <c:v>Residential Lighting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'Portfolio Summary'!$AC$17:$AE$17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Summary'!$AC$18:$AE$18</c:f>
              <c:numCache>
                <c:formatCode>_("$"* #,##0_);_("$"* \(#,##0\);_("$"* "-"??_);_(@_)</c:formatCode>
                <c:ptCount val="3"/>
                <c:pt idx="0">
                  <c:v>37800</c:v>
                </c:pt>
                <c:pt idx="1">
                  <c:v>38263.050000000003</c:v>
                </c:pt>
                <c:pt idx="2">
                  <c:v>38726.1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D3B-4841-9B1A-61286BDDF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403929400"/>
        <c:axId val="403929792"/>
      </c:barChart>
      <c:catAx>
        <c:axId val="403929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3929792"/>
        <c:crosses val="autoZero"/>
        <c:auto val="1"/>
        <c:lblAlgn val="ctr"/>
        <c:lblOffset val="100"/>
        <c:noMultiLvlLbl val="0"/>
      </c:catAx>
      <c:valAx>
        <c:axId val="40392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3929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'Portfolio Summary'!$W$16</c:f>
          <c:strCache>
            <c:ptCount val="1"/>
            <c:pt idx="0">
              <c:v>MWh Savings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8"/>
          <c:order val="0"/>
          <c:tx>
            <c:strRef>
              <c:f>'Portfolio Summary'!$V$26</c:f>
              <c:strCache>
                <c:ptCount val="1"/>
                <c:pt idx="0">
                  <c:v>C&amp;I Prescriptive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'Portfolio Summary'!$W$17:$Y$17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Summary'!$W$26:$Y$26</c:f>
              <c:numCache>
                <c:formatCode>_(* #,##0_);_(* \(#,##0\);_(* "-"??_);_(@_)</c:formatCode>
                <c:ptCount val="3"/>
                <c:pt idx="0">
                  <c:v>2315.5971681874066</c:v>
                </c:pt>
                <c:pt idx="1">
                  <c:v>2315.5971681874066</c:v>
                </c:pt>
                <c:pt idx="2">
                  <c:v>2315.5971681874066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393-411B-B1AC-BCFF7673F2E3}"/>
            </c:ext>
          </c:extLst>
        </c:ser>
        <c:ser>
          <c:idx val="7"/>
          <c:order val="1"/>
          <c:tx>
            <c:strRef>
              <c:f>'Portfolio Summary'!$V$25</c:f>
              <c:strCache>
                <c:ptCount val="1"/>
                <c:pt idx="0">
                  <c:v>C&amp;I Custom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'Portfolio Summary'!$W$17:$Y$17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Summary'!$W$25:$Y$25</c:f>
              <c:numCache>
                <c:formatCode>_(* #,##0_);_(* \(#,##0\);_(* "-"??_);_(@_)</c:formatCode>
                <c:ptCount val="3"/>
                <c:pt idx="0">
                  <c:v>1966.3069021276594</c:v>
                </c:pt>
                <c:pt idx="1">
                  <c:v>1999.0786838297872</c:v>
                </c:pt>
                <c:pt idx="2">
                  <c:v>2031.8504655319148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393-411B-B1AC-BCFF7673F2E3}"/>
            </c:ext>
          </c:extLst>
        </c:ser>
        <c:ser>
          <c:idx val="6"/>
          <c:order val="2"/>
          <c:tx>
            <c:strRef>
              <c:f>'Portfolio Summary'!$V$24</c:f>
              <c:strCache>
                <c:ptCount val="1"/>
                <c:pt idx="0">
                  <c:v>Weatherization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'Portfolio Summary'!$W$17:$Y$17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Summary'!$W$24:$Y$24</c:f>
              <c:numCache>
                <c:formatCode>_(* #,##0_);_(* \(#,##0\);_(* "-"??_);_(@_)</c:formatCode>
                <c:ptCount val="3"/>
                <c:pt idx="0">
                  <c:v>35.337440362481694</c:v>
                </c:pt>
                <c:pt idx="1">
                  <c:v>35.337440362481694</c:v>
                </c:pt>
                <c:pt idx="2">
                  <c:v>35.337440362481694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393-411B-B1AC-BCFF7673F2E3}"/>
            </c:ext>
          </c:extLst>
        </c:ser>
        <c:ser>
          <c:idx val="5"/>
          <c:order val="3"/>
          <c:tx>
            <c:strRef>
              <c:f>'Portfolio Summary'!$V$23</c:f>
              <c:strCache>
                <c:ptCount val="1"/>
                <c:pt idx="0">
                  <c:v>School-Based Education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'Portfolio Summary'!$W$17:$Y$17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Summary'!$W$23:$Y$23</c:f>
              <c:numCache>
                <c:formatCode>_(* #,##0_);_(* \(#,##0\);_(* "-"??_);_(@_)</c:formatCode>
                <c:ptCount val="3"/>
                <c:pt idx="0">
                  <c:v>476.4</c:v>
                </c:pt>
                <c:pt idx="1">
                  <c:v>476.4</c:v>
                </c:pt>
                <c:pt idx="2">
                  <c:v>476.4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7393-411B-B1AC-BCFF7673F2E3}"/>
            </c:ext>
          </c:extLst>
        </c:ser>
        <c:ser>
          <c:idx val="4"/>
          <c:order val="4"/>
          <c:tx>
            <c:strRef>
              <c:f>'Portfolio Summary'!$V$22</c:f>
              <c:strCache>
                <c:ptCount val="1"/>
                <c:pt idx="0">
                  <c:v>Residential Audit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'Portfolio Summary'!$W$17:$Y$17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Summary'!$W$22:$Y$22</c:f>
              <c:numCache>
                <c:formatCode>_(* #,##0_);_(* \(#,##0\);_(* "-"??_);_(@_)</c:formatCode>
                <c:ptCount val="3"/>
                <c:pt idx="0">
                  <c:v>96.320597031838162</c:v>
                </c:pt>
                <c:pt idx="1">
                  <c:v>96.320597031838162</c:v>
                </c:pt>
                <c:pt idx="2">
                  <c:v>96.320597031838162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7393-411B-B1AC-BCFF7673F2E3}"/>
            </c:ext>
          </c:extLst>
        </c:ser>
        <c:ser>
          <c:idx val="3"/>
          <c:order val="5"/>
          <c:tx>
            <c:strRef>
              <c:f>'Portfolio Summary'!$V$21</c:f>
              <c:strCache>
                <c:ptCount val="1"/>
                <c:pt idx="0">
                  <c:v>Whole House Efficiency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'Portfolio Summary'!$W$17:$Y$17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Summary'!$W$21:$Y$21</c:f>
              <c:numCache>
                <c:formatCode>_(* #,##0_);_(* \(#,##0\);_(* "-"??_);_(@_)</c:formatCode>
                <c:ptCount val="3"/>
                <c:pt idx="0">
                  <c:v>34.770228121385635</c:v>
                </c:pt>
                <c:pt idx="1">
                  <c:v>34.770228121385635</c:v>
                </c:pt>
                <c:pt idx="2">
                  <c:v>34.770228121385635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393-411B-B1AC-BCFF7673F2E3}"/>
            </c:ext>
          </c:extLst>
        </c:ser>
        <c:ser>
          <c:idx val="2"/>
          <c:order val="6"/>
          <c:tx>
            <c:strRef>
              <c:f>'Portfolio Summary'!$V$20</c:f>
              <c:strCache>
                <c:ptCount val="1"/>
                <c:pt idx="0">
                  <c:v>High Efficiency HVAC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'Portfolio Summary'!$W$17:$Y$17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Summary'!$W$20:$Y$20</c:f>
              <c:numCache>
                <c:formatCode>_(* #,##0_);_(* \(#,##0\);_(* "-"??_);_(@_)</c:formatCode>
                <c:ptCount val="3"/>
                <c:pt idx="0">
                  <c:v>225.13899576627091</c:v>
                </c:pt>
                <c:pt idx="1">
                  <c:v>248.65054161051953</c:v>
                </c:pt>
                <c:pt idx="2">
                  <c:v>272.1620874547682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7393-411B-B1AC-BCFF7673F2E3}"/>
            </c:ext>
          </c:extLst>
        </c:ser>
        <c:ser>
          <c:idx val="1"/>
          <c:order val="7"/>
          <c:tx>
            <c:strRef>
              <c:f>'Portfolio Summary'!$V$19</c:f>
              <c:strCache>
                <c:ptCount val="1"/>
                <c:pt idx="0">
                  <c:v>Appliance Recycling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'Portfolio Summary'!$W$17:$Y$17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Summary'!$W$19:$Y$19</c:f>
              <c:numCache>
                <c:formatCode>_(* #,##0_);_(* \(#,##0\);_(* "-"??_);_(@_)</c:formatCode>
                <c:ptCount val="3"/>
                <c:pt idx="0">
                  <c:v>105.515</c:v>
                </c:pt>
                <c:pt idx="1">
                  <c:v>105.515</c:v>
                </c:pt>
                <c:pt idx="2">
                  <c:v>105.515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7393-411B-B1AC-BCFF7673F2E3}"/>
            </c:ext>
          </c:extLst>
        </c:ser>
        <c:ser>
          <c:idx val="0"/>
          <c:order val="8"/>
          <c:tx>
            <c:strRef>
              <c:f>'Portfolio Summary'!$V$18</c:f>
              <c:strCache>
                <c:ptCount val="1"/>
                <c:pt idx="0">
                  <c:v>Residential Lighting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'Portfolio Summary'!$W$17:$Y$17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Summary'!$W$18:$Y$18</c:f>
              <c:numCache>
                <c:formatCode>_(* #,##0_);_(* \(#,##0\);_(* "-"??_);_(@_)</c:formatCode>
                <c:ptCount val="3"/>
                <c:pt idx="0">
                  <c:v>162.33483419999999</c:v>
                </c:pt>
                <c:pt idx="1">
                  <c:v>164.28285221039999</c:v>
                </c:pt>
                <c:pt idx="2">
                  <c:v>166.2308702208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7393-411B-B1AC-BCFF7673F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403930968"/>
        <c:axId val="253461264"/>
      </c:barChart>
      <c:catAx>
        <c:axId val="403930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3461264"/>
        <c:crosses val="autoZero"/>
        <c:auto val="1"/>
        <c:lblAlgn val="ctr"/>
        <c:lblOffset val="100"/>
        <c:noMultiLvlLbl val="0"/>
      </c:catAx>
      <c:valAx>
        <c:axId val="25346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3930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'Portfolio Summary'!$Z$16</c:f>
          <c:strCache>
            <c:ptCount val="1"/>
            <c:pt idx="0">
              <c:v>Coincident kW Savings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8"/>
          <c:order val="0"/>
          <c:tx>
            <c:strRef>
              <c:f>'Portfolio Summary'!$V$26</c:f>
              <c:strCache>
                <c:ptCount val="1"/>
                <c:pt idx="0">
                  <c:v>C&amp;I Prescriptive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'Portfolio Summary'!$Z$17:$AB$17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Summary'!$Z$26:$AB$26</c:f>
              <c:numCache>
                <c:formatCode>_(* #,##0_);_(* \(#,##0\);_(* "-"??_);_(@_)</c:formatCode>
                <c:ptCount val="3"/>
                <c:pt idx="0">
                  <c:v>593.67290476684536</c:v>
                </c:pt>
                <c:pt idx="1">
                  <c:v>593.67290476684536</c:v>
                </c:pt>
                <c:pt idx="2">
                  <c:v>593.67290476684536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099-4826-814F-11CFEEFC9E28}"/>
            </c:ext>
          </c:extLst>
        </c:ser>
        <c:ser>
          <c:idx val="7"/>
          <c:order val="1"/>
          <c:tx>
            <c:strRef>
              <c:f>'Portfolio Summary'!$V$25</c:f>
              <c:strCache>
                <c:ptCount val="1"/>
                <c:pt idx="0">
                  <c:v>C&amp;I Custom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'Portfolio Summary'!$Z$17:$AB$17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Summary'!$Z$25:$AB$25</c:f>
              <c:numCache>
                <c:formatCode>_(* #,##0_);_(* \(#,##0\);_(* "-"??_);_(@_)</c:formatCode>
                <c:ptCount val="3"/>
                <c:pt idx="0">
                  <c:v>476.36042553191493</c:v>
                </c:pt>
                <c:pt idx="1">
                  <c:v>484.29976595744682</c:v>
                </c:pt>
                <c:pt idx="2">
                  <c:v>492.23910638297872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099-4826-814F-11CFEEFC9E28}"/>
            </c:ext>
          </c:extLst>
        </c:ser>
        <c:ser>
          <c:idx val="6"/>
          <c:order val="2"/>
          <c:tx>
            <c:strRef>
              <c:f>'Portfolio Summary'!$V$24</c:f>
              <c:strCache>
                <c:ptCount val="1"/>
                <c:pt idx="0">
                  <c:v>Weatherization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'Portfolio Summary'!$Z$17:$AB$17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Summary'!$Z$24:$AB$24</c:f>
              <c:numCache>
                <c:formatCode>_(* #,##0_);_(* \(#,##0\);_(* "-"??_);_(@_)</c:formatCode>
                <c:ptCount val="3"/>
                <c:pt idx="0">
                  <c:v>5.9845573556071914</c:v>
                </c:pt>
                <c:pt idx="1">
                  <c:v>5.9845573556071914</c:v>
                </c:pt>
                <c:pt idx="2">
                  <c:v>5.9845573556071914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099-4826-814F-11CFEEFC9E28}"/>
            </c:ext>
          </c:extLst>
        </c:ser>
        <c:ser>
          <c:idx val="5"/>
          <c:order val="3"/>
          <c:tx>
            <c:strRef>
              <c:f>'Portfolio Summary'!$V$23</c:f>
              <c:strCache>
                <c:ptCount val="1"/>
                <c:pt idx="0">
                  <c:v>School-Based Education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'Portfolio Summary'!$Z$17:$AB$17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Summary'!$Z$23:$AB$23</c:f>
              <c:numCache>
                <c:formatCode>_(* #,##0_);_(* \(#,##0\);_(* "-"??_);_(@_)</c:formatCode>
                <c:ptCount val="3"/>
                <c:pt idx="0">
                  <c:v>48</c:v>
                </c:pt>
                <c:pt idx="1">
                  <c:v>48</c:v>
                </c:pt>
                <c:pt idx="2">
                  <c:v>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099-4826-814F-11CFEEFC9E28}"/>
            </c:ext>
          </c:extLst>
        </c:ser>
        <c:ser>
          <c:idx val="4"/>
          <c:order val="4"/>
          <c:tx>
            <c:strRef>
              <c:f>'Portfolio Summary'!$V$22</c:f>
              <c:strCache>
                <c:ptCount val="1"/>
                <c:pt idx="0">
                  <c:v>Residential Audit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'Portfolio Summary'!$Z$17:$AB$17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Summary'!$Z$22:$AB$22</c:f>
              <c:numCache>
                <c:formatCode>_(* #,##0_);_(* \(#,##0\);_(* "-"??_);_(@_)</c:formatCode>
                <c:ptCount val="3"/>
                <c:pt idx="0">
                  <c:v>16.066260315621943</c:v>
                </c:pt>
                <c:pt idx="1">
                  <c:v>16.066260315621943</c:v>
                </c:pt>
                <c:pt idx="2">
                  <c:v>16.066260315621943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099-4826-814F-11CFEEFC9E28}"/>
            </c:ext>
          </c:extLst>
        </c:ser>
        <c:ser>
          <c:idx val="3"/>
          <c:order val="5"/>
          <c:tx>
            <c:strRef>
              <c:f>'Portfolio Summary'!$V$21</c:f>
              <c:strCache>
                <c:ptCount val="1"/>
                <c:pt idx="0">
                  <c:v>Whole House Efficiency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'Portfolio Summary'!$Z$17:$AB$17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Summary'!$Z$21:$AB$21</c:f>
              <c:numCache>
                <c:formatCode>_(* #,##0_);_(* \(#,##0\);_(* "-"??_);_(@_)</c:formatCode>
                <c:ptCount val="3"/>
                <c:pt idx="0">
                  <c:v>4.5497772774931642</c:v>
                </c:pt>
                <c:pt idx="1">
                  <c:v>4.5497772774931642</c:v>
                </c:pt>
                <c:pt idx="2">
                  <c:v>4.5497772774931642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3099-4826-814F-11CFEEFC9E28}"/>
            </c:ext>
          </c:extLst>
        </c:ser>
        <c:ser>
          <c:idx val="2"/>
          <c:order val="6"/>
          <c:tx>
            <c:strRef>
              <c:f>'Portfolio Summary'!$V$20</c:f>
              <c:strCache>
                <c:ptCount val="1"/>
                <c:pt idx="0">
                  <c:v>High Efficiency HVAC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'Portfolio Summary'!$Z$17:$AB$17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Summary'!$Z$20:$AB$20</c:f>
              <c:numCache>
                <c:formatCode>_(* #,##0_);_(* \(#,##0\);_(* "-"??_);_(@_)</c:formatCode>
                <c:ptCount val="3"/>
                <c:pt idx="0">
                  <c:v>79.476859716854349</c:v>
                </c:pt>
                <c:pt idx="1">
                  <c:v>90.344578872698506</c:v>
                </c:pt>
                <c:pt idx="2">
                  <c:v>101.21229802854266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3099-4826-814F-11CFEEFC9E28}"/>
            </c:ext>
          </c:extLst>
        </c:ser>
        <c:ser>
          <c:idx val="1"/>
          <c:order val="7"/>
          <c:tx>
            <c:strRef>
              <c:f>'Portfolio Summary'!$V$19</c:f>
              <c:strCache>
                <c:ptCount val="1"/>
                <c:pt idx="0">
                  <c:v>Appliance Recycling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'Portfolio Summary'!$Z$17:$AB$17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Summary'!$Z$19:$AB$19</c:f>
              <c:numCache>
                <c:formatCode>_(* #,##0_);_(* \(#,##0\);_(* "-"??_);_(@_)</c:formatCode>
                <c:ptCount val="3"/>
                <c:pt idx="0">
                  <c:v>12.045091324200914</c:v>
                </c:pt>
                <c:pt idx="1">
                  <c:v>12.045091324200914</c:v>
                </c:pt>
                <c:pt idx="2">
                  <c:v>12.045091324200914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099-4826-814F-11CFEEFC9E28}"/>
            </c:ext>
          </c:extLst>
        </c:ser>
        <c:ser>
          <c:idx val="0"/>
          <c:order val="8"/>
          <c:tx>
            <c:strRef>
              <c:f>'Portfolio Summary'!$V$18</c:f>
              <c:strCache>
                <c:ptCount val="1"/>
                <c:pt idx="0">
                  <c:v>Residential Lighting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'Portfolio Summary'!$Z$17:$AB$17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'Portfolio Summary'!$Z$18:$AB$18</c:f>
              <c:numCache>
                <c:formatCode>_(* #,##0_);_(* \(#,##0\);_(* "-"??_);_(@_)</c:formatCode>
                <c:ptCount val="3"/>
                <c:pt idx="0">
                  <c:v>14.249636099999998</c:v>
                </c:pt>
                <c:pt idx="1">
                  <c:v>14.420631733199997</c:v>
                </c:pt>
                <c:pt idx="2">
                  <c:v>14.591627366399997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3099-4826-814F-11CFEEFC9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25197688"/>
        <c:axId val="325198080"/>
      </c:barChart>
      <c:catAx>
        <c:axId val="325197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5198080"/>
        <c:crosses val="autoZero"/>
        <c:auto val="1"/>
        <c:lblAlgn val="ctr"/>
        <c:lblOffset val="100"/>
        <c:noMultiLvlLbl val="0"/>
      </c:catAx>
      <c:valAx>
        <c:axId val="325198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5197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Avoided Electric Generation Cost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'General Inputs'!$F$31:$Y$31</c:f>
              <c:numCache>
                <c:formatCode>General</c:formatCode>
                <c:ptCount val="2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</c:numCache>
            </c:numRef>
          </c:cat>
          <c:val>
            <c:numRef>
              <c:f>'General Inputs'!$F$32:$Y$32</c:f>
              <c:numCache>
                <c:formatCode>_("$"* #,##0.00_);_("$"* \(#,##0.00\);_("$"* "-"??_);_(@_)</c:formatCode>
                <c:ptCount val="20"/>
                <c:pt idx="0" formatCode="_(&quot;$&quot;* #,##0.0000_);_(&quot;$&quot;* \(#,##0.0000\);_(&quot;$&quot;* &quot;-&quot;??_);_(@_)">
                  <c:v>2.75E-2</c:v>
                </c:pt>
                <c:pt idx="1">
                  <c:v>2.7912499999999996E-2</c:v>
                </c:pt>
                <c:pt idx="2">
                  <c:v>2.8331187499999994E-2</c:v>
                </c:pt>
                <c:pt idx="3">
                  <c:v>2.875615531249999E-2</c:v>
                </c:pt>
                <c:pt idx="4">
                  <c:v>2.9187497642187487E-2</c:v>
                </c:pt>
                <c:pt idx="5">
                  <c:v>2.9625310106820298E-2</c:v>
                </c:pt>
                <c:pt idx="6">
                  <c:v>3.0069689758422599E-2</c:v>
                </c:pt>
                <c:pt idx="7">
                  <c:v>3.0520735104798934E-2</c:v>
                </c:pt>
                <c:pt idx="8">
                  <c:v>3.0978546131370913E-2</c:v>
                </c:pt>
                <c:pt idx="9">
                  <c:v>3.1443224323341477E-2</c:v>
                </c:pt>
                <c:pt idx="10">
                  <c:v>3.1914872688191598E-2</c:v>
                </c:pt>
                <c:pt idx="11">
                  <c:v>3.2393595778514465E-2</c:v>
                </c:pt>
                <c:pt idx="12">
                  <c:v>3.2879499715192176E-2</c:v>
                </c:pt>
                <c:pt idx="13">
                  <c:v>3.3372692210920055E-2</c:v>
                </c:pt>
                <c:pt idx="14">
                  <c:v>3.3873282594083849E-2</c:v>
                </c:pt>
                <c:pt idx="15">
                  <c:v>3.4381381832995106E-2</c:v>
                </c:pt>
                <c:pt idx="16">
                  <c:v>3.4897102560490029E-2</c:v>
                </c:pt>
                <c:pt idx="17">
                  <c:v>3.4897102560490029E-2</c:v>
                </c:pt>
                <c:pt idx="18">
                  <c:v>3.4897102560490029E-2</c:v>
                </c:pt>
                <c:pt idx="19">
                  <c:v>3.4897102560490029E-2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40C-4EE2-B096-10068F124C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5198864"/>
        <c:axId val="325199256"/>
      </c:lineChart>
      <c:catAx>
        <c:axId val="325198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5199256"/>
        <c:crosses val="autoZero"/>
        <c:auto val="1"/>
        <c:lblAlgn val="ctr"/>
        <c:lblOffset val="100"/>
        <c:noMultiLvlLbl val="0"/>
      </c:catAx>
      <c:valAx>
        <c:axId val="325199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'General Inputs'!$E$32</c:f>
              <c:strCache>
                <c:ptCount val="1"/>
                <c:pt idx="0">
                  <c:v>Avoided Electric Generation ($/kWh)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$&quot;* #,##0.0000_);_(&quot;$&quot;* \(#,##0.00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5198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'General Inputs'!$C$33</c:f>
          <c:strCache>
            <c:ptCount val="1"/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'General Inputs'!$F$31:$Y$31</c:f>
              <c:numCache>
                <c:formatCode>General</c:formatCode>
                <c:ptCount val="2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</c:numCache>
            </c:numRef>
          </c:cat>
          <c:val>
            <c:numRef>
              <c:f>'General Inputs'!$F$33:$Y$33</c:f>
              <c:numCache>
                <c:formatCode>_("$"* #,##0.00_);_("$"* \(#,##0.00\);_("$"* "-"??_);_(@_)</c:formatCode>
                <c:ptCount val="20"/>
                <c:pt idx="0">
                  <c:v>19.78</c:v>
                </c:pt>
                <c:pt idx="1">
                  <c:v>20.076699999999999</c:v>
                </c:pt>
                <c:pt idx="2">
                  <c:v>20.377850499999997</c:v>
                </c:pt>
                <c:pt idx="3">
                  <c:v>20.683518257499994</c:v>
                </c:pt>
                <c:pt idx="4">
                  <c:v>20.993771031362492</c:v>
                </c:pt>
                <c:pt idx="5">
                  <c:v>21.308677596832926</c:v>
                </c:pt>
                <c:pt idx="6">
                  <c:v>21.628307760785418</c:v>
                </c:pt>
                <c:pt idx="7">
                  <c:v>21.952732377197197</c:v>
                </c:pt>
                <c:pt idx="8">
                  <c:v>22.282023362855153</c:v>
                </c:pt>
                <c:pt idx="9">
                  <c:v>22.616253713297979</c:v>
                </c:pt>
                <c:pt idx="10">
                  <c:v>22.955497518997447</c:v>
                </c:pt>
                <c:pt idx="11">
                  <c:v>23.299829981782405</c:v>
                </c:pt>
                <c:pt idx="12">
                  <c:v>23.649327431509139</c:v>
                </c:pt>
                <c:pt idx="13">
                  <c:v>24.004067342981774</c:v>
                </c:pt>
                <c:pt idx="14">
                  <c:v>24.3641283531265</c:v>
                </c:pt>
                <c:pt idx="15">
                  <c:v>24.729590278423395</c:v>
                </c:pt>
                <c:pt idx="16">
                  <c:v>25.100534132599744</c:v>
                </c:pt>
                <c:pt idx="17">
                  <c:v>25.100534132599744</c:v>
                </c:pt>
                <c:pt idx="18">
                  <c:v>25.100534132599744</c:v>
                </c:pt>
                <c:pt idx="19">
                  <c:v>25.100534132599744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35B-4359-80AE-5C6A8651AC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5200040"/>
        <c:axId val="325200432"/>
      </c:lineChart>
      <c:catAx>
        <c:axId val="32520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5200432"/>
        <c:crosses val="autoZero"/>
        <c:auto val="1"/>
        <c:lblAlgn val="ctr"/>
        <c:lblOffset val="100"/>
        <c:noMultiLvlLbl val="0"/>
      </c:catAx>
      <c:valAx>
        <c:axId val="325200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'General Inputs'!$E$33</c:f>
              <c:strCache>
                <c:ptCount val="1"/>
                <c:pt idx="0">
                  <c:v>Avoided Electric Capacity Costs ($/kW-year)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52000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2016 Lifetime Savings Cost Curve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'Cost Curve'!$V$3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'Cost Curve'!$U$4:$U$37</c:f>
              <c:numCache>
                <c:formatCode>#,##0;\-#,##0;"-"</c:formatCode>
                <c:ptCount val="34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</c:numCache>
            </c:numRef>
          </c:cat>
          <c:val>
            <c:numRef>
              <c:f>'Cost Curve'!$V$4:$V$37</c:f>
              <c:numCache>
                <c:formatCode>_("$"* #,##0.00_);_("$"* \(#,##0.00\);_("$"* "-"_);_(@_)</c:formatCode>
                <c:ptCount val="34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981-4FEC-B4E3-06E10DF8AD40}"/>
            </c:ext>
          </c:extLst>
        </c:ser>
        <c:ser>
          <c:idx val="1"/>
          <c:order val="1"/>
          <c:tx>
            <c:strRef>
              <c:f>'Cost Curve'!$W$3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'Cost Curve'!$U$4:$U$37</c:f>
              <c:numCache>
                <c:formatCode>#,##0;\-#,##0;"-"</c:formatCode>
                <c:ptCount val="34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</c:numCache>
            </c:numRef>
          </c:cat>
          <c:val>
            <c:numRef>
              <c:f>'Cost Curve'!$W$4:$W$37</c:f>
              <c:numCache>
                <c:formatCode>_("$"* #,##0.00_);_("$"* \(#,##0.00\);_("$"* "-"_);_(@_)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981-4FEC-B4E3-06E10DF8AD40}"/>
            </c:ext>
          </c:extLst>
        </c:ser>
        <c:ser>
          <c:idx val="2"/>
          <c:order val="2"/>
          <c:tx>
            <c:strRef>
              <c:f>'Cost Curve'!$X$3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'Cost Curve'!$U$4:$U$37</c:f>
              <c:numCache>
                <c:formatCode>#,##0;\-#,##0;"-"</c:formatCode>
                <c:ptCount val="34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</c:numCache>
            </c:numRef>
          </c:cat>
          <c:val>
            <c:numRef>
              <c:f>'Cost Curve'!$X$4:$X$37</c:f>
              <c:numCache>
                <c:formatCode>_("$"* #,##0.00_);_("$"* \(#,##0.00\);_("$"* "-"_);_(@_)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981-4FEC-B4E3-06E10DF8AD40}"/>
            </c:ext>
          </c:extLst>
        </c:ser>
        <c:ser>
          <c:idx val="3"/>
          <c:order val="3"/>
          <c:tx>
            <c:strRef>
              <c:f>'Cost Curve'!$Y$3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'Cost Curve'!$U$4:$U$37</c:f>
              <c:numCache>
                <c:formatCode>#,##0;\-#,##0;"-"</c:formatCode>
                <c:ptCount val="34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</c:numCache>
            </c:numRef>
          </c:cat>
          <c:val>
            <c:numRef>
              <c:f>'Cost Curve'!$Y$4:$Y$37</c:f>
              <c:numCache>
                <c:formatCode>_("$"* #,##0.00_);_("$"* \(#,##0.00\);_("$"* "-"_);_(@_)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981-4FEC-B4E3-06E10DF8AD40}"/>
            </c:ext>
          </c:extLst>
        </c:ser>
        <c:ser>
          <c:idx val="4"/>
          <c:order val="4"/>
          <c:tx>
            <c:strRef>
              <c:f>'Cost Curve'!$Z$3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'Cost Curve'!$U$4:$U$37</c:f>
              <c:numCache>
                <c:formatCode>#,##0;\-#,##0;"-"</c:formatCode>
                <c:ptCount val="34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</c:numCache>
            </c:numRef>
          </c:cat>
          <c:val>
            <c:numRef>
              <c:f>'Cost Curve'!$Z$4:$Z$37</c:f>
              <c:numCache>
                <c:formatCode>_("$"* #,##0.00_);_("$"* \(#,##0.00\);_("$"* "-"_);_(@_)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981-4FEC-B4E3-06E10DF8AD40}"/>
            </c:ext>
          </c:extLst>
        </c:ser>
        <c:ser>
          <c:idx val="5"/>
          <c:order val="5"/>
          <c:tx>
            <c:strRef>
              <c:f>'Cost Curve'!$AA$3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numRef>
              <c:f>'Cost Curve'!$U$4:$U$37</c:f>
              <c:numCache>
                <c:formatCode>#,##0;\-#,##0;"-"</c:formatCode>
                <c:ptCount val="34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</c:numCache>
            </c:numRef>
          </c:cat>
          <c:val>
            <c:numRef>
              <c:f>'Cost Curve'!$AA$4:$AA$37</c:f>
              <c:numCache>
                <c:formatCode>_("$"* #,##0.00_);_("$"* \(#,##0.00\);_("$"* "-"_);_(@_)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9981-4FEC-B4E3-06E10DF8AD40}"/>
            </c:ext>
          </c:extLst>
        </c:ser>
        <c:ser>
          <c:idx val="6"/>
          <c:order val="6"/>
          <c:tx>
            <c:strRef>
              <c:f>'Cost Curve'!$AB$3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cat>
            <c:numRef>
              <c:f>'Cost Curve'!$U$4:$U$37</c:f>
              <c:numCache>
                <c:formatCode>#,##0;\-#,##0;"-"</c:formatCode>
                <c:ptCount val="34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</c:numCache>
            </c:numRef>
          </c:cat>
          <c:val>
            <c:numRef>
              <c:f>'Cost Curve'!$AB$4:$AB$37</c:f>
              <c:numCache>
                <c:formatCode>_("$"* #,##0.00_);_("$"* \(#,##0.00\);_("$"* "-"_);_(@_)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9981-4FEC-B4E3-06E10DF8AD40}"/>
            </c:ext>
          </c:extLst>
        </c:ser>
        <c:ser>
          <c:idx val="7"/>
          <c:order val="7"/>
          <c:tx>
            <c:strRef>
              <c:f>'Cost Curve'!$AC$3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cat>
            <c:numRef>
              <c:f>'Cost Curve'!$U$4:$U$37</c:f>
              <c:numCache>
                <c:formatCode>#,##0;\-#,##0;"-"</c:formatCode>
                <c:ptCount val="34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</c:numCache>
            </c:numRef>
          </c:cat>
          <c:val>
            <c:numRef>
              <c:f>'Cost Curve'!$AC$4:$AC$37</c:f>
              <c:numCache>
                <c:formatCode>_("$"* #,##0.00_);_("$"* \(#,##0.00\);_("$"* "-"_);_(@_)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9981-4FEC-B4E3-06E10DF8AD40}"/>
            </c:ext>
          </c:extLst>
        </c:ser>
        <c:ser>
          <c:idx val="8"/>
          <c:order val="8"/>
          <c:tx>
            <c:strRef>
              <c:f>'Cost Curve'!$AD$3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cat>
            <c:numRef>
              <c:f>'Cost Curve'!$U$4:$U$37</c:f>
              <c:numCache>
                <c:formatCode>#,##0;\-#,##0;"-"</c:formatCode>
                <c:ptCount val="34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</c:numCache>
            </c:numRef>
          </c:cat>
          <c:val>
            <c:numRef>
              <c:f>'Cost Curve'!$AD$4:$AD$37</c:f>
              <c:numCache>
                <c:formatCode>_("$"* #,##0.00_);_("$"* \(#,##0.00\);_("$"* "-"_);_(@_)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9981-4FEC-B4E3-06E10DF8AD40}"/>
            </c:ext>
          </c:extLst>
        </c:ser>
        <c:ser>
          <c:idx val="9"/>
          <c:order val="9"/>
          <c:tx>
            <c:strRef>
              <c:f>'Cost Curve'!$AE$3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cat>
            <c:numRef>
              <c:f>'Cost Curve'!$U$4:$U$37</c:f>
              <c:numCache>
                <c:formatCode>#,##0;\-#,##0;"-"</c:formatCode>
                <c:ptCount val="34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</c:numCache>
            </c:numRef>
          </c:cat>
          <c:val>
            <c:numRef>
              <c:f>'Cost Curve'!$AE$4:$AE$37</c:f>
              <c:numCache>
                <c:formatCode>_("$"* #,##0.00_);_("$"* \(#,##0.00\);_("$"* "-"_);_(@_)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9981-4FEC-B4E3-06E10DF8AD40}"/>
            </c:ext>
          </c:extLst>
        </c:ser>
        <c:ser>
          <c:idx val="10"/>
          <c:order val="10"/>
          <c:tx>
            <c:strRef>
              <c:f>'Cost Curve'!$AF$3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dLbls>
            <c:dLbl>
              <c:idx val="0"/>
              <c:tx>
                <c:rich>
                  <a:bodyPr/>
                  <a:lstStyle/>
                  <a:p>
                    <a:fld id="{97EC5EFD-AFFF-4CCA-89A4-1C52AA670FE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50-9981-4FEC-B4E3-06E10DF8AD40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6304168A-5963-4F24-BB07-1D9EC3B115D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8CD4-435F-9C62-B063BC6A4FD6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2"/>
              <c:layout>
                <c:manualLayout>
                  <c:x val="-2.557688109813664E-2"/>
                  <c:y val="-9.841193895591016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9B17815B-2C6C-4AF3-A926-EA551F167DF2}" type="CELLRANGE">
                      <a:rPr lang="en-US"/>
                      <a:pPr>
                        <a:defRPr/>
                      </a:pPr>
                      <a:t>[CELLRANGE]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52-9981-4FEC-B4E3-06E10DF8AD40}"/>
                </c:ext>
                <c:ext xmlns:c15="http://schemas.microsoft.com/office/drawing/2012/chart" uri="{CE6537A1-D6FC-4f65-9D91-7224C49458BB}">
                  <c15:layout>
                    <c:manualLayout>
                      <c:w val="0.11334903342465083"/>
                      <c:h val="7.1160289785157288E-2"/>
                    </c:manualLayout>
                  </c15:layout>
                  <c15:dlblFieldTable/>
                  <c15:showDataLabelsRange val="1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E4A3C365-E291-4210-8CDB-3881A1922AA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8CD4-435F-9C62-B063BC6A4FD6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2288E344-7688-4D14-BE2D-B943231EA4D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8CD4-435F-9C62-B063BC6A4FD6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5"/>
              <c:layout>
                <c:manualLayout>
                  <c:x val="-9.9812027231393399E-3"/>
                  <c:y val="-8.1660970622989368E-2"/>
                </c:manualLayout>
              </c:layout>
              <c:tx>
                <c:rich>
                  <a:bodyPr/>
                  <a:lstStyle/>
                  <a:p>
                    <a:fld id="{D06A0906-493F-40A1-AC63-D3B97DAD76D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55-9981-4FEC-B4E3-06E10DF8AD40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382C12A5-C96F-43E5-8A3F-0165FB447B6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8CD4-435F-9C62-B063BC6A4FD6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84825A12-B0C6-4C27-8D06-0D0016482D1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8CD4-435F-9C62-B063BC6A4FD6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8"/>
              <c:layout>
                <c:manualLayout>
                  <c:x val="-0.10605027893335524"/>
                  <c:y val="-3.9783549790687087E-2"/>
                </c:manualLayout>
              </c:layout>
              <c:tx>
                <c:rich>
                  <a:bodyPr/>
                  <a:lstStyle/>
                  <a:p>
                    <a:fld id="{59F52CFF-0FB9-458C-91A5-0F9CE41B2DE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58-9981-4FEC-B4E3-06E10DF8AD40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8C574CCF-A7D9-41AB-A36B-5A01D7DF886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8CD4-435F-9C62-B063BC6A4FD6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9CD7DA45-D067-42DF-952A-A263A6C148E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8CD4-435F-9C62-B063BC6A4FD6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1"/>
              <c:layout>
                <c:manualLayout>
                  <c:x val="-0.10105967757178562"/>
                  <c:y val="-3.7689678749072052E-2"/>
                </c:manualLayout>
              </c:layout>
              <c:tx>
                <c:rich>
                  <a:bodyPr/>
                  <a:lstStyle/>
                  <a:p>
                    <a:fld id="{A71A3D85-DE8A-4A52-A570-9DD15D5B1B3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5B-9981-4FEC-B4E3-06E10DF8AD40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1C843C7E-50E7-43C3-9A07-4DB9A4EE64D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8CD4-435F-9C62-B063BC6A4FD6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2E41EC80-7059-40BC-8422-CA91E21CF37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8CD4-435F-9C62-B063BC6A4FD6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4"/>
              <c:layout>
                <c:manualLayout>
                  <c:x val="-8.8583174167861475E-2"/>
                  <c:y val="-6.281613124845338E-2"/>
                </c:manualLayout>
              </c:layout>
              <c:tx>
                <c:rich>
                  <a:bodyPr/>
                  <a:lstStyle/>
                  <a:p>
                    <a:fld id="{4F79F9D9-3B91-4875-9FA3-7E3C59CF7F6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5E-9981-4FEC-B4E3-06E10DF8AD40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F7B9200D-B79B-4FE1-BC67-889D02EF6C9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8CD4-435F-9C62-B063BC6A4FD6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8606BE32-5D8D-4F79-A10B-F77BBB7A67E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8CD4-435F-9C62-B063BC6A4FD6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7"/>
              <c:layout>
                <c:manualLayout>
                  <c:x val="-7.8601971444722113E-2"/>
                  <c:y val="-0.10888129416398572"/>
                </c:manualLayout>
              </c:layout>
              <c:tx>
                <c:rich>
                  <a:bodyPr/>
                  <a:lstStyle/>
                  <a:p>
                    <a:fld id="{7F193D22-FC3E-43E6-90E0-7B530E3B731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61-9981-4FEC-B4E3-06E10DF8AD40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4C5E14B7-5331-48E6-8ED5-C1F4F524269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8CD4-435F-9C62-B063BC6A4FD6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97AD8E06-B475-4FF3-8842-8C516E70044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8CD4-435F-9C62-B063BC6A4FD6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20"/>
              <c:layout>
                <c:manualLayout>
                  <c:x val="-5.3648964636873825E-2"/>
                  <c:y val="-4.3971291873917386E-2"/>
                </c:manualLayout>
              </c:layout>
              <c:tx>
                <c:rich>
                  <a:bodyPr/>
                  <a:lstStyle/>
                  <a:p>
                    <a:fld id="{6370910F-9846-4620-B4DD-419DB1ED9CB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64-9981-4FEC-B4E3-06E10DF8AD40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E8437E5F-27D0-4635-A902-1CD5639B76A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8CD4-435F-9C62-B063BC6A4FD6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29FB34FC-DD79-4E33-AF55-C037CF655F6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8CD4-435F-9C62-B063BC6A4FD6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23"/>
              <c:layout>
                <c:manualLayout>
                  <c:x val="-8.8583174167861337E-2"/>
                  <c:y val="-7.9567099581374215E-2"/>
                </c:manualLayout>
              </c:layout>
              <c:tx>
                <c:rich>
                  <a:bodyPr/>
                  <a:lstStyle/>
                  <a:p>
                    <a:fld id="{BC0892BC-0906-490C-82A7-9131E4CF6B3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67-9981-4FEC-B4E3-06E10DF8AD40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35B33516-778F-4C69-A708-CDA5B820FF2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8CD4-435F-9C62-B063BC6A4FD6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4FB0608B-D302-47C5-AFDE-895E43F631C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8CD4-435F-9C62-B063BC6A4FD6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26"/>
              <c:layout>
                <c:manualLayout>
                  <c:x val="-9.2326125189038766E-2"/>
                  <c:y val="-7.7473228539759062E-2"/>
                </c:manualLayout>
              </c:layout>
              <c:tx>
                <c:rich>
                  <a:bodyPr/>
                  <a:lstStyle/>
                  <a:p>
                    <a:fld id="{9426EA28-3E75-4451-8DCF-D471E6FA137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6A-9981-4FEC-B4E3-06E10DF8AD40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598FA7AB-D7C3-4C09-AED8-0E5FDC3A83C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8CD4-435F-9C62-B063BC6A4FD6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9E291139-3037-4ACB-8099-9C3A9A64688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2-8CD4-435F-9C62-B063BC6A4FD6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29"/>
              <c:layout>
                <c:manualLayout>
                  <c:x val="-8.109727212550695E-2"/>
                  <c:y val="-9.6318067914295077E-2"/>
                </c:manualLayout>
              </c:layout>
              <c:tx>
                <c:rich>
                  <a:bodyPr/>
                  <a:lstStyle/>
                  <a:p>
                    <a:fld id="{87E61FE8-0DCF-40CC-8AC7-0C55F22990B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6D-9981-4FEC-B4E3-06E10DF8AD40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41BBE8D1-D648-4FD6-B2FC-2F8A3D20ADA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3-8CD4-435F-9C62-B063BC6A4FD6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6F-9981-4FEC-B4E3-06E10DF8AD40}"/>
                </c:ext>
                <c:ext xmlns:c15="http://schemas.microsoft.com/office/drawing/2012/chart" uri="{CE6537A1-D6FC-4f65-9D91-7224C49458BB}"/>
              </c:extLst>
            </c:dLbl>
            <c:dLbl>
              <c:idx val="32"/>
              <c:layout>
                <c:manualLayout>
                  <c:x val="-8.359257280629187E-2"/>
                  <c:y val="-0.4648393712385544"/>
                </c:manualLayout>
              </c:layout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70-9981-4FEC-B4E3-06E10DF8AD40}"/>
                </c:ext>
                <c:ext xmlns:c15="http://schemas.microsoft.com/office/drawing/2012/chart" uri="{CE6537A1-D6FC-4f65-9D91-7224C49458BB}"/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71-9981-4FEC-B4E3-06E10DF8AD40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'Cost Curve'!$U$4:$U$37</c:f>
              <c:numCache>
                <c:formatCode>#,##0;\-#,##0;"-"</c:formatCode>
                <c:ptCount val="34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</c:numCache>
            </c:numRef>
          </c:cat>
          <c:val>
            <c:numRef>
              <c:f>'Cost Curve'!$AF$4:$AF$37</c:f>
              <c:numCache>
                <c:formatCode>_("$"* #,##0.00_);_("$"* \(#,##0.00\);_("$"* "-"_);_(@_)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9981-4FEC-B4E3-06E10DF8AD40}"/>
            </c:ext>
            <c:ext xmlns:c15="http://schemas.microsoft.com/office/drawing/2012/chart" uri="{02D57815-91ED-43cb-92C2-25804820EDAC}">
              <c15:datalabelsRange>
                <c15:f>'Cost Curve'!$AH$4:$AH$37</c15:f>
                <c15:dlblRangeCache>
                  <c:ptCount val="34"/>
                </c15:dlblRangeCache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6382792"/>
        <c:axId val="616383184"/>
      </c:areaChart>
      <c:dateAx>
        <c:axId val="616382792"/>
        <c:scaling>
          <c:orientation val="minMax"/>
          <c:max val="219436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Lifetime Electric Savings MWh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;\-#,##0;&quot;-&quot;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6383184"/>
        <c:crosses val="autoZero"/>
        <c:auto val="0"/>
        <c:lblOffset val="100"/>
        <c:baseTimeUnit val="days"/>
        <c:majorUnit val="50"/>
        <c:majorTimeUnit val="years"/>
      </c:dateAx>
      <c:valAx>
        <c:axId val="61638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First Year</a:t>
                </a:r>
                <a:r>
                  <a:rPr lang="en-US" baseline="0"/>
                  <a:t> $/kWh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$&quot;* #,##0.00_);_(&quot;$&quot;* \(#,##0.00\);_(&quot;$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63827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215199</xdr:colOff>
      <xdr:row>15</xdr:row>
      <xdr:rowOff>20777</xdr:rowOff>
    </xdr:from>
    <xdr:to>
      <xdr:col>31</xdr:col>
      <xdr:colOff>546894</xdr:colOff>
      <xdr:row>28</xdr:row>
      <xdr:rowOff>96977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226218</xdr:colOff>
      <xdr:row>14</xdr:row>
      <xdr:rowOff>127000</xdr:rowOff>
    </xdr:from>
    <xdr:to>
      <xdr:col>16</xdr:col>
      <xdr:colOff>138065</xdr:colOff>
      <xdr:row>28</xdr:row>
      <xdr:rowOff>12700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383988</xdr:colOff>
      <xdr:row>15</xdr:row>
      <xdr:rowOff>11206</xdr:rowOff>
    </xdr:from>
    <xdr:to>
      <xdr:col>24</xdr:col>
      <xdr:colOff>119528</xdr:colOff>
      <xdr:row>28</xdr:row>
      <xdr:rowOff>87406</xdr:rowOff>
    </xdr:to>
    <xdr:graphicFrame macro="">
      <xdr:nvGraphicFramePr>
        <xdr:cNvPr id="4" name="Chart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132080</xdr:colOff>
      <xdr:row>3</xdr:row>
      <xdr:rowOff>142240</xdr:rowOff>
    </xdr:from>
    <xdr:to>
      <xdr:col>11</xdr:col>
      <xdr:colOff>176711</xdr:colOff>
      <xdr:row>17</xdr:row>
      <xdr:rowOff>50800</xdr:rowOff>
    </xdr:to>
    <xdr:graphicFrame macro="">
      <xdr:nvGraphicFramePr>
        <xdr:cNvPr id="6" name="Chart 5">
          <a:extLst>
            <a:ext uri="{FF2B5EF4-FFF2-40B4-BE49-F238E27FC236}">
              <a16:creationId xmlns=""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0</xdr:colOff>
      <xdr:row>4</xdr:row>
      <xdr:rowOff>0</xdr:rowOff>
    </xdr:from>
    <xdr:to>
      <xdr:col>17</xdr:col>
      <xdr:colOff>512717</xdr:colOff>
      <xdr:row>17</xdr:row>
      <xdr:rowOff>93618</xdr:rowOff>
    </xdr:to>
    <xdr:graphicFrame macro="">
      <xdr:nvGraphicFramePr>
        <xdr:cNvPr id="7" name="Chart 6">
          <a:extLst>
            <a:ext uri="{FF2B5EF4-FFF2-40B4-BE49-F238E27FC236}">
              <a16:creationId xmlns="" xmlns:a16="http://schemas.microsoft.com/office/drawing/2014/main" id="{00000000-0008-0000-0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4</xdr:col>
          <xdr:colOff>914400</xdr:colOff>
          <xdr:row>0</xdr:row>
          <xdr:rowOff>95250</xdr:rowOff>
        </xdr:from>
        <xdr:to>
          <xdr:col>6</xdr:col>
          <xdr:colOff>1314450</xdr:colOff>
          <xdr:row>3</xdr:row>
          <xdr:rowOff>161925</xdr:rowOff>
        </xdr:to>
        <xdr:sp macro="" textlink="">
          <xdr:nvSpPr>
            <xdr:cNvPr id="11270" name="CheckBox1" hidden="1">
              <a:extLst>
                <a:ext uri="{63B3BB69-23CF-44E3-9099-C40C66FF867C}">
                  <a14:compatExt spid="_x0000_s11270"/>
                </a:ext>
                <a:ext uri="{FF2B5EF4-FFF2-40B4-BE49-F238E27FC236}">
                  <a16:creationId xmlns="" xmlns:a16="http://schemas.microsoft.com/office/drawing/2014/main" id="{00000000-0008-0000-0600-00000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186509</xdr:colOff>
      <xdr:row>0</xdr:row>
      <xdr:rowOff>156027</xdr:rowOff>
    </xdr:from>
    <xdr:to>
      <xdr:col>8</xdr:col>
      <xdr:colOff>429261</xdr:colOff>
      <xdr:row>5</xdr:row>
      <xdr:rowOff>123369</xdr:rowOff>
    </xdr:to>
    <xdr:sp macro="" textlink="">
      <xdr:nvSpPr>
        <xdr:cNvPr id="2" name="Left Arrow 1">
          <a:extLst>
            <a:ext uri="{FF2B5EF4-FFF2-40B4-BE49-F238E27FC236}">
              <a16:creationId xmlns="" xmlns:a16="http://schemas.microsoft.com/office/drawing/2014/main" id="{00000000-0008-0000-0900-000002000000}"/>
            </a:ext>
          </a:extLst>
        </xdr:cNvPr>
        <xdr:cNvSpPr/>
      </xdr:nvSpPr>
      <xdr:spPr>
        <a:xfrm>
          <a:off x="6048829" y="156027"/>
          <a:ext cx="2314304" cy="9144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Paste</a:t>
          </a:r>
          <a:r>
            <a:rPr lang="en-US" sz="1100" b="1" baseline="0"/>
            <a:t> Data in cell B2</a:t>
          </a:r>
        </a:p>
      </xdr:txBody>
    </xdr:sp>
    <xdr:clientData/>
  </xdr:twoCellAnchor>
  <xdr:twoCellAnchor>
    <xdr:from>
      <xdr:col>4</xdr:col>
      <xdr:colOff>1828800</xdr:colOff>
      <xdr:row>7</xdr:row>
      <xdr:rowOff>142875</xdr:rowOff>
    </xdr:from>
    <xdr:to>
      <xdr:col>12</xdr:col>
      <xdr:colOff>264967</xdr:colOff>
      <xdr:row>38</xdr:row>
      <xdr:rowOff>86343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388620</xdr:colOff>
      <xdr:row>1</xdr:row>
      <xdr:rowOff>83820</xdr:rowOff>
    </xdr:from>
    <xdr:to>
      <xdr:col>17</xdr:col>
      <xdr:colOff>312420</xdr:colOff>
      <xdr:row>47</xdr:row>
      <xdr:rowOff>107059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66700"/>
          <a:ext cx="10721340" cy="843571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ts\BHCRates\PSCModels\2005.04.14\Clean\CAS%20Electric%20f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31047%20BHP%20South%20Dakota\Previous%20Model\2015-16%20DSM%20Planning%20Report\Black%20Hills%20South%20Dakota%20PY2-3%20(8.19.15)%20f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\Projects\BHCRates\PSCModels\2005.04.14\Clean\CAS%20Electric%20f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HP\2005\Rate%20Case\BHP%20Cost%20of%20Service%20Model%20(Excel)%203.07.0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\BHP\2005\Rate%20Case\BHP%20Cost%20of%20Service%20Model%20(Excel)%203.07.0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ates\Black%20Hills%20Power,%20Inc\Rate%20Case\2009%20-%20BHP%20-%20SD\Cost%20of%20Service%20Models\Master%20Rate%20Filing%20Statement-July%2008%20-%20June%2009-Settlement%20with%20Staff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\Rates\Black%20Hills%20Power,%20Inc\Rate%20Case\2009%20-%20BHP%20-%20SD\Cost%20of%20Service%20Models\Master%20Rate%20Filing%20Statement-July%2008%20-%20June%2009-Settlement%20with%20Staf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ckilpatr\My%20Documents\Rate%20Class%20Info\COS%20Exercise%206%20with%20answer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\Documents%20and%20Settings\ckilpatr\My%20Documents\Rate%20Class%20Info\COS%20Exercise%206%20with%20answer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\aeg\Clients\Black%20Hills\Black%20Hills%20So%20Dakota\2015-16%20DSM%20Planning\Report\Black%20Hills%20South%20Dakota%20PY2-3%20(8.19.1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oc. Factors"/>
      <sheetName val="C.A. Model"/>
      <sheetName val="Services Study (inputs)"/>
      <sheetName val="Meters Study (inputs)"/>
      <sheetName val="Cust. Acct. Study (inputs)"/>
      <sheetName val="Func. Plt. RRF - With Earnings"/>
      <sheetName val="Expenses RRF - With Earnings"/>
      <sheetName val="Rev. Cred. RRF - With Earnings"/>
      <sheetName val="Rate Design-Non Lighting"/>
      <sheetName val="2 Rate Design-Lights-Summary"/>
      <sheetName val="3 Rate Design-Lights-Components"/>
      <sheetName val="4 Lights-Investments"/>
      <sheetName val="5 Lights-Cap &amp; Maint."/>
      <sheetName val="6 Lights-Facility"/>
      <sheetName val="7 Lights-Proforma Rev (inputs)"/>
      <sheetName val="8 Lights-Proposed Rev (inputs)"/>
      <sheetName val="9 Lights-Proposed Incr"/>
      <sheetName val="Rate Compare"/>
      <sheetName val="Index"/>
      <sheetName val="Rate Class (inputs)"/>
      <sheetName val="Total Co. (inputs)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/>
      <sheetData sheetId="2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Portfolio Inputs"/>
      <sheetName val="Previous Inputs"/>
      <sheetName val="2015"/>
      <sheetName val="2016"/>
      <sheetName val="Sheet1"/>
      <sheetName val="Sources"/>
      <sheetName val="2015 Screen"/>
      <sheetName val="2016 Screen"/>
      <sheetName val="Measure Calculations"/>
      <sheetName val="General Inputs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>
        <row r="3">
          <cell r="B3">
            <v>8.8400000000000006E-2</v>
          </cell>
        </row>
        <row r="5">
          <cell r="B5">
            <v>1.0469999999999999</v>
          </cell>
        </row>
        <row r="6">
          <cell r="B6">
            <v>1.0469999999999999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oc. Factors"/>
      <sheetName val="C.A. Model"/>
      <sheetName val="Services Study (inputs)"/>
      <sheetName val="Meters Study (inputs)"/>
      <sheetName val="Cust. Acct. Study (inputs)"/>
      <sheetName val="Func. Plt. RRF - With Earnings"/>
      <sheetName val="Expenses RRF - With Earnings"/>
      <sheetName val="Rev. Cred. RRF - With Earnings"/>
      <sheetName val="Rate Design-Non Lighting"/>
      <sheetName val="2 Rate Design-Lights-Summary"/>
      <sheetName val="3 Rate Design-Lights-Components"/>
      <sheetName val="4 Lights-Investments"/>
      <sheetName val="5 Lights-Cap &amp; Maint."/>
      <sheetName val="6 Lights-Facility"/>
      <sheetName val="7 Lights-Proforma Rev (inputs)"/>
      <sheetName val="8 Lights-Proposed Rev (inputs)"/>
      <sheetName val="9 Lights-Proposed Incr"/>
      <sheetName val="Rate Compare"/>
      <sheetName val="Index"/>
      <sheetName val="Rate Class (inputs)"/>
      <sheetName val="Total Co. (inputs)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/>
      <sheetData sheetId="2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ecutive Summary"/>
      <sheetName val="Customer Impact"/>
      <sheetName val="MEAN"/>
      <sheetName val="Marketing"/>
      <sheetName val="Allocation Summary"/>
      <sheetName val="1"/>
      <sheetName val="2"/>
      <sheetName val="Adjusted Exp &amp; Rate Base"/>
      <sheetName val="Known Measurable"/>
      <sheetName val="Statement P"/>
      <sheetName val="Property Avg"/>
      <sheetName val="accdep"/>
      <sheetName val="Other Rate Base Reductions"/>
      <sheetName val="Debt Co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ecutive Summary"/>
      <sheetName val="Customer Impact"/>
      <sheetName val="MEAN"/>
      <sheetName val="Marketing"/>
      <sheetName val="Allocation Summary"/>
      <sheetName val="1"/>
      <sheetName val="2"/>
      <sheetName val="Adjusted Exp &amp; Rate Base"/>
      <sheetName val="Known Measurable"/>
      <sheetName val="Statement P"/>
      <sheetName val="Property Avg"/>
      <sheetName val="accdep"/>
      <sheetName val="Other Rate Base Reductions"/>
      <sheetName val="Debt Co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Header"/>
      <sheetName val="Check Figures"/>
      <sheetName val="Adjustment Log"/>
      <sheetName val="Stmt A pg1"/>
      <sheetName val="Stmt A pg2"/>
      <sheetName val="Stmt B"/>
      <sheetName val="Stmt C"/>
      <sheetName val="Stmt D pg1"/>
      <sheetName val="Stmt D pg2"/>
      <sheetName val="Sched D-1"/>
      <sheetName val="Sched D-2"/>
      <sheetName val="Sched D-3"/>
      <sheetName val="Sched D-4 2001"/>
      <sheetName val="Sched D-4 2002"/>
      <sheetName val="Sched D-4 2003"/>
      <sheetName val="Sched D-4 2004"/>
      <sheetName val="Sched D-4 2005"/>
      <sheetName val="Sched D-4 2006"/>
      <sheetName val="Sched D-4 2007"/>
      <sheetName val="Sched D-4 2008"/>
      <sheetName val="Sched D-5"/>
      <sheetName val="Sched D-6"/>
      <sheetName val="Sched D-7"/>
      <sheetName val="Sched D-8"/>
      <sheetName val="Sched D-9"/>
      <sheetName val="Sched D-10"/>
      <sheetName val="Sched D-11"/>
      <sheetName val="Stmt E"/>
      <sheetName val="Sched E-1"/>
      <sheetName val="Sched E-2"/>
      <sheetName val="Sched E-3"/>
      <sheetName val="Stmt F"/>
      <sheetName val="Sched F-1"/>
      <sheetName val="Sched F-2"/>
      <sheetName val="Sched F-3 pg1"/>
      <sheetName val="Sched F-3 pg2"/>
      <sheetName val="Sched F-4"/>
      <sheetName val="Stmt G pg1"/>
      <sheetName val="Stmt G pg2"/>
      <sheetName val="Stmt G pg3"/>
      <sheetName val="Stmt G pg4"/>
      <sheetName val="Stmt G pg5"/>
      <sheetName val="Sched G-1"/>
      <sheetName val="Sched G-2"/>
      <sheetName val="Sched G-3"/>
      <sheetName val="Sched G-4"/>
      <sheetName val="Stmt H"/>
      <sheetName val="Sched H-1"/>
      <sheetName val="Sched H-2"/>
      <sheetName val="Sched H-3 pg1"/>
      <sheetName val="Sched H-3 pg2"/>
      <sheetName val="Sched H-4"/>
      <sheetName val="Sched H-5"/>
      <sheetName val="Sched H-6"/>
      <sheetName val="Sched H-7"/>
      <sheetName val="Sched H-8"/>
      <sheetName val="Sched H-9"/>
      <sheetName val="Sched H-10"/>
      <sheetName val="Sched H-11"/>
      <sheetName val="Sched H-12"/>
      <sheetName val="Sched H-13"/>
      <sheetName val="Sched H-14"/>
      <sheetName val="Sched H-15"/>
      <sheetName val="Stmt I pg1"/>
      <sheetName val="Stmt I pg2"/>
      <sheetName val="Stmt I pg3"/>
      <sheetName val="Sched I-1 pg1"/>
      <sheetName val="Sched I-1 pg2"/>
      <sheetName val="Sched I-1 pg3"/>
      <sheetName val="Sched I-1 pg4"/>
      <sheetName val="Sched I-1 pg5"/>
      <sheetName val="Sched I-1 pg6"/>
      <sheetName val="Sched I-1 pg7"/>
      <sheetName val="Sched I-1 pg8"/>
      <sheetName val="Sched I-1 pg9"/>
      <sheetName val="Sched I-1 pg10"/>
      <sheetName val="Sched I-1 pg11"/>
      <sheetName val="Stmt J"/>
      <sheetName val="Sched J-1"/>
      <sheetName val="Stmt K pg1,2"/>
      <sheetName val="Stmt K pg3"/>
      <sheetName val="Stmt K pg4"/>
      <sheetName val="Sched K-1"/>
      <sheetName val="Sched K-1-Confidential"/>
      <sheetName val="Sched K-2"/>
      <sheetName val="Sched K-3"/>
      <sheetName val="Sched K-3 Confidential"/>
      <sheetName val="Sched K-4"/>
      <sheetName val="Sched K-5"/>
      <sheetName val="Stmt L"/>
      <sheetName val="Sched L-1"/>
      <sheetName val="Stmt M"/>
      <sheetName val="Sched M-1"/>
      <sheetName val="Sched M-2"/>
      <sheetName val="Stmt N"/>
      <sheetName val="Sched N-1"/>
      <sheetName val="Stmt O"/>
      <sheetName val="Sched O-1"/>
      <sheetName val="Stmt P pg1"/>
      <sheetName val="Stmt P pg2"/>
      <sheetName val="Stmt P pg3"/>
      <sheetName val="Stmt Q"/>
      <sheetName val="Stmt R pg1"/>
      <sheetName val="Stmt R pg2"/>
      <sheetName val="Stmt R pg3"/>
      <sheetName val="Stmt R pg4"/>
      <sheetName val="Stmt R pg5"/>
      <sheetName val="Stmt R pg6"/>
      <sheetName val="WP-1"/>
      <sheetName val="WP-2"/>
      <sheetName val="WP-3 2005"/>
      <sheetName val="WP-3"/>
      <sheetName val="WP-4"/>
      <sheetName val="Section 3 pg 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Header"/>
      <sheetName val="Check Figures"/>
      <sheetName val="Adjustment Log"/>
      <sheetName val="Stmt A pg1"/>
      <sheetName val="Stmt A pg2"/>
      <sheetName val="Stmt B"/>
      <sheetName val="Stmt C"/>
      <sheetName val="Stmt D pg1"/>
      <sheetName val="Stmt D pg2"/>
      <sheetName val="Sched D-1"/>
      <sheetName val="Sched D-2"/>
      <sheetName val="Sched D-3"/>
      <sheetName val="Sched D-4 2001"/>
      <sheetName val="Sched D-4 2002"/>
      <sheetName val="Sched D-4 2003"/>
      <sheetName val="Sched D-4 2004"/>
      <sheetName val="Sched D-4 2005"/>
      <sheetName val="Sched D-4 2006"/>
      <sheetName val="Sched D-4 2007"/>
      <sheetName val="Sched D-4 2008"/>
      <sheetName val="Sched D-5"/>
      <sheetName val="Sched D-6"/>
      <sheetName val="Sched D-7"/>
      <sheetName val="Sched D-8"/>
      <sheetName val="Sched D-9"/>
      <sheetName val="Sched D-10"/>
      <sheetName val="Sched D-11"/>
      <sheetName val="Stmt E"/>
      <sheetName val="Sched E-1"/>
      <sheetName val="Sched E-2"/>
      <sheetName val="Sched E-3"/>
      <sheetName val="Stmt F"/>
      <sheetName val="Sched F-1"/>
      <sheetName val="Sched F-2"/>
      <sheetName val="Sched F-3 pg1"/>
      <sheetName val="Sched F-3 pg2"/>
      <sheetName val="Sched F-4"/>
      <sheetName val="Stmt G pg1"/>
      <sheetName val="Stmt G pg2"/>
      <sheetName val="Stmt G pg3"/>
      <sheetName val="Stmt G pg4"/>
      <sheetName val="Stmt G pg5"/>
      <sheetName val="Sched G-1"/>
      <sheetName val="Sched G-2"/>
      <sheetName val="Sched G-3"/>
      <sheetName val="Sched G-4"/>
      <sheetName val="Stmt H"/>
      <sheetName val="Sched H-1"/>
      <sheetName val="Sched H-2"/>
      <sheetName val="Sched H-3 pg1"/>
      <sheetName val="Sched H-3 pg2"/>
      <sheetName val="Sched H-4"/>
      <sheetName val="Sched H-5"/>
      <sheetName val="Sched H-6"/>
      <sheetName val="Sched H-7"/>
      <sheetName val="Sched H-8"/>
      <sheetName val="Sched H-9"/>
      <sheetName val="Sched H-10"/>
      <sheetName val="Sched H-11"/>
      <sheetName val="Sched H-12"/>
      <sheetName val="Sched H-13"/>
      <sheetName val="Sched H-14"/>
      <sheetName val="Sched H-15"/>
      <sheetName val="Stmt I pg1"/>
      <sheetName val="Stmt I pg2"/>
      <sheetName val="Stmt I pg3"/>
      <sheetName val="Sched I-1 pg1"/>
      <sheetName val="Sched I-1 pg2"/>
      <sheetName val="Sched I-1 pg3"/>
      <sheetName val="Sched I-1 pg4"/>
      <sheetName val="Sched I-1 pg5"/>
      <sheetName val="Sched I-1 pg6"/>
      <sheetName val="Sched I-1 pg7"/>
      <sheetName val="Sched I-1 pg8"/>
      <sheetName val="Sched I-1 pg9"/>
      <sheetName val="Sched I-1 pg10"/>
      <sheetName val="Sched I-1 pg11"/>
      <sheetName val="Stmt J"/>
      <sheetName val="Sched J-1"/>
      <sheetName val="Stmt K pg1,2"/>
      <sheetName val="Stmt K pg3"/>
      <sheetName val="Stmt K pg4"/>
      <sheetName val="Sched K-1"/>
      <sheetName val="Sched K-1-Confidential"/>
      <sheetName val="Sched K-2"/>
      <sheetName val="Sched K-3"/>
      <sheetName val="Sched K-3 Confidential"/>
      <sheetName val="Sched K-4"/>
      <sheetName val="Sched K-5"/>
      <sheetName val="Stmt L"/>
      <sheetName val="Sched L-1"/>
      <sheetName val="Stmt M"/>
      <sheetName val="Sched M-1"/>
      <sheetName val="Sched M-2"/>
      <sheetName val="Stmt N"/>
      <sheetName val="Sched N-1"/>
      <sheetName val="Stmt O"/>
      <sheetName val="Sched O-1"/>
      <sheetName val="Stmt P pg1"/>
      <sheetName val="Stmt P pg2"/>
      <sheetName val="Stmt P pg3"/>
      <sheetName val="Stmt Q"/>
      <sheetName val="Stmt R pg1"/>
      <sheetName val="Stmt R pg2"/>
      <sheetName val="Stmt R pg3"/>
      <sheetName val="Stmt R pg4"/>
      <sheetName val="Stmt R pg5"/>
      <sheetName val="Stmt R pg6"/>
      <sheetName val="WP-1"/>
      <sheetName val="WP-2"/>
      <sheetName val="WP-3 2005"/>
      <sheetName val="WP-3"/>
      <sheetName val="WP-4"/>
      <sheetName val="Section 3 pg 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ctional Unbundling"/>
      <sheetName val="Prod"/>
      <sheetName val="Trans"/>
      <sheetName val="Dist"/>
      <sheetName val="Cust"/>
      <sheetName val="COS"/>
      <sheetName val="WACC &amp; IT"/>
      <sheetName val="Exercise No.1"/>
      <sheetName val="Exercise No. 2"/>
      <sheetName val="Exercise No. 3"/>
      <sheetName val="Exercise No. 4"/>
      <sheetName val="Exercise No. 5"/>
      <sheetName val="Exercise No. 6"/>
      <sheetName val="Prod AFs"/>
      <sheetName val="Trans AFs"/>
      <sheetName val="Cust AFs"/>
      <sheetName val="EX3_Dist AFs"/>
    </sheetNames>
    <sheetDataSet>
      <sheetData sheetId="0"/>
      <sheetData sheetId="1"/>
      <sheetData sheetId="2"/>
      <sheetData sheetId="3"/>
      <sheetData sheetId="4"/>
      <sheetData sheetId="5"/>
      <sheetData sheetId="6">
        <row r="21">
          <cell r="I21">
            <v>3.5499999999999997E-2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ctional Unbundling"/>
      <sheetName val="Prod"/>
      <sheetName val="Trans"/>
      <sheetName val="Dist"/>
      <sheetName val="Cust"/>
      <sheetName val="COS"/>
      <sheetName val="WACC &amp; IT"/>
      <sheetName val="Exercise No.1"/>
      <sheetName val="Exercise No. 2"/>
      <sheetName val="Exercise No. 3"/>
      <sheetName val="Exercise No. 4"/>
      <sheetName val="Exercise No. 5"/>
      <sheetName val="Exercise No. 6"/>
      <sheetName val="Prod AFs"/>
      <sheetName val="Trans AFs"/>
      <sheetName val="Cust AFs"/>
      <sheetName val="EX3_Dist AFs"/>
    </sheetNames>
    <sheetDataSet>
      <sheetData sheetId="0"/>
      <sheetData sheetId="1"/>
      <sheetData sheetId="2"/>
      <sheetData sheetId="3"/>
      <sheetData sheetId="4"/>
      <sheetData sheetId="5"/>
      <sheetData sheetId="6">
        <row r="21">
          <cell r="I21">
            <v>3.5499999999999997E-2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Portfolio Inputs"/>
      <sheetName val="2015"/>
      <sheetName val="2016"/>
      <sheetName val="Sheet1"/>
      <sheetName val="Sources"/>
      <sheetName val="2015 Screen"/>
      <sheetName val="2016 Screen"/>
      <sheetName val="General 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B3">
            <v>8.8400000000000006E-2</v>
          </cell>
        </row>
        <row r="5">
          <cell r="B5">
            <v>1.0469999999999999</v>
          </cell>
        </row>
        <row r="6">
          <cell r="B6">
            <v>1.0469999999999999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C00000"/>
  </sheetPr>
  <dimension ref="A1:U14"/>
  <sheetViews>
    <sheetView showGridLines="0" zoomScale="120" zoomScaleNormal="120" workbookViewId="0">
      <selection activeCell="C9" sqref="C9"/>
    </sheetView>
  </sheetViews>
  <sheetFormatPr defaultColWidth="0" defaultRowHeight="15" zeroHeight="1"/>
  <cols>
    <col min="1" max="1" width="3.140625" customWidth="1"/>
    <col min="2" max="2" width="12.7109375" customWidth="1"/>
    <col min="3" max="3" width="29.7109375" customWidth="1"/>
    <col min="4" max="4" width="57" bestFit="1" customWidth="1"/>
    <col min="5" max="5" width="4.28515625" customWidth="1"/>
    <col min="6" max="20" width="2.42578125" hidden="1" customWidth="1"/>
    <col min="21" max="21" width="5.5703125" hidden="1" customWidth="1"/>
    <col min="22" max="16384" width="2.42578125" hidden="1"/>
  </cols>
  <sheetData>
    <row r="1" spans="1:21">
      <c r="A1" s="17" t="s">
        <v>248</v>
      </c>
    </row>
    <row r="2" spans="1:21">
      <c r="A2" s="145"/>
    </row>
    <row r="3" spans="1:21">
      <c r="B3" s="40" t="s">
        <v>38</v>
      </c>
      <c r="C3" s="40" t="s">
        <v>42</v>
      </c>
      <c r="D3" s="40" t="s">
        <v>37</v>
      </c>
    </row>
    <row r="4" spans="1:21" ht="21.6" customHeight="1">
      <c r="B4" s="798" t="s">
        <v>243</v>
      </c>
      <c r="C4" s="150" t="str">
        <f>HYPERLINK("#'"&amp;U4&amp;"'!a1",U4)</f>
        <v>Portfolio Summary</v>
      </c>
      <c r="D4" s="70" t="s">
        <v>171</v>
      </c>
      <c r="U4" s="22" t="s">
        <v>228</v>
      </c>
    </row>
    <row r="5" spans="1:21" ht="21.6" customHeight="1">
      <c r="B5" s="799"/>
      <c r="C5" s="150" t="str">
        <f t="shared" ref="C5:C10" si="0">HYPERLINK("#'"&amp;U5&amp;"'!a1",U5)</f>
        <v>Program Checklist</v>
      </c>
      <c r="D5" s="70" t="s">
        <v>247</v>
      </c>
      <c r="U5" s="22" t="s">
        <v>246</v>
      </c>
    </row>
    <row r="6" spans="1:21" ht="21" customHeight="1">
      <c r="B6" s="797" t="s">
        <v>39</v>
      </c>
      <c r="C6" s="150" t="str">
        <f t="shared" si="0"/>
        <v>Program Inputs</v>
      </c>
      <c r="D6" s="70" t="s">
        <v>173</v>
      </c>
      <c r="U6" s="22" t="s">
        <v>137</v>
      </c>
    </row>
    <row r="7" spans="1:21" ht="21" customHeight="1">
      <c r="B7" s="797"/>
      <c r="C7" s="150" t="str">
        <f t="shared" si="0"/>
        <v>Measure Inputs</v>
      </c>
      <c r="D7" s="70" t="s">
        <v>43</v>
      </c>
      <c r="U7" s="22" t="s">
        <v>136</v>
      </c>
    </row>
    <row r="8" spans="1:21" ht="21" customHeight="1">
      <c r="B8" s="797"/>
      <c r="C8" s="150" t="str">
        <f t="shared" si="0"/>
        <v>General Inputs</v>
      </c>
      <c r="D8" s="70" t="s">
        <v>160</v>
      </c>
      <c r="U8" s="22" t="s">
        <v>227</v>
      </c>
    </row>
    <row r="9" spans="1:21" ht="21" customHeight="1">
      <c r="B9" s="71" t="s">
        <v>40</v>
      </c>
      <c r="C9" s="150" t="str">
        <f t="shared" si="0"/>
        <v>Analysis</v>
      </c>
      <c r="D9" s="70" t="s">
        <v>135</v>
      </c>
      <c r="U9" s="22" t="s">
        <v>40</v>
      </c>
    </row>
    <row r="10" spans="1:21" ht="21" hidden="1" customHeight="1">
      <c r="B10" s="151" t="s">
        <v>242</v>
      </c>
      <c r="C10" s="150" t="str">
        <f t="shared" si="0"/>
        <v>Cost Curve</v>
      </c>
      <c r="D10" s="70" t="s">
        <v>244</v>
      </c>
      <c r="U10" s="22" t="s">
        <v>241</v>
      </c>
    </row>
    <row r="11" spans="1:21"/>
    <row r="12" spans="1:21"/>
    <row r="13" spans="1:21"/>
    <row r="14" spans="1:21"/>
  </sheetData>
  <mergeCells count="2">
    <mergeCell ref="B6:B8"/>
    <mergeCell ref="B4:B5"/>
  </mergeCell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9"/>
  </sheetPr>
  <dimension ref="A1:AY229"/>
  <sheetViews>
    <sheetView showGridLines="0" zoomScale="75" zoomScaleNormal="75" workbookViewId="0">
      <selection activeCell="P15" sqref="P15"/>
    </sheetView>
  </sheetViews>
  <sheetFormatPr defaultRowHeight="15"/>
  <cols>
    <col min="1" max="1" width="8.140625" bestFit="1" customWidth="1"/>
    <col min="2" max="2" width="50.42578125" bestFit="1" customWidth="1"/>
    <col min="3" max="3" width="8.28515625" style="108" bestFit="1" customWidth="1"/>
    <col min="5" max="5" width="37.5703125" bestFit="1" customWidth="1"/>
    <col min="6" max="7" width="11.5703125" customWidth="1"/>
    <col min="8" max="8" width="6.28515625" bestFit="1" customWidth="1"/>
    <col min="9" max="9" width="63.5703125" customWidth="1"/>
    <col min="10" max="10" width="10.42578125" bestFit="1" customWidth="1"/>
    <col min="11" max="11" width="9.5703125" bestFit="1" customWidth="1"/>
    <col min="12" max="12" width="14.7109375" customWidth="1"/>
    <col min="13" max="13" width="17.7109375" customWidth="1"/>
    <col min="14" max="14" width="46.42578125" customWidth="1"/>
    <col min="15" max="15" width="21.28515625" customWidth="1"/>
    <col min="16" max="16" width="11.42578125" bestFit="1" customWidth="1"/>
    <col min="19" max="19" width="33" bestFit="1" customWidth="1"/>
    <col min="20" max="20" width="4.7109375" bestFit="1" customWidth="1"/>
    <col min="21" max="21" width="15.28515625" bestFit="1" customWidth="1"/>
    <col min="22" max="22" width="30.28515625" bestFit="1" customWidth="1"/>
    <col min="23" max="32" width="30.28515625" customWidth="1"/>
    <col min="33" max="33" width="12.7109375" bestFit="1" customWidth="1"/>
    <col min="34" max="34" width="33.7109375" bestFit="1" customWidth="1"/>
    <col min="49" max="49" width="38" bestFit="1" customWidth="1"/>
  </cols>
  <sheetData>
    <row r="1" spans="1:34">
      <c r="A1" t="s">
        <v>145</v>
      </c>
      <c r="B1" t="s">
        <v>128</v>
      </c>
      <c r="C1" s="102" t="s">
        <v>147</v>
      </c>
      <c r="D1" s="103" t="s">
        <v>148</v>
      </c>
      <c r="E1" s="149" t="s">
        <v>170</v>
      </c>
      <c r="H1" t="s">
        <v>145</v>
      </c>
      <c r="I1" t="s">
        <v>128</v>
      </c>
      <c r="J1" t="s">
        <v>147</v>
      </c>
      <c r="K1" t="s">
        <v>148</v>
      </c>
      <c r="L1" t="s">
        <v>149</v>
      </c>
      <c r="M1" t="s">
        <v>170</v>
      </c>
      <c r="R1" s="6"/>
      <c r="S1" s="6"/>
      <c r="T1" s="6"/>
      <c r="U1" s="6"/>
      <c r="V1" s="6">
        <v>1</v>
      </c>
      <c r="W1" s="6">
        <f>V1+1</f>
        <v>2</v>
      </c>
      <c r="X1" s="6">
        <f t="shared" ref="X1:Y1" si="0">W1+1</f>
        <v>3</v>
      </c>
      <c r="Y1" s="6">
        <f t="shared" si="0"/>
        <v>4</v>
      </c>
      <c r="Z1" s="6">
        <f t="shared" ref="Z1" si="1">Y1+1</f>
        <v>5</v>
      </c>
      <c r="AA1" s="6">
        <f t="shared" ref="AA1" si="2">Z1+1</f>
        <v>6</v>
      </c>
      <c r="AB1" s="6">
        <f t="shared" ref="AB1" si="3">AA1+1</f>
        <v>7</v>
      </c>
      <c r="AC1" s="6">
        <f t="shared" ref="AC1" si="4">AB1+1</f>
        <v>8</v>
      </c>
      <c r="AD1" s="6">
        <f t="shared" ref="AD1" si="5">AC1+1</f>
        <v>9</v>
      </c>
      <c r="AE1" s="6">
        <f t="shared" ref="AE1" si="6">AD1+1</f>
        <v>10</v>
      </c>
      <c r="AF1" s="6">
        <f t="shared" ref="AF1" si="7">AE1+1</f>
        <v>11</v>
      </c>
      <c r="AG1" s="6"/>
      <c r="AH1" s="6"/>
    </row>
    <row r="2" spans="1:34">
      <c r="A2" t="e">
        <f ca="1">_xlfn.RANK.AVG(D2,OFFSET($D$2,,,COUNT(D:D)),1)</f>
        <v>#N/A</v>
      </c>
      <c r="B2" t="s">
        <v>229</v>
      </c>
      <c r="C2" s="102" t="e">
        <f>INDEX(Analysis!$R:$R,MATCH($B2,Analysis!$B:$B,0))</f>
        <v>#N/A</v>
      </c>
      <c r="D2" s="147" t="e">
        <f>INDEX(Analysis!Q:Q,MATCH($B2,Analysis!$B:$B,0))</f>
        <v>#N/A</v>
      </c>
      <c r="E2" t="s">
        <v>120</v>
      </c>
      <c r="H2">
        <v>1</v>
      </c>
      <c r="I2" s="105" t="e">
        <f t="shared" ref="I2:K8" ca="1" si="8">INDEX(B:B,MATCH($H2,$A:$A,0))</f>
        <v>#N/A</v>
      </c>
      <c r="J2" s="129" t="e">
        <f t="shared" ca="1" si="8"/>
        <v>#N/A</v>
      </c>
      <c r="K2" s="131" t="e">
        <f t="shared" ca="1" si="8"/>
        <v>#N/A</v>
      </c>
      <c r="L2" s="108" t="e">
        <f ca="1">SUM($J$2:J2)</f>
        <v>#N/A</v>
      </c>
      <c r="M2" t="e">
        <f ca="1">INDEX(E:E,MATCH(I2,B:B,0))</f>
        <v>#N/A</v>
      </c>
      <c r="O2" s="109" t="s">
        <v>150</v>
      </c>
      <c r="P2" s="110">
        <f ca="1">COUNTA(I:I)-1</f>
        <v>11</v>
      </c>
      <c r="Q2" s="6"/>
      <c r="R2" s="6"/>
      <c r="S2" s="6"/>
      <c r="T2" s="6"/>
      <c r="U2" s="6"/>
      <c r="V2" s="6" t="e">
        <f ca="1">OFFSET($I$1,V$1,0)</f>
        <v>#N/A</v>
      </c>
      <c r="W2" s="6" t="e">
        <f t="shared" ref="W2:AF2" ca="1" si="9">OFFSET($I$1,W$1,0)</f>
        <v>#N/A</v>
      </c>
      <c r="X2" s="6" t="e">
        <f t="shared" ca="1" si="9"/>
        <v>#N/A</v>
      </c>
      <c r="Y2" s="6" t="e">
        <f t="shared" ca="1" si="9"/>
        <v>#N/A</v>
      </c>
      <c r="Z2" s="6" t="e">
        <f t="shared" ca="1" si="9"/>
        <v>#N/A</v>
      </c>
      <c r="AA2" s="6" t="e">
        <f t="shared" ca="1" si="9"/>
        <v>#N/A</v>
      </c>
      <c r="AB2" s="6" t="e">
        <f t="shared" ca="1" si="9"/>
        <v>#N/A</v>
      </c>
      <c r="AC2" s="6" t="e">
        <f t="shared" ca="1" si="9"/>
        <v>#N/A</v>
      </c>
      <c r="AD2" s="6" t="e">
        <f t="shared" ca="1" si="9"/>
        <v>#N/A</v>
      </c>
      <c r="AE2" s="6" t="e">
        <f t="shared" ca="1" si="9"/>
        <v>#N/A</v>
      </c>
      <c r="AF2" s="6" t="e">
        <f t="shared" ca="1" si="9"/>
        <v>#N/A</v>
      </c>
      <c r="AG2" s="6"/>
      <c r="AH2" s="6"/>
    </row>
    <row r="3" spans="1:34">
      <c r="A3" t="e">
        <f t="shared" ref="A3:A12" ca="1" si="10">_xlfn.RANK.AVG(D3,OFFSET($D$2,,,COUNT(D:D)),1)</f>
        <v>#N/A</v>
      </c>
      <c r="B3" t="s">
        <v>230</v>
      </c>
      <c r="C3" s="102" t="e">
        <f>INDEX(Analysis!$R:$R,MATCH($B3,Analysis!$B:$B,0))</f>
        <v>#N/A</v>
      </c>
      <c r="D3" s="147" t="e">
        <f>INDEX(Analysis!Q:Q,MATCH($B3,Analysis!$B:$B,0))</f>
        <v>#N/A</v>
      </c>
      <c r="E3" t="s">
        <v>214</v>
      </c>
      <c r="H3">
        <f>H2+1</f>
        <v>2</v>
      </c>
      <c r="I3" s="105" t="e">
        <f t="shared" ca="1" si="8"/>
        <v>#N/A</v>
      </c>
      <c r="J3" s="129" t="e">
        <f t="shared" ca="1" si="8"/>
        <v>#N/A</v>
      </c>
      <c r="K3" s="131" t="e">
        <f t="shared" ca="1" si="8"/>
        <v>#N/A</v>
      </c>
      <c r="L3" s="108" t="e">
        <f ca="1">SUM($J$2:J3)</f>
        <v>#N/A</v>
      </c>
      <c r="M3" t="e">
        <f t="shared" ref="M3:M8" ca="1" si="11">INDEX(E:E,MATCH(I3,B:B,0))</f>
        <v>#N/A</v>
      </c>
      <c r="O3" s="111" t="s">
        <v>146</v>
      </c>
      <c r="P3" s="112">
        <f ca="1">P2*3+1</f>
        <v>34</v>
      </c>
      <c r="Q3" s="6"/>
      <c r="R3" s="6"/>
      <c r="S3" s="6"/>
      <c r="T3" s="6" t="s">
        <v>151</v>
      </c>
      <c r="U3" s="113" t="s">
        <v>152</v>
      </c>
      <c r="V3" s="114" t="e">
        <f t="shared" ref="V3:Y3" ca="1" si="12">V2&amp;"; "&amp;ROUND(INDEX($J:$J,MATCH(V2,$I:$I,0)),1)&amp;" "&amp;$P$9&amp;"; $"&amp;ROUND(INDEX($K:$K,MATCH(V2,$I:$I,0)),2)&amp;" per "&amp;$P$10</f>
        <v>#N/A</v>
      </c>
      <c r="W3" s="114" t="e">
        <f t="shared" ca="1" si="12"/>
        <v>#N/A</v>
      </c>
      <c r="X3" s="114" t="e">
        <f t="shared" ca="1" si="12"/>
        <v>#N/A</v>
      </c>
      <c r="Y3" s="114" t="e">
        <f t="shared" ca="1" si="12"/>
        <v>#N/A</v>
      </c>
      <c r="Z3" s="114" t="e">
        <f t="shared" ref="Z3:AF3" ca="1" si="13">Z2&amp;"; "&amp;ROUND(INDEX($J:$J,MATCH(Z2,$I:$I,0)),1)&amp;" "&amp;$P$9&amp;"; $"&amp;ROUND(INDEX($K:$K,MATCH(Z2,$I:$I,0)),2)&amp;" per "&amp;$P$10</f>
        <v>#N/A</v>
      </c>
      <c r="AA3" s="114" t="e">
        <f t="shared" ca="1" si="13"/>
        <v>#N/A</v>
      </c>
      <c r="AB3" s="114" t="e">
        <f t="shared" ca="1" si="13"/>
        <v>#N/A</v>
      </c>
      <c r="AC3" s="114" t="e">
        <f t="shared" ca="1" si="13"/>
        <v>#N/A</v>
      </c>
      <c r="AD3" s="114" t="e">
        <f t="shared" ca="1" si="13"/>
        <v>#N/A</v>
      </c>
      <c r="AE3" s="114" t="e">
        <f t="shared" ca="1" si="13"/>
        <v>#N/A</v>
      </c>
      <c r="AF3" s="114" t="e">
        <f t="shared" ca="1" si="13"/>
        <v>#N/A</v>
      </c>
      <c r="AG3" s="115" t="s">
        <v>153</v>
      </c>
      <c r="AH3" s="116" t="s">
        <v>154</v>
      </c>
    </row>
    <row r="4" spans="1:34">
      <c r="A4" t="e">
        <f t="shared" ca="1" si="10"/>
        <v>#N/A</v>
      </c>
      <c r="B4" t="s">
        <v>231</v>
      </c>
      <c r="C4" s="102" t="e">
        <f>INDEX(Analysis!$R:$R,MATCH($B4,Analysis!$B:$B,0))</f>
        <v>#N/A</v>
      </c>
      <c r="D4" s="147" t="e">
        <f>INDEX(Analysis!Q:Q,MATCH($B4,Analysis!$B:$B,0))</f>
        <v>#N/A</v>
      </c>
      <c r="E4" t="s">
        <v>215</v>
      </c>
      <c r="H4">
        <f t="shared" ref="H4:H12" si="14">H3+1</f>
        <v>3</v>
      </c>
      <c r="I4" s="105" t="e">
        <f t="shared" ca="1" si="8"/>
        <v>#N/A</v>
      </c>
      <c r="J4" s="129" t="e">
        <f t="shared" ca="1" si="8"/>
        <v>#N/A</v>
      </c>
      <c r="K4" s="131" t="e">
        <f t="shared" ca="1" si="8"/>
        <v>#N/A</v>
      </c>
      <c r="L4" s="108" t="e">
        <f ca="1">SUM($J$2:J4)</f>
        <v>#N/A</v>
      </c>
      <c r="M4" t="e">
        <f t="shared" ca="1" si="11"/>
        <v>#N/A</v>
      </c>
      <c r="R4" s="6"/>
      <c r="S4" s="6">
        <v>0</v>
      </c>
      <c r="T4" s="6">
        <v>1</v>
      </c>
      <c r="U4" s="117">
        <v>0</v>
      </c>
      <c r="V4" s="118">
        <f t="shared" ref="V4:AF13" si="15">IF(AND($T4&gt;=(2+(3*(V$1-1))),$T4&lt;=(4+(3*(V$1-1)))),INDEX($K:$K,MATCH(V$2,$I:$I,0)),0)</f>
        <v>0</v>
      </c>
      <c r="W4" s="118">
        <f t="shared" si="15"/>
        <v>0</v>
      </c>
      <c r="X4" s="118">
        <f t="shared" si="15"/>
        <v>0</v>
      </c>
      <c r="Y4" s="118">
        <f t="shared" si="15"/>
        <v>0</v>
      </c>
      <c r="Z4" s="118">
        <f t="shared" si="15"/>
        <v>0</v>
      </c>
      <c r="AA4" s="118">
        <f t="shared" si="15"/>
        <v>0</v>
      </c>
      <c r="AB4" s="118">
        <f t="shared" si="15"/>
        <v>0</v>
      </c>
      <c r="AC4" s="118">
        <f t="shared" si="15"/>
        <v>0</v>
      </c>
      <c r="AD4" s="118">
        <f t="shared" si="15"/>
        <v>0</v>
      </c>
      <c r="AE4" s="118">
        <f t="shared" si="15"/>
        <v>0</v>
      </c>
      <c r="AF4" s="118">
        <f t="shared" si="15"/>
        <v>0</v>
      </c>
      <c r="AG4" s="119" t="str">
        <f>IFERROR(INDEX($D:$D,MATCH(AH4,$B:$B,0)),"")</f>
        <v/>
      </c>
      <c r="AH4" s="120" t="str">
        <f t="shared" ref="AH4:AH25" si="16">IFERROR(INDEX(E:E,MATCH(IF(MOD(T4,3)=0,S4,""),$B:$B,0)),"")</f>
        <v/>
      </c>
    </row>
    <row r="5" spans="1:34">
      <c r="A5" t="e">
        <f t="shared" ca="1" si="10"/>
        <v>#N/A</v>
      </c>
      <c r="B5" t="s">
        <v>232</v>
      </c>
      <c r="C5" s="102" t="e">
        <f>INDEX(Analysis!$R:$R,MATCH($B5,Analysis!$B:$B,0))</f>
        <v>#N/A</v>
      </c>
      <c r="D5" s="147" t="e">
        <f>INDEX(Analysis!Q:Q,MATCH($B5,Analysis!$B:$B,0))</f>
        <v>#N/A</v>
      </c>
      <c r="E5" t="s">
        <v>217</v>
      </c>
      <c r="H5">
        <f t="shared" si="14"/>
        <v>4</v>
      </c>
      <c r="I5" s="105" t="e">
        <f t="shared" ca="1" si="8"/>
        <v>#N/A</v>
      </c>
      <c r="J5" s="129" t="e">
        <f t="shared" ca="1" si="8"/>
        <v>#N/A</v>
      </c>
      <c r="K5" s="131" t="e">
        <f t="shared" ca="1" si="8"/>
        <v>#N/A</v>
      </c>
      <c r="L5" s="108" t="e">
        <f ca="1">SUM($J$2:J5)</f>
        <v>#N/A</v>
      </c>
      <c r="M5" t="e">
        <f t="shared" ca="1" si="11"/>
        <v>#N/A</v>
      </c>
      <c r="O5" s="121" t="s">
        <v>155</v>
      </c>
      <c r="P5" s="110">
        <v>1000</v>
      </c>
      <c r="R5" s="6"/>
      <c r="S5" s="6" t="e">
        <f t="shared" ref="S5:S25" ca="1" si="17">INDEX(OFFSET($I$2,,,$P$2),MATCH(MAX(V5:AF5),V5:AF5,0))</f>
        <v>#N/A</v>
      </c>
      <c r="T5" s="6">
        <f>T4+1</f>
        <v>2</v>
      </c>
      <c r="U5" s="117" t="e">
        <f t="shared" ref="U5:U25" ca="1" si="18">IF(AND(S5=S4,S4=S3),INDEX(L:L,MATCH(S5,I:I,0)),IF(AND(S5&lt;&gt;S4),U4,IF(AND(S5&lt;&gt;0,S6=S4),AVERAGE(OFFSET(U6,-3,0),U6),0)))</f>
        <v>#N/A</v>
      </c>
      <c r="V5" s="118" t="e">
        <f t="shared" ca="1" si="15"/>
        <v>#N/A</v>
      </c>
      <c r="W5" s="118">
        <f t="shared" si="15"/>
        <v>0</v>
      </c>
      <c r="X5" s="118">
        <f t="shared" si="15"/>
        <v>0</v>
      </c>
      <c r="Y5" s="118">
        <f t="shared" si="15"/>
        <v>0</v>
      </c>
      <c r="Z5" s="118">
        <f t="shared" si="15"/>
        <v>0</v>
      </c>
      <c r="AA5" s="118">
        <f t="shared" si="15"/>
        <v>0</v>
      </c>
      <c r="AB5" s="118">
        <f t="shared" si="15"/>
        <v>0</v>
      </c>
      <c r="AC5" s="118">
        <f t="shared" si="15"/>
        <v>0</v>
      </c>
      <c r="AD5" s="118">
        <f t="shared" si="15"/>
        <v>0</v>
      </c>
      <c r="AE5" s="118">
        <f t="shared" si="15"/>
        <v>0</v>
      </c>
      <c r="AF5" s="118">
        <f t="shared" si="15"/>
        <v>0</v>
      </c>
      <c r="AG5" s="119" t="str">
        <f t="shared" ref="AG5:AG25" si="19">IFERROR(INDEX($D:$D,MATCH(AH5,$B:$B,0)),"")</f>
        <v/>
      </c>
      <c r="AH5" s="120" t="str">
        <f t="shared" si="16"/>
        <v/>
      </c>
    </row>
    <row r="6" spans="1:34">
      <c r="A6" t="e">
        <f t="shared" ca="1" si="10"/>
        <v>#N/A</v>
      </c>
      <c r="B6" t="s">
        <v>233</v>
      </c>
      <c r="C6" s="102" t="e">
        <f>INDEX(Analysis!$R:$R,MATCH($B6,Analysis!$B:$B,0))</f>
        <v>#N/A</v>
      </c>
      <c r="D6" s="147" t="e">
        <f>INDEX(Analysis!Q:Q,MATCH($B6,Analysis!$B:$B,0))</f>
        <v>#N/A</v>
      </c>
      <c r="E6" t="s">
        <v>218</v>
      </c>
      <c r="H6">
        <f t="shared" si="14"/>
        <v>5</v>
      </c>
      <c r="I6" s="105" t="e">
        <f t="shared" ca="1" si="8"/>
        <v>#N/A</v>
      </c>
      <c r="J6" s="129" t="e">
        <f t="shared" ca="1" si="8"/>
        <v>#N/A</v>
      </c>
      <c r="K6" s="131" t="e">
        <f t="shared" ca="1" si="8"/>
        <v>#N/A</v>
      </c>
      <c r="L6" s="108" t="e">
        <f ca="1">SUM($J$2:J6)</f>
        <v>#N/A</v>
      </c>
      <c r="M6" t="e">
        <f t="shared" ca="1" si="11"/>
        <v>#N/A</v>
      </c>
      <c r="O6" s="122" t="s">
        <v>156</v>
      </c>
      <c r="P6" s="123" t="e">
        <f ca="1">ROUNDUP(MAX(L:L)/$P$5,0)*$P$5</f>
        <v>#N/A</v>
      </c>
      <c r="R6" s="6"/>
      <c r="S6" s="6" t="e">
        <f t="shared" ca="1" si="17"/>
        <v>#N/A</v>
      </c>
      <c r="T6" s="6">
        <f t="shared" ref="T6:T37" si="20">T5+1</f>
        <v>3</v>
      </c>
      <c r="U6" s="117" t="e">
        <f t="shared" ca="1" si="18"/>
        <v>#N/A</v>
      </c>
      <c r="V6" s="118" t="e">
        <f t="shared" ca="1" si="15"/>
        <v>#N/A</v>
      </c>
      <c r="W6" s="118">
        <f t="shared" si="15"/>
        <v>0</v>
      </c>
      <c r="X6" s="118">
        <f t="shared" si="15"/>
        <v>0</v>
      </c>
      <c r="Y6" s="118">
        <f t="shared" si="15"/>
        <v>0</v>
      </c>
      <c r="Z6" s="118">
        <f t="shared" si="15"/>
        <v>0</v>
      </c>
      <c r="AA6" s="118">
        <f t="shared" si="15"/>
        <v>0</v>
      </c>
      <c r="AB6" s="118">
        <f t="shared" si="15"/>
        <v>0</v>
      </c>
      <c r="AC6" s="118">
        <f t="shared" si="15"/>
        <v>0</v>
      </c>
      <c r="AD6" s="118">
        <f t="shared" si="15"/>
        <v>0</v>
      </c>
      <c r="AE6" s="118">
        <f t="shared" si="15"/>
        <v>0</v>
      </c>
      <c r="AF6" s="118">
        <f t="shared" si="15"/>
        <v>0</v>
      </c>
      <c r="AG6" s="119" t="str">
        <f t="shared" ca="1" si="19"/>
        <v/>
      </c>
      <c r="AH6" s="120" t="str">
        <f t="shared" ca="1" si="16"/>
        <v/>
      </c>
    </row>
    <row r="7" spans="1:34">
      <c r="A7" t="e">
        <f t="shared" ca="1" si="10"/>
        <v>#N/A</v>
      </c>
      <c r="B7" t="s">
        <v>234</v>
      </c>
      <c r="C7" s="102" t="e">
        <f>INDEX(Analysis!$R:$R,MATCH($B7,Analysis!$B:$B,0))</f>
        <v>#N/A</v>
      </c>
      <c r="D7" s="147" t="e">
        <f>INDEX(Analysis!Q:Q,MATCH($B7,Analysis!$B:$B,0))</f>
        <v>#N/A</v>
      </c>
      <c r="E7" t="s">
        <v>219</v>
      </c>
      <c r="H7">
        <f t="shared" si="14"/>
        <v>6</v>
      </c>
      <c r="I7" s="105" t="e">
        <f t="shared" ca="1" si="8"/>
        <v>#N/A</v>
      </c>
      <c r="J7" s="129" t="e">
        <f t="shared" ca="1" si="8"/>
        <v>#N/A</v>
      </c>
      <c r="K7" s="131" t="e">
        <f t="shared" ca="1" si="8"/>
        <v>#N/A</v>
      </c>
      <c r="L7" s="108" t="e">
        <f ca="1">SUM($J$2:J7)</f>
        <v>#N/A</v>
      </c>
      <c r="M7" t="e">
        <f t="shared" ca="1" si="11"/>
        <v>#N/A</v>
      </c>
      <c r="O7" s="111" t="s">
        <v>46</v>
      </c>
      <c r="P7" s="124" t="e">
        <f ca="1">P6</f>
        <v>#N/A</v>
      </c>
      <c r="R7" s="6"/>
      <c r="S7" s="6" t="e">
        <f t="shared" ca="1" si="17"/>
        <v>#N/A</v>
      </c>
      <c r="T7" s="6">
        <f t="shared" si="20"/>
        <v>4</v>
      </c>
      <c r="U7" s="117" t="e">
        <f t="shared" ca="1" si="18"/>
        <v>#N/A</v>
      </c>
      <c r="V7" s="118" t="e">
        <f t="shared" ca="1" si="15"/>
        <v>#N/A</v>
      </c>
      <c r="W7" s="118">
        <f t="shared" si="15"/>
        <v>0</v>
      </c>
      <c r="X7" s="118">
        <f t="shared" si="15"/>
        <v>0</v>
      </c>
      <c r="Y7" s="118">
        <f t="shared" si="15"/>
        <v>0</v>
      </c>
      <c r="Z7" s="118">
        <f t="shared" si="15"/>
        <v>0</v>
      </c>
      <c r="AA7" s="118">
        <f t="shared" si="15"/>
        <v>0</v>
      </c>
      <c r="AB7" s="118">
        <f t="shared" si="15"/>
        <v>0</v>
      </c>
      <c r="AC7" s="118">
        <f t="shared" si="15"/>
        <v>0</v>
      </c>
      <c r="AD7" s="118">
        <f t="shared" si="15"/>
        <v>0</v>
      </c>
      <c r="AE7" s="118">
        <f t="shared" si="15"/>
        <v>0</v>
      </c>
      <c r="AF7" s="118">
        <f t="shared" si="15"/>
        <v>0</v>
      </c>
      <c r="AG7" s="119" t="str">
        <f t="shared" si="19"/>
        <v/>
      </c>
      <c r="AH7" s="120" t="str">
        <f t="shared" si="16"/>
        <v/>
      </c>
    </row>
    <row r="8" spans="1:34">
      <c r="A8" t="e">
        <f t="shared" ca="1" si="10"/>
        <v>#N/A</v>
      </c>
      <c r="B8" t="s">
        <v>235</v>
      </c>
      <c r="C8" s="102" t="e">
        <f>INDEX(Analysis!$R:$R,MATCH($B8,Analysis!$B:$B,0))</f>
        <v>#N/A</v>
      </c>
      <c r="D8" s="147" t="e">
        <f>INDEX(Analysis!Q:Q,MATCH($B8,Analysis!$B:$B,0))</f>
        <v>#N/A</v>
      </c>
      <c r="E8" t="s">
        <v>220</v>
      </c>
      <c r="H8">
        <f t="shared" si="14"/>
        <v>7</v>
      </c>
      <c r="I8" s="105" t="e">
        <f t="shared" ca="1" si="8"/>
        <v>#N/A</v>
      </c>
      <c r="J8" s="129" t="e">
        <f t="shared" ca="1" si="8"/>
        <v>#N/A</v>
      </c>
      <c r="K8" s="131" t="e">
        <f t="shared" ca="1" si="8"/>
        <v>#N/A</v>
      </c>
      <c r="L8" s="108" t="e">
        <f ca="1">SUM($J$2:J8)</f>
        <v>#N/A</v>
      </c>
      <c r="M8" t="e">
        <f t="shared" ca="1" si="11"/>
        <v>#N/A</v>
      </c>
      <c r="R8" s="6"/>
      <c r="S8" s="6" t="e">
        <f t="shared" ca="1" si="17"/>
        <v>#N/A</v>
      </c>
      <c r="T8" s="6">
        <f t="shared" si="20"/>
        <v>5</v>
      </c>
      <c r="U8" s="117" t="e">
        <f t="shared" ca="1" si="18"/>
        <v>#N/A</v>
      </c>
      <c r="V8" s="118">
        <f t="shared" si="15"/>
        <v>0</v>
      </c>
      <c r="W8" s="118" t="e">
        <f t="shared" ca="1" si="15"/>
        <v>#N/A</v>
      </c>
      <c r="X8" s="118">
        <f t="shared" si="15"/>
        <v>0</v>
      </c>
      <c r="Y8" s="118">
        <f t="shared" si="15"/>
        <v>0</v>
      </c>
      <c r="Z8" s="118">
        <f t="shared" si="15"/>
        <v>0</v>
      </c>
      <c r="AA8" s="118">
        <f t="shared" si="15"/>
        <v>0</v>
      </c>
      <c r="AB8" s="118">
        <f t="shared" si="15"/>
        <v>0</v>
      </c>
      <c r="AC8" s="118">
        <f t="shared" si="15"/>
        <v>0</v>
      </c>
      <c r="AD8" s="118">
        <f t="shared" si="15"/>
        <v>0</v>
      </c>
      <c r="AE8" s="118">
        <f t="shared" si="15"/>
        <v>0</v>
      </c>
      <c r="AF8" s="118">
        <f t="shared" si="15"/>
        <v>0</v>
      </c>
      <c r="AG8" s="119" t="str">
        <f t="shared" si="19"/>
        <v/>
      </c>
      <c r="AH8" s="120" t="str">
        <f t="shared" si="16"/>
        <v/>
      </c>
    </row>
    <row r="9" spans="1:34">
      <c r="A9" t="e">
        <f t="shared" ca="1" si="10"/>
        <v>#N/A</v>
      </c>
      <c r="B9" t="s">
        <v>236</v>
      </c>
      <c r="C9" s="102" t="e">
        <f>INDEX(Analysis!$R:$R,MATCH($B9,Analysis!$B:$B,0))</f>
        <v>#N/A</v>
      </c>
      <c r="D9" s="147" t="e">
        <f>INDEX(Analysis!Q:Q,MATCH($B9,Analysis!$B:$B,0))</f>
        <v>#N/A</v>
      </c>
      <c r="E9" t="s">
        <v>221</v>
      </c>
      <c r="H9">
        <f t="shared" si="14"/>
        <v>8</v>
      </c>
      <c r="I9" s="105" t="e">
        <f t="shared" ref="I9:I12" ca="1" si="21">INDEX(B:B,MATCH($H9,$A:$A,0))</f>
        <v>#N/A</v>
      </c>
      <c r="J9" s="129" t="e">
        <f t="shared" ref="J9:J12" ca="1" si="22">INDEX(C:C,MATCH($H9,$A:$A,0))</f>
        <v>#N/A</v>
      </c>
      <c r="K9" s="131" t="e">
        <f t="shared" ref="K9:K12" ca="1" si="23">INDEX(D:D,MATCH($H9,$A:$A,0))</f>
        <v>#N/A</v>
      </c>
      <c r="L9" s="108" t="e">
        <f ca="1">SUM($J$2:J9)</f>
        <v>#N/A</v>
      </c>
      <c r="M9" t="e">
        <f t="shared" ref="M9:M12" ca="1" si="24">INDEX(E:E,MATCH(I9,B:B,0))</f>
        <v>#N/A</v>
      </c>
      <c r="O9" s="109" t="s">
        <v>157</v>
      </c>
      <c r="P9" s="125" t="s">
        <v>158</v>
      </c>
      <c r="R9" s="6"/>
      <c r="S9" s="6" t="e">
        <f t="shared" ca="1" si="17"/>
        <v>#N/A</v>
      </c>
      <c r="T9" s="6">
        <f t="shared" si="20"/>
        <v>6</v>
      </c>
      <c r="U9" s="117" t="e">
        <f t="shared" ca="1" si="18"/>
        <v>#N/A</v>
      </c>
      <c r="V9" s="118">
        <f t="shared" si="15"/>
        <v>0</v>
      </c>
      <c r="W9" s="118" t="e">
        <f t="shared" ca="1" si="15"/>
        <v>#N/A</v>
      </c>
      <c r="X9" s="118">
        <f t="shared" si="15"/>
        <v>0</v>
      </c>
      <c r="Y9" s="118">
        <f t="shared" si="15"/>
        <v>0</v>
      </c>
      <c r="Z9" s="118">
        <f t="shared" si="15"/>
        <v>0</v>
      </c>
      <c r="AA9" s="118">
        <f t="shared" si="15"/>
        <v>0</v>
      </c>
      <c r="AB9" s="118">
        <f t="shared" si="15"/>
        <v>0</v>
      </c>
      <c r="AC9" s="118">
        <f t="shared" si="15"/>
        <v>0</v>
      </c>
      <c r="AD9" s="118">
        <f t="shared" si="15"/>
        <v>0</v>
      </c>
      <c r="AE9" s="118">
        <f t="shared" si="15"/>
        <v>0</v>
      </c>
      <c r="AF9" s="118">
        <f t="shared" si="15"/>
        <v>0</v>
      </c>
      <c r="AG9" s="119" t="str">
        <f t="shared" ca="1" si="19"/>
        <v/>
      </c>
      <c r="AH9" s="120" t="str">
        <f t="shared" ca="1" si="16"/>
        <v/>
      </c>
    </row>
    <row r="10" spans="1:34">
      <c r="A10" t="e">
        <f t="shared" ca="1" si="10"/>
        <v>#N/A</v>
      </c>
      <c r="B10" t="s">
        <v>237</v>
      </c>
      <c r="C10" s="102" t="e">
        <f>INDEX(Analysis!$R:$R,MATCH($B10,Analysis!$B:$B,0))</f>
        <v>#N/A</v>
      </c>
      <c r="D10" s="147" t="e">
        <f>INDEX(Analysis!Q:Q,MATCH($B10,Analysis!$B:$B,0))</f>
        <v>#N/A</v>
      </c>
      <c r="E10" t="s">
        <v>222</v>
      </c>
      <c r="H10">
        <f t="shared" si="14"/>
        <v>9</v>
      </c>
      <c r="I10" s="105" t="e">
        <f t="shared" ca="1" si="21"/>
        <v>#N/A</v>
      </c>
      <c r="J10" s="129" t="e">
        <f t="shared" ca="1" si="22"/>
        <v>#N/A</v>
      </c>
      <c r="K10" s="131" t="e">
        <f t="shared" ca="1" si="23"/>
        <v>#N/A</v>
      </c>
      <c r="L10" s="108" t="e">
        <f ca="1">SUM($J$2:J10)</f>
        <v>#N/A</v>
      </c>
      <c r="M10" t="e">
        <f t="shared" ca="1" si="24"/>
        <v>#N/A</v>
      </c>
      <c r="O10" s="111" t="s">
        <v>159</v>
      </c>
      <c r="P10" s="126" t="s">
        <v>26</v>
      </c>
      <c r="R10" s="6"/>
      <c r="S10" s="6" t="e">
        <f t="shared" ca="1" si="17"/>
        <v>#N/A</v>
      </c>
      <c r="T10" s="6">
        <f t="shared" si="20"/>
        <v>7</v>
      </c>
      <c r="U10" s="117" t="e">
        <f t="shared" ca="1" si="18"/>
        <v>#N/A</v>
      </c>
      <c r="V10" s="118">
        <f t="shared" si="15"/>
        <v>0</v>
      </c>
      <c r="W10" s="118" t="e">
        <f t="shared" ca="1" si="15"/>
        <v>#N/A</v>
      </c>
      <c r="X10" s="118">
        <f t="shared" si="15"/>
        <v>0</v>
      </c>
      <c r="Y10" s="118">
        <f t="shared" si="15"/>
        <v>0</v>
      </c>
      <c r="Z10" s="118">
        <f t="shared" si="15"/>
        <v>0</v>
      </c>
      <c r="AA10" s="118">
        <f t="shared" si="15"/>
        <v>0</v>
      </c>
      <c r="AB10" s="118">
        <f t="shared" si="15"/>
        <v>0</v>
      </c>
      <c r="AC10" s="118">
        <f t="shared" si="15"/>
        <v>0</v>
      </c>
      <c r="AD10" s="118">
        <f t="shared" si="15"/>
        <v>0</v>
      </c>
      <c r="AE10" s="118">
        <f t="shared" si="15"/>
        <v>0</v>
      </c>
      <c r="AF10" s="118">
        <f t="shared" si="15"/>
        <v>0</v>
      </c>
      <c r="AG10" s="119" t="str">
        <f t="shared" si="19"/>
        <v/>
      </c>
      <c r="AH10" s="120" t="str">
        <f t="shared" si="16"/>
        <v/>
      </c>
    </row>
    <row r="11" spans="1:34">
      <c r="A11" t="e">
        <f t="shared" ca="1" si="10"/>
        <v>#N/A</v>
      </c>
      <c r="B11" t="s">
        <v>238</v>
      </c>
      <c r="C11" s="102" t="e">
        <f>INDEX(Analysis!$R:$R,MATCH($B11,Analysis!$B:$B,0))</f>
        <v>#N/A</v>
      </c>
      <c r="D11" s="147" t="e">
        <f>INDEX(Analysis!Q:Q,MATCH($B11,Analysis!$B:$B,0))</f>
        <v>#N/A</v>
      </c>
      <c r="E11" t="s">
        <v>223</v>
      </c>
      <c r="H11">
        <f t="shared" si="14"/>
        <v>10</v>
      </c>
      <c r="I11" s="105" t="e">
        <f t="shared" ca="1" si="21"/>
        <v>#N/A</v>
      </c>
      <c r="J11" s="129" t="e">
        <f t="shared" ca="1" si="22"/>
        <v>#N/A</v>
      </c>
      <c r="K11" s="131" t="e">
        <f t="shared" ca="1" si="23"/>
        <v>#N/A</v>
      </c>
      <c r="L11" s="108" t="e">
        <f ca="1">SUM($J$2:J11)</f>
        <v>#N/A</v>
      </c>
      <c r="M11" t="e">
        <f t="shared" ca="1" si="24"/>
        <v>#N/A</v>
      </c>
      <c r="O11" s="127"/>
      <c r="R11" s="6"/>
      <c r="S11" s="6" t="e">
        <f t="shared" ca="1" si="17"/>
        <v>#N/A</v>
      </c>
      <c r="T11" s="6">
        <f t="shared" si="20"/>
        <v>8</v>
      </c>
      <c r="U11" s="117" t="e">
        <f t="shared" ca="1" si="18"/>
        <v>#N/A</v>
      </c>
      <c r="V11" s="118">
        <f t="shared" si="15"/>
        <v>0</v>
      </c>
      <c r="W11" s="118">
        <f t="shared" si="15"/>
        <v>0</v>
      </c>
      <c r="X11" s="118" t="e">
        <f t="shared" ca="1" si="15"/>
        <v>#N/A</v>
      </c>
      <c r="Y11" s="118">
        <f t="shared" si="15"/>
        <v>0</v>
      </c>
      <c r="Z11" s="118">
        <f t="shared" si="15"/>
        <v>0</v>
      </c>
      <c r="AA11" s="118">
        <f t="shared" si="15"/>
        <v>0</v>
      </c>
      <c r="AB11" s="118">
        <f t="shared" si="15"/>
        <v>0</v>
      </c>
      <c r="AC11" s="118">
        <f t="shared" si="15"/>
        <v>0</v>
      </c>
      <c r="AD11" s="118">
        <f t="shared" si="15"/>
        <v>0</v>
      </c>
      <c r="AE11" s="118">
        <f t="shared" si="15"/>
        <v>0</v>
      </c>
      <c r="AF11" s="118">
        <f t="shared" si="15"/>
        <v>0</v>
      </c>
      <c r="AG11" s="119" t="str">
        <f t="shared" si="19"/>
        <v/>
      </c>
      <c r="AH11" s="120" t="str">
        <f t="shared" si="16"/>
        <v/>
      </c>
    </row>
    <row r="12" spans="1:34">
      <c r="A12" t="e">
        <f t="shared" ca="1" si="10"/>
        <v>#N/A</v>
      </c>
      <c r="B12" t="s">
        <v>239</v>
      </c>
      <c r="C12" s="102" t="e">
        <f>INDEX(Analysis!$R:$R,MATCH($B12,Analysis!$B:$B,0))</f>
        <v>#N/A</v>
      </c>
      <c r="D12" s="147" t="e">
        <f>INDEX(Analysis!Q:Q,MATCH($B12,Analysis!$B:$B,0))</f>
        <v>#N/A</v>
      </c>
      <c r="E12" t="s">
        <v>224</v>
      </c>
      <c r="H12">
        <f t="shared" si="14"/>
        <v>11</v>
      </c>
      <c r="I12" s="105" t="e">
        <f t="shared" ca="1" si="21"/>
        <v>#N/A</v>
      </c>
      <c r="J12" s="129" t="e">
        <f t="shared" ca="1" si="22"/>
        <v>#N/A</v>
      </c>
      <c r="K12" s="131" t="e">
        <f t="shared" ca="1" si="23"/>
        <v>#N/A</v>
      </c>
      <c r="L12" s="108" t="e">
        <f ca="1">SUM($J$2:J12)</f>
        <v>#N/A</v>
      </c>
      <c r="M12" t="e">
        <f t="shared" ca="1" si="24"/>
        <v>#N/A</v>
      </c>
      <c r="R12" s="6"/>
      <c r="S12" s="6" t="e">
        <f t="shared" ca="1" si="17"/>
        <v>#N/A</v>
      </c>
      <c r="T12" s="6">
        <f t="shared" si="20"/>
        <v>9</v>
      </c>
      <c r="U12" s="117" t="e">
        <f t="shared" ca="1" si="18"/>
        <v>#N/A</v>
      </c>
      <c r="V12" s="118">
        <f t="shared" si="15"/>
        <v>0</v>
      </c>
      <c r="W12" s="118">
        <f t="shared" si="15"/>
        <v>0</v>
      </c>
      <c r="X12" s="118" t="e">
        <f t="shared" ca="1" si="15"/>
        <v>#N/A</v>
      </c>
      <c r="Y12" s="118">
        <f t="shared" si="15"/>
        <v>0</v>
      </c>
      <c r="Z12" s="118">
        <f t="shared" si="15"/>
        <v>0</v>
      </c>
      <c r="AA12" s="118">
        <f t="shared" si="15"/>
        <v>0</v>
      </c>
      <c r="AB12" s="118">
        <f t="shared" si="15"/>
        <v>0</v>
      </c>
      <c r="AC12" s="118">
        <f t="shared" si="15"/>
        <v>0</v>
      </c>
      <c r="AD12" s="118">
        <f t="shared" si="15"/>
        <v>0</v>
      </c>
      <c r="AE12" s="118">
        <f t="shared" si="15"/>
        <v>0</v>
      </c>
      <c r="AF12" s="118">
        <f t="shared" si="15"/>
        <v>0</v>
      </c>
      <c r="AG12" s="119" t="str">
        <f t="shared" ca="1" si="19"/>
        <v/>
      </c>
      <c r="AH12" s="120" t="str">
        <f t="shared" ca="1" si="16"/>
        <v/>
      </c>
    </row>
    <row r="13" spans="1:34">
      <c r="C13" s="102"/>
      <c r="D13" s="147"/>
      <c r="I13" s="105"/>
      <c r="J13" s="129"/>
      <c r="K13" s="131"/>
      <c r="L13" s="108"/>
      <c r="O13" s="128"/>
      <c r="R13" s="6"/>
      <c r="S13" s="6" t="e">
        <f t="shared" ca="1" si="17"/>
        <v>#N/A</v>
      </c>
      <c r="T13" s="6">
        <f t="shared" si="20"/>
        <v>10</v>
      </c>
      <c r="U13" s="117" t="e">
        <f t="shared" ca="1" si="18"/>
        <v>#N/A</v>
      </c>
      <c r="V13" s="118">
        <f t="shared" si="15"/>
        <v>0</v>
      </c>
      <c r="W13" s="118">
        <f t="shared" si="15"/>
        <v>0</v>
      </c>
      <c r="X13" s="118" t="e">
        <f t="shared" ca="1" si="15"/>
        <v>#N/A</v>
      </c>
      <c r="Y13" s="118">
        <f t="shared" si="15"/>
        <v>0</v>
      </c>
      <c r="Z13" s="118">
        <f t="shared" si="15"/>
        <v>0</v>
      </c>
      <c r="AA13" s="118">
        <f t="shared" si="15"/>
        <v>0</v>
      </c>
      <c r="AB13" s="118">
        <f t="shared" si="15"/>
        <v>0</v>
      </c>
      <c r="AC13" s="118">
        <f t="shared" si="15"/>
        <v>0</v>
      </c>
      <c r="AD13" s="118">
        <f t="shared" si="15"/>
        <v>0</v>
      </c>
      <c r="AE13" s="118">
        <f t="shared" si="15"/>
        <v>0</v>
      </c>
      <c r="AF13" s="118">
        <f t="shared" si="15"/>
        <v>0</v>
      </c>
      <c r="AG13" s="119" t="str">
        <f t="shared" si="19"/>
        <v/>
      </c>
      <c r="AH13" s="120" t="str">
        <f t="shared" si="16"/>
        <v/>
      </c>
    </row>
    <row r="14" spans="1:34">
      <c r="C14" s="102"/>
      <c r="D14" s="147"/>
      <c r="I14" s="105"/>
      <c r="J14" s="129"/>
      <c r="K14" s="131"/>
      <c r="L14" s="108"/>
      <c r="O14" s="128"/>
      <c r="R14" s="6"/>
      <c r="S14" s="6" t="e">
        <f t="shared" ca="1" si="17"/>
        <v>#N/A</v>
      </c>
      <c r="T14" s="6">
        <f t="shared" si="20"/>
        <v>11</v>
      </c>
      <c r="U14" s="117" t="e">
        <f t="shared" ca="1" si="18"/>
        <v>#N/A</v>
      </c>
      <c r="V14" s="118">
        <f t="shared" ref="V14:AF29" si="25">IF(AND($T14&gt;=(2+(3*(V$1-1))),$T14&lt;=(4+(3*(V$1-1)))),INDEX($K:$K,MATCH(V$2,$I:$I,0)),0)</f>
        <v>0</v>
      </c>
      <c r="W14" s="118">
        <f t="shared" si="25"/>
        <v>0</v>
      </c>
      <c r="X14" s="118">
        <f t="shared" si="25"/>
        <v>0</v>
      </c>
      <c r="Y14" s="118" t="e">
        <f t="shared" ca="1" si="25"/>
        <v>#N/A</v>
      </c>
      <c r="Z14" s="118">
        <f t="shared" si="25"/>
        <v>0</v>
      </c>
      <c r="AA14" s="118">
        <f t="shared" si="25"/>
        <v>0</v>
      </c>
      <c r="AB14" s="118">
        <f t="shared" si="25"/>
        <v>0</v>
      </c>
      <c r="AC14" s="118">
        <f t="shared" si="25"/>
        <v>0</v>
      </c>
      <c r="AD14" s="118">
        <f t="shared" si="25"/>
        <v>0</v>
      </c>
      <c r="AE14" s="118">
        <f t="shared" si="25"/>
        <v>0</v>
      </c>
      <c r="AF14" s="118">
        <f t="shared" si="25"/>
        <v>0</v>
      </c>
      <c r="AG14" s="119" t="str">
        <f t="shared" si="19"/>
        <v/>
      </c>
      <c r="AH14" s="120" t="str">
        <f t="shared" si="16"/>
        <v/>
      </c>
    </row>
    <row r="15" spans="1:34">
      <c r="C15" s="102"/>
      <c r="D15" s="147"/>
      <c r="I15" s="105"/>
      <c r="J15" s="129"/>
      <c r="K15" s="131"/>
      <c r="L15" s="108"/>
      <c r="O15" s="128"/>
      <c r="R15" s="6"/>
      <c r="S15" s="6" t="e">
        <f t="shared" ca="1" si="17"/>
        <v>#N/A</v>
      </c>
      <c r="T15" s="6">
        <f t="shared" si="20"/>
        <v>12</v>
      </c>
      <c r="U15" s="117" t="e">
        <f t="shared" ca="1" si="18"/>
        <v>#N/A</v>
      </c>
      <c r="V15" s="118">
        <f t="shared" si="25"/>
        <v>0</v>
      </c>
      <c r="W15" s="118">
        <f t="shared" si="25"/>
        <v>0</v>
      </c>
      <c r="X15" s="118">
        <f t="shared" si="25"/>
        <v>0</v>
      </c>
      <c r="Y15" s="118" t="e">
        <f t="shared" ca="1" si="25"/>
        <v>#N/A</v>
      </c>
      <c r="Z15" s="118">
        <f t="shared" si="25"/>
        <v>0</v>
      </c>
      <c r="AA15" s="118">
        <f t="shared" si="25"/>
        <v>0</v>
      </c>
      <c r="AB15" s="118">
        <f t="shared" si="25"/>
        <v>0</v>
      </c>
      <c r="AC15" s="118">
        <f t="shared" si="25"/>
        <v>0</v>
      </c>
      <c r="AD15" s="118">
        <f t="shared" si="25"/>
        <v>0</v>
      </c>
      <c r="AE15" s="118">
        <f t="shared" si="25"/>
        <v>0</v>
      </c>
      <c r="AF15" s="118">
        <f t="shared" si="25"/>
        <v>0</v>
      </c>
      <c r="AG15" s="119" t="str">
        <f t="shared" ca="1" si="19"/>
        <v/>
      </c>
      <c r="AH15" s="120" t="str">
        <f t="shared" ca="1" si="16"/>
        <v/>
      </c>
    </row>
    <row r="16" spans="1:34">
      <c r="C16" s="102"/>
      <c r="D16" s="147"/>
      <c r="I16" s="105"/>
      <c r="J16" s="129"/>
      <c r="K16" s="131"/>
      <c r="L16" s="108"/>
      <c r="O16" s="128"/>
      <c r="R16" s="6"/>
      <c r="S16" s="6" t="e">
        <f t="shared" ca="1" si="17"/>
        <v>#N/A</v>
      </c>
      <c r="T16" s="6">
        <f t="shared" si="20"/>
        <v>13</v>
      </c>
      <c r="U16" s="117" t="e">
        <f t="shared" ca="1" si="18"/>
        <v>#N/A</v>
      </c>
      <c r="V16" s="118">
        <f t="shared" si="25"/>
        <v>0</v>
      </c>
      <c r="W16" s="118">
        <f t="shared" si="25"/>
        <v>0</v>
      </c>
      <c r="X16" s="118">
        <f t="shared" si="25"/>
        <v>0</v>
      </c>
      <c r="Y16" s="118" t="e">
        <f t="shared" ca="1" si="25"/>
        <v>#N/A</v>
      </c>
      <c r="Z16" s="118">
        <f t="shared" si="25"/>
        <v>0</v>
      </c>
      <c r="AA16" s="118">
        <f t="shared" si="25"/>
        <v>0</v>
      </c>
      <c r="AB16" s="118">
        <f t="shared" si="25"/>
        <v>0</v>
      </c>
      <c r="AC16" s="118">
        <f t="shared" si="25"/>
        <v>0</v>
      </c>
      <c r="AD16" s="118">
        <f t="shared" si="25"/>
        <v>0</v>
      </c>
      <c r="AE16" s="118">
        <f t="shared" si="25"/>
        <v>0</v>
      </c>
      <c r="AF16" s="118">
        <f t="shared" si="25"/>
        <v>0</v>
      </c>
      <c r="AG16" s="119" t="str">
        <f t="shared" si="19"/>
        <v/>
      </c>
      <c r="AH16" s="120" t="str">
        <f t="shared" si="16"/>
        <v/>
      </c>
    </row>
    <row r="17" spans="3:51">
      <c r="C17" s="102"/>
      <c r="D17" s="147"/>
      <c r="I17" s="105"/>
      <c r="J17" s="129"/>
      <c r="K17" s="107"/>
      <c r="L17" s="108"/>
      <c r="O17" s="128"/>
      <c r="R17" s="6"/>
      <c r="S17" s="6" t="e">
        <f t="shared" ca="1" si="17"/>
        <v>#N/A</v>
      </c>
      <c r="T17" s="6">
        <f t="shared" si="20"/>
        <v>14</v>
      </c>
      <c r="U17" s="117" t="e">
        <f t="shared" ca="1" si="18"/>
        <v>#N/A</v>
      </c>
      <c r="V17" s="118">
        <f t="shared" si="25"/>
        <v>0</v>
      </c>
      <c r="W17" s="118">
        <f t="shared" si="25"/>
        <v>0</v>
      </c>
      <c r="X17" s="118">
        <f t="shared" si="25"/>
        <v>0</v>
      </c>
      <c r="Y17" s="118">
        <f t="shared" si="25"/>
        <v>0</v>
      </c>
      <c r="Z17" s="118" t="e">
        <f t="shared" ca="1" si="25"/>
        <v>#N/A</v>
      </c>
      <c r="AA17" s="118">
        <f t="shared" si="25"/>
        <v>0</v>
      </c>
      <c r="AB17" s="118">
        <f t="shared" si="25"/>
        <v>0</v>
      </c>
      <c r="AC17" s="118">
        <f t="shared" si="25"/>
        <v>0</v>
      </c>
      <c r="AD17" s="118">
        <f t="shared" si="25"/>
        <v>0</v>
      </c>
      <c r="AE17" s="118">
        <f t="shared" si="25"/>
        <v>0</v>
      </c>
      <c r="AF17" s="118">
        <f t="shared" si="25"/>
        <v>0</v>
      </c>
      <c r="AG17" s="119" t="str">
        <f t="shared" si="19"/>
        <v/>
      </c>
      <c r="AH17" s="120" t="str">
        <f t="shared" si="16"/>
        <v/>
      </c>
    </row>
    <row r="18" spans="3:51">
      <c r="C18" s="102"/>
      <c r="D18" s="147"/>
      <c r="I18" s="105"/>
      <c r="J18" s="106"/>
      <c r="K18" s="107"/>
      <c r="L18" s="108"/>
      <c r="R18" s="6"/>
      <c r="S18" s="6" t="e">
        <f t="shared" ca="1" si="17"/>
        <v>#N/A</v>
      </c>
      <c r="T18" s="6">
        <f t="shared" si="20"/>
        <v>15</v>
      </c>
      <c r="U18" s="117" t="e">
        <f t="shared" ca="1" si="18"/>
        <v>#N/A</v>
      </c>
      <c r="V18" s="118">
        <f t="shared" si="25"/>
        <v>0</v>
      </c>
      <c r="W18" s="118">
        <f t="shared" si="25"/>
        <v>0</v>
      </c>
      <c r="X18" s="118">
        <f t="shared" si="25"/>
        <v>0</v>
      </c>
      <c r="Y18" s="118">
        <f t="shared" si="25"/>
        <v>0</v>
      </c>
      <c r="Z18" s="118" t="e">
        <f t="shared" ca="1" si="25"/>
        <v>#N/A</v>
      </c>
      <c r="AA18" s="118">
        <f t="shared" si="25"/>
        <v>0</v>
      </c>
      <c r="AB18" s="118">
        <f t="shared" si="25"/>
        <v>0</v>
      </c>
      <c r="AC18" s="118">
        <f t="shared" si="25"/>
        <v>0</v>
      </c>
      <c r="AD18" s="118">
        <f t="shared" si="25"/>
        <v>0</v>
      </c>
      <c r="AE18" s="118">
        <f t="shared" si="25"/>
        <v>0</v>
      </c>
      <c r="AF18" s="118">
        <f t="shared" si="25"/>
        <v>0</v>
      </c>
      <c r="AG18" s="119" t="str">
        <f t="shared" ca="1" si="19"/>
        <v/>
      </c>
      <c r="AH18" s="120" t="str">
        <f t="shared" ca="1" si="16"/>
        <v/>
      </c>
    </row>
    <row r="19" spans="3:51">
      <c r="C19" s="102"/>
      <c r="D19" s="123"/>
      <c r="I19" s="105"/>
      <c r="J19" s="106"/>
      <c r="K19" s="107"/>
      <c r="L19" s="108"/>
      <c r="R19" s="6"/>
      <c r="S19" s="6" t="e">
        <f t="shared" ca="1" si="17"/>
        <v>#N/A</v>
      </c>
      <c r="T19" s="6">
        <f t="shared" si="20"/>
        <v>16</v>
      </c>
      <c r="U19" s="117" t="e">
        <f t="shared" ca="1" si="18"/>
        <v>#N/A</v>
      </c>
      <c r="V19" s="118">
        <f t="shared" si="25"/>
        <v>0</v>
      </c>
      <c r="W19" s="118">
        <f t="shared" si="25"/>
        <v>0</v>
      </c>
      <c r="X19" s="118">
        <f t="shared" si="25"/>
        <v>0</v>
      </c>
      <c r="Y19" s="118">
        <f t="shared" si="25"/>
        <v>0</v>
      </c>
      <c r="Z19" s="118" t="e">
        <f t="shared" ca="1" si="25"/>
        <v>#N/A</v>
      </c>
      <c r="AA19" s="118">
        <f t="shared" si="25"/>
        <v>0</v>
      </c>
      <c r="AB19" s="118">
        <f t="shared" si="25"/>
        <v>0</v>
      </c>
      <c r="AC19" s="118">
        <f t="shared" si="25"/>
        <v>0</v>
      </c>
      <c r="AD19" s="118">
        <f t="shared" si="25"/>
        <v>0</v>
      </c>
      <c r="AE19" s="118">
        <f t="shared" si="25"/>
        <v>0</v>
      </c>
      <c r="AF19" s="118">
        <f t="shared" si="25"/>
        <v>0</v>
      </c>
      <c r="AG19" s="119" t="str">
        <f t="shared" si="19"/>
        <v/>
      </c>
      <c r="AH19" s="120" t="str">
        <f t="shared" si="16"/>
        <v/>
      </c>
    </row>
    <row r="20" spans="3:51">
      <c r="C20" s="102"/>
      <c r="D20" s="123"/>
      <c r="I20" s="105"/>
      <c r="J20" s="106"/>
      <c r="K20" s="107"/>
      <c r="L20" s="108"/>
      <c r="R20" s="6"/>
      <c r="S20" s="6" t="e">
        <f t="shared" ca="1" si="17"/>
        <v>#N/A</v>
      </c>
      <c r="T20" s="6">
        <f t="shared" si="20"/>
        <v>17</v>
      </c>
      <c r="U20" s="117" t="e">
        <f t="shared" ca="1" si="18"/>
        <v>#N/A</v>
      </c>
      <c r="V20" s="118">
        <f t="shared" si="25"/>
        <v>0</v>
      </c>
      <c r="W20" s="118">
        <f t="shared" si="25"/>
        <v>0</v>
      </c>
      <c r="X20" s="118">
        <f t="shared" si="25"/>
        <v>0</v>
      </c>
      <c r="Y20" s="118">
        <f t="shared" si="25"/>
        <v>0</v>
      </c>
      <c r="Z20" s="118">
        <f t="shared" si="25"/>
        <v>0</v>
      </c>
      <c r="AA20" s="118" t="e">
        <f t="shared" ca="1" si="25"/>
        <v>#N/A</v>
      </c>
      <c r="AB20" s="118">
        <f t="shared" si="25"/>
        <v>0</v>
      </c>
      <c r="AC20" s="118">
        <f t="shared" si="25"/>
        <v>0</v>
      </c>
      <c r="AD20" s="118">
        <f t="shared" si="25"/>
        <v>0</v>
      </c>
      <c r="AE20" s="118">
        <f t="shared" si="25"/>
        <v>0</v>
      </c>
      <c r="AF20" s="118">
        <f t="shared" si="25"/>
        <v>0</v>
      </c>
      <c r="AG20" s="119" t="str">
        <f t="shared" si="19"/>
        <v/>
      </c>
      <c r="AH20" s="120" t="str">
        <f t="shared" si="16"/>
        <v/>
      </c>
    </row>
    <row r="21" spans="3:51">
      <c r="C21" s="102"/>
      <c r="D21" s="123"/>
      <c r="I21" s="105"/>
      <c r="J21" s="129"/>
      <c r="K21" s="107"/>
      <c r="L21" s="108"/>
      <c r="R21" s="6"/>
      <c r="S21" s="6" t="e">
        <f t="shared" ca="1" si="17"/>
        <v>#N/A</v>
      </c>
      <c r="T21" s="6">
        <f t="shared" si="20"/>
        <v>18</v>
      </c>
      <c r="U21" s="117" t="e">
        <f t="shared" ca="1" si="18"/>
        <v>#N/A</v>
      </c>
      <c r="V21" s="118">
        <f t="shared" si="25"/>
        <v>0</v>
      </c>
      <c r="W21" s="118">
        <f t="shared" si="25"/>
        <v>0</v>
      </c>
      <c r="X21" s="118">
        <f t="shared" si="25"/>
        <v>0</v>
      </c>
      <c r="Y21" s="118">
        <f t="shared" si="25"/>
        <v>0</v>
      </c>
      <c r="Z21" s="118">
        <f t="shared" si="25"/>
        <v>0</v>
      </c>
      <c r="AA21" s="118" t="e">
        <f t="shared" ca="1" si="25"/>
        <v>#N/A</v>
      </c>
      <c r="AB21" s="118">
        <f t="shared" si="25"/>
        <v>0</v>
      </c>
      <c r="AC21" s="118">
        <f t="shared" si="25"/>
        <v>0</v>
      </c>
      <c r="AD21" s="118">
        <f t="shared" si="25"/>
        <v>0</v>
      </c>
      <c r="AE21" s="118">
        <f t="shared" si="25"/>
        <v>0</v>
      </c>
      <c r="AF21" s="118">
        <f t="shared" si="25"/>
        <v>0</v>
      </c>
      <c r="AG21" s="119" t="str">
        <f t="shared" ca="1" si="19"/>
        <v/>
      </c>
      <c r="AH21" s="120" t="str">
        <f t="shared" ca="1" si="16"/>
        <v/>
      </c>
      <c r="AL21" s="108"/>
    </row>
    <row r="22" spans="3:51">
      <c r="C22" s="102"/>
      <c r="D22" s="104"/>
      <c r="I22" s="105"/>
      <c r="J22" s="129"/>
      <c r="K22" s="107"/>
      <c r="L22" s="108"/>
      <c r="O22" s="128"/>
      <c r="R22" s="6"/>
      <c r="S22" s="6" t="e">
        <f t="shared" ca="1" si="17"/>
        <v>#N/A</v>
      </c>
      <c r="T22" s="6">
        <f t="shared" si="20"/>
        <v>19</v>
      </c>
      <c r="U22" s="117" t="e">
        <f t="shared" ca="1" si="18"/>
        <v>#N/A</v>
      </c>
      <c r="V22" s="118">
        <f t="shared" si="25"/>
        <v>0</v>
      </c>
      <c r="W22" s="118">
        <f t="shared" si="25"/>
        <v>0</v>
      </c>
      <c r="X22" s="118">
        <f t="shared" si="25"/>
        <v>0</v>
      </c>
      <c r="Y22" s="118">
        <f t="shared" si="25"/>
        <v>0</v>
      </c>
      <c r="Z22" s="118">
        <f t="shared" si="25"/>
        <v>0</v>
      </c>
      <c r="AA22" s="118" t="e">
        <f t="shared" ca="1" si="25"/>
        <v>#N/A</v>
      </c>
      <c r="AB22" s="118">
        <f t="shared" si="25"/>
        <v>0</v>
      </c>
      <c r="AC22" s="118">
        <f t="shared" si="25"/>
        <v>0</v>
      </c>
      <c r="AD22" s="118">
        <f t="shared" si="25"/>
        <v>0</v>
      </c>
      <c r="AE22" s="118">
        <f t="shared" si="25"/>
        <v>0</v>
      </c>
      <c r="AF22" s="118">
        <f t="shared" si="25"/>
        <v>0</v>
      </c>
      <c r="AG22" s="119" t="str">
        <f t="shared" si="19"/>
        <v/>
      </c>
      <c r="AH22" s="120" t="str">
        <f t="shared" si="16"/>
        <v/>
      </c>
    </row>
    <row r="23" spans="3:51">
      <c r="C23" s="102"/>
      <c r="D23" s="104"/>
      <c r="I23" s="105"/>
      <c r="J23" s="129"/>
      <c r="K23" s="107"/>
      <c r="L23" s="108"/>
      <c r="R23" s="6"/>
      <c r="S23" s="6" t="e">
        <f t="shared" ca="1" si="17"/>
        <v>#N/A</v>
      </c>
      <c r="T23" s="6">
        <f t="shared" si="20"/>
        <v>20</v>
      </c>
      <c r="U23" s="117" t="e">
        <f t="shared" ca="1" si="18"/>
        <v>#N/A</v>
      </c>
      <c r="V23" s="118">
        <f t="shared" si="25"/>
        <v>0</v>
      </c>
      <c r="W23" s="118">
        <f t="shared" si="25"/>
        <v>0</v>
      </c>
      <c r="X23" s="118">
        <f t="shared" si="25"/>
        <v>0</v>
      </c>
      <c r="Y23" s="118">
        <f t="shared" si="25"/>
        <v>0</v>
      </c>
      <c r="Z23" s="118">
        <f t="shared" si="25"/>
        <v>0</v>
      </c>
      <c r="AA23" s="118">
        <f t="shared" si="25"/>
        <v>0</v>
      </c>
      <c r="AB23" s="118" t="e">
        <f t="shared" ca="1" si="25"/>
        <v>#N/A</v>
      </c>
      <c r="AC23" s="118">
        <f t="shared" si="25"/>
        <v>0</v>
      </c>
      <c r="AD23" s="118">
        <f t="shared" si="25"/>
        <v>0</v>
      </c>
      <c r="AE23" s="118">
        <f t="shared" si="25"/>
        <v>0</v>
      </c>
      <c r="AF23" s="118">
        <f t="shared" si="25"/>
        <v>0</v>
      </c>
      <c r="AG23" s="119" t="str">
        <f t="shared" si="19"/>
        <v/>
      </c>
      <c r="AH23" s="120" t="str">
        <f t="shared" si="16"/>
        <v/>
      </c>
    </row>
    <row r="24" spans="3:51">
      <c r="C24" s="102"/>
      <c r="D24" s="104"/>
      <c r="I24" s="105"/>
      <c r="J24" s="129"/>
      <c r="K24" s="107"/>
      <c r="L24" s="108"/>
      <c r="R24" s="6"/>
      <c r="S24" s="6" t="e">
        <f t="shared" ca="1" si="17"/>
        <v>#N/A</v>
      </c>
      <c r="T24" s="6">
        <f t="shared" si="20"/>
        <v>21</v>
      </c>
      <c r="U24" s="117" t="e">
        <f t="shared" ca="1" si="18"/>
        <v>#N/A</v>
      </c>
      <c r="V24" s="118">
        <f t="shared" si="25"/>
        <v>0</v>
      </c>
      <c r="W24" s="118">
        <f t="shared" si="25"/>
        <v>0</v>
      </c>
      <c r="X24" s="118">
        <f t="shared" si="25"/>
        <v>0</v>
      </c>
      <c r="Y24" s="118">
        <f t="shared" si="25"/>
        <v>0</v>
      </c>
      <c r="Z24" s="118">
        <f t="shared" si="25"/>
        <v>0</v>
      </c>
      <c r="AA24" s="118">
        <f t="shared" si="25"/>
        <v>0</v>
      </c>
      <c r="AB24" s="118" t="e">
        <f t="shared" ca="1" si="25"/>
        <v>#N/A</v>
      </c>
      <c r="AC24" s="118">
        <f t="shared" si="25"/>
        <v>0</v>
      </c>
      <c r="AD24" s="118">
        <f t="shared" si="25"/>
        <v>0</v>
      </c>
      <c r="AE24" s="118">
        <f t="shared" si="25"/>
        <v>0</v>
      </c>
      <c r="AF24" s="118">
        <f t="shared" si="25"/>
        <v>0</v>
      </c>
      <c r="AG24" s="119" t="str">
        <f t="shared" ca="1" si="19"/>
        <v/>
      </c>
      <c r="AH24" s="120" t="str">
        <f t="shared" ca="1" si="16"/>
        <v/>
      </c>
      <c r="AX24" s="108"/>
      <c r="AY24" s="91"/>
    </row>
    <row r="25" spans="3:51">
      <c r="C25" s="102"/>
      <c r="D25" s="104"/>
      <c r="I25" s="105"/>
      <c r="J25" s="129"/>
      <c r="K25" s="107"/>
      <c r="L25" s="108"/>
      <c r="R25" s="6"/>
      <c r="S25" s="6" t="e">
        <f t="shared" ca="1" si="17"/>
        <v>#N/A</v>
      </c>
      <c r="T25" s="6">
        <f t="shared" si="20"/>
        <v>22</v>
      </c>
      <c r="U25" s="117" t="e">
        <f t="shared" ca="1" si="18"/>
        <v>#N/A</v>
      </c>
      <c r="V25" s="118">
        <f t="shared" si="25"/>
        <v>0</v>
      </c>
      <c r="W25" s="118">
        <f t="shared" si="25"/>
        <v>0</v>
      </c>
      <c r="X25" s="118">
        <f t="shared" si="25"/>
        <v>0</v>
      </c>
      <c r="Y25" s="118">
        <f t="shared" si="25"/>
        <v>0</v>
      </c>
      <c r="Z25" s="118">
        <f t="shared" si="25"/>
        <v>0</v>
      </c>
      <c r="AA25" s="118">
        <f t="shared" si="25"/>
        <v>0</v>
      </c>
      <c r="AB25" s="118" t="e">
        <f t="shared" ca="1" si="25"/>
        <v>#N/A</v>
      </c>
      <c r="AC25" s="118">
        <f t="shared" si="25"/>
        <v>0</v>
      </c>
      <c r="AD25" s="118">
        <f t="shared" si="25"/>
        <v>0</v>
      </c>
      <c r="AE25" s="118">
        <f t="shared" si="25"/>
        <v>0</v>
      </c>
      <c r="AF25" s="118">
        <f t="shared" si="25"/>
        <v>0</v>
      </c>
      <c r="AG25" s="119" t="str">
        <f t="shared" si="19"/>
        <v/>
      </c>
      <c r="AH25" s="120" t="str">
        <f t="shared" si="16"/>
        <v/>
      </c>
      <c r="AX25" s="108"/>
      <c r="AY25" s="91"/>
    </row>
    <row r="26" spans="3:51">
      <c r="C26" s="102"/>
      <c r="D26" s="104"/>
      <c r="I26" s="105"/>
      <c r="J26" s="129"/>
      <c r="K26" s="107"/>
      <c r="L26" s="128"/>
      <c r="R26" s="6"/>
      <c r="S26" s="6" t="e">
        <f t="shared" ref="S26:S37" ca="1" si="26">INDEX(OFFSET($I$2,,,$P$2),MATCH(MAX(V26:AF26),V26:AF26,0))</f>
        <v>#N/A</v>
      </c>
      <c r="T26" s="6">
        <f t="shared" si="20"/>
        <v>23</v>
      </c>
      <c r="U26" s="117" t="e">
        <f t="shared" ref="U26:U37" ca="1" si="27">IF(AND(S26=S25,S25=S24),INDEX(L:L,MATCH(S26,I:I,0)),IF(AND(S26&lt;&gt;S25),U25,IF(AND(S26&lt;&gt;0,S27=S25),AVERAGE(OFFSET(U27,-3,0),U27),0)))</f>
        <v>#N/A</v>
      </c>
      <c r="V26" s="118">
        <f t="shared" si="25"/>
        <v>0</v>
      </c>
      <c r="W26" s="118">
        <f t="shared" si="25"/>
        <v>0</v>
      </c>
      <c r="X26" s="118">
        <f t="shared" si="25"/>
        <v>0</v>
      </c>
      <c r="Y26" s="118">
        <f t="shared" si="25"/>
        <v>0</v>
      </c>
      <c r="Z26" s="118">
        <f t="shared" si="25"/>
        <v>0</v>
      </c>
      <c r="AA26" s="118">
        <f t="shared" si="25"/>
        <v>0</v>
      </c>
      <c r="AB26" s="118">
        <f t="shared" si="25"/>
        <v>0</v>
      </c>
      <c r="AC26" s="118" t="e">
        <f t="shared" ca="1" si="25"/>
        <v>#N/A</v>
      </c>
      <c r="AD26" s="118">
        <f t="shared" si="25"/>
        <v>0</v>
      </c>
      <c r="AE26" s="118">
        <f t="shared" si="25"/>
        <v>0</v>
      </c>
      <c r="AF26" s="118">
        <f t="shared" si="25"/>
        <v>0</v>
      </c>
      <c r="AG26" s="119" t="str">
        <f t="shared" ref="AG26:AG37" si="28">IFERROR(INDEX($D:$D,MATCH(AH26,$B:$B,0)),"")</f>
        <v/>
      </c>
      <c r="AH26" s="120" t="str">
        <f t="shared" ref="AH26:AH37" si="29">IFERROR(INDEX(E:E,MATCH(IF(MOD(T26,3)=0,S26,""),$B:$B,0)),"")</f>
        <v/>
      </c>
      <c r="AX26" s="108"/>
      <c r="AY26" s="91"/>
    </row>
    <row r="27" spans="3:51">
      <c r="C27" s="102"/>
      <c r="D27" s="104"/>
      <c r="I27" s="105"/>
      <c r="J27" s="129"/>
      <c r="K27" s="107"/>
      <c r="L27" s="128"/>
      <c r="R27" s="6"/>
      <c r="S27" s="6" t="e">
        <f t="shared" ca="1" si="26"/>
        <v>#N/A</v>
      </c>
      <c r="T27" s="6">
        <f t="shared" si="20"/>
        <v>24</v>
      </c>
      <c r="U27" s="117" t="e">
        <f t="shared" ca="1" si="27"/>
        <v>#N/A</v>
      </c>
      <c r="V27" s="118">
        <f t="shared" si="25"/>
        <v>0</v>
      </c>
      <c r="W27" s="118">
        <f t="shared" si="25"/>
        <v>0</v>
      </c>
      <c r="X27" s="118">
        <f t="shared" si="25"/>
        <v>0</v>
      </c>
      <c r="Y27" s="118">
        <f t="shared" si="25"/>
        <v>0</v>
      </c>
      <c r="Z27" s="118">
        <f t="shared" si="25"/>
        <v>0</v>
      </c>
      <c r="AA27" s="118">
        <f t="shared" si="25"/>
        <v>0</v>
      </c>
      <c r="AB27" s="118">
        <f t="shared" si="25"/>
        <v>0</v>
      </c>
      <c r="AC27" s="118" t="e">
        <f t="shared" ca="1" si="25"/>
        <v>#N/A</v>
      </c>
      <c r="AD27" s="118">
        <f t="shared" si="25"/>
        <v>0</v>
      </c>
      <c r="AE27" s="118">
        <f t="shared" si="25"/>
        <v>0</v>
      </c>
      <c r="AF27" s="118">
        <f t="shared" si="25"/>
        <v>0</v>
      </c>
      <c r="AG27" s="119" t="str">
        <f t="shared" ca="1" si="28"/>
        <v/>
      </c>
      <c r="AH27" s="120" t="str">
        <f t="shared" ca="1" si="29"/>
        <v/>
      </c>
      <c r="AX27" s="108"/>
      <c r="AY27" s="91"/>
    </row>
    <row r="28" spans="3:51">
      <c r="C28" s="102"/>
      <c r="D28" s="103"/>
      <c r="I28" s="105"/>
      <c r="J28" s="129"/>
      <c r="K28" s="107"/>
      <c r="L28" s="128"/>
      <c r="R28" s="6"/>
      <c r="S28" s="6" t="e">
        <f t="shared" ca="1" si="26"/>
        <v>#N/A</v>
      </c>
      <c r="T28" s="6">
        <f t="shared" si="20"/>
        <v>25</v>
      </c>
      <c r="U28" s="117" t="e">
        <f t="shared" ca="1" si="27"/>
        <v>#N/A</v>
      </c>
      <c r="V28" s="118">
        <f t="shared" si="25"/>
        <v>0</v>
      </c>
      <c r="W28" s="118">
        <f t="shared" si="25"/>
        <v>0</v>
      </c>
      <c r="X28" s="118">
        <f t="shared" si="25"/>
        <v>0</v>
      </c>
      <c r="Y28" s="118">
        <f t="shared" si="25"/>
        <v>0</v>
      </c>
      <c r="Z28" s="118">
        <f t="shared" si="25"/>
        <v>0</v>
      </c>
      <c r="AA28" s="118">
        <f t="shared" si="25"/>
        <v>0</v>
      </c>
      <c r="AB28" s="118">
        <f t="shared" si="25"/>
        <v>0</v>
      </c>
      <c r="AC28" s="118" t="e">
        <f t="shared" ca="1" si="25"/>
        <v>#N/A</v>
      </c>
      <c r="AD28" s="118">
        <f t="shared" si="25"/>
        <v>0</v>
      </c>
      <c r="AE28" s="118">
        <f t="shared" si="25"/>
        <v>0</v>
      </c>
      <c r="AF28" s="118">
        <f t="shared" si="25"/>
        <v>0</v>
      </c>
      <c r="AG28" s="119" t="str">
        <f t="shared" si="28"/>
        <v/>
      </c>
      <c r="AH28" s="120" t="str">
        <f t="shared" si="29"/>
        <v/>
      </c>
      <c r="AX28" s="108"/>
      <c r="AY28" s="91"/>
    </row>
    <row r="29" spans="3:51">
      <c r="C29" s="102"/>
      <c r="D29" s="103"/>
      <c r="I29" s="105"/>
      <c r="J29" s="129"/>
      <c r="K29" s="107"/>
      <c r="L29" s="128"/>
      <c r="O29" s="128"/>
      <c r="R29" s="6"/>
      <c r="S29" s="6" t="e">
        <f t="shared" ca="1" si="26"/>
        <v>#N/A</v>
      </c>
      <c r="T29" s="6">
        <f t="shared" si="20"/>
        <v>26</v>
      </c>
      <c r="U29" s="117" t="e">
        <f t="shared" ca="1" si="27"/>
        <v>#N/A</v>
      </c>
      <c r="V29" s="118">
        <f t="shared" si="25"/>
        <v>0</v>
      </c>
      <c r="W29" s="118">
        <f t="shared" si="25"/>
        <v>0</v>
      </c>
      <c r="X29" s="118">
        <f t="shared" si="25"/>
        <v>0</v>
      </c>
      <c r="Y29" s="118">
        <f t="shared" si="25"/>
        <v>0</v>
      </c>
      <c r="Z29" s="118">
        <f t="shared" si="25"/>
        <v>0</v>
      </c>
      <c r="AA29" s="118">
        <f t="shared" si="25"/>
        <v>0</v>
      </c>
      <c r="AB29" s="118">
        <f t="shared" si="25"/>
        <v>0</v>
      </c>
      <c r="AC29" s="118">
        <f t="shared" si="25"/>
        <v>0</v>
      </c>
      <c r="AD29" s="118" t="e">
        <f t="shared" ca="1" si="25"/>
        <v>#N/A</v>
      </c>
      <c r="AE29" s="118">
        <f t="shared" si="25"/>
        <v>0</v>
      </c>
      <c r="AF29" s="118">
        <f t="shared" si="25"/>
        <v>0</v>
      </c>
      <c r="AG29" s="119" t="str">
        <f t="shared" si="28"/>
        <v/>
      </c>
      <c r="AH29" s="120" t="str">
        <f t="shared" si="29"/>
        <v/>
      </c>
      <c r="AX29" s="108"/>
      <c r="AY29" s="91"/>
    </row>
    <row r="30" spans="3:51">
      <c r="C30" s="102"/>
      <c r="D30" s="103"/>
      <c r="I30" s="105"/>
      <c r="J30" s="129"/>
      <c r="K30" s="107"/>
      <c r="L30" s="128"/>
      <c r="O30" s="128"/>
      <c r="R30" s="6"/>
      <c r="S30" s="6" t="e">
        <f t="shared" ca="1" si="26"/>
        <v>#N/A</v>
      </c>
      <c r="T30" s="6">
        <f t="shared" si="20"/>
        <v>27</v>
      </c>
      <c r="U30" s="117" t="e">
        <f t="shared" ca="1" si="27"/>
        <v>#N/A</v>
      </c>
      <c r="V30" s="118">
        <f t="shared" ref="V30:AF37" si="30">IF(AND($T30&gt;=(2+(3*(V$1-1))),$T30&lt;=(4+(3*(V$1-1)))),INDEX($K:$K,MATCH(V$2,$I:$I,0)),0)</f>
        <v>0</v>
      </c>
      <c r="W30" s="118">
        <f t="shared" si="30"/>
        <v>0</v>
      </c>
      <c r="X30" s="118">
        <f t="shared" si="30"/>
        <v>0</v>
      </c>
      <c r="Y30" s="118">
        <f t="shared" si="30"/>
        <v>0</v>
      </c>
      <c r="Z30" s="118">
        <f t="shared" si="30"/>
        <v>0</v>
      </c>
      <c r="AA30" s="118">
        <f t="shared" si="30"/>
        <v>0</v>
      </c>
      <c r="AB30" s="118">
        <f t="shared" si="30"/>
        <v>0</v>
      </c>
      <c r="AC30" s="118">
        <f t="shared" si="30"/>
        <v>0</v>
      </c>
      <c r="AD30" s="118" t="e">
        <f t="shared" ca="1" si="30"/>
        <v>#N/A</v>
      </c>
      <c r="AE30" s="118">
        <f t="shared" si="30"/>
        <v>0</v>
      </c>
      <c r="AF30" s="118">
        <f t="shared" si="30"/>
        <v>0</v>
      </c>
      <c r="AG30" s="119" t="str">
        <f t="shared" ca="1" si="28"/>
        <v/>
      </c>
      <c r="AH30" s="120" t="str">
        <f t="shared" ca="1" si="29"/>
        <v/>
      </c>
      <c r="AX30" s="108"/>
      <c r="AY30" s="91"/>
    </row>
    <row r="31" spans="3:51">
      <c r="C31" s="102"/>
      <c r="D31" s="103"/>
      <c r="I31" s="105"/>
      <c r="J31" s="129"/>
      <c r="K31" s="107"/>
      <c r="L31" s="128"/>
      <c r="O31" s="128"/>
      <c r="R31" s="6"/>
      <c r="S31" s="6" t="e">
        <f t="shared" ca="1" si="26"/>
        <v>#N/A</v>
      </c>
      <c r="T31" s="6">
        <f t="shared" si="20"/>
        <v>28</v>
      </c>
      <c r="U31" s="117" t="e">
        <f t="shared" ca="1" si="27"/>
        <v>#N/A</v>
      </c>
      <c r="V31" s="118">
        <f t="shared" si="30"/>
        <v>0</v>
      </c>
      <c r="W31" s="118">
        <f t="shared" si="30"/>
        <v>0</v>
      </c>
      <c r="X31" s="118">
        <f t="shared" si="30"/>
        <v>0</v>
      </c>
      <c r="Y31" s="118">
        <f t="shared" si="30"/>
        <v>0</v>
      </c>
      <c r="Z31" s="118">
        <f t="shared" si="30"/>
        <v>0</v>
      </c>
      <c r="AA31" s="118">
        <f t="shared" si="30"/>
        <v>0</v>
      </c>
      <c r="AB31" s="118">
        <f t="shared" si="30"/>
        <v>0</v>
      </c>
      <c r="AC31" s="118">
        <f t="shared" si="30"/>
        <v>0</v>
      </c>
      <c r="AD31" s="118" t="e">
        <f t="shared" ca="1" si="30"/>
        <v>#N/A</v>
      </c>
      <c r="AE31" s="118">
        <f t="shared" si="30"/>
        <v>0</v>
      </c>
      <c r="AF31" s="118">
        <f t="shared" si="30"/>
        <v>0</v>
      </c>
      <c r="AG31" s="119" t="str">
        <f t="shared" si="28"/>
        <v/>
      </c>
      <c r="AH31" s="120" t="str">
        <f t="shared" si="29"/>
        <v/>
      </c>
      <c r="AX31" s="108"/>
      <c r="AY31" s="91"/>
    </row>
    <row r="32" spans="3:51">
      <c r="C32" s="102"/>
      <c r="D32" s="103"/>
      <c r="I32" s="105"/>
      <c r="J32" s="129"/>
      <c r="K32" s="107"/>
      <c r="L32" s="128"/>
      <c r="O32" s="128"/>
      <c r="R32" s="6"/>
      <c r="S32" s="6" t="e">
        <f t="shared" ca="1" si="26"/>
        <v>#N/A</v>
      </c>
      <c r="T32" s="6">
        <f t="shared" si="20"/>
        <v>29</v>
      </c>
      <c r="U32" s="117" t="e">
        <f t="shared" ca="1" si="27"/>
        <v>#N/A</v>
      </c>
      <c r="V32" s="118">
        <f t="shared" si="30"/>
        <v>0</v>
      </c>
      <c r="W32" s="118">
        <f t="shared" si="30"/>
        <v>0</v>
      </c>
      <c r="X32" s="118">
        <f t="shared" si="30"/>
        <v>0</v>
      </c>
      <c r="Y32" s="118">
        <f t="shared" si="30"/>
        <v>0</v>
      </c>
      <c r="Z32" s="118">
        <f t="shared" si="30"/>
        <v>0</v>
      </c>
      <c r="AA32" s="118">
        <f t="shared" si="30"/>
        <v>0</v>
      </c>
      <c r="AB32" s="118">
        <f t="shared" si="30"/>
        <v>0</v>
      </c>
      <c r="AC32" s="118">
        <f t="shared" si="30"/>
        <v>0</v>
      </c>
      <c r="AD32" s="118">
        <f t="shared" si="30"/>
        <v>0</v>
      </c>
      <c r="AE32" s="118" t="e">
        <f t="shared" ca="1" si="30"/>
        <v>#N/A</v>
      </c>
      <c r="AF32" s="118">
        <f t="shared" si="30"/>
        <v>0</v>
      </c>
      <c r="AG32" s="119" t="str">
        <f t="shared" si="28"/>
        <v/>
      </c>
      <c r="AH32" s="120" t="str">
        <f t="shared" si="29"/>
        <v/>
      </c>
      <c r="AX32" s="108"/>
      <c r="AY32" s="91"/>
    </row>
    <row r="33" spans="3:51">
      <c r="C33" s="102"/>
      <c r="D33" s="103"/>
      <c r="I33" s="105"/>
      <c r="J33" s="129"/>
      <c r="K33" s="107"/>
      <c r="L33" s="128"/>
      <c r="O33" s="128"/>
      <c r="R33" s="6"/>
      <c r="S33" s="6" t="e">
        <f t="shared" ca="1" si="26"/>
        <v>#N/A</v>
      </c>
      <c r="T33" s="6">
        <f t="shared" si="20"/>
        <v>30</v>
      </c>
      <c r="U33" s="117" t="e">
        <f t="shared" ca="1" si="27"/>
        <v>#N/A</v>
      </c>
      <c r="V33" s="118">
        <f t="shared" si="30"/>
        <v>0</v>
      </c>
      <c r="W33" s="118">
        <f t="shared" si="30"/>
        <v>0</v>
      </c>
      <c r="X33" s="118">
        <f t="shared" si="30"/>
        <v>0</v>
      </c>
      <c r="Y33" s="118">
        <f t="shared" si="30"/>
        <v>0</v>
      </c>
      <c r="Z33" s="118">
        <f t="shared" si="30"/>
        <v>0</v>
      </c>
      <c r="AA33" s="118">
        <f t="shared" si="30"/>
        <v>0</v>
      </c>
      <c r="AB33" s="118">
        <f t="shared" si="30"/>
        <v>0</v>
      </c>
      <c r="AC33" s="118">
        <f t="shared" si="30"/>
        <v>0</v>
      </c>
      <c r="AD33" s="118">
        <f t="shared" si="30"/>
        <v>0</v>
      </c>
      <c r="AE33" s="118" t="e">
        <f t="shared" ca="1" si="30"/>
        <v>#N/A</v>
      </c>
      <c r="AF33" s="118">
        <f t="shared" si="30"/>
        <v>0</v>
      </c>
      <c r="AG33" s="119" t="str">
        <f t="shared" ca="1" si="28"/>
        <v/>
      </c>
      <c r="AH33" s="120" t="str">
        <f t="shared" ca="1" si="29"/>
        <v/>
      </c>
      <c r="AX33" s="108"/>
      <c r="AY33" s="91"/>
    </row>
    <row r="34" spans="3:51">
      <c r="C34" s="102"/>
      <c r="D34" s="103"/>
      <c r="I34" s="105"/>
      <c r="J34" s="129"/>
      <c r="K34" s="107"/>
      <c r="L34" s="128"/>
      <c r="O34" s="128"/>
      <c r="R34" s="6"/>
      <c r="S34" s="6" t="e">
        <f t="shared" ca="1" si="26"/>
        <v>#N/A</v>
      </c>
      <c r="T34" s="6">
        <f t="shared" si="20"/>
        <v>31</v>
      </c>
      <c r="U34" s="117" t="e">
        <f t="shared" ca="1" si="27"/>
        <v>#N/A</v>
      </c>
      <c r="V34" s="118">
        <f t="shared" si="30"/>
        <v>0</v>
      </c>
      <c r="W34" s="118">
        <f t="shared" si="30"/>
        <v>0</v>
      </c>
      <c r="X34" s="118">
        <f t="shared" si="30"/>
        <v>0</v>
      </c>
      <c r="Y34" s="118">
        <f t="shared" si="30"/>
        <v>0</v>
      </c>
      <c r="Z34" s="118">
        <f t="shared" si="30"/>
        <v>0</v>
      </c>
      <c r="AA34" s="118">
        <f t="shared" si="30"/>
        <v>0</v>
      </c>
      <c r="AB34" s="118">
        <f t="shared" si="30"/>
        <v>0</v>
      </c>
      <c r="AC34" s="118">
        <f t="shared" si="30"/>
        <v>0</v>
      </c>
      <c r="AD34" s="118">
        <f t="shared" si="30"/>
        <v>0</v>
      </c>
      <c r="AE34" s="118" t="e">
        <f t="shared" ca="1" si="30"/>
        <v>#N/A</v>
      </c>
      <c r="AF34" s="118">
        <f t="shared" si="30"/>
        <v>0</v>
      </c>
      <c r="AG34" s="119" t="str">
        <f t="shared" si="28"/>
        <v/>
      </c>
      <c r="AH34" s="120" t="str">
        <f t="shared" si="29"/>
        <v/>
      </c>
      <c r="AX34" s="108"/>
      <c r="AY34" s="91"/>
    </row>
    <row r="35" spans="3:51">
      <c r="C35" s="102"/>
      <c r="D35" s="103"/>
      <c r="I35" s="105"/>
      <c r="J35" s="129"/>
      <c r="K35" s="107"/>
      <c r="L35" s="128"/>
      <c r="R35" s="6"/>
      <c r="S35" s="6" t="e">
        <f t="shared" ca="1" si="26"/>
        <v>#N/A</v>
      </c>
      <c r="T35" s="6">
        <f t="shared" si="20"/>
        <v>32</v>
      </c>
      <c r="U35" s="117" t="e">
        <f t="shared" ca="1" si="27"/>
        <v>#N/A</v>
      </c>
      <c r="V35" s="118">
        <f t="shared" si="30"/>
        <v>0</v>
      </c>
      <c r="W35" s="118">
        <f t="shared" si="30"/>
        <v>0</v>
      </c>
      <c r="X35" s="118">
        <f t="shared" si="30"/>
        <v>0</v>
      </c>
      <c r="Y35" s="118">
        <f t="shared" si="30"/>
        <v>0</v>
      </c>
      <c r="Z35" s="118">
        <f t="shared" si="30"/>
        <v>0</v>
      </c>
      <c r="AA35" s="118">
        <f t="shared" si="30"/>
        <v>0</v>
      </c>
      <c r="AB35" s="118">
        <f t="shared" si="30"/>
        <v>0</v>
      </c>
      <c r="AC35" s="118">
        <f t="shared" si="30"/>
        <v>0</v>
      </c>
      <c r="AD35" s="118">
        <f t="shared" si="30"/>
        <v>0</v>
      </c>
      <c r="AE35" s="118">
        <f t="shared" si="30"/>
        <v>0</v>
      </c>
      <c r="AF35" s="118" t="e">
        <f t="shared" ca="1" si="30"/>
        <v>#N/A</v>
      </c>
      <c r="AG35" s="119" t="str">
        <f t="shared" si="28"/>
        <v/>
      </c>
      <c r="AH35" s="120" t="str">
        <f t="shared" si="29"/>
        <v/>
      </c>
      <c r="AX35" s="108"/>
      <c r="AY35" s="91"/>
    </row>
    <row r="36" spans="3:51">
      <c r="C36" s="102"/>
      <c r="D36" s="103"/>
      <c r="I36" s="105"/>
      <c r="J36" s="129"/>
      <c r="K36" s="107"/>
      <c r="L36" s="128"/>
      <c r="R36" s="6"/>
      <c r="S36" s="6" t="e">
        <f t="shared" ca="1" si="26"/>
        <v>#N/A</v>
      </c>
      <c r="T36" s="6">
        <f t="shared" si="20"/>
        <v>33</v>
      </c>
      <c r="U36" s="117" t="e">
        <f t="shared" ca="1" si="27"/>
        <v>#N/A</v>
      </c>
      <c r="V36" s="118">
        <f t="shared" si="30"/>
        <v>0</v>
      </c>
      <c r="W36" s="118">
        <f t="shared" si="30"/>
        <v>0</v>
      </c>
      <c r="X36" s="118">
        <f t="shared" si="30"/>
        <v>0</v>
      </c>
      <c r="Y36" s="118">
        <f t="shared" si="30"/>
        <v>0</v>
      </c>
      <c r="Z36" s="118">
        <f t="shared" si="30"/>
        <v>0</v>
      </c>
      <c r="AA36" s="118">
        <f t="shared" si="30"/>
        <v>0</v>
      </c>
      <c r="AB36" s="118">
        <f t="shared" si="30"/>
        <v>0</v>
      </c>
      <c r="AC36" s="118">
        <f t="shared" si="30"/>
        <v>0</v>
      </c>
      <c r="AD36" s="118">
        <f t="shared" si="30"/>
        <v>0</v>
      </c>
      <c r="AE36" s="118">
        <f t="shared" si="30"/>
        <v>0</v>
      </c>
      <c r="AF36" s="118" t="e">
        <f t="shared" ca="1" si="30"/>
        <v>#N/A</v>
      </c>
      <c r="AG36" s="119" t="str">
        <f t="shared" ca="1" si="28"/>
        <v/>
      </c>
      <c r="AH36" s="120" t="str">
        <f t="shared" ca="1" si="29"/>
        <v/>
      </c>
      <c r="AX36" s="108"/>
      <c r="AY36" s="91"/>
    </row>
    <row r="37" spans="3:51">
      <c r="C37" s="102"/>
      <c r="D37" s="103"/>
      <c r="I37" s="105"/>
      <c r="J37" s="129"/>
      <c r="K37" s="107"/>
      <c r="L37" s="128"/>
      <c r="R37" s="6"/>
      <c r="S37" s="6" t="e">
        <f t="shared" ca="1" si="26"/>
        <v>#N/A</v>
      </c>
      <c r="T37" s="6">
        <f t="shared" si="20"/>
        <v>34</v>
      </c>
      <c r="U37" s="117" t="e">
        <f t="shared" ca="1" si="27"/>
        <v>#N/A</v>
      </c>
      <c r="V37" s="118">
        <f t="shared" si="30"/>
        <v>0</v>
      </c>
      <c r="W37" s="118">
        <f t="shared" si="30"/>
        <v>0</v>
      </c>
      <c r="X37" s="118">
        <f t="shared" si="30"/>
        <v>0</v>
      </c>
      <c r="Y37" s="118">
        <f t="shared" si="30"/>
        <v>0</v>
      </c>
      <c r="Z37" s="118">
        <f t="shared" si="30"/>
        <v>0</v>
      </c>
      <c r="AA37" s="118">
        <f t="shared" si="30"/>
        <v>0</v>
      </c>
      <c r="AB37" s="118">
        <f t="shared" si="30"/>
        <v>0</v>
      </c>
      <c r="AC37" s="118">
        <f t="shared" si="30"/>
        <v>0</v>
      </c>
      <c r="AD37" s="118">
        <f t="shared" si="30"/>
        <v>0</v>
      </c>
      <c r="AE37" s="118">
        <f t="shared" si="30"/>
        <v>0</v>
      </c>
      <c r="AF37" s="118" t="e">
        <f t="shared" ca="1" si="30"/>
        <v>#N/A</v>
      </c>
      <c r="AG37" s="119" t="str">
        <f t="shared" si="28"/>
        <v/>
      </c>
      <c r="AH37" s="120" t="str">
        <f t="shared" si="29"/>
        <v/>
      </c>
      <c r="AX37" s="108"/>
      <c r="AY37" s="91"/>
    </row>
    <row r="38" spans="3:51">
      <c r="C38" s="102"/>
      <c r="D38" s="103"/>
      <c r="I38" s="105"/>
      <c r="J38" s="129"/>
      <c r="K38" s="107"/>
      <c r="L38" s="128"/>
      <c r="R38" s="6"/>
      <c r="AX38" s="108"/>
      <c r="AY38" s="91"/>
    </row>
    <row r="39" spans="3:51">
      <c r="C39" s="102"/>
      <c r="I39" s="105"/>
      <c r="J39" s="129"/>
      <c r="K39" s="107"/>
      <c r="L39" s="128"/>
      <c r="R39" s="6"/>
      <c r="AX39" s="108"/>
      <c r="AY39" s="91"/>
    </row>
    <row r="40" spans="3:51">
      <c r="C40" s="102"/>
      <c r="I40" s="105"/>
      <c r="J40" s="129"/>
      <c r="K40" s="107"/>
      <c r="L40" s="128"/>
      <c r="R40" s="6"/>
      <c r="AX40" s="108"/>
      <c r="AY40" s="91"/>
    </row>
    <row r="41" spans="3:51">
      <c r="C41" s="102"/>
      <c r="I41" s="105"/>
      <c r="J41" s="105"/>
      <c r="K41" s="105"/>
      <c r="R41" s="6"/>
      <c r="AX41" s="108"/>
      <c r="AY41" s="91"/>
    </row>
    <row r="42" spans="3:51">
      <c r="C42" s="102"/>
      <c r="I42" s="105"/>
      <c r="J42" s="105"/>
      <c r="K42" s="105"/>
      <c r="R42" s="6"/>
      <c r="AX42" s="108"/>
      <c r="AY42" s="91"/>
    </row>
    <row r="43" spans="3:51">
      <c r="C43" s="102"/>
      <c r="I43" s="105"/>
      <c r="J43" s="129"/>
      <c r="K43" s="107"/>
      <c r="L43" s="128"/>
      <c r="R43" s="6"/>
      <c r="AX43" s="108"/>
      <c r="AY43" s="91"/>
    </row>
    <row r="44" spans="3:51">
      <c r="C44" s="102"/>
      <c r="I44" s="105"/>
      <c r="J44" s="129"/>
      <c r="K44" s="107"/>
      <c r="L44" s="128"/>
      <c r="R44" s="6"/>
      <c r="AX44" s="108"/>
      <c r="AY44" s="91"/>
    </row>
    <row r="45" spans="3:51">
      <c r="C45" s="102"/>
      <c r="I45" s="105"/>
      <c r="J45" s="129"/>
      <c r="K45" s="107"/>
      <c r="L45" s="128"/>
      <c r="R45" s="6"/>
      <c r="AX45" s="108"/>
      <c r="AY45" s="91"/>
    </row>
    <row r="46" spans="3:51">
      <c r="C46" s="102"/>
      <c r="I46" s="105"/>
      <c r="J46" s="129"/>
      <c r="K46" s="107"/>
      <c r="L46" s="128"/>
      <c r="R46" s="6"/>
      <c r="AX46" s="108"/>
      <c r="AY46" s="91"/>
    </row>
    <row r="47" spans="3:51">
      <c r="C47" s="102"/>
      <c r="I47" s="105"/>
      <c r="J47" s="129"/>
      <c r="K47" s="107"/>
      <c r="L47" s="128"/>
      <c r="R47" s="6"/>
      <c r="AX47" s="108"/>
      <c r="AY47" s="91"/>
    </row>
    <row r="48" spans="3:51">
      <c r="C48" s="102"/>
      <c r="I48" s="105"/>
      <c r="J48" s="129"/>
      <c r="K48" s="107"/>
      <c r="L48" s="128"/>
      <c r="R48" s="6"/>
      <c r="AX48" s="108"/>
      <c r="AY48" s="91"/>
    </row>
    <row r="49" spans="3:51">
      <c r="C49" s="102"/>
      <c r="I49" s="105"/>
      <c r="J49" s="129"/>
      <c r="K49" s="107"/>
      <c r="L49" s="128"/>
      <c r="R49" s="6"/>
      <c r="AX49" s="108"/>
      <c r="AY49" s="91"/>
    </row>
    <row r="50" spans="3:51">
      <c r="C50" s="102"/>
      <c r="I50" s="105"/>
      <c r="J50" s="129"/>
      <c r="K50" s="107"/>
      <c r="L50" s="128"/>
      <c r="R50" s="6"/>
      <c r="AX50" s="108"/>
      <c r="AY50" s="91"/>
    </row>
    <row r="51" spans="3:51">
      <c r="C51" s="102"/>
      <c r="I51" s="105"/>
      <c r="J51" s="129"/>
      <c r="K51" s="107"/>
      <c r="L51" s="128"/>
      <c r="R51" s="6"/>
      <c r="AX51" s="108"/>
      <c r="AY51" s="91"/>
    </row>
    <row r="52" spans="3:51">
      <c r="C52" s="102"/>
      <c r="I52" s="105"/>
      <c r="J52" s="129"/>
      <c r="K52" s="107"/>
      <c r="L52" s="128"/>
      <c r="R52" s="6"/>
      <c r="AX52" s="108"/>
      <c r="AY52" s="91"/>
    </row>
    <row r="53" spans="3:51">
      <c r="C53" s="102"/>
      <c r="I53" s="105"/>
      <c r="J53" s="129"/>
      <c r="K53" s="107"/>
      <c r="L53" s="128"/>
      <c r="R53" s="6"/>
      <c r="AX53" s="108"/>
      <c r="AY53" s="91"/>
    </row>
    <row r="54" spans="3:51">
      <c r="C54" s="102"/>
      <c r="I54" s="105"/>
      <c r="J54" s="129"/>
      <c r="K54" s="107"/>
      <c r="L54" s="128"/>
      <c r="R54" s="6"/>
      <c r="AX54" s="108"/>
      <c r="AY54" s="91"/>
    </row>
    <row r="55" spans="3:51">
      <c r="C55" s="102"/>
      <c r="I55" s="105"/>
      <c r="J55" s="129"/>
      <c r="K55" s="107"/>
      <c r="L55" s="128"/>
      <c r="R55" s="6"/>
      <c r="AX55" s="108"/>
      <c r="AY55" s="91"/>
    </row>
    <row r="56" spans="3:51">
      <c r="C56" s="102"/>
      <c r="I56" s="105"/>
      <c r="J56" s="129"/>
      <c r="K56" s="107"/>
      <c r="L56" s="128"/>
      <c r="R56" s="6"/>
      <c r="AX56" s="108"/>
      <c r="AY56" s="91"/>
    </row>
    <row r="57" spans="3:51">
      <c r="C57" s="102"/>
      <c r="J57" s="108"/>
      <c r="K57" s="91"/>
      <c r="L57" s="128"/>
      <c r="R57" s="6"/>
      <c r="AX57" s="108"/>
      <c r="AY57" s="91"/>
    </row>
    <row r="58" spans="3:51">
      <c r="C58" s="102"/>
      <c r="J58" s="108"/>
      <c r="K58" s="91"/>
      <c r="L58" s="128"/>
      <c r="R58" s="6"/>
      <c r="AX58" s="108"/>
      <c r="AY58" s="91"/>
    </row>
    <row r="59" spans="3:51">
      <c r="C59" s="102"/>
      <c r="J59" s="108"/>
      <c r="K59" s="91"/>
      <c r="L59" s="128"/>
      <c r="R59" s="6"/>
      <c r="AX59" s="108"/>
      <c r="AY59" s="91"/>
    </row>
    <row r="60" spans="3:51">
      <c r="C60" s="102"/>
      <c r="J60" s="108"/>
      <c r="K60" s="91"/>
      <c r="L60" s="128"/>
      <c r="R60" s="6"/>
      <c r="AX60" s="108"/>
      <c r="AY60" s="91"/>
    </row>
    <row r="61" spans="3:51">
      <c r="C61" s="102"/>
      <c r="J61" s="108"/>
      <c r="K61" s="91"/>
      <c r="L61" s="128"/>
      <c r="R61" s="6"/>
      <c r="AX61" s="108"/>
      <c r="AY61" s="91"/>
    </row>
    <row r="62" spans="3:51">
      <c r="C62" s="102"/>
      <c r="J62" s="108"/>
      <c r="K62" s="91"/>
      <c r="L62" s="128"/>
      <c r="R62" s="6"/>
      <c r="AX62" s="108"/>
      <c r="AY62" s="91"/>
    </row>
    <row r="63" spans="3:51">
      <c r="C63" s="102"/>
      <c r="J63" s="108"/>
      <c r="K63" s="91"/>
      <c r="L63" s="128"/>
      <c r="R63" s="6"/>
      <c r="AX63" s="108"/>
      <c r="AY63" s="91"/>
    </row>
    <row r="64" spans="3:51">
      <c r="C64" s="102"/>
      <c r="J64" s="108"/>
      <c r="K64" s="91"/>
      <c r="L64" s="128"/>
      <c r="R64" s="6"/>
      <c r="AX64" s="108"/>
      <c r="AY64" s="91"/>
    </row>
    <row r="65" spans="3:51">
      <c r="C65" s="102"/>
      <c r="J65" s="108"/>
      <c r="K65" s="91"/>
      <c r="L65" s="128"/>
      <c r="R65" s="6"/>
      <c r="AX65" s="108"/>
      <c r="AY65" s="91"/>
    </row>
    <row r="66" spans="3:51">
      <c r="C66" s="102"/>
      <c r="J66" s="108"/>
      <c r="K66" s="91"/>
      <c r="L66" s="128"/>
      <c r="R66" s="6"/>
      <c r="AX66" s="108"/>
      <c r="AY66" s="91"/>
    </row>
    <row r="67" spans="3:51">
      <c r="C67" s="102"/>
      <c r="J67" s="108"/>
      <c r="K67" s="91"/>
      <c r="L67" s="128"/>
      <c r="R67" s="6"/>
      <c r="AX67" s="108"/>
      <c r="AY67" s="91"/>
    </row>
    <row r="68" spans="3:51">
      <c r="C68" s="102"/>
      <c r="J68" s="108"/>
      <c r="K68" s="91"/>
      <c r="L68" s="128"/>
      <c r="R68" s="6"/>
      <c r="AX68" s="108"/>
      <c r="AY68" s="91"/>
    </row>
    <row r="69" spans="3:51">
      <c r="C69" s="102"/>
      <c r="R69" s="6"/>
      <c r="AX69" s="108"/>
      <c r="AY69" s="91"/>
    </row>
    <row r="70" spans="3:51">
      <c r="C70" s="102"/>
      <c r="R70" s="6"/>
      <c r="AX70" s="108"/>
      <c r="AY70" s="91"/>
    </row>
    <row r="71" spans="3:51">
      <c r="C71" s="102"/>
      <c r="R71" s="6"/>
      <c r="AX71" s="108"/>
      <c r="AY71" s="91"/>
    </row>
    <row r="72" spans="3:51">
      <c r="C72" s="102"/>
      <c r="R72" s="6"/>
      <c r="AX72" s="108"/>
      <c r="AY72" s="91"/>
    </row>
    <row r="73" spans="3:51">
      <c r="C73" s="102"/>
      <c r="R73" s="6"/>
      <c r="AX73" s="108"/>
      <c r="AY73" s="91"/>
    </row>
    <row r="74" spans="3:51">
      <c r="C74" s="102"/>
      <c r="R74" s="6"/>
      <c r="AX74" s="108"/>
      <c r="AY74" s="91"/>
    </row>
    <row r="75" spans="3:51">
      <c r="C75" s="102"/>
      <c r="R75" s="6"/>
      <c r="AX75" s="108"/>
      <c r="AY75" s="91"/>
    </row>
    <row r="76" spans="3:51">
      <c r="C76" s="102"/>
      <c r="R76" s="6"/>
      <c r="AX76" s="108"/>
      <c r="AY76" s="91"/>
    </row>
    <row r="77" spans="3:51">
      <c r="C77" s="102"/>
      <c r="R77" s="6"/>
      <c r="AX77" s="108"/>
      <c r="AY77" s="91"/>
    </row>
    <row r="78" spans="3:51">
      <c r="C78" s="102"/>
      <c r="R78" s="6"/>
      <c r="AX78" s="108"/>
      <c r="AY78" s="91"/>
    </row>
    <row r="79" spans="3:51">
      <c r="C79" s="102"/>
      <c r="R79" s="6"/>
      <c r="AX79" s="108"/>
      <c r="AY79" s="91"/>
    </row>
    <row r="80" spans="3:51">
      <c r="C80" s="102"/>
      <c r="R80" s="6"/>
      <c r="AX80" s="108"/>
      <c r="AY80" s="91"/>
    </row>
    <row r="81" spans="3:51">
      <c r="C81" s="102"/>
      <c r="R81" s="6"/>
      <c r="AX81" s="108"/>
      <c r="AY81" s="91"/>
    </row>
    <row r="82" spans="3:51">
      <c r="C82" s="102"/>
      <c r="R82" s="6"/>
      <c r="AX82" s="108"/>
      <c r="AY82" s="91"/>
    </row>
    <row r="83" spans="3:51">
      <c r="C83" s="102"/>
      <c r="R83" s="6"/>
      <c r="AX83" s="108"/>
      <c r="AY83" s="91"/>
    </row>
    <row r="84" spans="3:51">
      <c r="C84" s="102"/>
      <c r="R84" s="6"/>
      <c r="AX84" s="108"/>
      <c r="AY84" s="91"/>
    </row>
    <row r="85" spans="3:51">
      <c r="C85" s="102"/>
      <c r="R85" s="6"/>
      <c r="AX85" s="108"/>
      <c r="AY85" s="91"/>
    </row>
    <row r="86" spans="3:51">
      <c r="C86" s="102"/>
      <c r="R86" s="6"/>
      <c r="AX86" s="108"/>
      <c r="AY86" s="91"/>
    </row>
    <row r="87" spans="3:51">
      <c r="C87" s="102"/>
      <c r="R87" s="6"/>
      <c r="AX87" s="108"/>
      <c r="AY87" s="91"/>
    </row>
    <row r="88" spans="3:51">
      <c r="C88" s="102"/>
      <c r="R88" s="6"/>
      <c r="S88" s="6"/>
      <c r="T88" s="6"/>
      <c r="U88" s="117"/>
      <c r="V88" s="118"/>
      <c r="W88" s="118"/>
      <c r="X88" s="118"/>
      <c r="Y88" s="118"/>
      <c r="Z88" s="118"/>
      <c r="AA88" s="118"/>
      <c r="AB88" s="118"/>
      <c r="AC88" s="118"/>
      <c r="AD88" s="118"/>
      <c r="AE88" s="118"/>
      <c r="AF88" s="118"/>
      <c r="AG88" s="119"/>
      <c r="AH88" s="120"/>
      <c r="AX88" s="108"/>
      <c r="AY88" s="91"/>
    </row>
    <row r="89" spans="3:51">
      <c r="C89" s="102"/>
      <c r="R89" s="6"/>
      <c r="S89" s="6"/>
      <c r="T89" s="6"/>
      <c r="U89" s="117"/>
      <c r="V89" s="118"/>
      <c r="W89" s="118"/>
      <c r="X89" s="118"/>
      <c r="Y89" s="118"/>
      <c r="Z89" s="118"/>
      <c r="AA89" s="118"/>
      <c r="AB89" s="118"/>
      <c r="AC89" s="118"/>
      <c r="AD89" s="118"/>
      <c r="AE89" s="118"/>
      <c r="AF89" s="118"/>
      <c r="AG89" s="119"/>
      <c r="AH89" s="120"/>
      <c r="AX89" s="108"/>
      <c r="AY89" s="91"/>
    </row>
    <row r="90" spans="3:51">
      <c r="C90" s="102"/>
      <c r="R90" s="6"/>
      <c r="S90" s="6"/>
      <c r="T90" s="6"/>
      <c r="U90" s="117"/>
      <c r="V90" s="118"/>
      <c r="W90" s="118"/>
      <c r="X90" s="118"/>
      <c r="Y90" s="118"/>
      <c r="Z90" s="118"/>
      <c r="AA90" s="118"/>
      <c r="AB90" s="118"/>
      <c r="AC90" s="118"/>
      <c r="AD90" s="118"/>
      <c r="AE90" s="118"/>
      <c r="AF90" s="118"/>
      <c r="AG90" s="119"/>
      <c r="AH90" s="120"/>
      <c r="AX90" s="108"/>
      <c r="AY90" s="91"/>
    </row>
    <row r="91" spans="3:51">
      <c r="C91" s="102"/>
      <c r="R91" s="6"/>
      <c r="S91" s="6"/>
      <c r="T91" s="6"/>
      <c r="U91" s="117"/>
      <c r="V91" s="118"/>
      <c r="W91" s="118"/>
      <c r="X91" s="118"/>
      <c r="Y91" s="118"/>
      <c r="Z91" s="118"/>
      <c r="AA91" s="118"/>
      <c r="AB91" s="118"/>
      <c r="AC91" s="118"/>
      <c r="AD91" s="118"/>
      <c r="AE91" s="118"/>
      <c r="AF91" s="118"/>
      <c r="AG91" s="119"/>
      <c r="AH91" s="120"/>
      <c r="AX91" s="108"/>
      <c r="AY91" s="91"/>
    </row>
    <row r="92" spans="3:51">
      <c r="C92" s="102"/>
      <c r="R92" s="6"/>
      <c r="S92" s="6"/>
      <c r="T92" s="6"/>
      <c r="U92" s="117"/>
      <c r="V92" s="118"/>
      <c r="W92" s="118"/>
      <c r="X92" s="118"/>
      <c r="Y92" s="118"/>
      <c r="Z92" s="118"/>
      <c r="AA92" s="118"/>
      <c r="AB92" s="118"/>
      <c r="AC92" s="118"/>
      <c r="AD92" s="118"/>
      <c r="AE92" s="118"/>
      <c r="AF92" s="118"/>
      <c r="AG92" s="119"/>
      <c r="AH92" s="120"/>
      <c r="AX92" s="108"/>
      <c r="AY92" s="91"/>
    </row>
    <row r="93" spans="3:51">
      <c r="C93" s="102"/>
      <c r="R93" s="6"/>
      <c r="S93" s="6"/>
      <c r="T93" s="6"/>
      <c r="U93" s="117"/>
      <c r="V93" s="118"/>
      <c r="W93" s="118"/>
      <c r="X93" s="118"/>
      <c r="Y93" s="118"/>
      <c r="Z93" s="118"/>
      <c r="AA93" s="118"/>
      <c r="AB93" s="118"/>
      <c r="AC93" s="118"/>
      <c r="AD93" s="118"/>
      <c r="AE93" s="118"/>
      <c r="AF93" s="118"/>
      <c r="AG93" s="119"/>
      <c r="AH93" s="120"/>
      <c r="AX93" s="108"/>
      <c r="AY93" s="91"/>
    </row>
    <row r="94" spans="3:51">
      <c r="C94" s="102"/>
      <c r="R94" s="6"/>
      <c r="S94" s="6"/>
      <c r="T94" s="6"/>
      <c r="U94" s="117"/>
      <c r="V94" s="118"/>
      <c r="W94" s="118"/>
      <c r="X94" s="118"/>
      <c r="Y94" s="118"/>
      <c r="Z94" s="118"/>
      <c r="AA94" s="118"/>
      <c r="AB94" s="118"/>
      <c r="AC94" s="118"/>
      <c r="AD94" s="118"/>
      <c r="AE94" s="118"/>
      <c r="AF94" s="118"/>
      <c r="AG94" s="119"/>
      <c r="AH94" s="120"/>
      <c r="AX94" s="108"/>
      <c r="AY94" s="91"/>
    </row>
    <row r="95" spans="3:51">
      <c r="C95" s="102"/>
      <c r="R95" s="6"/>
      <c r="S95" s="6"/>
      <c r="T95" s="6"/>
      <c r="U95" s="117"/>
      <c r="V95" s="118"/>
      <c r="W95" s="118"/>
      <c r="X95" s="118"/>
      <c r="Y95" s="118"/>
      <c r="Z95" s="118"/>
      <c r="AA95" s="118"/>
      <c r="AB95" s="118"/>
      <c r="AC95" s="118"/>
      <c r="AD95" s="118"/>
      <c r="AE95" s="118"/>
      <c r="AF95" s="118"/>
      <c r="AG95" s="119"/>
      <c r="AH95" s="120"/>
      <c r="AX95" s="108"/>
      <c r="AY95" s="91"/>
    </row>
    <row r="96" spans="3:51">
      <c r="C96" s="102"/>
      <c r="R96" s="6"/>
      <c r="S96" s="6"/>
      <c r="T96" s="6"/>
      <c r="U96" s="117"/>
      <c r="V96" s="118"/>
      <c r="W96" s="118"/>
      <c r="X96" s="118"/>
      <c r="Y96" s="118"/>
      <c r="Z96" s="118"/>
      <c r="AA96" s="118"/>
      <c r="AB96" s="118"/>
      <c r="AC96" s="118"/>
      <c r="AD96" s="118"/>
      <c r="AE96" s="118"/>
      <c r="AF96" s="118"/>
      <c r="AG96" s="119"/>
      <c r="AH96" s="120"/>
      <c r="AX96" s="108"/>
      <c r="AY96" s="91"/>
    </row>
    <row r="97" spans="3:51">
      <c r="C97" s="102"/>
      <c r="R97" s="6"/>
      <c r="S97" s="6"/>
      <c r="T97" s="6"/>
      <c r="U97" s="117"/>
      <c r="V97" s="118"/>
      <c r="W97" s="118"/>
      <c r="X97" s="118"/>
      <c r="Y97" s="118"/>
      <c r="Z97" s="118"/>
      <c r="AA97" s="118"/>
      <c r="AB97" s="118"/>
      <c r="AC97" s="118"/>
      <c r="AD97" s="118"/>
      <c r="AE97" s="118"/>
      <c r="AF97" s="118"/>
      <c r="AG97" s="119"/>
      <c r="AH97" s="120"/>
      <c r="AX97" s="108"/>
      <c r="AY97" s="91"/>
    </row>
    <row r="98" spans="3:51">
      <c r="C98" s="102"/>
      <c r="R98" s="6"/>
      <c r="S98" s="6"/>
      <c r="T98" s="6"/>
      <c r="U98" s="117"/>
      <c r="V98" s="118"/>
      <c r="W98" s="118"/>
      <c r="X98" s="118"/>
      <c r="Y98" s="118"/>
      <c r="Z98" s="118"/>
      <c r="AA98" s="118"/>
      <c r="AB98" s="118"/>
      <c r="AC98" s="118"/>
      <c r="AD98" s="118"/>
      <c r="AE98" s="118"/>
      <c r="AF98" s="118"/>
      <c r="AG98" s="119"/>
      <c r="AH98" s="120"/>
      <c r="AX98" s="108"/>
      <c r="AY98" s="91"/>
    </row>
    <row r="99" spans="3:51">
      <c r="C99" s="102"/>
      <c r="R99" s="6"/>
      <c r="S99" s="6"/>
      <c r="T99" s="6"/>
      <c r="U99" s="117"/>
      <c r="V99" s="118"/>
      <c r="W99" s="118"/>
      <c r="X99" s="118"/>
      <c r="Y99" s="118"/>
      <c r="Z99" s="118"/>
      <c r="AA99" s="118"/>
      <c r="AB99" s="118"/>
      <c r="AC99" s="118"/>
      <c r="AD99" s="118"/>
      <c r="AE99" s="118"/>
      <c r="AF99" s="118"/>
      <c r="AG99" s="119"/>
      <c r="AH99" s="120"/>
      <c r="AX99" s="108"/>
      <c r="AY99" s="91"/>
    </row>
    <row r="100" spans="3:51">
      <c r="C100" s="102"/>
      <c r="R100" s="6"/>
      <c r="S100" s="6"/>
      <c r="T100" s="6"/>
      <c r="U100" s="117"/>
      <c r="V100" s="118"/>
      <c r="W100" s="118"/>
      <c r="X100" s="118"/>
      <c r="Y100" s="118"/>
      <c r="Z100" s="118"/>
      <c r="AA100" s="118"/>
      <c r="AB100" s="118"/>
      <c r="AC100" s="118"/>
      <c r="AD100" s="118"/>
      <c r="AE100" s="118"/>
      <c r="AF100" s="118"/>
      <c r="AG100" s="119"/>
      <c r="AH100" s="120"/>
    </row>
    <row r="101" spans="3:51">
      <c r="C101" s="102"/>
      <c r="R101" s="6"/>
      <c r="S101" s="6"/>
      <c r="T101" s="6"/>
      <c r="U101" s="117"/>
      <c r="V101" s="118"/>
      <c r="W101" s="118"/>
      <c r="X101" s="118"/>
      <c r="Y101" s="118"/>
      <c r="Z101" s="118"/>
      <c r="AA101" s="118"/>
      <c r="AB101" s="118"/>
      <c r="AC101" s="118"/>
      <c r="AD101" s="118"/>
      <c r="AE101" s="118"/>
      <c r="AF101" s="118"/>
      <c r="AG101" s="119"/>
      <c r="AH101" s="120"/>
    </row>
    <row r="102" spans="3:51">
      <c r="C102" s="102"/>
      <c r="R102" s="6"/>
      <c r="S102" s="6"/>
      <c r="T102" s="6"/>
      <c r="U102" s="117"/>
      <c r="V102" s="118"/>
      <c r="W102" s="118"/>
      <c r="X102" s="118"/>
      <c r="Y102" s="118"/>
      <c r="Z102" s="118"/>
      <c r="AA102" s="118"/>
      <c r="AB102" s="118"/>
      <c r="AC102" s="118"/>
      <c r="AD102" s="118"/>
      <c r="AE102" s="118"/>
      <c r="AF102" s="118"/>
      <c r="AG102" s="119"/>
      <c r="AH102" s="120"/>
    </row>
    <row r="103" spans="3:51">
      <c r="C103" s="102"/>
      <c r="R103" s="6"/>
      <c r="S103" s="6"/>
      <c r="T103" s="6"/>
      <c r="U103" s="117"/>
      <c r="V103" s="118"/>
      <c r="W103" s="118"/>
      <c r="X103" s="118"/>
      <c r="Y103" s="118"/>
      <c r="Z103" s="118"/>
      <c r="AA103" s="118"/>
      <c r="AB103" s="118"/>
      <c r="AC103" s="118"/>
      <c r="AD103" s="118"/>
      <c r="AE103" s="118"/>
      <c r="AF103" s="118"/>
      <c r="AG103" s="119"/>
      <c r="AH103" s="120"/>
    </row>
    <row r="104" spans="3:51">
      <c r="C104" s="102"/>
      <c r="R104" s="6"/>
      <c r="S104" s="6"/>
      <c r="T104" s="6"/>
      <c r="U104" s="117"/>
      <c r="V104" s="118"/>
      <c r="W104" s="118"/>
      <c r="X104" s="118"/>
      <c r="Y104" s="118"/>
      <c r="Z104" s="118"/>
      <c r="AA104" s="118"/>
      <c r="AB104" s="118"/>
      <c r="AC104" s="118"/>
      <c r="AD104" s="118"/>
      <c r="AE104" s="118"/>
      <c r="AF104" s="118"/>
      <c r="AG104" s="119"/>
      <c r="AH104" s="120"/>
    </row>
    <row r="105" spans="3:51">
      <c r="C105" s="102"/>
      <c r="R105" s="6"/>
      <c r="S105" s="6"/>
      <c r="T105" s="6"/>
      <c r="U105" s="117"/>
      <c r="V105" s="118"/>
      <c r="W105" s="118"/>
      <c r="X105" s="118"/>
      <c r="Y105" s="118"/>
      <c r="Z105" s="118"/>
      <c r="AA105" s="118"/>
      <c r="AB105" s="118"/>
      <c r="AC105" s="118"/>
      <c r="AD105" s="118"/>
      <c r="AE105" s="118"/>
      <c r="AF105" s="118"/>
      <c r="AG105" s="119"/>
      <c r="AH105" s="120"/>
    </row>
    <row r="106" spans="3:51">
      <c r="C106" s="102"/>
      <c r="R106" s="6"/>
      <c r="S106" s="6"/>
      <c r="T106" s="6"/>
      <c r="U106" s="117"/>
      <c r="V106" s="118"/>
      <c r="W106" s="118"/>
      <c r="X106" s="118"/>
      <c r="Y106" s="118"/>
      <c r="Z106" s="118"/>
      <c r="AA106" s="118"/>
      <c r="AB106" s="118"/>
      <c r="AC106" s="118"/>
      <c r="AD106" s="118"/>
      <c r="AE106" s="118"/>
      <c r="AF106" s="118"/>
      <c r="AG106" s="119"/>
      <c r="AH106" s="120"/>
    </row>
    <row r="107" spans="3:51">
      <c r="C107" s="102"/>
      <c r="R107" s="6"/>
      <c r="S107" s="6"/>
      <c r="T107" s="6"/>
      <c r="U107" s="117"/>
      <c r="V107" s="118"/>
      <c r="W107" s="118"/>
      <c r="X107" s="118"/>
      <c r="Y107" s="118"/>
      <c r="Z107" s="118"/>
      <c r="AA107" s="118"/>
      <c r="AB107" s="118"/>
      <c r="AC107" s="118"/>
      <c r="AD107" s="118"/>
      <c r="AE107" s="118"/>
      <c r="AF107" s="118"/>
      <c r="AG107" s="119"/>
      <c r="AH107" s="120"/>
    </row>
    <row r="108" spans="3:51">
      <c r="C108" s="102"/>
      <c r="R108" s="6"/>
      <c r="S108" s="6"/>
      <c r="T108" s="6"/>
      <c r="U108" s="117"/>
      <c r="V108" s="118"/>
      <c r="W108" s="118"/>
      <c r="X108" s="118"/>
      <c r="Y108" s="118"/>
      <c r="Z108" s="118"/>
      <c r="AA108" s="118"/>
      <c r="AB108" s="118"/>
      <c r="AC108" s="118"/>
      <c r="AD108" s="118"/>
      <c r="AE108" s="118"/>
      <c r="AF108" s="118"/>
      <c r="AG108" s="119"/>
      <c r="AH108" s="120"/>
    </row>
    <row r="109" spans="3:51">
      <c r="C109" s="102"/>
      <c r="R109" s="6"/>
      <c r="S109" s="6"/>
      <c r="T109" s="6"/>
      <c r="U109" s="117"/>
      <c r="V109" s="118"/>
      <c r="W109" s="118"/>
      <c r="X109" s="118"/>
      <c r="Y109" s="118"/>
      <c r="Z109" s="118"/>
      <c r="AA109" s="118"/>
      <c r="AB109" s="118"/>
      <c r="AC109" s="118"/>
      <c r="AD109" s="118"/>
      <c r="AE109" s="118"/>
      <c r="AF109" s="118"/>
      <c r="AG109" s="119"/>
      <c r="AH109" s="120"/>
    </row>
    <row r="110" spans="3:51">
      <c r="C110" s="102"/>
      <c r="R110" s="6"/>
      <c r="S110" s="6"/>
      <c r="T110" s="6"/>
      <c r="U110" s="117"/>
      <c r="V110" s="118"/>
      <c r="W110" s="118"/>
      <c r="X110" s="118"/>
      <c r="Y110" s="118"/>
      <c r="Z110" s="118"/>
      <c r="AA110" s="118"/>
      <c r="AB110" s="118"/>
      <c r="AC110" s="118"/>
      <c r="AD110" s="118"/>
      <c r="AE110" s="118"/>
      <c r="AF110" s="118"/>
      <c r="AG110" s="119"/>
      <c r="AH110" s="120"/>
    </row>
    <row r="111" spans="3:51">
      <c r="C111" s="102"/>
      <c r="R111" s="6"/>
      <c r="S111" s="6"/>
      <c r="T111" s="6"/>
      <c r="U111" s="117"/>
      <c r="V111" s="118"/>
      <c r="W111" s="118"/>
      <c r="X111" s="118"/>
      <c r="Y111" s="118"/>
      <c r="Z111" s="118"/>
      <c r="AA111" s="118"/>
      <c r="AB111" s="118"/>
      <c r="AC111" s="118"/>
      <c r="AD111" s="118"/>
      <c r="AE111" s="118"/>
      <c r="AF111" s="118"/>
      <c r="AG111" s="119"/>
      <c r="AH111" s="120"/>
    </row>
    <row r="112" spans="3:51">
      <c r="C112" s="102"/>
      <c r="R112" s="6"/>
      <c r="S112" s="6"/>
      <c r="T112" s="6"/>
      <c r="U112" s="117"/>
      <c r="V112" s="118"/>
      <c r="W112" s="118"/>
      <c r="X112" s="118"/>
      <c r="Y112" s="118"/>
      <c r="Z112" s="118"/>
      <c r="AA112" s="118"/>
      <c r="AB112" s="118"/>
      <c r="AC112" s="118"/>
      <c r="AD112" s="118"/>
      <c r="AE112" s="118"/>
      <c r="AF112" s="118"/>
      <c r="AG112" s="119"/>
      <c r="AH112" s="120"/>
    </row>
    <row r="113" spans="3:34">
      <c r="C113" s="102"/>
      <c r="R113" s="6"/>
      <c r="S113" s="6"/>
      <c r="T113" s="6"/>
      <c r="U113" s="117"/>
      <c r="V113" s="118"/>
      <c r="W113" s="118"/>
      <c r="X113" s="118"/>
      <c r="Y113" s="118"/>
      <c r="Z113" s="118"/>
      <c r="AA113" s="118"/>
      <c r="AB113" s="118"/>
      <c r="AC113" s="118"/>
      <c r="AD113" s="118"/>
      <c r="AE113" s="118"/>
      <c r="AF113" s="118"/>
      <c r="AG113" s="119"/>
      <c r="AH113" s="120"/>
    </row>
    <row r="114" spans="3:34">
      <c r="C114" s="102"/>
      <c r="R114" s="6"/>
      <c r="S114" s="6"/>
      <c r="T114" s="6"/>
      <c r="U114" s="117"/>
      <c r="V114" s="118"/>
      <c r="W114" s="118"/>
      <c r="X114" s="118"/>
      <c r="Y114" s="118"/>
      <c r="Z114" s="118"/>
      <c r="AA114" s="118"/>
      <c r="AB114" s="118"/>
      <c r="AC114" s="118"/>
      <c r="AD114" s="118"/>
      <c r="AE114" s="118"/>
      <c r="AF114" s="118"/>
      <c r="AG114" s="119"/>
      <c r="AH114" s="120"/>
    </row>
    <row r="115" spans="3:34">
      <c r="C115" s="102"/>
      <c r="R115" s="6"/>
      <c r="S115" s="6"/>
      <c r="T115" s="6"/>
      <c r="U115" s="117"/>
      <c r="V115" s="118"/>
      <c r="W115" s="118"/>
      <c r="X115" s="118"/>
      <c r="Y115" s="118"/>
      <c r="Z115" s="118"/>
      <c r="AA115" s="118"/>
      <c r="AB115" s="118"/>
      <c r="AC115" s="118"/>
      <c r="AD115" s="118"/>
      <c r="AE115" s="118"/>
      <c r="AF115" s="118"/>
      <c r="AG115" s="119"/>
      <c r="AH115" s="120"/>
    </row>
    <row r="116" spans="3:34">
      <c r="C116" s="102"/>
      <c r="R116" s="6"/>
      <c r="S116" s="6"/>
      <c r="T116" s="6"/>
      <c r="U116" s="117"/>
      <c r="V116" s="118"/>
      <c r="W116" s="118"/>
      <c r="X116" s="118"/>
      <c r="Y116" s="118"/>
      <c r="Z116" s="118"/>
      <c r="AA116" s="118"/>
      <c r="AB116" s="118"/>
      <c r="AC116" s="118"/>
      <c r="AD116" s="118"/>
      <c r="AE116" s="118"/>
      <c r="AF116" s="118"/>
      <c r="AG116" s="119"/>
      <c r="AH116" s="120"/>
    </row>
    <row r="117" spans="3:34">
      <c r="C117" s="102"/>
      <c r="R117" s="6"/>
      <c r="S117" s="6"/>
      <c r="T117" s="6"/>
      <c r="U117" s="117"/>
      <c r="V117" s="118"/>
      <c r="W117" s="118"/>
      <c r="X117" s="118"/>
      <c r="Y117" s="118"/>
      <c r="Z117" s="118"/>
      <c r="AA117" s="118"/>
      <c r="AB117" s="118"/>
      <c r="AC117" s="118"/>
      <c r="AD117" s="118"/>
      <c r="AE117" s="118"/>
      <c r="AF117" s="118"/>
      <c r="AG117" s="119"/>
      <c r="AH117" s="120"/>
    </row>
    <row r="118" spans="3:34">
      <c r="C118" s="102"/>
      <c r="R118" s="6"/>
      <c r="S118" s="6"/>
      <c r="T118" s="6"/>
      <c r="U118" s="117"/>
      <c r="V118" s="118"/>
      <c r="W118" s="118"/>
      <c r="X118" s="118"/>
      <c r="Y118" s="118"/>
      <c r="Z118" s="118"/>
      <c r="AA118" s="118"/>
      <c r="AB118" s="118"/>
      <c r="AC118" s="118"/>
      <c r="AD118" s="118"/>
      <c r="AE118" s="118"/>
      <c r="AF118" s="118"/>
      <c r="AG118" s="119"/>
      <c r="AH118" s="120"/>
    </row>
    <row r="119" spans="3:34">
      <c r="C119" s="102"/>
      <c r="R119" s="6"/>
      <c r="S119" s="6"/>
      <c r="T119" s="6"/>
      <c r="U119" s="117"/>
      <c r="V119" s="118"/>
      <c r="W119" s="118"/>
      <c r="X119" s="118"/>
      <c r="Y119" s="118"/>
      <c r="Z119" s="118"/>
      <c r="AA119" s="118"/>
      <c r="AB119" s="118"/>
      <c r="AC119" s="118"/>
      <c r="AD119" s="118"/>
      <c r="AE119" s="118"/>
      <c r="AF119" s="118"/>
      <c r="AG119" s="119"/>
      <c r="AH119" s="120"/>
    </row>
    <row r="120" spans="3:34">
      <c r="C120" s="102"/>
      <c r="R120" s="6"/>
      <c r="S120" s="6"/>
      <c r="T120" s="6"/>
      <c r="U120" s="117"/>
      <c r="V120" s="118"/>
      <c r="W120" s="118"/>
      <c r="X120" s="118"/>
      <c r="Y120" s="118"/>
      <c r="Z120" s="118"/>
      <c r="AA120" s="118"/>
      <c r="AB120" s="118"/>
      <c r="AC120" s="118"/>
      <c r="AD120" s="118"/>
      <c r="AE120" s="118"/>
      <c r="AF120" s="118"/>
      <c r="AG120" s="119"/>
      <c r="AH120" s="120"/>
    </row>
    <row r="121" spans="3:34">
      <c r="C121" s="102"/>
      <c r="R121" s="6"/>
      <c r="S121" s="6"/>
      <c r="T121" s="6"/>
      <c r="U121" s="117"/>
      <c r="V121" s="118"/>
      <c r="W121" s="118"/>
      <c r="X121" s="118"/>
      <c r="Y121" s="118"/>
      <c r="Z121" s="118"/>
      <c r="AA121" s="118"/>
      <c r="AB121" s="118"/>
      <c r="AC121" s="118"/>
      <c r="AD121" s="118"/>
      <c r="AE121" s="118"/>
      <c r="AF121" s="118"/>
      <c r="AG121" s="119"/>
      <c r="AH121" s="120"/>
    </row>
    <row r="122" spans="3:34">
      <c r="C122" s="102"/>
      <c r="R122" s="6"/>
      <c r="S122" s="6"/>
      <c r="T122" s="6"/>
      <c r="U122" s="117"/>
      <c r="V122" s="118"/>
      <c r="W122" s="118"/>
      <c r="X122" s="118"/>
      <c r="Y122" s="118"/>
      <c r="Z122" s="118"/>
      <c r="AA122" s="118"/>
      <c r="AB122" s="118"/>
      <c r="AC122" s="118"/>
      <c r="AD122" s="118"/>
      <c r="AE122" s="118"/>
      <c r="AF122" s="118"/>
      <c r="AG122" s="119"/>
      <c r="AH122" s="120"/>
    </row>
    <row r="123" spans="3:34">
      <c r="C123" s="102"/>
      <c r="R123" s="6"/>
      <c r="S123" s="6"/>
      <c r="T123" s="6"/>
      <c r="U123" s="117"/>
      <c r="V123" s="118"/>
      <c r="W123" s="118"/>
      <c r="X123" s="118"/>
      <c r="Y123" s="118"/>
      <c r="Z123" s="118"/>
      <c r="AA123" s="118"/>
      <c r="AB123" s="118"/>
      <c r="AC123" s="118"/>
      <c r="AD123" s="118"/>
      <c r="AE123" s="118"/>
      <c r="AF123" s="118"/>
      <c r="AG123" s="119"/>
      <c r="AH123" s="120"/>
    </row>
    <row r="124" spans="3:34">
      <c r="C124" s="102"/>
      <c r="R124" s="6"/>
      <c r="S124" s="6"/>
      <c r="T124" s="6"/>
      <c r="U124" s="117"/>
      <c r="V124" s="118"/>
      <c r="W124" s="118"/>
      <c r="X124" s="118"/>
      <c r="Y124" s="118"/>
      <c r="Z124" s="118"/>
      <c r="AA124" s="118"/>
      <c r="AB124" s="118"/>
      <c r="AC124" s="118"/>
      <c r="AD124" s="118"/>
      <c r="AE124" s="118"/>
      <c r="AF124" s="118"/>
      <c r="AG124" s="119"/>
      <c r="AH124" s="120"/>
    </row>
    <row r="125" spans="3:34">
      <c r="C125" s="102"/>
      <c r="R125" s="6"/>
      <c r="S125" s="6"/>
      <c r="T125" s="6"/>
      <c r="U125" s="117"/>
      <c r="V125" s="118"/>
      <c r="W125" s="118"/>
      <c r="X125" s="118"/>
      <c r="Y125" s="118"/>
      <c r="Z125" s="118"/>
      <c r="AA125" s="118"/>
      <c r="AB125" s="118"/>
      <c r="AC125" s="118"/>
      <c r="AD125" s="118"/>
      <c r="AE125" s="118"/>
      <c r="AF125" s="118"/>
      <c r="AG125" s="119"/>
      <c r="AH125" s="120"/>
    </row>
    <row r="126" spans="3:34">
      <c r="C126" s="102"/>
      <c r="R126" s="6"/>
      <c r="S126" s="6"/>
      <c r="T126" s="6"/>
      <c r="U126" s="117"/>
      <c r="V126" s="118"/>
      <c r="W126" s="118"/>
      <c r="X126" s="118"/>
      <c r="Y126" s="118"/>
      <c r="Z126" s="118"/>
      <c r="AA126" s="118"/>
      <c r="AB126" s="118"/>
      <c r="AC126" s="118"/>
      <c r="AD126" s="118"/>
      <c r="AE126" s="118"/>
      <c r="AF126" s="118"/>
      <c r="AG126" s="119"/>
      <c r="AH126" s="120"/>
    </row>
    <row r="127" spans="3:34">
      <c r="C127" s="102"/>
      <c r="R127" s="6"/>
      <c r="S127" s="6"/>
      <c r="T127" s="6"/>
      <c r="U127" s="117"/>
      <c r="V127" s="118"/>
      <c r="W127" s="118"/>
      <c r="X127" s="118"/>
      <c r="Y127" s="118"/>
      <c r="Z127" s="118"/>
      <c r="AA127" s="118"/>
      <c r="AB127" s="118"/>
      <c r="AC127" s="118"/>
      <c r="AD127" s="118"/>
      <c r="AE127" s="118"/>
      <c r="AF127" s="118"/>
      <c r="AG127" s="119"/>
      <c r="AH127" s="120"/>
    </row>
    <row r="128" spans="3:34">
      <c r="C128" s="102"/>
      <c r="R128" s="6"/>
      <c r="S128" s="6"/>
      <c r="T128" s="6"/>
      <c r="U128" s="117"/>
      <c r="V128" s="118"/>
      <c r="W128" s="118"/>
      <c r="X128" s="118"/>
      <c r="Y128" s="118"/>
      <c r="Z128" s="118"/>
      <c r="AA128" s="118"/>
      <c r="AB128" s="118"/>
      <c r="AC128" s="118"/>
      <c r="AD128" s="118"/>
      <c r="AE128" s="118"/>
      <c r="AF128" s="118"/>
      <c r="AG128" s="119"/>
      <c r="AH128" s="120"/>
    </row>
    <row r="129" spans="3:34">
      <c r="C129" s="102"/>
      <c r="R129" s="6"/>
      <c r="S129" s="6"/>
      <c r="T129" s="6"/>
      <c r="U129" s="117"/>
      <c r="V129" s="118"/>
      <c r="W129" s="118"/>
      <c r="X129" s="118"/>
      <c r="Y129" s="118"/>
      <c r="Z129" s="118"/>
      <c r="AA129" s="118"/>
      <c r="AB129" s="118"/>
      <c r="AC129" s="118"/>
      <c r="AD129" s="118"/>
      <c r="AE129" s="118"/>
      <c r="AF129" s="118"/>
      <c r="AG129" s="119"/>
      <c r="AH129" s="120"/>
    </row>
    <row r="130" spans="3:34">
      <c r="C130" s="102"/>
      <c r="R130" s="6"/>
      <c r="S130" s="6"/>
      <c r="T130" s="6"/>
      <c r="U130" s="117"/>
      <c r="V130" s="118"/>
      <c r="W130" s="118"/>
      <c r="X130" s="118"/>
      <c r="Y130" s="118"/>
      <c r="Z130" s="118"/>
      <c r="AA130" s="118"/>
      <c r="AB130" s="118"/>
      <c r="AC130" s="118"/>
      <c r="AD130" s="118"/>
      <c r="AE130" s="118"/>
      <c r="AF130" s="118"/>
      <c r="AG130" s="119"/>
      <c r="AH130" s="120"/>
    </row>
    <row r="131" spans="3:34">
      <c r="C131" s="102"/>
      <c r="R131" s="6"/>
      <c r="S131" s="6"/>
      <c r="T131" s="6"/>
      <c r="U131" s="117"/>
      <c r="V131" s="118"/>
      <c r="W131" s="118"/>
      <c r="X131" s="118"/>
      <c r="Y131" s="118"/>
      <c r="Z131" s="118"/>
      <c r="AA131" s="118"/>
      <c r="AB131" s="118"/>
      <c r="AC131" s="118"/>
      <c r="AD131" s="118"/>
      <c r="AE131" s="118"/>
      <c r="AF131" s="118"/>
      <c r="AG131" s="119"/>
      <c r="AH131" s="120"/>
    </row>
    <row r="132" spans="3:34">
      <c r="C132" s="102"/>
      <c r="R132" s="6"/>
      <c r="S132" s="6"/>
      <c r="T132" s="6"/>
      <c r="U132" s="117"/>
      <c r="V132" s="118"/>
      <c r="W132" s="118"/>
      <c r="X132" s="118"/>
      <c r="Y132" s="118"/>
      <c r="Z132" s="118"/>
      <c r="AA132" s="118"/>
      <c r="AB132" s="118"/>
      <c r="AC132" s="118"/>
      <c r="AD132" s="118"/>
      <c r="AE132" s="118"/>
      <c r="AF132" s="118"/>
      <c r="AG132" s="119"/>
      <c r="AH132" s="120"/>
    </row>
    <row r="133" spans="3:34">
      <c r="C133" s="102"/>
      <c r="R133" s="6"/>
      <c r="S133" s="6"/>
      <c r="T133" s="6"/>
      <c r="U133" s="117"/>
      <c r="V133" s="118"/>
      <c r="W133" s="118"/>
      <c r="X133" s="118"/>
      <c r="Y133" s="118"/>
      <c r="Z133" s="118"/>
      <c r="AA133" s="118"/>
      <c r="AB133" s="118"/>
      <c r="AC133" s="118"/>
      <c r="AD133" s="118"/>
      <c r="AE133" s="118"/>
      <c r="AF133" s="118"/>
      <c r="AG133" s="119"/>
      <c r="AH133" s="120"/>
    </row>
    <row r="134" spans="3:34">
      <c r="C134" s="102"/>
      <c r="R134" s="6"/>
      <c r="S134" s="6"/>
      <c r="T134" s="6"/>
      <c r="U134" s="117"/>
      <c r="V134" s="118"/>
      <c r="W134" s="118"/>
      <c r="X134" s="118"/>
      <c r="Y134" s="118"/>
      <c r="Z134" s="118"/>
      <c r="AA134" s="118"/>
      <c r="AB134" s="118"/>
      <c r="AC134" s="118"/>
      <c r="AD134" s="118"/>
      <c r="AE134" s="118"/>
      <c r="AF134" s="118"/>
      <c r="AG134" s="119"/>
      <c r="AH134" s="120"/>
    </row>
    <row r="135" spans="3:34">
      <c r="C135" s="102"/>
      <c r="R135" s="6"/>
      <c r="S135" s="6"/>
      <c r="T135" s="6"/>
      <c r="U135" s="117"/>
      <c r="V135" s="118"/>
      <c r="W135" s="118"/>
      <c r="X135" s="118"/>
      <c r="Y135" s="118"/>
      <c r="Z135" s="118"/>
      <c r="AA135" s="118"/>
      <c r="AB135" s="118"/>
      <c r="AC135" s="118"/>
      <c r="AD135" s="118"/>
      <c r="AE135" s="118"/>
      <c r="AF135" s="118"/>
      <c r="AG135" s="119"/>
      <c r="AH135" s="120"/>
    </row>
    <row r="136" spans="3:34">
      <c r="C136" s="102"/>
      <c r="R136" s="6"/>
      <c r="S136" s="6"/>
      <c r="T136" s="6"/>
      <c r="U136" s="117"/>
      <c r="V136" s="118"/>
      <c r="W136" s="118"/>
      <c r="X136" s="118"/>
      <c r="Y136" s="118"/>
      <c r="Z136" s="118"/>
      <c r="AA136" s="118"/>
      <c r="AB136" s="118"/>
      <c r="AC136" s="118"/>
      <c r="AD136" s="118"/>
      <c r="AE136" s="118"/>
      <c r="AF136" s="118"/>
      <c r="AG136" s="119"/>
      <c r="AH136" s="120"/>
    </row>
    <row r="137" spans="3:34">
      <c r="C137" s="102"/>
      <c r="R137" s="6"/>
      <c r="S137" s="6"/>
      <c r="T137" s="6"/>
      <c r="U137" s="117"/>
      <c r="V137" s="118"/>
      <c r="W137" s="118"/>
      <c r="X137" s="118"/>
      <c r="Y137" s="118"/>
      <c r="Z137" s="118"/>
      <c r="AA137" s="118"/>
      <c r="AB137" s="118"/>
      <c r="AC137" s="118"/>
      <c r="AD137" s="118"/>
      <c r="AE137" s="118"/>
      <c r="AF137" s="118"/>
      <c r="AG137" s="119"/>
      <c r="AH137" s="120"/>
    </row>
    <row r="138" spans="3:34">
      <c r="C138" s="102"/>
      <c r="R138" s="6"/>
      <c r="S138" s="6"/>
      <c r="T138" s="6"/>
      <c r="U138" s="117"/>
      <c r="V138" s="118"/>
      <c r="W138" s="118"/>
      <c r="X138" s="118"/>
      <c r="Y138" s="118"/>
      <c r="Z138" s="118"/>
      <c r="AA138" s="118"/>
      <c r="AB138" s="118"/>
      <c r="AC138" s="118"/>
      <c r="AD138" s="118"/>
      <c r="AE138" s="118"/>
      <c r="AF138" s="118"/>
      <c r="AG138" s="119"/>
      <c r="AH138" s="120"/>
    </row>
    <row r="139" spans="3:34">
      <c r="C139" s="102"/>
      <c r="R139" s="6"/>
      <c r="S139" s="6"/>
      <c r="T139" s="6"/>
      <c r="U139" s="117"/>
      <c r="V139" s="118"/>
      <c r="W139" s="118"/>
      <c r="X139" s="118"/>
      <c r="Y139" s="118"/>
      <c r="Z139" s="118"/>
      <c r="AA139" s="118"/>
      <c r="AB139" s="118"/>
      <c r="AC139" s="118"/>
      <c r="AD139" s="118"/>
      <c r="AE139" s="118"/>
      <c r="AF139" s="118"/>
      <c r="AG139" s="119"/>
      <c r="AH139" s="120"/>
    </row>
    <row r="140" spans="3:34">
      <c r="C140" s="102"/>
      <c r="R140" s="6"/>
      <c r="S140" s="6"/>
      <c r="T140" s="6"/>
      <c r="U140" s="117"/>
      <c r="V140" s="118"/>
      <c r="W140" s="118"/>
      <c r="X140" s="118"/>
      <c r="Y140" s="118"/>
      <c r="Z140" s="118"/>
      <c r="AA140" s="118"/>
      <c r="AB140" s="118"/>
      <c r="AC140" s="118"/>
      <c r="AD140" s="118"/>
      <c r="AE140" s="118"/>
      <c r="AF140" s="118"/>
      <c r="AG140" s="119"/>
      <c r="AH140" s="120"/>
    </row>
    <row r="141" spans="3:34">
      <c r="C141" s="102"/>
      <c r="R141" s="6"/>
      <c r="S141" s="6"/>
      <c r="T141" s="6"/>
      <c r="U141" s="117"/>
      <c r="V141" s="118"/>
      <c r="W141" s="118"/>
      <c r="X141" s="118"/>
      <c r="Y141" s="118"/>
      <c r="Z141" s="118"/>
      <c r="AA141" s="118"/>
      <c r="AB141" s="118"/>
      <c r="AC141" s="118"/>
      <c r="AD141" s="118"/>
      <c r="AE141" s="118"/>
      <c r="AF141" s="118"/>
      <c r="AG141" s="119"/>
      <c r="AH141" s="120"/>
    </row>
    <row r="142" spans="3:34">
      <c r="C142" s="102"/>
      <c r="R142" s="6"/>
      <c r="S142" s="6"/>
      <c r="T142" s="6"/>
      <c r="U142" s="117"/>
      <c r="V142" s="118"/>
      <c r="W142" s="118"/>
      <c r="X142" s="118"/>
      <c r="Y142" s="118"/>
      <c r="Z142" s="118"/>
      <c r="AA142" s="118"/>
      <c r="AB142" s="118"/>
      <c r="AC142" s="118"/>
      <c r="AD142" s="118"/>
      <c r="AE142" s="118"/>
      <c r="AF142" s="118"/>
      <c r="AG142" s="119"/>
      <c r="AH142" s="120"/>
    </row>
    <row r="143" spans="3:34">
      <c r="C143" s="102"/>
      <c r="R143" s="6"/>
      <c r="S143" s="6"/>
      <c r="T143" s="6"/>
      <c r="U143" s="117"/>
      <c r="V143" s="118"/>
      <c r="W143" s="118"/>
      <c r="X143" s="118"/>
      <c r="Y143" s="118"/>
      <c r="Z143" s="118"/>
      <c r="AA143" s="118"/>
      <c r="AB143" s="118"/>
      <c r="AC143" s="118"/>
      <c r="AD143" s="118"/>
      <c r="AE143" s="118"/>
      <c r="AF143" s="118"/>
      <c r="AG143" s="119"/>
      <c r="AH143" s="120"/>
    </row>
    <row r="144" spans="3:34">
      <c r="C144" s="102"/>
      <c r="R144" s="6"/>
      <c r="S144" s="6"/>
      <c r="T144" s="6"/>
      <c r="U144" s="117"/>
      <c r="V144" s="118"/>
      <c r="W144" s="118"/>
      <c r="X144" s="118"/>
      <c r="Y144" s="118"/>
      <c r="Z144" s="118"/>
      <c r="AA144" s="118"/>
      <c r="AB144" s="118"/>
      <c r="AC144" s="118"/>
      <c r="AD144" s="118"/>
      <c r="AE144" s="118"/>
      <c r="AF144" s="118"/>
      <c r="AG144" s="119"/>
      <c r="AH144" s="120"/>
    </row>
    <row r="145" spans="18:34">
      <c r="R145" s="6"/>
      <c r="S145" s="6"/>
      <c r="T145" s="6"/>
      <c r="U145" s="117"/>
      <c r="V145" s="118"/>
      <c r="W145" s="118"/>
      <c r="X145" s="118"/>
      <c r="Y145" s="118"/>
      <c r="Z145" s="118"/>
      <c r="AA145" s="118"/>
      <c r="AB145" s="118"/>
      <c r="AC145" s="118"/>
      <c r="AD145" s="118"/>
      <c r="AE145" s="118"/>
      <c r="AF145" s="118"/>
      <c r="AG145" s="119"/>
      <c r="AH145" s="120"/>
    </row>
    <row r="146" spans="18:34">
      <c r="R146" s="6"/>
      <c r="S146" s="6"/>
      <c r="T146" s="6"/>
      <c r="U146" s="117"/>
      <c r="V146" s="118"/>
      <c r="W146" s="118"/>
      <c r="X146" s="118"/>
      <c r="Y146" s="118"/>
      <c r="Z146" s="118"/>
      <c r="AA146" s="118"/>
      <c r="AB146" s="118"/>
      <c r="AC146" s="118"/>
      <c r="AD146" s="118"/>
      <c r="AE146" s="118"/>
      <c r="AF146" s="118"/>
      <c r="AG146" s="119"/>
      <c r="AH146" s="120"/>
    </row>
    <row r="147" spans="18:34">
      <c r="R147" s="6"/>
      <c r="S147" s="6"/>
      <c r="T147" s="6"/>
      <c r="U147" s="117"/>
      <c r="V147" s="118"/>
      <c r="W147" s="118"/>
      <c r="X147" s="118"/>
      <c r="Y147" s="118"/>
      <c r="Z147" s="118"/>
      <c r="AA147" s="118"/>
      <c r="AB147" s="118"/>
      <c r="AC147" s="118"/>
      <c r="AD147" s="118"/>
      <c r="AE147" s="118"/>
      <c r="AF147" s="118"/>
      <c r="AG147" s="119"/>
      <c r="AH147" s="120"/>
    </row>
    <row r="148" spans="18:34">
      <c r="R148" s="6"/>
      <c r="S148" s="6"/>
      <c r="T148" s="6"/>
      <c r="U148" s="117"/>
      <c r="V148" s="118"/>
      <c r="W148" s="118"/>
      <c r="X148" s="118"/>
      <c r="Y148" s="118"/>
      <c r="Z148" s="118"/>
      <c r="AA148" s="118"/>
      <c r="AB148" s="118"/>
      <c r="AC148" s="118"/>
      <c r="AD148" s="118"/>
      <c r="AE148" s="118"/>
      <c r="AF148" s="118"/>
      <c r="AG148" s="119"/>
      <c r="AH148" s="120"/>
    </row>
    <row r="149" spans="18:34">
      <c r="R149" s="6"/>
      <c r="S149" s="6"/>
      <c r="T149" s="6"/>
      <c r="U149" s="117"/>
      <c r="V149" s="118"/>
      <c r="W149" s="118"/>
      <c r="X149" s="118"/>
      <c r="Y149" s="118"/>
      <c r="Z149" s="118"/>
      <c r="AA149" s="118"/>
      <c r="AB149" s="118"/>
      <c r="AC149" s="118"/>
      <c r="AD149" s="118"/>
      <c r="AE149" s="118"/>
      <c r="AF149" s="118"/>
      <c r="AG149" s="119"/>
      <c r="AH149" s="120"/>
    </row>
    <row r="150" spans="18:34">
      <c r="R150" s="6"/>
      <c r="S150" s="6"/>
      <c r="T150" s="6"/>
      <c r="U150" s="117"/>
      <c r="V150" s="118"/>
      <c r="W150" s="118"/>
      <c r="X150" s="118"/>
      <c r="Y150" s="118"/>
      <c r="Z150" s="118"/>
      <c r="AA150" s="118"/>
      <c r="AB150" s="118"/>
      <c r="AC150" s="118"/>
      <c r="AD150" s="118"/>
      <c r="AE150" s="118"/>
      <c r="AF150" s="118"/>
      <c r="AG150" s="119"/>
      <c r="AH150" s="120"/>
    </row>
    <row r="151" spans="18:34">
      <c r="R151" s="6"/>
      <c r="S151" s="6"/>
      <c r="T151" s="6"/>
      <c r="U151" s="117"/>
      <c r="V151" s="118"/>
      <c r="W151" s="118"/>
      <c r="X151" s="118"/>
      <c r="Y151" s="118"/>
      <c r="Z151" s="118"/>
      <c r="AA151" s="118"/>
      <c r="AB151" s="118"/>
      <c r="AC151" s="118"/>
      <c r="AD151" s="118"/>
      <c r="AE151" s="118"/>
      <c r="AF151" s="118"/>
      <c r="AG151" s="119"/>
      <c r="AH151" s="120"/>
    </row>
    <row r="152" spans="18:34">
      <c r="R152" s="6"/>
      <c r="S152" s="6"/>
      <c r="T152" s="6"/>
      <c r="U152" s="117"/>
      <c r="V152" s="118"/>
      <c r="W152" s="118"/>
      <c r="X152" s="118"/>
      <c r="Y152" s="118"/>
      <c r="Z152" s="118"/>
      <c r="AA152" s="118"/>
      <c r="AB152" s="118"/>
      <c r="AC152" s="118"/>
      <c r="AD152" s="118"/>
      <c r="AE152" s="118"/>
      <c r="AF152" s="118"/>
      <c r="AG152" s="119"/>
      <c r="AH152" s="120"/>
    </row>
    <row r="153" spans="18:34">
      <c r="R153" s="6"/>
      <c r="S153" s="6"/>
      <c r="T153" s="6"/>
      <c r="U153" s="117"/>
      <c r="V153" s="118"/>
      <c r="W153" s="118"/>
      <c r="X153" s="118"/>
      <c r="Y153" s="118"/>
      <c r="Z153" s="118"/>
      <c r="AA153" s="118"/>
      <c r="AB153" s="118"/>
      <c r="AC153" s="118"/>
      <c r="AD153" s="118"/>
      <c r="AE153" s="118"/>
      <c r="AF153" s="118"/>
      <c r="AG153" s="119"/>
      <c r="AH153" s="120"/>
    </row>
    <row r="154" spans="18:34">
      <c r="R154" s="6"/>
      <c r="S154" s="6"/>
      <c r="T154" s="6"/>
      <c r="U154" s="102"/>
      <c r="V154" s="118"/>
      <c r="W154" s="118"/>
      <c r="X154" s="118"/>
      <c r="Y154" s="118"/>
      <c r="Z154" s="118"/>
      <c r="AA154" s="118"/>
      <c r="AB154" s="118"/>
      <c r="AC154" s="118"/>
      <c r="AD154" s="118"/>
      <c r="AE154" s="118"/>
      <c r="AF154" s="118"/>
      <c r="AG154" s="6"/>
      <c r="AH154" s="6"/>
    </row>
    <row r="155" spans="18:34">
      <c r="R155" s="6"/>
      <c r="S155" s="6"/>
      <c r="T155" s="6"/>
      <c r="U155" s="102"/>
      <c r="V155" s="118"/>
      <c r="W155" s="118"/>
      <c r="X155" s="118"/>
      <c r="Y155" s="118"/>
      <c r="Z155" s="118"/>
      <c r="AA155" s="118"/>
      <c r="AB155" s="118"/>
      <c r="AC155" s="118"/>
      <c r="AD155" s="118"/>
      <c r="AE155" s="118"/>
      <c r="AF155" s="118"/>
      <c r="AG155" s="6"/>
      <c r="AH155" s="6"/>
    </row>
    <row r="156" spans="18:34">
      <c r="R156" s="6"/>
      <c r="S156" s="6"/>
      <c r="T156" s="6"/>
      <c r="U156" s="102"/>
      <c r="V156" s="118"/>
      <c r="W156" s="118"/>
      <c r="X156" s="118"/>
      <c r="Y156" s="118"/>
      <c r="Z156" s="118"/>
      <c r="AA156" s="118"/>
      <c r="AB156" s="118"/>
      <c r="AC156" s="118"/>
      <c r="AD156" s="118"/>
      <c r="AE156" s="118"/>
      <c r="AF156" s="118"/>
      <c r="AG156" s="6"/>
      <c r="AH156" s="6"/>
    </row>
    <row r="157" spans="18:34">
      <c r="R157" s="6"/>
      <c r="S157" s="6"/>
      <c r="T157" s="6"/>
      <c r="U157" s="102"/>
      <c r="V157" s="118"/>
      <c r="W157" s="118"/>
      <c r="X157" s="118"/>
      <c r="Y157" s="118"/>
      <c r="Z157" s="118"/>
      <c r="AA157" s="118"/>
      <c r="AB157" s="118"/>
      <c r="AC157" s="118"/>
      <c r="AD157" s="118"/>
      <c r="AE157" s="118"/>
      <c r="AF157" s="118"/>
      <c r="AG157" s="6"/>
      <c r="AH157" s="6"/>
    </row>
    <row r="158" spans="18:34">
      <c r="R158" s="6"/>
      <c r="S158" s="6"/>
      <c r="T158" s="6"/>
      <c r="U158" s="102"/>
      <c r="V158" s="118"/>
      <c r="W158" s="118"/>
      <c r="X158" s="118"/>
      <c r="Y158" s="118"/>
      <c r="Z158" s="118"/>
      <c r="AA158" s="118"/>
      <c r="AB158" s="118"/>
      <c r="AC158" s="118"/>
      <c r="AD158" s="118"/>
      <c r="AE158" s="118"/>
      <c r="AF158" s="118"/>
      <c r="AG158" s="6"/>
      <c r="AH158" s="6"/>
    </row>
    <row r="159" spans="18:34">
      <c r="R159" s="6"/>
      <c r="S159" s="6"/>
      <c r="T159" s="6"/>
      <c r="U159" s="102"/>
      <c r="V159" s="118"/>
      <c r="W159" s="118"/>
      <c r="X159" s="118"/>
      <c r="Y159" s="118"/>
      <c r="Z159" s="118"/>
      <c r="AA159" s="118"/>
      <c r="AB159" s="118"/>
      <c r="AC159" s="118"/>
      <c r="AD159" s="118"/>
      <c r="AE159" s="118"/>
      <c r="AF159" s="118"/>
      <c r="AG159" s="6"/>
      <c r="AH159" s="6"/>
    </row>
    <row r="160" spans="18:34">
      <c r="R160" s="6"/>
      <c r="S160" s="6"/>
      <c r="T160" s="6"/>
      <c r="U160" s="102"/>
      <c r="V160" s="118"/>
      <c r="W160" s="118"/>
      <c r="X160" s="118"/>
      <c r="Y160" s="118"/>
      <c r="Z160" s="118"/>
      <c r="AA160" s="118"/>
      <c r="AB160" s="118"/>
      <c r="AC160" s="118"/>
      <c r="AD160" s="118"/>
      <c r="AE160" s="118"/>
      <c r="AF160" s="118"/>
      <c r="AG160" s="6"/>
      <c r="AH160" s="6"/>
    </row>
    <row r="161" spans="18:34">
      <c r="R161" s="6"/>
      <c r="S161" s="6"/>
      <c r="T161" s="6"/>
      <c r="U161" s="102"/>
      <c r="V161" s="118"/>
      <c r="W161" s="118"/>
      <c r="X161" s="118"/>
      <c r="Y161" s="118"/>
      <c r="Z161" s="118"/>
      <c r="AA161" s="118"/>
      <c r="AB161" s="118"/>
      <c r="AC161" s="118"/>
      <c r="AD161" s="118"/>
      <c r="AE161" s="118"/>
      <c r="AF161" s="118"/>
      <c r="AG161" s="6"/>
      <c r="AH161" s="6"/>
    </row>
    <row r="162" spans="18:34">
      <c r="R162" s="6"/>
      <c r="S162" s="6"/>
      <c r="T162" s="6"/>
      <c r="U162" s="102"/>
      <c r="V162" s="118"/>
      <c r="W162" s="118"/>
      <c r="X162" s="118"/>
      <c r="Y162" s="118"/>
      <c r="Z162" s="118"/>
      <c r="AA162" s="118"/>
      <c r="AB162" s="118"/>
      <c r="AC162" s="118"/>
      <c r="AD162" s="118"/>
      <c r="AE162" s="118"/>
      <c r="AF162" s="118"/>
      <c r="AG162" s="6"/>
      <c r="AH162" s="6"/>
    </row>
    <row r="163" spans="18:34">
      <c r="R163" s="6"/>
      <c r="S163" s="6"/>
      <c r="T163" s="6"/>
      <c r="U163" s="102"/>
      <c r="V163" s="118"/>
      <c r="W163" s="118"/>
      <c r="X163" s="118"/>
      <c r="Y163" s="118"/>
      <c r="Z163" s="118"/>
      <c r="AA163" s="118"/>
      <c r="AB163" s="118"/>
      <c r="AC163" s="118"/>
      <c r="AD163" s="118"/>
      <c r="AE163" s="118"/>
      <c r="AF163" s="118"/>
      <c r="AG163" s="6"/>
      <c r="AH163" s="6"/>
    </row>
    <row r="164" spans="18:34">
      <c r="R164" s="6"/>
      <c r="S164" s="6"/>
      <c r="T164" s="6"/>
      <c r="U164" s="102"/>
      <c r="V164" s="118"/>
      <c r="W164" s="118"/>
      <c r="X164" s="118"/>
      <c r="Y164" s="118"/>
      <c r="Z164" s="118"/>
      <c r="AA164" s="118"/>
      <c r="AB164" s="118"/>
      <c r="AC164" s="118"/>
      <c r="AD164" s="118"/>
      <c r="AE164" s="118"/>
      <c r="AF164" s="118"/>
      <c r="AG164" s="6"/>
      <c r="AH164" s="6"/>
    </row>
    <row r="165" spans="18:34">
      <c r="R165" s="6"/>
      <c r="S165" s="6"/>
      <c r="T165" s="6"/>
      <c r="U165" s="102"/>
      <c r="V165" s="118"/>
      <c r="W165" s="118"/>
      <c r="X165" s="118"/>
      <c r="Y165" s="118"/>
      <c r="Z165" s="118"/>
      <c r="AA165" s="118"/>
      <c r="AB165" s="118"/>
      <c r="AC165" s="118"/>
      <c r="AD165" s="118"/>
      <c r="AE165" s="118"/>
      <c r="AF165" s="118"/>
      <c r="AG165" s="6"/>
      <c r="AH165" s="6"/>
    </row>
    <row r="166" spans="18:34">
      <c r="R166" s="6"/>
      <c r="S166" s="6"/>
      <c r="T166" s="6"/>
      <c r="U166" s="102"/>
      <c r="V166" s="118"/>
      <c r="W166" s="118"/>
      <c r="X166" s="118"/>
      <c r="Y166" s="118"/>
      <c r="Z166" s="118"/>
      <c r="AA166" s="118"/>
      <c r="AB166" s="118"/>
      <c r="AC166" s="118"/>
      <c r="AD166" s="118"/>
      <c r="AE166" s="118"/>
      <c r="AF166" s="118"/>
      <c r="AG166" s="6"/>
      <c r="AH166" s="6"/>
    </row>
    <row r="167" spans="18:34">
      <c r="R167" s="6"/>
      <c r="S167" s="6"/>
      <c r="T167" s="6"/>
      <c r="U167" s="102"/>
      <c r="V167" s="118"/>
      <c r="W167" s="118"/>
      <c r="X167" s="118"/>
      <c r="Y167" s="118"/>
      <c r="Z167" s="118"/>
      <c r="AA167" s="118"/>
      <c r="AB167" s="118"/>
      <c r="AC167" s="118"/>
      <c r="AD167" s="118"/>
      <c r="AE167" s="118"/>
      <c r="AF167" s="118"/>
      <c r="AG167" s="6"/>
      <c r="AH167" s="6"/>
    </row>
    <row r="168" spans="18:34">
      <c r="R168" s="6"/>
      <c r="S168" s="6"/>
      <c r="T168" s="6"/>
      <c r="U168" s="102"/>
      <c r="V168" s="118"/>
      <c r="W168" s="118"/>
      <c r="X168" s="118"/>
      <c r="Y168" s="118"/>
      <c r="Z168" s="118"/>
      <c r="AA168" s="118"/>
      <c r="AB168" s="118"/>
      <c r="AC168" s="118"/>
      <c r="AD168" s="118"/>
      <c r="AE168" s="118"/>
      <c r="AF168" s="118"/>
      <c r="AG168" s="6"/>
      <c r="AH168" s="6"/>
    </row>
    <row r="169" spans="18:34">
      <c r="R169" s="6"/>
      <c r="S169" s="6"/>
      <c r="T169" s="6"/>
      <c r="U169" s="102"/>
      <c r="V169" s="118"/>
      <c r="W169" s="118"/>
      <c r="X169" s="118"/>
      <c r="Y169" s="118"/>
      <c r="Z169" s="118"/>
      <c r="AA169" s="118"/>
      <c r="AB169" s="118"/>
      <c r="AC169" s="118"/>
      <c r="AD169" s="118"/>
      <c r="AE169" s="118"/>
      <c r="AF169" s="118"/>
      <c r="AG169" s="6"/>
      <c r="AH169" s="6"/>
    </row>
    <row r="170" spans="18:34">
      <c r="R170" s="6"/>
      <c r="S170" s="6"/>
      <c r="T170" s="6"/>
      <c r="U170" s="102"/>
      <c r="V170" s="118"/>
      <c r="W170" s="118"/>
      <c r="X170" s="118"/>
      <c r="Y170" s="118"/>
      <c r="Z170" s="118"/>
      <c r="AA170" s="118"/>
      <c r="AB170" s="118"/>
      <c r="AC170" s="118"/>
      <c r="AD170" s="118"/>
      <c r="AE170" s="118"/>
      <c r="AF170" s="118"/>
      <c r="AG170" s="6"/>
      <c r="AH170" s="6"/>
    </row>
    <row r="171" spans="18:34">
      <c r="R171" s="6"/>
      <c r="S171" s="6"/>
      <c r="T171" s="6"/>
      <c r="U171" s="102"/>
      <c r="V171" s="118"/>
      <c r="W171" s="118"/>
      <c r="X171" s="118"/>
      <c r="Y171" s="118"/>
      <c r="Z171" s="118"/>
      <c r="AA171" s="118"/>
      <c r="AB171" s="118"/>
      <c r="AC171" s="118"/>
      <c r="AD171" s="118"/>
      <c r="AE171" s="118"/>
      <c r="AF171" s="118"/>
      <c r="AG171" s="6"/>
      <c r="AH171" s="6"/>
    </row>
    <row r="172" spans="18:34">
      <c r="R172" s="6"/>
      <c r="S172" s="6"/>
      <c r="T172" s="6"/>
      <c r="U172" s="102"/>
      <c r="V172" s="118"/>
      <c r="W172" s="118"/>
      <c r="X172" s="118"/>
      <c r="Y172" s="118"/>
      <c r="Z172" s="118"/>
      <c r="AA172" s="118"/>
      <c r="AB172" s="118"/>
      <c r="AC172" s="118"/>
      <c r="AD172" s="118"/>
      <c r="AE172" s="118"/>
      <c r="AF172" s="118"/>
      <c r="AG172" s="6"/>
      <c r="AH172" s="6"/>
    </row>
    <row r="173" spans="18:34">
      <c r="R173" s="6"/>
      <c r="S173" s="6"/>
      <c r="T173" s="6"/>
      <c r="U173" s="102"/>
      <c r="V173" s="118"/>
      <c r="W173" s="118"/>
      <c r="X173" s="118"/>
      <c r="Y173" s="118"/>
      <c r="Z173" s="118"/>
      <c r="AA173" s="118"/>
      <c r="AB173" s="118"/>
      <c r="AC173" s="118"/>
      <c r="AD173" s="118"/>
      <c r="AE173" s="118"/>
      <c r="AF173" s="118"/>
      <c r="AG173" s="6"/>
      <c r="AH173" s="6"/>
    </row>
    <row r="174" spans="18:34">
      <c r="R174" s="6"/>
      <c r="S174" s="6"/>
      <c r="T174" s="6"/>
      <c r="U174" s="102"/>
      <c r="V174" s="118"/>
      <c r="W174" s="118"/>
      <c r="X174" s="118"/>
      <c r="Y174" s="118"/>
      <c r="Z174" s="118"/>
      <c r="AA174" s="118"/>
      <c r="AB174" s="118"/>
      <c r="AC174" s="118"/>
      <c r="AD174" s="118"/>
      <c r="AE174" s="118"/>
      <c r="AF174" s="118"/>
      <c r="AG174" s="6"/>
      <c r="AH174" s="6"/>
    </row>
    <row r="175" spans="18:34">
      <c r="R175" s="6"/>
      <c r="S175" s="6"/>
      <c r="T175" s="6"/>
      <c r="U175" s="102"/>
      <c r="V175" s="118"/>
      <c r="W175" s="118"/>
      <c r="X175" s="118"/>
      <c r="Y175" s="118"/>
      <c r="Z175" s="118"/>
      <c r="AA175" s="118"/>
      <c r="AB175" s="118"/>
      <c r="AC175" s="118"/>
      <c r="AD175" s="118"/>
      <c r="AE175" s="118"/>
      <c r="AF175" s="118"/>
      <c r="AG175" s="6"/>
      <c r="AH175" s="6"/>
    </row>
    <row r="176" spans="18:34">
      <c r="R176" s="6"/>
      <c r="S176" s="6"/>
      <c r="T176" s="6"/>
      <c r="U176" s="102"/>
      <c r="V176" s="118"/>
      <c r="W176" s="118"/>
      <c r="X176" s="118"/>
      <c r="Y176" s="118"/>
      <c r="Z176" s="118"/>
      <c r="AA176" s="118"/>
      <c r="AB176" s="118"/>
      <c r="AC176" s="118"/>
      <c r="AD176" s="118"/>
      <c r="AE176" s="118"/>
      <c r="AF176" s="118"/>
      <c r="AG176" s="6"/>
      <c r="AH176" s="6"/>
    </row>
    <row r="177" spans="18:34">
      <c r="R177" s="6"/>
      <c r="S177" s="6"/>
      <c r="T177" s="6"/>
      <c r="U177" s="102"/>
      <c r="V177" s="118"/>
      <c r="W177" s="118"/>
      <c r="X177" s="118"/>
      <c r="Y177" s="118"/>
      <c r="Z177" s="118"/>
      <c r="AA177" s="118"/>
      <c r="AB177" s="118"/>
      <c r="AC177" s="118"/>
      <c r="AD177" s="118"/>
      <c r="AE177" s="118"/>
      <c r="AF177" s="118"/>
      <c r="AG177" s="6"/>
      <c r="AH177" s="6"/>
    </row>
    <row r="178" spans="18:34">
      <c r="R178" s="6"/>
      <c r="S178" s="6"/>
      <c r="T178" s="6"/>
      <c r="U178" s="102"/>
      <c r="V178" s="118"/>
      <c r="W178" s="118"/>
      <c r="X178" s="118"/>
      <c r="Y178" s="118"/>
      <c r="Z178" s="118"/>
      <c r="AA178" s="118"/>
      <c r="AB178" s="118"/>
      <c r="AC178" s="118"/>
      <c r="AD178" s="118"/>
      <c r="AE178" s="118"/>
      <c r="AF178" s="118"/>
      <c r="AG178" s="6"/>
      <c r="AH178" s="6"/>
    </row>
    <row r="179" spans="18:34">
      <c r="R179" s="6"/>
      <c r="S179" s="6"/>
      <c r="T179" s="6"/>
      <c r="U179" s="102"/>
      <c r="V179" s="118"/>
      <c r="W179" s="118"/>
      <c r="X179" s="118"/>
      <c r="Y179" s="118"/>
      <c r="Z179" s="118"/>
      <c r="AA179" s="118"/>
      <c r="AB179" s="118"/>
      <c r="AC179" s="118"/>
      <c r="AD179" s="118"/>
      <c r="AE179" s="118"/>
      <c r="AF179" s="118"/>
      <c r="AG179" s="6"/>
      <c r="AH179" s="6"/>
    </row>
    <row r="180" spans="18:34">
      <c r="R180" s="6"/>
      <c r="S180" s="6"/>
      <c r="T180" s="6"/>
      <c r="U180" s="102"/>
      <c r="V180" s="118"/>
      <c r="W180" s="118"/>
      <c r="X180" s="118"/>
      <c r="Y180" s="118"/>
      <c r="Z180" s="118"/>
      <c r="AA180" s="118"/>
      <c r="AB180" s="118"/>
      <c r="AC180" s="118"/>
      <c r="AD180" s="118"/>
      <c r="AE180" s="118"/>
      <c r="AF180" s="118"/>
      <c r="AG180" s="6"/>
      <c r="AH180" s="6"/>
    </row>
    <row r="181" spans="18:34">
      <c r="R181" s="6"/>
      <c r="S181" s="6"/>
      <c r="T181" s="6"/>
      <c r="U181" s="102"/>
      <c r="V181" s="118"/>
      <c r="W181" s="118"/>
      <c r="X181" s="118"/>
      <c r="Y181" s="118"/>
      <c r="Z181" s="118"/>
      <c r="AA181" s="118"/>
      <c r="AB181" s="118"/>
      <c r="AC181" s="118"/>
      <c r="AD181" s="118"/>
      <c r="AE181" s="118"/>
      <c r="AF181" s="118"/>
      <c r="AG181" s="6"/>
      <c r="AH181" s="6"/>
    </row>
    <row r="182" spans="18:34">
      <c r="R182" s="6"/>
      <c r="S182" s="6"/>
      <c r="T182" s="6"/>
      <c r="U182" s="102"/>
      <c r="V182" s="118"/>
      <c r="W182" s="118"/>
      <c r="X182" s="118"/>
      <c r="Y182" s="118"/>
      <c r="Z182" s="118"/>
      <c r="AA182" s="118"/>
      <c r="AB182" s="118"/>
      <c r="AC182" s="118"/>
      <c r="AD182" s="118"/>
      <c r="AE182" s="118"/>
      <c r="AF182" s="118"/>
      <c r="AG182" s="6"/>
      <c r="AH182" s="6"/>
    </row>
    <row r="183" spans="18:34">
      <c r="R183" s="6"/>
      <c r="S183" s="6"/>
      <c r="T183" s="6"/>
      <c r="U183" s="102"/>
      <c r="V183" s="118"/>
      <c r="W183" s="118"/>
      <c r="X183" s="118"/>
      <c r="Y183" s="118"/>
      <c r="Z183" s="118"/>
      <c r="AA183" s="118"/>
      <c r="AB183" s="118"/>
      <c r="AC183" s="118"/>
      <c r="AD183" s="118"/>
      <c r="AE183" s="118"/>
      <c r="AF183" s="118"/>
      <c r="AG183" s="6"/>
      <c r="AH183" s="6"/>
    </row>
    <row r="184" spans="18:34">
      <c r="R184" s="6"/>
      <c r="S184" s="6"/>
      <c r="T184" s="6"/>
      <c r="U184" s="102"/>
      <c r="V184" s="118"/>
      <c r="W184" s="118"/>
      <c r="X184" s="118"/>
      <c r="Y184" s="118"/>
      <c r="Z184" s="118"/>
      <c r="AA184" s="118"/>
      <c r="AB184" s="118"/>
      <c r="AC184" s="118"/>
      <c r="AD184" s="118"/>
      <c r="AE184" s="118"/>
      <c r="AF184" s="118"/>
      <c r="AG184" s="6"/>
      <c r="AH184" s="6"/>
    </row>
    <row r="185" spans="18:34">
      <c r="R185" s="6"/>
      <c r="S185" s="6"/>
      <c r="T185" s="6"/>
      <c r="U185" s="102"/>
      <c r="V185" s="118"/>
      <c r="W185" s="118"/>
      <c r="X185" s="118"/>
      <c r="Y185" s="118"/>
      <c r="Z185" s="118"/>
      <c r="AA185" s="118"/>
      <c r="AB185" s="118"/>
      <c r="AC185" s="118"/>
      <c r="AD185" s="118"/>
      <c r="AE185" s="118"/>
      <c r="AF185" s="118"/>
      <c r="AG185" s="6"/>
      <c r="AH185" s="6"/>
    </row>
    <row r="186" spans="18:34">
      <c r="R186" s="6"/>
      <c r="S186" s="6"/>
      <c r="T186" s="6"/>
      <c r="U186" s="102"/>
      <c r="V186" s="118"/>
      <c r="W186" s="118"/>
      <c r="X186" s="118"/>
      <c r="Y186" s="118"/>
      <c r="Z186" s="118"/>
      <c r="AA186" s="118"/>
      <c r="AB186" s="118"/>
      <c r="AC186" s="118"/>
      <c r="AD186" s="118"/>
      <c r="AE186" s="118"/>
      <c r="AF186" s="118"/>
      <c r="AG186" s="6"/>
      <c r="AH186" s="6"/>
    </row>
    <row r="187" spans="18:34">
      <c r="R187" s="6"/>
      <c r="S187" s="6"/>
      <c r="T187" s="6"/>
      <c r="U187" s="102"/>
      <c r="V187" s="118"/>
      <c r="W187" s="118"/>
      <c r="X187" s="118"/>
      <c r="Y187" s="118"/>
      <c r="Z187" s="118"/>
      <c r="AA187" s="118"/>
      <c r="AB187" s="118"/>
      <c r="AC187" s="118"/>
      <c r="AD187" s="118"/>
      <c r="AE187" s="118"/>
      <c r="AF187" s="118"/>
      <c r="AG187" s="6"/>
      <c r="AH187" s="6"/>
    </row>
    <row r="188" spans="18:34">
      <c r="R188" s="6"/>
      <c r="S188" s="6"/>
      <c r="T188" s="6"/>
      <c r="U188" s="102"/>
      <c r="V188" s="118"/>
      <c r="W188" s="118"/>
      <c r="X188" s="118"/>
      <c r="Y188" s="118"/>
      <c r="Z188" s="118"/>
      <c r="AA188" s="118"/>
      <c r="AB188" s="118"/>
      <c r="AC188" s="118"/>
      <c r="AD188" s="118"/>
      <c r="AE188" s="118"/>
      <c r="AF188" s="118"/>
      <c r="AG188" s="6"/>
      <c r="AH188" s="6"/>
    </row>
    <row r="189" spans="18:34">
      <c r="R189" s="6"/>
      <c r="S189" s="6"/>
      <c r="T189" s="6"/>
      <c r="U189" s="102"/>
      <c r="V189" s="118"/>
      <c r="W189" s="118"/>
      <c r="X189" s="118"/>
      <c r="Y189" s="118"/>
      <c r="Z189" s="118"/>
      <c r="AA189" s="118"/>
      <c r="AB189" s="118"/>
      <c r="AC189" s="118"/>
      <c r="AD189" s="118"/>
      <c r="AE189" s="118"/>
      <c r="AF189" s="118"/>
      <c r="AG189" s="6"/>
      <c r="AH189" s="6"/>
    </row>
    <row r="190" spans="18:34">
      <c r="R190" s="6"/>
      <c r="S190" s="6"/>
      <c r="T190" s="6"/>
      <c r="U190" s="102"/>
      <c r="V190" s="118"/>
      <c r="W190" s="118"/>
      <c r="X190" s="118"/>
      <c r="Y190" s="118"/>
      <c r="Z190" s="118"/>
      <c r="AA190" s="118"/>
      <c r="AB190" s="118"/>
      <c r="AC190" s="118"/>
      <c r="AD190" s="118"/>
      <c r="AE190" s="118"/>
      <c r="AF190" s="118"/>
      <c r="AG190" s="6"/>
      <c r="AH190" s="6"/>
    </row>
    <row r="191" spans="18:34">
      <c r="R191" s="6"/>
      <c r="S191" s="6"/>
      <c r="T191" s="6"/>
      <c r="U191" s="102"/>
      <c r="V191" s="118"/>
      <c r="W191" s="118"/>
      <c r="X191" s="118"/>
      <c r="Y191" s="118"/>
      <c r="Z191" s="118"/>
      <c r="AA191" s="118"/>
      <c r="AB191" s="118"/>
      <c r="AC191" s="118"/>
      <c r="AD191" s="118"/>
      <c r="AE191" s="118"/>
      <c r="AF191" s="118"/>
      <c r="AG191" s="6"/>
      <c r="AH191" s="6"/>
    </row>
    <row r="192" spans="18:34">
      <c r="R192" s="6"/>
      <c r="S192" s="6"/>
      <c r="T192" s="6"/>
      <c r="U192" s="102"/>
      <c r="V192" s="118"/>
      <c r="W192" s="118"/>
      <c r="X192" s="118"/>
      <c r="Y192" s="118"/>
      <c r="Z192" s="118"/>
      <c r="AA192" s="118"/>
      <c r="AB192" s="118"/>
      <c r="AC192" s="118"/>
      <c r="AD192" s="118"/>
      <c r="AE192" s="118"/>
      <c r="AF192" s="118"/>
      <c r="AG192" s="6"/>
      <c r="AH192" s="6"/>
    </row>
    <row r="193" spans="18:34">
      <c r="R193" s="6"/>
      <c r="S193" s="6"/>
      <c r="T193" s="6"/>
      <c r="U193" s="102"/>
      <c r="V193" s="118"/>
      <c r="W193" s="118"/>
      <c r="X193" s="118"/>
      <c r="Y193" s="118"/>
      <c r="Z193" s="118"/>
      <c r="AA193" s="118"/>
      <c r="AB193" s="118"/>
      <c r="AC193" s="118"/>
      <c r="AD193" s="118"/>
      <c r="AE193" s="118"/>
      <c r="AF193" s="118"/>
      <c r="AG193" s="6"/>
      <c r="AH193" s="6"/>
    </row>
    <row r="194" spans="18:34">
      <c r="R194" s="6"/>
      <c r="S194" s="6"/>
      <c r="T194" s="6"/>
      <c r="U194" s="102"/>
      <c r="V194" s="118"/>
      <c r="W194" s="118"/>
      <c r="X194" s="118"/>
      <c r="Y194" s="118"/>
      <c r="Z194" s="118"/>
      <c r="AA194" s="118"/>
      <c r="AB194" s="118"/>
      <c r="AC194" s="118"/>
      <c r="AD194" s="118"/>
      <c r="AE194" s="118"/>
      <c r="AF194" s="118"/>
      <c r="AG194" s="6"/>
      <c r="AH194" s="6"/>
    </row>
    <row r="195" spans="18:34">
      <c r="R195" s="6"/>
      <c r="S195" s="6"/>
      <c r="T195" s="6"/>
      <c r="U195" s="102"/>
      <c r="V195" s="118"/>
      <c r="W195" s="118"/>
      <c r="X195" s="118"/>
      <c r="Y195" s="118"/>
      <c r="Z195" s="118"/>
      <c r="AA195" s="118"/>
      <c r="AB195" s="118"/>
      <c r="AC195" s="118"/>
      <c r="AD195" s="118"/>
      <c r="AE195" s="118"/>
      <c r="AF195" s="118"/>
      <c r="AG195" s="6"/>
      <c r="AH195" s="6"/>
    </row>
    <row r="196" spans="18:34">
      <c r="R196" s="6"/>
      <c r="S196" s="6"/>
      <c r="T196" s="6"/>
      <c r="U196" s="102"/>
      <c r="V196" s="118"/>
      <c r="W196" s="118"/>
      <c r="X196" s="118"/>
      <c r="Y196" s="118"/>
      <c r="Z196" s="118"/>
      <c r="AA196" s="118"/>
      <c r="AB196" s="118"/>
      <c r="AC196" s="118"/>
      <c r="AD196" s="118"/>
      <c r="AE196" s="118"/>
      <c r="AF196" s="118"/>
      <c r="AG196" s="6"/>
      <c r="AH196" s="6"/>
    </row>
    <row r="197" spans="18:34">
      <c r="R197" s="6"/>
      <c r="S197" s="6"/>
      <c r="T197" s="6"/>
      <c r="U197" s="102"/>
      <c r="V197" s="118"/>
      <c r="W197" s="118"/>
      <c r="X197" s="118"/>
      <c r="Y197" s="118"/>
      <c r="Z197" s="118"/>
      <c r="AA197" s="118"/>
      <c r="AB197" s="118"/>
      <c r="AC197" s="118"/>
      <c r="AD197" s="118"/>
      <c r="AE197" s="118"/>
      <c r="AF197" s="118"/>
      <c r="AG197" s="6"/>
      <c r="AH197" s="6"/>
    </row>
    <row r="198" spans="18:34">
      <c r="R198" s="6"/>
      <c r="S198" s="6"/>
      <c r="T198" s="6"/>
      <c r="U198" s="102"/>
      <c r="V198" s="118"/>
      <c r="W198" s="118"/>
      <c r="X198" s="118"/>
      <c r="Y198" s="118"/>
      <c r="Z198" s="118"/>
      <c r="AA198" s="118"/>
      <c r="AB198" s="118"/>
      <c r="AC198" s="118"/>
      <c r="AD198" s="118"/>
      <c r="AE198" s="118"/>
      <c r="AF198" s="118"/>
      <c r="AG198" s="6"/>
      <c r="AH198" s="6"/>
    </row>
    <row r="199" spans="18:34">
      <c r="R199" s="6"/>
      <c r="S199" s="6"/>
      <c r="T199" s="6"/>
      <c r="U199" s="102"/>
      <c r="V199" s="118"/>
      <c r="W199" s="118"/>
      <c r="X199" s="118"/>
      <c r="Y199" s="118"/>
      <c r="Z199" s="118"/>
      <c r="AA199" s="118"/>
      <c r="AB199" s="118"/>
      <c r="AC199" s="118"/>
      <c r="AD199" s="118"/>
      <c r="AE199" s="118"/>
      <c r="AF199" s="118"/>
      <c r="AG199" s="6"/>
      <c r="AH199" s="6"/>
    </row>
    <row r="200" spans="18:34">
      <c r="R200" s="6"/>
      <c r="S200" s="6"/>
      <c r="T200" s="6"/>
      <c r="U200" s="102"/>
      <c r="V200" s="118"/>
      <c r="W200" s="118"/>
      <c r="X200" s="118"/>
      <c r="Y200" s="118"/>
      <c r="Z200" s="118"/>
      <c r="AA200" s="118"/>
      <c r="AB200" s="118"/>
      <c r="AC200" s="118"/>
      <c r="AD200" s="118"/>
      <c r="AE200" s="118"/>
      <c r="AF200" s="118"/>
      <c r="AG200" s="6"/>
      <c r="AH200" s="6"/>
    </row>
    <row r="201" spans="18:34">
      <c r="R201" s="6"/>
      <c r="S201" s="6"/>
      <c r="T201" s="6"/>
      <c r="U201" s="102"/>
      <c r="V201" s="118"/>
      <c r="W201" s="118"/>
      <c r="X201" s="118"/>
      <c r="Y201" s="118"/>
      <c r="Z201" s="118"/>
      <c r="AA201" s="118"/>
      <c r="AB201" s="118"/>
      <c r="AC201" s="118"/>
      <c r="AD201" s="118"/>
      <c r="AE201" s="118"/>
      <c r="AF201" s="118"/>
      <c r="AG201" s="6"/>
      <c r="AH201" s="6"/>
    </row>
    <row r="202" spans="18:34">
      <c r="S202" s="6"/>
      <c r="T202" s="6"/>
      <c r="U202" s="102"/>
      <c r="V202" s="118"/>
      <c r="W202" s="118"/>
      <c r="X202" s="118"/>
      <c r="Y202" s="118"/>
      <c r="Z202" s="118"/>
      <c r="AA202" s="118"/>
      <c r="AB202" s="118"/>
      <c r="AC202" s="118"/>
      <c r="AD202" s="118"/>
      <c r="AE202" s="118"/>
      <c r="AF202" s="118"/>
      <c r="AG202" s="6"/>
      <c r="AH202" s="6"/>
    </row>
    <row r="203" spans="18:34">
      <c r="U203" s="108"/>
    </row>
    <row r="204" spans="18:34">
      <c r="U204" s="108"/>
    </row>
    <row r="205" spans="18:34">
      <c r="U205" s="108"/>
    </row>
    <row r="206" spans="18:34">
      <c r="U206" s="108"/>
    </row>
    <row r="207" spans="18:34">
      <c r="U207" s="108"/>
    </row>
    <row r="208" spans="18:34">
      <c r="U208" s="108"/>
    </row>
    <row r="209" spans="21:21">
      <c r="U209" s="108"/>
    </row>
    <row r="210" spans="21:21">
      <c r="U210" s="108"/>
    </row>
    <row r="211" spans="21:21">
      <c r="U211" s="108"/>
    </row>
    <row r="212" spans="21:21">
      <c r="U212" s="108"/>
    </row>
    <row r="213" spans="21:21">
      <c r="U213" s="108"/>
    </row>
    <row r="214" spans="21:21">
      <c r="U214" s="108"/>
    </row>
    <row r="215" spans="21:21">
      <c r="U215" s="108"/>
    </row>
    <row r="216" spans="21:21">
      <c r="U216" s="108"/>
    </row>
    <row r="217" spans="21:21">
      <c r="U217" s="108"/>
    </row>
    <row r="218" spans="21:21">
      <c r="U218" s="108"/>
    </row>
    <row r="219" spans="21:21">
      <c r="U219" s="108"/>
    </row>
    <row r="220" spans="21:21">
      <c r="U220" s="108"/>
    </row>
    <row r="221" spans="21:21">
      <c r="U221" s="108"/>
    </row>
    <row r="222" spans="21:21">
      <c r="U222" s="108"/>
    </row>
    <row r="223" spans="21:21">
      <c r="U223" s="108"/>
    </row>
    <row r="224" spans="21:21">
      <c r="U224" s="108"/>
    </row>
    <row r="225" spans="21:21">
      <c r="U225" s="108"/>
    </row>
    <row r="226" spans="21:21">
      <c r="U226" s="108"/>
    </row>
    <row r="227" spans="21:21">
      <c r="U227" s="108"/>
    </row>
    <row r="228" spans="21:21">
      <c r="U228" s="108"/>
    </row>
    <row r="229" spans="21:21">
      <c r="U229" s="108"/>
    </row>
  </sheetData>
  <autoFilter ref="H1:M8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9"/>
  </sheetPr>
  <dimension ref="A1:V167"/>
  <sheetViews>
    <sheetView showGridLines="0" zoomScale="75" zoomScaleNormal="75" workbookViewId="0">
      <selection activeCell="S12" sqref="S12"/>
    </sheetView>
  </sheetViews>
  <sheetFormatPr defaultRowHeight="15"/>
  <cols>
    <col min="1" max="1" width="16.5703125" bestFit="1" customWidth="1"/>
    <col min="2" max="2" width="13" customWidth="1"/>
    <col min="3" max="3" width="27.7109375" bestFit="1" customWidth="1"/>
    <col min="4" max="4" width="15.140625" bestFit="1" customWidth="1"/>
    <col min="5" max="5" width="18.42578125" bestFit="1" customWidth="1"/>
    <col min="6" max="6" width="15.7109375" bestFit="1" customWidth="1"/>
    <col min="7" max="7" width="13.28515625" bestFit="1" customWidth="1"/>
    <col min="8" max="8" width="10.42578125" bestFit="1" customWidth="1"/>
    <col min="9" max="9" width="13.7109375" bestFit="1" customWidth="1"/>
    <col min="10" max="10" width="10.42578125" bestFit="1" customWidth="1"/>
    <col min="11" max="11" width="26.7109375" bestFit="1" customWidth="1"/>
    <col min="12" max="12" width="23.28515625" bestFit="1" customWidth="1"/>
    <col min="13" max="13" width="24" bestFit="1" customWidth="1"/>
    <col min="14" max="14" width="28" bestFit="1" customWidth="1"/>
    <col min="15" max="15" width="22.85546875" bestFit="1" customWidth="1"/>
    <col min="16" max="16" width="23.5703125" bestFit="1" customWidth="1"/>
  </cols>
  <sheetData>
    <row r="1" spans="1:22">
      <c r="A1" s="20" t="str">
        <f>HYPERLINK("#'Contents'!a1","Return to Contents")</f>
        <v>Return to Contents</v>
      </c>
      <c r="B1" s="20" t="str">
        <f>HYPERLINK("#'Portfolio Results'!a1","Return to Portfolio Results")</f>
        <v>Return to Portfolio Results</v>
      </c>
    </row>
    <row r="2" spans="1:22">
      <c r="B2" s="17" t="s">
        <v>10</v>
      </c>
      <c r="C2" s="17" t="s">
        <v>48</v>
      </c>
      <c r="D2" s="17" t="s">
        <v>77</v>
      </c>
      <c r="E2" s="17" t="s">
        <v>90</v>
      </c>
      <c r="F2" s="17" t="s">
        <v>89</v>
      </c>
      <c r="G2" s="17" t="s">
        <v>31</v>
      </c>
      <c r="H2" s="17" t="s">
        <v>76</v>
      </c>
      <c r="I2" s="17" t="s">
        <v>94</v>
      </c>
      <c r="J2" s="17" t="s">
        <v>95</v>
      </c>
      <c r="S2" t="s">
        <v>48</v>
      </c>
      <c r="V2" t="s">
        <v>90</v>
      </c>
    </row>
    <row r="3" spans="1:22">
      <c r="B3" t="str">
        <f>C3&amp;"_"&amp;D3&amp;"_"&amp;E3</f>
        <v>AKGD (ASCC Alaska Grid)_Total Output_Carbon Dioxide</v>
      </c>
      <c r="C3" t="s">
        <v>49</v>
      </c>
      <c r="D3" t="s">
        <v>84</v>
      </c>
      <c r="E3" t="s">
        <v>91</v>
      </c>
      <c r="F3" t="s">
        <v>86</v>
      </c>
      <c r="G3" t="s">
        <v>78</v>
      </c>
      <c r="H3" s="8">
        <v>-1268.73</v>
      </c>
      <c r="I3" s="8" t="s">
        <v>41</v>
      </c>
      <c r="J3" s="8">
        <v>-1268.73</v>
      </c>
      <c r="S3" t="s">
        <v>49</v>
      </c>
      <c r="V3" t="s">
        <v>91</v>
      </c>
    </row>
    <row r="4" spans="1:22">
      <c r="B4" t="str">
        <f t="shared" ref="B4:B67" si="0">C4&amp;"_"&amp;D4&amp;"_"&amp;E4</f>
        <v>AKMS (ASCC Miscellaneous)_Total Output_Carbon Dioxide</v>
      </c>
      <c r="C4" t="s">
        <v>50</v>
      </c>
      <c r="D4" t="s">
        <v>84</v>
      </c>
      <c r="E4" t="s">
        <v>91</v>
      </c>
      <c r="F4" t="s">
        <v>86</v>
      </c>
      <c r="G4" t="s">
        <v>78</v>
      </c>
      <c r="H4" s="8">
        <v>-481.17</v>
      </c>
      <c r="I4" s="8" t="s">
        <v>41</v>
      </c>
      <c r="J4" s="8">
        <v>-481.17</v>
      </c>
      <c r="S4" t="s">
        <v>50</v>
      </c>
      <c r="V4" t="s">
        <v>92</v>
      </c>
    </row>
    <row r="5" spans="1:22">
      <c r="B5" t="str">
        <f t="shared" si="0"/>
        <v>AZNM (WECC Southwest)_Total Output_Carbon Dioxide</v>
      </c>
      <c r="C5" t="s">
        <v>51</v>
      </c>
      <c r="D5" t="s">
        <v>84</v>
      </c>
      <c r="E5" t="s">
        <v>91</v>
      </c>
      <c r="F5" t="s">
        <v>86</v>
      </c>
      <c r="G5" t="s">
        <v>78</v>
      </c>
      <c r="H5" s="8">
        <v>-1152.8900000000001</v>
      </c>
      <c r="I5" s="8" t="s">
        <v>41</v>
      </c>
      <c r="J5" s="8">
        <v>-1152.8900000000001</v>
      </c>
      <c r="S5" t="s">
        <v>51</v>
      </c>
      <c r="V5" t="s">
        <v>93</v>
      </c>
    </row>
    <row r="6" spans="1:22">
      <c r="B6" t="str">
        <f t="shared" si="0"/>
        <v>CAMX (WECC California)_Total Output_Carbon Dioxide</v>
      </c>
      <c r="C6" t="s">
        <v>52</v>
      </c>
      <c r="D6" t="s">
        <v>84</v>
      </c>
      <c r="E6" t="s">
        <v>91</v>
      </c>
      <c r="F6" t="s">
        <v>86</v>
      </c>
      <c r="G6" t="s">
        <v>78</v>
      </c>
      <c r="H6" s="8">
        <v>-650.30999999999995</v>
      </c>
      <c r="I6" s="8" t="s">
        <v>41</v>
      </c>
      <c r="J6" s="8">
        <v>-650.30999999999995</v>
      </c>
      <c r="S6" t="s">
        <v>52</v>
      </c>
    </row>
    <row r="7" spans="1:22">
      <c r="B7" t="str">
        <f t="shared" si="0"/>
        <v>ERCT (ERCOT All)_Total Output_Carbon Dioxide</v>
      </c>
      <c r="C7" t="s">
        <v>53</v>
      </c>
      <c r="D7" t="s">
        <v>84</v>
      </c>
      <c r="E7" t="s">
        <v>91</v>
      </c>
      <c r="F7" t="s">
        <v>86</v>
      </c>
      <c r="G7" t="s">
        <v>78</v>
      </c>
      <c r="H7" s="8">
        <v>-1143.04</v>
      </c>
      <c r="I7" s="8" t="s">
        <v>41</v>
      </c>
      <c r="J7" s="8">
        <v>-1143.04</v>
      </c>
      <c r="S7" t="s">
        <v>53</v>
      </c>
    </row>
    <row r="8" spans="1:22">
      <c r="B8" t="str">
        <f t="shared" si="0"/>
        <v>FRCC (FRCC All)_Total Output_Carbon Dioxide</v>
      </c>
      <c r="C8" t="s">
        <v>54</v>
      </c>
      <c r="D8" t="s">
        <v>84</v>
      </c>
      <c r="E8" t="s">
        <v>91</v>
      </c>
      <c r="F8" t="s">
        <v>86</v>
      </c>
      <c r="G8" t="s">
        <v>78</v>
      </c>
      <c r="H8" s="8">
        <v>-1125.3499999999999</v>
      </c>
      <c r="I8" s="8" t="s">
        <v>41</v>
      </c>
      <c r="J8" s="8">
        <v>-1125.3499999999999</v>
      </c>
      <c r="S8" t="s">
        <v>54</v>
      </c>
    </row>
    <row r="9" spans="1:22">
      <c r="B9" t="str">
        <f t="shared" si="0"/>
        <v>HIMS (HICC Miscellaneous)_Total Output_Carbon Dioxide</v>
      </c>
      <c r="C9" t="s">
        <v>55</v>
      </c>
      <c r="D9" t="s">
        <v>84</v>
      </c>
      <c r="E9" t="s">
        <v>91</v>
      </c>
      <c r="F9" t="s">
        <v>86</v>
      </c>
      <c r="G9" t="s">
        <v>78</v>
      </c>
      <c r="H9" s="8">
        <v>-1200.0999999999999</v>
      </c>
      <c r="I9" s="8" t="s">
        <v>41</v>
      </c>
      <c r="J9" s="8">
        <v>-1200.0999999999999</v>
      </c>
      <c r="S9" t="s">
        <v>55</v>
      </c>
    </row>
    <row r="10" spans="1:22">
      <c r="B10" t="str">
        <f t="shared" si="0"/>
        <v>HIOA (HICC Oahu)_Total Output_Carbon Dioxide</v>
      </c>
      <c r="C10" t="s">
        <v>56</v>
      </c>
      <c r="D10" t="s">
        <v>84</v>
      </c>
      <c r="E10" t="s">
        <v>91</v>
      </c>
      <c r="F10" t="s">
        <v>86</v>
      </c>
      <c r="G10" t="s">
        <v>78</v>
      </c>
      <c r="H10" s="8">
        <v>-1576.38</v>
      </c>
      <c r="I10" s="8" t="s">
        <v>41</v>
      </c>
      <c r="J10" s="8">
        <v>-1576.38</v>
      </c>
      <c r="S10" t="s">
        <v>56</v>
      </c>
    </row>
    <row r="11" spans="1:22">
      <c r="B11" t="str">
        <f t="shared" si="0"/>
        <v>MROE (MRO East)_Total Output_Carbon Dioxide</v>
      </c>
      <c r="C11" t="s">
        <v>57</v>
      </c>
      <c r="D11" t="s">
        <v>84</v>
      </c>
      <c r="E11" t="s">
        <v>91</v>
      </c>
      <c r="F11" t="s">
        <v>86</v>
      </c>
      <c r="G11" t="s">
        <v>78</v>
      </c>
      <c r="H11" s="8">
        <v>-1522.57</v>
      </c>
      <c r="I11" s="8" t="s">
        <v>41</v>
      </c>
      <c r="J11" s="8">
        <v>-1522.57</v>
      </c>
      <c r="S11" t="s">
        <v>57</v>
      </c>
    </row>
    <row r="12" spans="1:22">
      <c r="B12" t="str">
        <f t="shared" si="0"/>
        <v>MROW (MRO West)_Total Output_Carbon Dioxide</v>
      </c>
      <c r="C12" t="s">
        <v>58</v>
      </c>
      <c r="D12" t="s">
        <v>84</v>
      </c>
      <c r="E12" t="s">
        <v>91</v>
      </c>
      <c r="F12" t="s">
        <v>86</v>
      </c>
      <c r="G12" t="s">
        <v>78</v>
      </c>
      <c r="H12" s="8">
        <v>-1425.15</v>
      </c>
      <c r="I12" s="8" t="s">
        <v>41</v>
      </c>
      <c r="J12" s="8">
        <v>-1425.15</v>
      </c>
      <c r="S12" t="s">
        <v>58</v>
      </c>
    </row>
    <row r="13" spans="1:22">
      <c r="B13" t="str">
        <f t="shared" si="0"/>
        <v>NEWE (NPCC New England)_Total Output_Carbon Dioxide</v>
      </c>
      <c r="C13" t="s">
        <v>59</v>
      </c>
      <c r="D13" t="s">
        <v>84</v>
      </c>
      <c r="E13" t="s">
        <v>91</v>
      </c>
      <c r="F13" t="s">
        <v>86</v>
      </c>
      <c r="G13" t="s">
        <v>78</v>
      </c>
      <c r="H13" s="8">
        <v>-637.9</v>
      </c>
      <c r="I13" s="8" t="s">
        <v>41</v>
      </c>
      <c r="J13" s="8">
        <v>-637.9</v>
      </c>
      <c r="S13" t="s">
        <v>59</v>
      </c>
    </row>
    <row r="14" spans="1:22">
      <c r="B14" t="str">
        <f t="shared" si="0"/>
        <v>NWPP (WECC Northwest)_Total Output_Carbon Dioxide</v>
      </c>
      <c r="C14" t="s">
        <v>60</v>
      </c>
      <c r="D14" t="s">
        <v>84</v>
      </c>
      <c r="E14" t="s">
        <v>91</v>
      </c>
      <c r="F14" t="s">
        <v>86</v>
      </c>
      <c r="G14" t="s">
        <v>78</v>
      </c>
      <c r="H14" s="8">
        <v>-665.75</v>
      </c>
      <c r="I14" s="8" t="s">
        <v>41</v>
      </c>
      <c r="J14" s="8">
        <v>-665.75</v>
      </c>
      <c r="S14" t="s">
        <v>60</v>
      </c>
    </row>
    <row r="15" spans="1:22">
      <c r="B15" t="str">
        <f t="shared" si="0"/>
        <v>NYCW (NPCC NYC/Westchester)_Total Output_Carbon Dioxide</v>
      </c>
      <c r="C15" t="s">
        <v>61</v>
      </c>
      <c r="D15" t="s">
        <v>84</v>
      </c>
      <c r="E15" t="s">
        <v>91</v>
      </c>
      <c r="F15" t="s">
        <v>86</v>
      </c>
      <c r="G15" t="s">
        <v>78</v>
      </c>
      <c r="H15" s="8">
        <v>-696.7</v>
      </c>
      <c r="I15" s="8" t="s">
        <v>41</v>
      </c>
      <c r="J15" s="8">
        <v>-696.7</v>
      </c>
      <c r="S15" t="s">
        <v>61</v>
      </c>
    </row>
    <row r="16" spans="1:22">
      <c r="B16" t="str">
        <f t="shared" si="0"/>
        <v>NYLI (NPCC Long Island)_Total Output_Carbon Dioxide</v>
      </c>
      <c r="C16" t="s">
        <v>62</v>
      </c>
      <c r="D16" t="s">
        <v>84</v>
      </c>
      <c r="E16" t="s">
        <v>91</v>
      </c>
      <c r="F16" t="s">
        <v>86</v>
      </c>
      <c r="G16" t="s">
        <v>78</v>
      </c>
      <c r="H16" s="8">
        <v>-1201.2</v>
      </c>
      <c r="I16" s="8" t="s">
        <v>41</v>
      </c>
      <c r="J16" s="8">
        <v>-1201.2</v>
      </c>
      <c r="S16" t="s">
        <v>62</v>
      </c>
    </row>
    <row r="17" spans="2:19">
      <c r="B17" t="str">
        <f t="shared" si="0"/>
        <v>NYUP (NPCC Upstate NY)_Total Output_Carbon Dioxide</v>
      </c>
      <c r="C17" t="s">
        <v>63</v>
      </c>
      <c r="D17" t="s">
        <v>84</v>
      </c>
      <c r="E17" t="s">
        <v>91</v>
      </c>
      <c r="F17" t="s">
        <v>86</v>
      </c>
      <c r="G17" t="s">
        <v>78</v>
      </c>
      <c r="H17" s="8">
        <v>-408.8</v>
      </c>
      <c r="I17" s="8" t="s">
        <v>41</v>
      </c>
      <c r="J17" s="8">
        <v>-408.8</v>
      </c>
      <c r="S17" t="s">
        <v>63</v>
      </c>
    </row>
    <row r="18" spans="2:19">
      <c r="B18" t="str">
        <f t="shared" si="0"/>
        <v>RFCE (RFC East)_Total Output_Carbon Dioxide</v>
      </c>
      <c r="C18" t="s">
        <v>64</v>
      </c>
      <c r="D18" t="s">
        <v>84</v>
      </c>
      <c r="E18" t="s">
        <v>91</v>
      </c>
      <c r="F18" t="s">
        <v>86</v>
      </c>
      <c r="G18" t="s">
        <v>78</v>
      </c>
      <c r="H18" s="8">
        <v>-858.56</v>
      </c>
      <c r="I18" s="8" t="s">
        <v>41</v>
      </c>
      <c r="J18" s="8">
        <v>-858.56</v>
      </c>
      <c r="S18" t="s">
        <v>64</v>
      </c>
    </row>
    <row r="19" spans="2:19">
      <c r="B19" t="str">
        <f t="shared" si="0"/>
        <v>RFCM (RFC Michigan)_Total Output_Carbon Dioxide</v>
      </c>
      <c r="C19" t="s">
        <v>65</v>
      </c>
      <c r="D19" t="s">
        <v>84</v>
      </c>
      <c r="E19" t="s">
        <v>91</v>
      </c>
      <c r="F19" t="s">
        <v>86</v>
      </c>
      <c r="G19" t="s">
        <v>78</v>
      </c>
      <c r="H19" s="8">
        <v>-1569.23</v>
      </c>
      <c r="I19" s="8" t="s">
        <v>41</v>
      </c>
      <c r="J19" s="8">
        <v>-1569.23</v>
      </c>
      <c r="S19" t="s">
        <v>65</v>
      </c>
    </row>
    <row r="20" spans="2:19">
      <c r="B20" t="str">
        <f t="shared" si="0"/>
        <v>RFCW (RFC West)_Total Output_Carbon Dioxide</v>
      </c>
      <c r="C20" t="s">
        <v>66</v>
      </c>
      <c r="D20" t="s">
        <v>84</v>
      </c>
      <c r="E20" t="s">
        <v>91</v>
      </c>
      <c r="F20" t="s">
        <v>86</v>
      </c>
      <c r="G20" t="s">
        <v>78</v>
      </c>
      <c r="H20" s="8">
        <v>-1379.48</v>
      </c>
      <c r="I20" s="8" t="s">
        <v>41</v>
      </c>
      <c r="J20" s="8">
        <v>-1379.48</v>
      </c>
      <c r="S20" t="s">
        <v>66</v>
      </c>
    </row>
    <row r="21" spans="2:19">
      <c r="B21" t="str">
        <f t="shared" si="0"/>
        <v>RMPA (WECC Rockies)_Total Output_Carbon Dioxide</v>
      </c>
      <c r="C21" t="s">
        <v>67</v>
      </c>
      <c r="D21" t="s">
        <v>84</v>
      </c>
      <c r="E21" t="s">
        <v>91</v>
      </c>
      <c r="F21" t="s">
        <v>86</v>
      </c>
      <c r="G21" t="s">
        <v>78</v>
      </c>
      <c r="H21" s="8">
        <v>-1822.65</v>
      </c>
      <c r="I21" s="8" t="s">
        <v>41</v>
      </c>
      <c r="J21" s="8">
        <v>-1822.65</v>
      </c>
      <c r="S21" t="s">
        <v>67</v>
      </c>
    </row>
    <row r="22" spans="2:19">
      <c r="B22" t="str">
        <f t="shared" si="0"/>
        <v>SPNO (SPP North)_Total Output_Carbon Dioxide</v>
      </c>
      <c r="C22" t="s">
        <v>68</v>
      </c>
      <c r="D22" t="s">
        <v>84</v>
      </c>
      <c r="E22" t="s">
        <v>91</v>
      </c>
      <c r="F22" t="s">
        <v>86</v>
      </c>
      <c r="G22" t="s">
        <v>78</v>
      </c>
      <c r="H22" s="8">
        <v>-1721.65</v>
      </c>
      <c r="I22" s="8" t="s">
        <v>41</v>
      </c>
      <c r="J22" s="8">
        <v>-1721.65</v>
      </c>
      <c r="S22" t="s">
        <v>68</v>
      </c>
    </row>
    <row r="23" spans="2:19">
      <c r="B23" t="str">
        <f t="shared" si="0"/>
        <v>SPSO (SPP South)_Total Output_Carbon Dioxide</v>
      </c>
      <c r="C23" t="s">
        <v>69</v>
      </c>
      <c r="D23" t="s">
        <v>84</v>
      </c>
      <c r="E23" t="s">
        <v>91</v>
      </c>
      <c r="F23" t="s">
        <v>86</v>
      </c>
      <c r="G23" t="s">
        <v>78</v>
      </c>
      <c r="H23" s="8">
        <v>-1538.63</v>
      </c>
      <c r="I23" s="8" t="s">
        <v>41</v>
      </c>
      <c r="J23" s="8">
        <v>-1538.63</v>
      </c>
      <c r="S23" t="s">
        <v>69</v>
      </c>
    </row>
    <row r="24" spans="2:19">
      <c r="B24" t="str">
        <f t="shared" si="0"/>
        <v>SRMV (SERC Mississippi Valley)_Total Output_Carbon Dioxide</v>
      </c>
      <c r="C24" t="s">
        <v>70</v>
      </c>
      <c r="D24" t="s">
        <v>84</v>
      </c>
      <c r="E24" t="s">
        <v>91</v>
      </c>
      <c r="F24" t="s">
        <v>86</v>
      </c>
      <c r="G24" t="s">
        <v>78</v>
      </c>
      <c r="H24" s="8">
        <v>-1052.92</v>
      </c>
      <c r="I24" s="8" t="s">
        <v>41</v>
      </c>
      <c r="J24" s="8">
        <v>-1052.92</v>
      </c>
      <c r="S24" t="s">
        <v>70</v>
      </c>
    </row>
    <row r="25" spans="2:19">
      <c r="B25" t="str">
        <f t="shared" si="0"/>
        <v>SRMW (SERC Midwest)_Total Output_Carbon Dioxide</v>
      </c>
      <c r="C25" t="s">
        <v>71</v>
      </c>
      <c r="D25" t="s">
        <v>84</v>
      </c>
      <c r="E25" t="s">
        <v>91</v>
      </c>
      <c r="F25" t="s">
        <v>86</v>
      </c>
      <c r="G25" t="s">
        <v>78</v>
      </c>
      <c r="H25" s="8">
        <v>-1710.75</v>
      </c>
      <c r="I25" s="8" t="s">
        <v>41</v>
      </c>
      <c r="J25" s="8">
        <v>-1710.75</v>
      </c>
      <c r="S25" t="s">
        <v>71</v>
      </c>
    </row>
    <row r="26" spans="2:19">
      <c r="B26" t="str">
        <f t="shared" si="0"/>
        <v>SRSO (SERC South)_Total Output_Carbon Dioxide</v>
      </c>
      <c r="C26" t="s">
        <v>72</v>
      </c>
      <c r="D26" t="s">
        <v>84</v>
      </c>
      <c r="E26" t="s">
        <v>91</v>
      </c>
      <c r="F26" t="s">
        <v>86</v>
      </c>
      <c r="G26" t="s">
        <v>78</v>
      </c>
      <c r="H26" s="8">
        <v>-1149.05</v>
      </c>
      <c r="I26" s="8" t="s">
        <v>41</v>
      </c>
      <c r="J26" s="8">
        <v>-1149.05</v>
      </c>
      <c r="S26" t="s">
        <v>72</v>
      </c>
    </row>
    <row r="27" spans="2:19">
      <c r="B27" t="str">
        <f t="shared" si="0"/>
        <v>SRTV (SERC Tennessee Valley)_Total Output_Carbon Dioxide</v>
      </c>
      <c r="C27" t="s">
        <v>73</v>
      </c>
      <c r="D27" t="s">
        <v>84</v>
      </c>
      <c r="E27" t="s">
        <v>91</v>
      </c>
      <c r="F27" t="s">
        <v>86</v>
      </c>
      <c r="G27" t="s">
        <v>78</v>
      </c>
      <c r="H27" s="8">
        <v>-1337.15</v>
      </c>
      <c r="I27" s="8" t="s">
        <v>41</v>
      </c>
      <c r="J27" s="8">
        <v>-1337.15</v>
      </c>
      <c r="S27" t="s">
        <v>73</v>
      </c>
    </row>
    <row r="28" spans="2:19">
      <c r="B28" t="str">
        <f t="shared" si="0"/>
        <v>SRVC (SERC Virginia/Carolina)_Total Output_Carbon Dioxide</v>
      </c>
      <c r="C28" t="s">
        <v>74</v>
      </c>
      <c r="D28" t="s">
        <v>84</v>
      </c>
      <c r="E28" t="s">
        <v>91</v>
      </c>
      <c r="F28" t="s">
        <v>86</v>
      </c>
      <c r="G28" t="s">
        <v>78</v>
      </c>
      <c r="H28" s="8">
        <v>-932.87</v>
      </c>
      <c r="I28" s="8" t="s">
        <v>41</v>
      </c>
      <c r="J28" s="8">
        <v>-932.87</v>
      </c>
      <c r="S28" t="s">
        <v>74</v>
      </c>
    </row>
    <row r="29" spans="2:19">
      <c r="B29" t="str">
        <f t="shared" si="0"/>
        <v>US Average_Total Output_Carbon Dioxide</v>
      </c>
      <c r="C29" t="s">
        <v>75</v>
      </c>
      <c r="D29" t="s">
        <v>84</v>
      </c>
      <c r="E29" t="s">
        <v>91</v>
      </c>
      <c r="F29" t="s">
        <v>86</v>
      </c>
      <c r="G29" t="s">
        <v>78</v>
      </c>
      <c r="H29" s="8">
        <v>-1136.53</v>
      </c>
      <c r="I29" s="8" t="s">
        <v>41</v>
      </c>
      <c r="J29" s="8">
        <v>-1136.53</v>
      </c>
      <c r="S29" t="s">
        <v>75</v>
      </c>
    </row>
    <row r="30" spans="2:19">
      <c r="B30" t="str">
        <f t="shared" si="0"/>
        <v>AKGD (ASCC Alaska Grid)_Total Output_Methane</v>
      </c>
      <c r="C30" t="s">
        <v>49</v>
      </c>
      <c r="D30" t="s">
        <v>84</v>
      </c>
      <c r="E30" t="s">
        <v>92</v>
      </c>
      <c r="F30" t="s">
        <v>87</v>
      </c>
      <c r="G30" t="s">
        <v>79</v>
      </c>
      <c r="H30" s="8">
        <v>-2.6339999999999999E-2</v>
      </c>
      <c r="I30" s="8" t="s">
        <v>41</v>
      </c>
      <c r="J30" s="8">
        <v>-0.65849999999999997</v>
      </c>
    </row>
    <row r="31" spans="2:19">
      <c r="B31" t="str">
        <f t="shared" si="0"/>
        <v>AKMS (ASCC Miscellaneous)_Total Output_Methane</v>
      </c>
      <c r="C31" t="s">
        <v>50</v>
      </c>
      <c r="D31" t="s">
        <v>84</v>
      </c>
      <c r="E31" t="s">
        <v>92</v>
      </c>
      <c r="F31" t="s">
        <v>87</v>
      </c>
      <c r="G31" t="s">
        <v>79</v>
      </c>
      <c r="H31" s="8">
        <v>-1.865E-2</v>
      </c>
      <c r="I31" s="8" t="s">
        <v>41</v>
      </c>
      <c r="J31" s="8">
        <v>-0.46625</v>
      </c>
    </row>
    <row r="32" spans="2:19">
      <c r="B32" t="str">
        <f t="shared" si="0"/>
        <v>AZNM (WECC Southwest)_Total Output_Methane</v>
      </c>
      <c r="C32" t="s">
        <v>51</v>
      </c>
      <c r="D32" t="s">
        <v>84</v>
      </c>
      <c r="E32" t="s">
        <v>92</v>
      </c>
      <c r="F32" t="s">
        <v>87</v>
      </c>
      <c r="G32" t="s">
        <v>79</v>
      </c>
      <c r="H32" s="8">
        <v>-1.865E-2</v>
      </c>
      <c r="I32" s="8" t="s">
        <v>41</v>
      </c>
      <c r="J32" s="8">
        <v>-0.46625</v>
      </c>
    </row>
    <row r="33" spans="2:10">
      <c r="B33" t="str">
        <f t="shared" si="0"/>
        <v>CAMX (WECC California)_Total Output_Methane</v>
      </c>
      <c r="C33" t="s">
        <v>52</v>
      </c>
      <c r="D33" t="s">
        <v>84</v>
      </c>
      <c r="E33" t="s">
        <v>92</v>
      </c>
      <c r="F33" t="s">
        <v>87</v>
      </c>
      <c r="G33" t="s">
        <v>79</v>
      </c>
      <c r="H33" s="8">
        <v>-3.1119999999999998E-2</v>
      </c>
      <c r="I33" s="8" t="s">
        <v>41</v>
      </c>
      <c r="J33" s="8">
        <v>-0.77799999999999991</v>
      </c>
    </row>
    <row r="34" spans="2:10">
      <c r="B34" t="str">
        <f t="shared" si="0"/>
        <v>ERCT (ERCOT All)_Total Output_Methane</v>
      </c>
      <c r="C34" t="s">
        <v>53</v>
      </c>
      <c r="D34" t="s">
        <v>84</v>
      </c>
      <c r="E34" t="s">
        <v>92</v>
      </c>
      <c r="F34" t="s">
        <v>87</v>
      </c>
      <c r="G34" t="s">
        <v>79</v>
      </c>
      <c r="H34" s="8">
        <v>-1.67E-2</v>
      </c>
      <c r="I34" s="8" t="s">
        <v>41</v>
      </c>
      <c r="J34" s="8">
        <v>-0.41749999999999998</v>
      </c>
    </row>
    <row r="35" spans="2:10">
      <c r="B35" t="str">
        <f t="shared" si="0"/>
        <v>FRCC (FRCC All)_Total Output_Methane</v>
      </c>
      <c r="C35" t="s">
        <v>54</v>
      </c>
      <c r="D35" t="s">
        <v>84</v>
      </c>
      <c r="E35" t="s">
        <v>92</v>
      </c>
      <c r="F35" t="s">
        <v>87</v>
      </c>
      <c r="G35" t="s">
        <v>79</v>
      </c>
      <c r="H35" s="8">
        <v>-4.0050000000000002E-2</v>
      </c>
      <c r="I35" s="8" t="s">
        <v>41</v>
      </c>
      <c r="J35" s="8">
        <v>-1.00125</v>
      </c>
    </row>
    <row r="36" spans="2:10">
      <c r="B36" t="str">
        <f t="shared" si="0"/>
        <v>HIMS (HICC Miscellaneous)_Total Output_Methane</v>
      </c>
      <c r="C36" t="s">
        <v>55</v>
      </c>
      <c r="D36" t="s">
        <v>84</v>
      </c>
      <c r="E36" t="s">
        <v>92</v>
      </c>
      <c r="F36" t="s">
        <v>87</v>
      </c>
      <c r="G36" t="s">
        <v>79</v>
      </c>
      <c r="H36" s="8">
        <v>-6.8080000000000002E-2</v>
      </c>
      <c r="I36" s="8" t="s">
        <v>41</v>
      </c>
      <c r="J36" s="8">
        <v>-1.702</v>
      </c>
    </row>
    <row r="37" spans="2:10">
      <c r="B37" t="str">
        <f t="shared" si="0"/>
        <v>HIOA (HICC Oahu)_Total Output_Methane</v>
      </c>
      <c r="C37" t="s">
        <v>56</v>
      </c>
      <c r="D37" t="s">
        <v>84</v>
      </c>
      <c r="E37" t="s">
        <v>92</v>
      </c>
      <c r="F37" t="s">
        <v>87</v>
      </c>
      <c r="G37" t="s">
        <v>79</v>
      </c>
      <c r="H37" s="8">
        <v>-9.0410000000000004E-2</v>
      </c>
      <c r="I37" s="8" t="s">
        <v>41</v>
      </c>
      <c r="J37" s="8">
        <v>-2.2602500000000001</v>
      </c>
    </row>
    <row r="38" spans="2:10">
      <c r="B38" t="str">
        <f t="shared" si="0"/>
        <v>MROE (MRO East)_Total Output_Methane</v>
      </c>
      <c r="C38" t="s">
        <v>57</v>
      </c>
      <c r="D38" t="s">
        <v>84</v>
      </c>
      <c r="E38" t="s">
        <v>92</v>
      </c>
      <c r="F38" t="s">
        <v>87</v>
      </c>
      <c r="G38" t="s">
        <v>79</v>
      </c>
      <c r="H38" s="8">
        <v>-2.4299999999999999E-2</v>
      </c>
      <c r="I38" s="8" t="s">
        <v>41</v>
      </c>
      <c r="J38" s="8">
        <v>-0.60749999999999993</v>
      </c>
    </row>
    <row r="39" spans="2:10">
      <c r="B39" t="str">
        <f t="shared" si="0"/>
        <v>MROW (MRO West)_Total Output_Methane</v>
      </c>
      <c r="C39" t="s">
        <v>58</v>
      </c>
      <c r="D39" t="s">
        <v>84</v>
      </c>
      <c r="E39" t="s">
        <v>92</v>
      </c>
      <c r="F39" t="s">
        <v>87</v>
      </c>
      <c r="G39" t="s">
        <v>79</v>
      </c>
      <c r="H39" s="8">
        <v>-2.76E-2</v>
      </c>
      <c r="I39" s="8" t="s">
        <v>41</v>
      </c>
      <c r="J39" s="8">
        <v>-0.69</v>
      </c>
    </row>
    <row r="40" spans="2:10">
      <c r="B40" t="str">
        <f t="shared" si="0"/>
        <v>NEWE (NPCC New England)_Total Output_Methane</v>
      </c>
      <c r="C40" t="s">
        <v>59</v>
      </c>
      <c r="D40" t="s">
        <v>84</v>
      </c>
      <c r="E40" t="s">
        <v>92</v>
      </c>
      <c r="F40" t="s">
        <v>87</v>
      </c>
      <c r="G40" t="s">
        <v>79</v>
      </c>
      <c r="H40" s="8">
        <v>-7.2840000000000002E-2</v>
      </c>
      <c r="I40" s="8" t="s">
        <v>41</v>
      </c>
      <c r="J40" s="8">
        <v>-1.821</v>
      </c>
    </row>
    <row r="41" spans="2:10">
      <c r="B41" t="str">
        <f t="shared" si="0"/>
        <v>NWPP (WECC Northwest)_Total Output_Methane</v>
      </c>
      <c r="C41" t="s">
        <v>60</v>
      </c>
      <c r="D41" t="s">
        <v>84</v>
      </c>
      <c r="E41" t="s">
        <v>92</v>
      </c>
      <c r="F41" t="s">
        <v>87</v>
      </c>
      <c r="G41" t="s">
        <v>79</v>
      </c>
      <c r="H41" s="8">
        <v>-1.26E-2</v>
      </c>
      <c r="I41" s="8" t="s">
        <v>41</v>
      </c>
      <c r="J41" s="8">
        <v>-0.315</v>
      </c>
    </row>
    <row r="42" spans="2:10">
      <c r="B42" t="str">
        <f t="shared" si="0"/>
        <v>NYCW (NPCC NYC/Westchester)_Total Output_Methane</v>
      </c>
      <c r="C42" t="s">
        <v>61</v>
      </c>
      <c r="D42" t="s">
        <v>84</v>
      </c>
      <c r="E42" t="s">
        <v>92</v>
      </c>
      <c r="F42" t="s">
        <v>87</v>
      </c>
      <c r="G42" t="s">
        <v>79</v>
      </c>
      <c r="H42" s="8">
        <v>-2.5510000000000001E-2</v>
      </c>
      <c r="I42" s="8" t="s">
        <v>41</v>
      </c>
      <c r="J42" s="8">
        <v>-0.63775000000000004</v>
      </c>
    </row>
    <row r="43" spans="2:10">
      <c r="B43" t="str">
        <f t="shared" si="0"/>
        <v>NYLI (NPCC Long Island)_Total Output_Methane</v>
      </c>
      <c r="C43" t="s">
        <v>62</v>
      </c>
      <c r="D43" t="s">
        <v>84</v>
      </c>
      <c r="E43" t="s">
        <v>92</v>
      </c>
      <c r="F43" t="s">
        <v>87</v>
      </c>
      <c r="G43" t="s">
        <v>79</v>
      </c>
      <c r="H43" s="8">
        <v>-7.8200000000000006E-2</v>
      </c>
      <c r="I43" s="8" t="s">
        <v>41</v>
      </c>
      <c r="J43" s="8">
        <v>-1.9550000000000001</v>
      </c>
    </row>
    <row r="44" spans="2:10">
      <c r="B44" t="str">
        <f t="shared" si="0"/>
        <v>NYUP (NPCC Upstate NY)_Total Output_Methane</v>
      </c>
      <c r="C44" t="s">
        <v>63</v>
      </c>
      <c r="D44" t="s">
        <v>84</v>
      </c>
      <c r="E44" t="s">
        <v>92</v>
      </c>
      <c r="F44" t="s">
        <v>87</v>
      </c>
      <c r="G44" t="s">
        <v>79</v>
      </c>
      <c r="H44" s="8">
        <v>-1.559E-2</v>
      </c>
      <c r="I44" s="8" t="s">
        <v>41</v>
      </c>
      <c r="J44" s="8">
        <v>-0.38974999999999999</v>
      </c>
    </row>
    <row r="45" spans="2:10">
      <c r="B45" t="str">
        <f t="shared" si="0"/>
        <v>RFCE (RFC East)_Total Output_Methane</v>
      </c>
      <c r="C45" t="s">
        <v>64</v>
      </c>
      <c r="D45" t="s">
        <v>84</v>
      </c>
      <c r="E45" t="s">
        <v>92</v>
      </c>
      <c r="F45" t="s">
        <v>87</v>
      </c>
      <c r="G45" t="s">
        <v>79</v>
      </c>
      <c r="H45" s="8">
        <v>-2.6440000000000002E-2</v>
      </c>
      <c r="I45" s="8" t="s">
        <v>41</v>
      </c>
      <c r="J45" s="8">
        <v>-0.66100000000000003</v>
      </c>
    </row>
    <row r="46" spans="2:10">
      <c r="B46" t="str">
        <f t="shared" si="0"/>
        <v>RFCM (RFC Michigan)_Total Output_Methane</v>
      </c>
      <c r="C46" t="s">
        <v>65</v>
      </c>
      <c r="D46" t="s">
        <v>84</v>
      </c>
      <c r="E46" t="s">
        <v>92</v>
      </c>
      <c r="F46" t="s">
        <v>87</v>
      </c>
      <c r="G46" t="s">
        <v>79</v>
      </c>
      <c r="H46" s="8">
        <v>-3.0360000000000002E-2</v>
      </c>
      <c r="I46" s="8" t="s">
        <v>41</v>
      </c>
      <c r="J46" s="8">
        <v>-0.75900000000000001</v>
      </c>
    </row>
    <row r="47" spans="2:10">
      <c r="B47" t="str">
        <f t="shared" si="0"/>
        <v>RFCW (RFC West)_Total Output_Methane</v>
      </c>
      <c r="C47" t="s">
        <v>66</v>
      </c>
      <c r="D47" t="s">
        <v>84</v>
      </c>
      <c r="E47" t="s">
        <v>92</v>
      </c>
      <c r="F47" t="s">
        <v>87</v>
      </c>
      <c r="G47" t="s">
        <v>79</v>
      </c>
      <c r="H47" s="8">
        <v>-1.711E-2</v>
      </c>
      <c r="I47" s="8" t="s">
        <v>41</v>
      </c>
      <c r="J47" s="8">
        <v>-0.42775000000000002</v>
      </c>
    </row>
    <row r="48" spans="2:10">
      <c r="B48" t="str">
        <f t="shared" si="0"/>
        <v>RMPA (WECC Rockies)_Total Output_Methane</v>
      </c>
      <c r="C48" t="s">
        <v>67</v>
      </c>
      <c r="D48" t="s">
        <v>84</v>
      </c>
      <c r="E48" t="s">
        <v>92</v>
      </c>
      <c r="F48" t="s">
        <v>87</v>
      </c>
      <c r="G48" t="s">
        <v>79</v>
      </c>
      <c r="H48" s="8">
        <v>-2.1659999999999999E-2</v>
      </c>
      <c r="I48" s="8" t="s">
        <v>41</v>
      </c>
      <c r="J48" s="8">
        <v>-0.54149999999999998</v>
      </c>
    </row>
    <row r="49" spans="2:10">
      <c r="B49" t="str">
        <f t="shared" si="0"/>
        <v>SPNO (SPP North)_Total Output_Methane</v>
      </c>
      <c r="C49" t="s">
        <v>68</v>
      </c>
      <c r="D49" t="s">
        <v>84</v>
      </c>
      <c r="E49" t="s">
        <v>92</v>
      </c>
      <c r="F49" t="s">
        <v>87</v>
      </c>
      <c r="G49" t="s">
        <v>79</v>
      </c>
      <c r="H49" s="8">
        <v>-2.0219999999999998E-2</v>
      </c>
      <c r="I49" s="8" t="s">
        <v>41</v>
      </c>
      <c r="J49" s="8">
        <v>-0.50549999999999995</v>
      </c>
    </row>
    <row r="50" spans="2:10">
      <c r="B50" t="str">
        <f t="shared" si="0"/>
        <v>SPSO (SPP South)_Total Output_Methane</v>
      </c>
      <c r="C50" t="s">
        <v>69</v>
      </c>
      <c r="D50" t="s">
        <v>84</v>
      </c>
      <c r="E50" t="s">
        <v>92</v>
      </c>
      <c r="F50" t="s">
        <v>87</v>
      </c>
      <c r="G50" t="s">
        <v>79</v>
      </c>
      <c r="H50" s="8">
        <v>-2.375E-2</v>
      </c>
      <c r="I50" s="8" t="s">
        <v>41</v>
      </c>
      <c r="J50" s="8">
        <v>-0.59375</v>
      </c>
    </row>
    <row r="51" spans="2:10">
      <c r="B51" t="str">
        <f t="shared" si="0"/>
        <v>SRMV (SERC Mississippi Valley)_Total Output_Methane</v>
      </c>
      <c r="C51" t="s">
        <v>70</v>
      </c>
      <c r="D51" t="s">
        <v>84</v>
      </c>
      <c r="E51" t="s">
        <v>92</v>
      </c>
      <c r="F51" t="s">
        <v>87</v>
      </c>
      <c r="G51" t="s">
        <v>79</v>
      </c>
      <c r="H51" s="8">
        <v>-2.095E-2</v>
      </c>
      <c r="I51" s="8" t="s">
        <v>41</v>
      </c>
      <c r="J51" s="8">
        <v>-0.52375000000000005</v>
      </c>
    </row>
    <row r="52" spans="2:10">
      <c r="B52" t="str">
        <f t="shared" si="0"/>
        <v>SRMW (SERC Midwest)_Total Output_Methane</v>
      </c>
      <c r="C52" t="s">
        <v>71</v>
      </c>
      <c r="D52" t="s">
        <v>84</v>
      </c>
      <c r="E52" t="s">
        <v>92</v>
      </c>
      <c r="F52" t="s">
        <v>87</v>
      </c>
      <c r="G52" t="s">
        <v>79</v>
      </c>
      <c r="H52" s="8">
        <v>-1.958E-2</v>
      </c>
      <c r="I52" s="8" t="s">
        <v>41</v>
      </c>
      <c r="J52" s="8">
        <v>-0.48949999999999999</v>
      </c>
    </row>
    <row r="53" spans="2:10">
      <c r="B53" t="str">
        <f t="shared" si="0"/>
        <v>SRSO (SERC South)_Total Output_Methane</v>
      </c>
      <c r="C53" t="s">
        <v>72</v>
      </c>
      <c r="D53" t="s">
        <v>84</v>
      </c>
      <c r="E53" t="s">
        <v>92</v>
      </c>
      <c r="F53" t="s">
        <v>87</v>
      </c>
      <c r="G53" t="s">
        <v>79</v>
      </c>
      <c r="H53" s="8">
        <v>-2.266E-2</v>
      </c>
      <c r="I53" s="8" t="s">
        <v>41</v>
      </c>
      <c r="J53" s="8">
        <v>-0.5665</v>
      </c>
    </row>
    <row r="54" spans="2:10">
      <c r="B54" t="str">
        <f t="shared" si="0"/>
        <v>SRTV (SERC Tennessee Valley)_Total Output_Methane</v>
      </c>
      <c r="C54" t="s">
        <v>73</v>
      </c>
      <c r="D54" t="s">
        <v>84</v>
      </c>
      <c r="E54" t="s">
        <v>92</v>
      </c>
      <c r="F54" t="s">
        <v>87</v>
      </c>
      <c r="G54" t="s">
        <v>79</v>
      </c>
      <c r="H54" s="8">
        <v>-1.7389999999999999E-2</v>
      </c>
      <c r="I54" s="8" t="s">
        <v>41</v>
      </c>
      <c r="J54" s="8">
        <v>-0.43474999999999997</v>
      </c>
    </row>
    <row r="55" spans="2:10">
      <c r="B55" t="str">
        <f t="shared" si="0"/>
        <v>SRVC (SERC Virginia/Carolina)_Total Output_Methane</v>
      </c>
      <c r="C55" t="s">
        <v>74</v>
      </c>
      <c r="D55" t="s">
        <v>84</v>
      </c>
      <c r="E55" t="s">
        <v>92</v>
      </c>
      <c r="F55" t="s">
        <v>87</v>
      </c>
      <c r="G55" t="s">
        <v>79</v>
      </c>
      <c r="H55" s="8">
        <v>-2.3949999999999999E-2</v>
      </c>
      <c r="I55" s="8" t="s">
        <v>41</v>
      </c>
      <c r="J55" s="8">
        <v>-0.59875</v>
      </c>
    </row>
    <row r="56" spans="2:10">
      <c r="B56" t="str">
        <f t="shared" si="0"/>
        <v>US Average_Total Output_Methane</v>
      </c>
      <c r="C56" t="s">
        <v>75</v>
      </c>
      <c r="D56" t="s">
        <v>84</v>
      </c>
      <c r="E56" t="s">
        <v>92</v>
      </c>
      <c r="F56" t="s">
        <v>87</v>
      </c>
      <c r="G56" t="s">
        <v>79</v>
      </c>
      <c r="H56" s="8">
        <v>-2.3779999999999999E-2</v>
      </c>
      <c r="I56" s="8" t="s">
        <v>41</v>
      </c>
      <c r="J56" s="8">
        <v>-0.59450000000000003</v>
      </c>
    </row>
    <row r="57" spans="2:10">
      <c r="B57" t="str">
        <f t="shared" si="0"/>
        <v>AKGD (ASCC Alaska Grid)_Total Output_Nitrous Oxide</v>
      </c>
      <c r="C57" t="s">
        <v>49</v>
      </c>
      <c r="D57" t="s">
        <v>84</v>
      </c>
      <c r="E57" t="s">
        <v>93</v>
      </c>
      <c r="F57" t="s">
        <v>88</v>
      </c>
      <c r="G57" t="s">
        <v>80</v>
      </c>
      <c r="H57" s="8">
        <v>-7.5900000000000004E-3</v>
      </c>
      <c r="I57" s="8" t="s">
        <v>41</v>
      </c>
      <c r="J57" s="8">
        <v>-2.2618200000000002</v>
      </c>
    </row>
    <row r="58" spans="2:10">
      <c r="B58" t="str">
        <f t="shared" si="0"/>
        <v>AKMS (ASCC Miscellaneous)_Total Output_Nitrous Oxide</v>
      </c>
      <c r="C58" t="s">
        <v>50</v>
      </c>
      <c r="D58" t="s">
        <v>84</v>
      </c>
      <c r="E58" t="s">
        <v>93</v>
      </c>
      <c r="F58" t="s">
        <v>88</v>
      </c>
      <c r="G58" t="s">
        <v>80</v>
      </c>
      <c r="H58" s="8">
        <v>-3.5500000000000002E-3</v>
      </c>
      <c r="I58" s="8" t="s">
        <v>41</v>
      </c>
      <c r="J58" s="8">
        <v>-1.0579000000000001</v>
      </c>
    </row>
    <row r="59" spans="2:10">
      <c r="B59" t="str">
        <f t="shared" si="0"/>
        <v>AZNM (WECC Southwest)_Total Output_Nitrous Oxide</v>
      </c>
      <c r="C59" t="s">
        <v>51</v>
      </c>
      <c r="D59" t="s">
        <v>84</v>
      </c>
      <c r="E59" t="s">
        <v>93</v>
      </c>
      <c r="F59" t="s">
        <v>88</v>
      </c>
      <c r="G59" t="s">
        <v>80</v>
      </c>
      <c r="H59" s="8">
        <v>-1.511E-2</v>
      </c>
      <c r="I59" s="8" t="s">
        <v>41</v>
      </c>
      <c r="J59" s="8">
        <v>-4.5027800000000004</v>
      </c>
    </row>
    <row r="60" spans="2:10">
      <c r="B60" t="str">
        <f t="shared" si="0"/>
        <v>CAMX (WECC California)_Total Output_Nitrous Oxide</v>
      </c>
      <c r="C60" t="s">
        <v>52</v>
      </c>
      <c r="D60" t="s">
        <v>84</v>
      </c>
      <c r="E60" t="s">
        <v>93</v>
      </c>
      <c r="F60" t="s">
        <v>88</v>
      </c>
      <c r="G60" t="s">
        <v>80</v>
      </c>
      <c r="H60" s="8">
        <v>-5.6699999999999997E-3</v>
      </c>
      <c r="I60" s="8" t="s">
        <v>41</v>
      </c>
      <c r="J60" s="8">
        <v>-1.6896599999999999</v>
      </c>
    </row>
    <row r="61" spans="2:10">
      <c r="B61" t="str">
        <f t="shared" si="0"/>
        <v>ERCT (ERCOT All)_Total Output_Nitrous Oxide</v>
      </c>
      <c r="C61" t="s">
        <v>53</v>
      </c>
      <c r="D61" t="s">
        <v>84</v>
      </c>
      <c r="E61" t="s">
        <v>93</v>
      </c>
      <c r="F61" t="s">
        <v>88</v>
      </c>
      <c r="G61" t="s">
        <v>80</v>
      </c>
      <c r="H61" s="8">
        <v>-1.2330000000000001E-2</v>
      </c>
      <c r="I61" s="8" t="s">
        <v>41</v>
      </c>
      <c r="J61" s="8">
        <v>-3.6743400000000004</v>
      </c>
    </row>
    <row r="62" spans="2:10">
      <c r="B62" t="str">
        <f t="shared" si="0"/>
        <v>FRCC (FRCC All)_Total Output_Nitrous Oxide</v>
      </c>
      <c r="C62" t="s">
        <v>54</v>
      </c>
      <c r="D62" t="s">
        <v>84</v>
      </c>
      <c r="E62" t="s">
        <v>93</v>
      </c>
      <c r="F62" t="s">
        <v>88</v>
      </c>
      <c r="G62" t="s">
        <v>80</v>
      </c>
      <c r="H62" s="8">
        <v>-1.1849999999999999E-2</v>
      </c>
      <c r="I62" s="8" t="s">
        <v>41</v>
      </c>
      <c r="J62" s="8">
        <v>-3.5312999999999999</v>
      </c>
    </row>
    <row r="63" spans="2:10">
      <c r="B63" t="str">
        <f t="shared" si="0"/>
        <v>HIMS (HICC Miscellaneous)_Total Output_Nitrous Oxide</v>
      </c>
      <c r="C63" t="s">
        <v>55</v>
      </c>
      <c r="D63" t="s">
        <v>84</v>
      </c>
      <c r="E63" t="s">
        <v>93</v>
      </c>
      <c r="F63" t="s">
        <v>88</v>
      </c>
      <c r="G63" t="s">
        <v>80</v>
      </c>
      <c r="H63" s="8">
        <v>-1.268E-2</v>
      </c>
      <c r="I63" s="8" t="s">
        <v>41</v>
      </c>
      <c r="J63" s="8">
        <v>-3.7786400000000002</v>
      </c>
    </row>
    <row r="64" spans="2:10">
      <c r="B64" t="str">
        <f t="shared" si="0"/>
        <v>HIOA (HICC Oahu)_Total Output_Nitrous Oxide</v>
      </c>
      <c r="C64" t="s">
        <v>56</v>
      </c>
      <c r="D64" t="s">
        <v>84</v>
      </c>
      <c r="E64" t="s">
        <v>93</v>
      </c>
      <c r="F64" t="s">
        <v>88</v>
      </c>
      <c r="G64" t="s">
        <v>80</v>
      </c>
      <c r="H64" s="8">
        <v>-2.155E-2</v>
      </c>
      <c r="I64" s="8" t="s">
        <v>41</v>
      </c>
      <c r="J64" s="8">
        <v>-6.4218999999999999</v>
      </c>
    </row>
    <row r="65" spans="2:10">
      <c r="B65" t="str">
        <f t="shared" si="0"/>
        <v>MROE (MRO East)_Total Output_Nitrous Oxide</v>
      </c>
      <c r="C65" t="s">
        <v>57</v>
      </c>
      <c r="D65" t="s">
        <v>84</v>
      </c>
      <c r="E65" t="s">
        <v>93</v>
      </c>
      <c r="F65" t="s">
        <v>88</v>
      </c>
      <c r="G65" t="s">
        <v>80</v>
      </c>
      <c r="H65" s="8">
        <v>-2.555E-2</v>
      </c>
      <c r="I65" s="8" t="s">
        <v>41</v>
      </c>
      <c r="J65" s="8">
        <v>-7.6139000000000001</v>
      </c>
    </row>
    <row r="66" spans="2:10">
      <c r="B66" t="str">
        <f t="shared" si="0"/>
        <v>MROW (MRO West)_Total Output_Nitrous Oxide</v>
      </c>
      <c r="C66" t="s">
        <v>58</v>
      </c>
      <c r="D66" t="s">
        <v>84</v>
      </c>
      <c r="E66" t="s">
        <v>93</v>
      </c>
      <c r="F66" t="s">
        <v>88</v>
      </c>
      <c r="G66" t="s">
        <v>80</v>
      </c>
      <c r="H66" s="8">
        <v>-2.426E-2</v>
      </c>
      <c r="I66" s="8" t="s">
        <v>41</v>
      </c>
      <c r="J66" s="8">
        <v>-7.2294799999999997</v>
      </c>
    </row>
    <row r="67" spans="2:10">
      <c r="B67" t="str">
        <f t="shared" si="0"/>
        <v>NEWE (NPCC New England)_Total Output_Nitrous Oxide</v>
      </c>
      <c r="C67" t="s">
        <v>59</v>
      </c>
      <c r="D67" t="s">
        <v>84</v>
      </c>
      <c r="E67" t="s">
        <v>93</v>
      </c>
      <c r="F67" t="s">
        <v>88</v>
      </c>
      <c r="G67" t="s">
        <v>80</v>
      </c>
      <c r="H67" s="8">
        <v>-1.0710000000000001E-2</v>
      </c>
      <c r="I67" s="8" t="s">
        <v>41</v>
      </c>
      <c r="J67" s="8">
        <v>-3.1915800000000001</v>
      </c>
    </row>
    <row r="68" spans="2:10">
      <c r="B68" t="str">
        <f t="shared" ref="B68:B131" si="1">C68&amp;"_"&amp;D68&amp;"_"&amp;E68</f>
        <v>NWPP (WECC Northwest)_Total Output_Nitrous Oxide</v>
      </c>
      <c r="C68" t="s">
        <v>60</v>
      </c>
      <c r="D68" t="s">
        <v>84</v>
      </c>
      <c r="E68" t="s">
        <v>93</v>
      </c>
      <c r="F68" t="s">
        <v>88</v>
      </c>
      <c r="G68" t="s">
        <v>80</v>
      </c>
      <c r="H68" s="8">
        <v>-1.038E-2</v>
      </c>
      <c r="I68" s="8" t="s">
        <v>41</v>
      </c>
      <c r="J68" s="8">
        <v>-3.0932400000000002</v>
      </c>
    </row>
    <row r="69" spans="2:10">
      <c r="B69" t="str">
        <f t="shared" si="1"/>
        <v>NYCW (NPCC NYC/Westchester)_Total Output_Nitrous Oxide</v>
      </c>
      <c r="C69" t="s">
        <v>61</v>
      </c>
      <c r="D69" t="s">
        <v>84</v>
      </c>
      <c r="E69" t="s">
        <v>93</v>
      </c>
      <c r="F69" t="s">
        <v>88</v>
      </c>
      <c r="G69" t="s">
        <v>80</v>
      </c>
      <c r="H69" s="8">
        <v>-2.9299999999999999E-3</v>
      </c>
      <c r="I69" s="8" t="s">
        <v>41</v>
      </c>
      <c r="J69" s="8">
        <v>-0.87313999999999992</v>
      </c>
    </row>
    <row r="70" spans="2:10">
      <c r="B70" t="str">
        <f t="shared" si="1"/>
        <v>NYLI (NPCC Long Island)_Total Output_Nitrous Oxide</v>
      </c>
      <c r="C70" t="s">
        <v>62</v>
      </c>
      <c r="D70" t="s">
        <v>84</v>
      </c>
      <c r="E70" t="s">
        <v>93</v>
      </c>
      <c r="F70" t="s">
        <v>88</v>
      </c>
      <c r="G70" t="s">
        <v>80</v>
      </c>
      <c r="H70" s="8">
        <v>-9.8700000000000003E-3</v>
      </c>
      <c r="I70" s="8" t="s">
        <v>41</v>
      </c>
      <c r="J70" s="8">
        <v>-2.9412600000000002</v>
      </c>
    </row>
    <row r="71" spans="2:10">
      <c r="B71" t="str">
        <f t="shared" si="1"/>
        <v>NYUP (NPCC Upstate NY)_Total Output_Nitrous Oxide</v>
      </c>
      <c r="C71" t="s">
        <v>63</v>
      </c>
      <c r="D71" t="s">
        <v>84</v>
      </c>
      <c r="E71" t="s">
        <v>93</v>
      </c>
      <c r="F71" t="s">
        <v>88</v>
      </c>
      <c r="G71" t="s">
        <v>80</v>
      </c>
      <c r="H71" s="8">
        <v>-3.8300000000000001E-3</v>
      </c>
      <c r="I71" s="8" t="s">
        <v>41</v>
      </c>
      <c r="J71" s="8">
        <v>-1.14134</v>
      </c>
    </row>
    <row r="72" spans="2:10">
      <c r="B72" t="str">
        <f t="shared" si="1"/>
        <v>RFCE (RFC East)_Total Output_Nitrous Oxide</v>
      </c>
      <c r="C72" t="s">
        <v>64</v>
      </c>
      <c r="D72" t="s">
        <v>84</v>
      </c>
      <c r="E72" t="s">
        <v>93</v>
      </c>
      <c r="F72" t="s">
        <v>88</v>
      </c>
      <c r="G72" t="s">
        <v>80</v>
      </c>
      <c r="H72" s="8">
        <v>-1.149E-2</v>
      </c>
      <c r="I72" s="8" t="s">
        <v>41</v>
      </c>
      <c r="J72" s="8">
        <v>-3.4240200000000001</v>
      </c>
    </row>
    <row r="73" spans="2:10">
      <c r="B73" t="str">
        <f t="shared" si="1"/>
        <v>RFCM (RFC Michigan)_Total Output_Nitrous Oxide</v>
      </c>
      <c r="C73" t="s">
        <v>65</v>
      </c>
      <c r="D73" t="s">
        <v>84</v>
      </c>
      <c r="E73" t="s">
        <v>93</v>
      </c>
      <c r="F73" t="s">
        <v>88</v>
      </c>
      <c r="G73" t="s">
        <v>80</v>
      </c>
      <c r="H73" s="8">
        <v>-2.4119999999999999E-2</v>
      </c>
      <c r="I73" s="8" t="s">
        <v>41</v>
      </c>
      <c r="J73" s="8">
        <v>-7.1877599999999999</v>
      </c>
    </row>
    <row r="74" spans="2:10">
      <c r="B74" t="str">
        <f t="shared" si="1"/>
        <v>RFCW (RFC West)_Total Output_Nitrous Oxide</v>
      </c>
      <c r="C74" t="s">
        <v>66</v>
      </c>
      <c r="D74" t="s">
        <v>84</v>
      </c>
      <c r="E74" t="s">
        <v>93</v>
      </c>
      <c r="F74" t="s">
        <v>88</v>
      </c>
      <c r="G74" t="s">
        <v>80</v>
      </c>
      <c r="H74" s="8">
        <v>-2.1669999999999998E-2</v>
      </c>
      <c r="I74" s="8" t="s">
        <v>41</v>
      </c>
      <c r="J74" s="8">
        <v>-6.4576599999999997</v>
      </c>
    </row>
    <row r="75" spans="2:10">
      <c r="B75" t="str">
        <f t="shared" si="1"/>
        <v>RMPA (WECC Rockies)_Total Output_Nitrous Oxide</v>
      </c>
      <c r="C75" t="s">
        <v>67</v>
      </c>
      <c r="D75" t="s">
        <v>84</v>
      </c>
      <c r="E75" t="s">
        <v>93</v>
      </c>
      <c r="F75" t="s">
        <v>88</v>
      </c>
      <c r="G75" t="s">
        <v>80</v>
      </c>
      <c r="H75" s="8">
        <v>-2.8129999999999999E-2</v>
      </c>
      <c r="I75" s="8" t="s">
        <v>41</v>
      </c>
      <c r="J75" s="8">
        <v>-8.3827400000000001</v>
      </c>
    </row>
    <row r="76" spans="2:10">
      <c r="B76" t="str">
        <f t="shared" si="1"/>
        <v>SPNO (SPP North)_Total Output_Nitrous Oxide</v>
      </c>
      <c r="C76" t="s">
        <v>68</v>
      </c>
      <c r="D76" t="s">
        <v>84</v>
      </c>
      <c r="E76" t="s">
        <v>93</v>
      </c>
      <c r="F76" t="s">
        <v>88</v>
      </c>
      <c r="G76" t="s">
        <v>80</v>
      </c>
      <c r="H76" s="8">
        <v>-2.7140000000000001E-2</v>
      </c>
      <c r="I76" s="8" t="s">
        <v>41</v>
      </c>
      <c r="J76" s="8">
        <v>-8.0877200000000009</v>
      </c>
    </row>
    <row r="77" spans="2:10">
      <c r="B77" t="str">
        <f t="shared" si="1"/>
        <v>SPSO (SPP South)_Total Output_Nitrous Oxide</v>
      </c>
      <c r="C77" t="s">
        <v>69</v>
      </c>
      <c r="D77" t="s">
        <v>84</v>
      </c>
      <c r="E77" t="s">
        <v>93</v>
      </c>
      <c r="F77" t="s">
        <v>88</v>
      </c>
      <c r="G77" t="s">
        <v>80</v>
      </c>
      <c r="H77" s="8">
        <v>-1.9980000000000001E-2</v>
      </c>
      <c r="I77" s="8" t="s">
        <v>41</v>
      </c>
      <c r="J77" s="8">
        <v>-5.95404</v>
      </c>
    </row>
    <row r="78" spans="2:10">
      <c r="B78" t="str">
        <f t="shared" si="1"/>
        <v>SRMV (SERC Mississippi Valley)_Total Output_Nitrous Oxide</v>
      </c>
      <c r="C78" t="s">
        <v>70</v>
      </c>
      <c r="D78" t="s">
        <v>84</v>
      </c>
      <c r="E78" t="s">
        <v>93</v>
      </c>
      <c r="F78" t="s">
        <v>88</v>
      </c>
      <c r="G78" t="s">
        <v>80</v>
      </c>
      <c r="H78" s="8">
        <v>-1.061E-2</v>
      </c>
      <c r="I78" s="8" t="s">
        <v>41</v>
      </c>
      <c r="J78" s="8">
        <v>-3.1617799999999998</v>
      </c>
    </row>
    <row r="79" spans="2:10">
      <c r="B79" t="str">
        <f t="shared" si="1"/>
        <v>SRMW (SERC Midwest)_Total Output_Nitrous Oxide</v>
      </c>
      <c r="C79" t="s">
        <v>71</v>
      </c>
      <c r="D79" t="s">
        <v>84</v>
      </c>
      <c r="E79" t="s">
        <v>93</v>
      </c>
      <c r="F79" t="s">
        <v>88</v>
      </c>
      <c r="G79" t="s">
        <v>80</v>
      </c>
      <c r="H79" s="8">
        <v>-2.75E-2</v>
      </c>
      <c r="I79" s="8" t="s">
        <v>41</v>
      </c>
      <c r="J79" s="8">
        <v>-8.1950000000000003</v>
      </c>
    </row>
    <row r="80" spans="2:10">
      <c r="B80" t="str">
        <f t="shared" si="1"/>
        <v>SRSO (SERC South)_Total Output_Nitrous Oxide</v>
      </c>
      <c r="C80" t="s">
        <v>72</v>
      </c>
      <c r="D80" t="s">
        <v>84</v>
      </c>
      <c r="E80" t="s">
        <v>93</v>
      </c>
      <c r="F80" t="s">
        <v>88</v>
      </c>
      <c r="G80" t="s">
        <v>80</v>
      </c>
      <c r="H80" s="8">
        <v>-1.549E-2</v>
      </c>
      <c r="I80" s="8" t="s">
        <v>41</v>
      </c>
      <c r="J80" s="8">
        <v>-4.6160199999999998</v>
      </c>
    </row>
    <row r="81" spans="2:10">
      <c r="B81" t="str">
        <f t="shared" si="1"/>
        <v>SRTV (SERC Tennessee Valley)_Total Output_Nitrous Oxide</v>
      </c>
      <c r="C81" t="s">
        <v>73</v>
      </c>
      <c r="D81" t="s">
        <v>84</v>
      </c>
      <c r="E81" t="s">
        <v>93</v>
      </c>
      <c r="F81" t="s">
        <v>88</v>
      </c>
      <c r="G81" t="s">
        <v>80</v>
      </c>
      <c r="H81" s="8">
        <v>-2.078E-2</v>
      </c>
      <c r="I81" s="8" t="s">
        <v>41</v>
      </c>
      <c r="J81" s="8">
        <v>-6.1924400000000004</v>
      </c>
    </row>
    <row r="82" spans="2:10">
      <c r="B82" t="str">
        <f t="shared" si="1"/>
        <v>SRVC (SERC Virginia/Carolina)_Total Output_Nitrous Oxide</v>
      </c>
      <c r="C82" t="s">
        <v>74</v>
      </c>
      <c r="D82" t="s">
        <v>84</v>
      </c>
      <c r="E82" t="s">
        <v>93</v>
      </c>
      <c r="F82" t="s">
        <v>88</v>
      </c>
      <c r="G82" t="s">
        <v>80</v>
      </c>
      <c r="H82" s="8">
        <v>-1.46E-2</v>
      </c>
      <c r="I82" s="8" t="s">
        <v>41</v>
      </c>
      <c r="J82" s="8">
        <v>-4.3508000000000004</v>
      </c>
    </row>
    <row r="83" spans="2:10">
      <c r="B83" t="str">
        <f t="shared" si="1"/>
        <v>US Average_Total Output_Nitrous Oxide</v>
      </c>
      <c r="C83" t="s">
        <v>75</v>
      </c>
      <c r="D83" t="s">
        <v>84</v>
      </c>
      <c r="E83" t="s">
        <v>93</v>
      </c>
      <c r="F83" t="s">
        <v>88</v>
      </c>
      <c r="G83" t="s">
        <v>80</v>
      </c>
      <c r="H83" s="8">
        <v>-1.5879999999999998E-2</v>
      </c>
      <c r="I83" s="8" t="s">
        <v>41</v>
      </c>
      <c r="J83" s="8">
        <v>-4.7322399999999991</v>
      </c>
    </row>
    <row r="84" spans="2:10">
      <c r="B84" t="str">
        <f t="shared" si="1"/>
        <v>AKGD (ASCC Alaska Grid)_Non-Baseload_Carbon Dioxide</v>
      </c>
      <c r="C84" t="s">
        <v>49</v>
      </c>
      <c r="D84" t="s">
        <v>85</v>
      </c>
      <c r="E84" t="s">
        <v>91</v>
      </c>
      <c r="F84" t="s">
        <v>86</v>
      </c>
      <c r="G84" t="s">
        <v>81</v>
      </c>
      <c r="H84" s="8">
        <v>-1377.77</v>
      </c>
      <c r="I84" s="8" t="s">
        <v>41</v>
      </c>
      <c r="J84" s="8">
        <v>-1377.77</v>
      </c>
    </row>
    <row r="85" spans="2:10">
      <c r="B85" t="str">
        <f t="shared" si="1"/>
        <v>AKMS (ASCC Miscellaneous)_Non-Baseload_Carbon Dioxide</v>
      </c>
      <c r="C85" t="s">
        <v>50</v>
      </c>
      <c r="D85" t="s">
        <v>85</v>
      </c>
      <c r="E85" t="s">
        <v>91</v>
      </c>
      <c r="F85" t="s">
        <v>86</v>
      </c>
      <c r="G85" t="s">
        <v>81</v>
      </c>
      <c r="H85" s="8">
        <v>-1404.49</v>
      </c>
      <c r="I85" s="8" t="s">
        <v>41</v>
      </c>
      <c r="J85" s="8">
        <v>-1404.49</v>
      </c>
    </row>
    <row r="86" spans="2:10">
      <c r="B86" t="str">
        <f t="shared" si="1"/>
        <v>AZNM (WECC Southwest)_Non-Baseload_Carbon Dioxide</v>
      </c>
      <c r="C86" t="s">
        <v>51</v>
      </c>
      <c r="D86" t="s">
        <v>85</v>
      </c>
      <c r="E86" t="s">
        <v>91</v>
      </c>
      <c r="F86" t="s">
        <v>86</v>
      </c>
      <c r="G86" t="s">
        <v>81</v>
      </c>
      <c r="H86" s="8">
        <v>-1280.5899999999999</v>
      </c>
      <c r="I86" s="8" t="s">
        <v>41</v>
      </c>
      <c r="J86" s="8">
        <v>-1280.5899999999999</v>
      </c>
    </row>
    <row r="87" spans="2:10">
      <c r="B87" t="str">
        <f t="shared" si="1"/>
        <v>CAMX (WECC California)_Non-Baseload_Carbon Dioxide</v>
      </c>
      <c r="C87" t="s">
        <v>52</v>
      </c>
      <c r="D87" t="s">
        <v>85</v>
      </c>
      <c r="E87" t="s">
        <v>91</v>
      </c>
      <c r="F87" t="s">
        <v>86</v>
      </c>
      <c r="G87" t="s">
        <v>81</v>
      </c>
      <c r="H87" s="8">
        <v>-1333.93</v>
      </c>
      <c r="I87" s="8" t="s">
        <v>41</v>
      </c>
      <c r="J87" s="8">
        <v>-1333.93</v>
      </c>
    </row>
    <row r="88" spans="2:10">
      <c r="B88" t="str">
        <f t="shared" si="1"/>
        <v>ERCT (ERCOT All)_Non-Baseload_Carbon Dioxide</v>
      </c>
      <c r="C88" t="s">
        <v>53</v>
      </c>
      <c r="D88" t="s">
        <v>85</v>
      </c>
      <c r="E88" t="s">
        <v>91</v>
      </c>
      <c r="F88" t="s">
        <v>86</v>
      </c>
      <c r="G88" t="s">
        <v>81</v>
      </c>
      <c r="H88" s="8">
        <v>-1331.47</v>
      </c>
      <c r="I88" s="8" t="s">
        <v>41</v>
      </c>
      <c r="J88" s="8">
        <v>-1331.47</v>
      </c>
    </row>
    <row r="89" spans="2:10">
      <c r="B89" t="str">
        <f t="shared" si="1"/>
        <v>FRCC (FRCC All)_Non-Baseload_Carbon Dioxide</v>
      </c>
      <c r="C89" t="s">
        <v>54</v>
      </c>
      <c r="D89" t="s">
        <v>85</v>
      </c>
      <c r="E89" t="s">
        <v>91</v>
      </c>
      <c r="F89" t="s">
        <v>86</v>
      </c>
      <c r="G89" t="s">
        <v>81</v>
      </c>
      <c r="H89" s="8">
        <v>-1402.27</v>
      </c>
      <c r="I89" s="8" t="s">
        <v>41</v>
      </c>
      <c r="J89" s="8">
        <v>-1402.27</v>
      </c>
    </row>
    <row r="90" spans="2:10">
      <c r="B90" t="str">
        <f t="shared" si="1"/>
        <v>HIMS (HICC Miscellaneous)_Non-Baseload_Carbon Dioxide</v>
      </c>
      <c r="C90" t="s">
        <v>55</v>
      </c>
      <c r="D90" t="s">
        <v>85</v>
      </c>
      <c r="E90" t="s">
        <v>91</v>
      </c>
      <c r="F90" t="s">
        <v>86</v>
      </c>
      <c r="G90" t="s">
        <v>81</v>
      </c>
      <c r="H90" s="8">
        <v>-1739</v>
      </c>
      <c r="I90" s="8" t="s">
        <v>41</v>
      </c>
      <c r="J90" s="8">
        <v>-1739</v>
      </c>
    </row>
    <row r="91" spans="2:10">
      <c r="B91" t="str">
        <f t="shared" si="1"/>
        <v>HIOA (HICC Oahu)_Non-Baseload_Carbon Dioxide</v>
      </c>
      <c r="C91" t="s">
        <v>56</v>
      </c>
      <c r="D91" t="s">
        <v>85</v>
      </c>
      <c r="E91" t="s">
        <v>91</v>
      </c>
      <c r="F91" t="s">
        <v>86</v>
      </c>
      <c r="G91" t="s">
        <v>81</v>
      </c>
      <c r="H91" s="8">
        <v>-1965.21</v>
      </c>
      <c r="I91" s="8" t="s">
        <v>41</v>
      </c>
      <c r="J91" s="8">
        <v>-1965.21</v>
      </c>
    </row>
    <row r="92" spans="2:10">
      <c r="B92" t="str">
        <f t="shared" si="1"/>
        <v>MROE (MRO East)_Non-Baseload_Carbon Dioxide</v>
      </c>
      <c r="C92" t="s">
        <v>57</v>
      </c>
      <c r="D92" t="s">
        <v>85</v>
      </c>
      <c r="E92" t="s">
        <v>91</v>
      </c>
      <c r="F92" t="s">
        <v>86</v>
      </c>
      <c r="G92" t="s">
        <v>81</v>
      </c>
      <c r="H92" s="8">
        <v>-1303.42</v>
      </c>
      <c r="I92" s="8" t="s">
        <v>41</v>
      </c>
      <c r="J92" s="8">
        <v>-1303.42</v>
      </c>
    </row>
    <row r="93" spans="2:10">
      <c r="B93" t="str">
        <f t="shared" si="1"/>
        <v>MROW (MRO West)_Non-Baseload_Carbon Dioxide</v>
      </c>
      <c r="C93" t="s">
        <v>58</v>
      </c>
      <c r="D93" t="s">
        <v>85</v>
      </c>
      <c r="E93" t="s">
        <v>91</v>
      </c>
      <c r="F93" t="s">
        <v>86</v>
      </c>
      <c r="G93" t="s">
        <v>81</v>
      </c>
      <c r="H93" s="8">
        <v>-1081.1099999999999</v>
      </c>
      <c r="I93" s="8" t="s">
        <v>41</v>
      </c>
      <c r="J93" s="8">
        <v>-1081.1099999999999</v>
      </c>
    </row>
    <row r="94" spans="2:10">
      <c r="B94" t="str">
        <f t="shared" si="1"/>
        <v>NEWE (NPCC New England)_Non-Baseload_Carbon Dioxide</v>
      </c>
      <c r="C94" t="s">
        <v>59</v>
      </c>
      <c r="D94" t="s">
        <v>85</v>
      </c>
      <c r="E94" t="s">
        <v>91</v>
      </c>
      <c r="F94" t="s">
        <v>86</v>
      </c>
      <c r="G94" t="s">
        <v>81</v>
      </c>
      <c r="H94" s="8">
        <v>-1079.73</v>
      </c>
      <c r="I94" s="8" t="s">
        <v>41</v>
      </c>
      <c r="J94" s="8">
        <v>-1079.73</v>
      </c>
    </row>
    <row r="95" spans="2:10">
      <c r="B95" t="str">
        <f t="shared" si="1"/>
        <v>NWPP (WECC Northwest)_Non-Baseload_Carbon Dioxide</v>
      </c>
      <c r="C95" t="s">
        <v>60</v>
      </c>
      <c r="D95" t="s">
        <v>85</v>
      </c>
      <c r="E95" t="s">
        <v>91</v>
      </c>
      <c r="F95" t="s">
        <v>86</v>
      </c>
      <c r="G95" t="s">
        <v>81</v>
      </c>
      <c r="H95" s="8">
        <v>-1228.56</v>
      </c>
      <c r="I95" s="8" t="s">
        <v>41</v>
      </c>
      <c r="J95" s="8">
        <v>-1228.56</v>
      </c>
    </row>
    <row r="96" spans="2:10">
      <c r="B96" t="str">
        <f t="shared" si="1"/>
        <v>NYCW (NPCC NYC/Westchester)_Non-Baseload_Carbon Dioxide</v>
      </c>
      <c r="C96" t="s">
        <v>61</v>
      </c>
      <c r="D96" t="s">
        <v>85</v>
      </c>
      <c r="E96" t="s">
        <v>91</v>
      </c>
      <c r="F96" t="s">
        <v>86</v>
      </c>
      <c r="G96" t="s">
        <v>81</v>
      </c>
      <c r="H96" s="8">
        <v>-1492.01</v>
      </c>
      <c r="I96" s="8" t="s">
        <v>41</v>
      </c>
      <c r="J96" s="8">
        <v>-1492.01</v>
      </c>
    </row>
    <row r="97" spans="2:10">
      <c r="B97" t="str">
        <f t="shared" si="1"/>
        <v>NYLI (NPCC Long Island)_Non-Baseload_Carbon Dioxide</v>
      </c>
      <c r="C97" t="s">
        <v>62</v>
      </c>
      <c r="D97" t="s">
        <v>85</v>
      </c>
      <c r="E97" t="s">
        <v>91</v>
      </c>
      <c r="F97" t="s">
        <v>86</v>
      </c>
      <c r="G97" t="s">
        <v>81</v>
      </c>
      <c r="H97" s="8">
        <v>-1856.21</v>
      </c>
      <c r="I97" s="8" t="s">
        <v>41</v>
      </c>
      <c r="J97" s="8">
        <v>-1856.21</v>
      </c>
    </row>
    <row r="98" spans="2:10">
      <c r="B98" t="str">
        <f t="shared" si="1"/>
        <v>NYUP (NPCC Upstate NY)_Non-Baseload_Carbon Dioxide</v>
      </c>
      <c r="C98" t="s">
        <v>63</v>
      </c>
      <c r="D98" t="s">
        <v>85</v>
      </c>
      <c r="E98" t="s">
        <v>91</v>
      </c>
      <c r="F98" t="s">
        <v>86</v>
      </c>
      <c r="G98" t="s">
        <v>81</v>
      </c>
      <c r="H98" s="8">
        <v>-1791.71</v>
      </c>
      <c r="I98" s="8" t="s">
        <v>41</v>
      </c>
      <c r="J98" s="8">
        <v>-1791.71</v>
      </c>
    </row>
    <row r="99" spans="2:10">
      <c r="B99" t="str">
        <f t="shared" si="1"/>
        <v>RFCE (RFC East)_Non-Baseload_Carbon Dioxide</v>
      </c>
      <c r="C99" t="s">
        <v>64</v>
      </c>
      <c r="D99" t="s">
        <v>85</v>
      </c>
      <c r="E99" t="s">
        <v>91</v>
      </c>
      <c r="F99" t="s">
        <v>86</v>
      </c>
      <c r="G99" t="s">
        <v>81</v>
      </c>
      <c r="H99" s="8">
        <v>-1917.96</v>
      </c>
      <c r="I99" s="8" t="s">
        <v>41</v>
      </c>
      <c r="J99" s="8">
        <v>-1917.96</v>
      </c>
    </row>
    <row r="100" spans="2:10">
      <c r="B100" t="str">
        <f t="shared" si="1"/>
        <v>RFCM (RFC Michigan)_Non-Baseload_Carbon Dioxide</v>
      </c>
      <c r="C100" t="s">
        <v>65</v>
      </c>
      <c r="D100" t="s">
        <v>85</v>
      </c>
      <c r="E100" t="s">
        <v>91</v>
      </c>
      <c r="F100" t="s">
        <v>86</v>
      </c>
      <c r="G100" t="s">
        <v>81</v>
      </c>
      <c r="H100" s="8">
        <v>-1301.6500000000001</v>
      </c>
      <c r="I100" s="8" t="s">
        <v>41</v>
      </c>
      <c r="J100" s="8">
        <v>-1301.6500000000001</v>
      </c>
    </row>
    <row r="101" spans="2:10">
      <c r="B101" t="str">
        <f t="shared" si="1"/>
        <v>RFCW (RFC West)_Non-Baseload_Carbon Dioxide</v>
      </c>
      <c r="C101" t="s">
        <v>66</v>
      </c>
      <c r="D101" t="s">
        <v>85</v>
      </c>
      <c r="E101" t="s">
        <v>91</v>
      </c>
      <c r="F101" t="s">
        <v>86</v>
      </c>
      <c r="G101" t="s">
        <v>81</v>
      </c>
      <c r="H101" s="8">
        <v>-1696.79</v>
      </c>
      <c r="I101" s="8" t="s">
        <v>41</v>
      </c>
      <c r="J101" s="8">
        <v>-1696.79</v>
      </c>
    </row>
    <row r="102" spans="2:10">
      <c r="B102" t="str">
        <f t="shared" si="1"/>
        <v>RMPA (WECC Rockies)_Non-Baseload_Carbon Dioxide</v>
      </c>
      <c r="C102" t="s">
        <v>67</v>
      </c>
      <c r="D102" t="s">
        <v>85</v>
      </c>
      <c r="E102" t="s">
        <v>91</v>
      </c>
      <c r="F102" t="s">
        <v>86</v>
      </c>
      <c r="G102" t="s">
        <v>81</v>
      </c>
      <c r="H102" s="8">
        <v>-1743.96</v>
      </c>
      <c r="I102" s="8" t="s">
        <v>41</v>
      </c>
      <c r="J102" s="8">
        <v>-1743.96</v>
      </c>
    </row>
    <row r="103" spans="2:10">
      <c r="B103" t="str">
        <f t="shared" si="1"/>
        <v>SPNO (SPP North)_Non-Baseload_Carbon Dioxide</v>
      </c>
      <c r="C103" t="s">
        <v>68</v>
      </c>
      <c r="D103" t="s">
        <v>85</v>
      </c>
      <c r="E103" t="s">
        <v>91</v>
      </c>
      <c r="F103" t="s">
        <v>86</v>
      </c>
      <c r="G103" t="s">
        <v>81</v>
      </c>
      <c r="H103" s="8">
        <v>-1790.57</v>
      </c>
      <c r="I103" s="8" t="s">
        <v>41</v>
      </c>
      <c r="J103" s="8">
        <v>-1790.57</v>
      </c>
    </row>
    <row r="104" spans="2:10">
      <c r="B104" t="str">
        <f t="shared" si="1"/>
        <v>SPSO (SPP South)_Non-Baseload_Carbon Dioxide</v>
      </c>
      <c r="C104" t="s">
        <v>69</v>
      </c>
      <c r="D104" t="s">
        <v>85</v>
      </c>
      <c r="E104" t="s">
        <v>91</v>
      </c>
      <c r="F104" t="s">
        <v>86</v>
      </c>
      <c r="G104" t="s">
        <v>81</v>
      </c>
      <c r="H104" s="8">
        <v>-2112.08</v>
      </c>
      <c r="I104" s="8" t="s">
        <v>41</v>
      </c>
      <c r="J104" s="8">
        <v>-2112.08</v>
      </c>
    </row>
    <row r="105" spans="2:10">
      <c r="B105" t="str">
        <f t="shared" si="1"/>
        <v>SRMV (SERC Mississippi Valley)_Non-Baseload_Carbon Dioxide</v>
      </c>
      <c r="C105" t="s">
        <v>70</v>
      </c>
      <c r="D105" t="s">
        <v>85</v>
      </c>
      <c r="E105" t="s">
        <v>91</v>
      </c>
      <c r="F105" t="s">
        <v>86</v>
      </c>
      <c r="G105" t="s">
        <v>81</v>
      </c>
      <c r="H105" s="8">
        <v>-1590.13</v>
      </c>
      <c r="I105" s="8" t="s">
        <v>41</v>
      </c>
      <c r="J105" s="8">
        <v>-1590.13</v>
      </c>
    </row>
    <row r="106" spans="2:10">
      <c r="B106" t="str">
        <f t="shared" si="1"/>
        <v>SRMW (SERC Midwest)_Non-Baseload_Carbon Dioxide</v>
      </c>
      <c r="C106" t="s">
        <v>71</v>
      </c>
      <c r="D106" t="s">
        <v>85</v>
      </c>
      <c r="E106" t="s">
        <v>91</v>
      </c>
      <c r="F106" t="s">
        <v>86</v>
      </c>
      <c r="G106" t="s">
        <v>81</v>
      </c>
      <c r="H106" s="8">
        <v>-1018.87</v>
      </c>
      <c r="I106" s="8" t="s">
        <v>41</v>
      </c>
      <c r="J106" s="8">
        <v>-1018.87</v>
      </c>
    </row>
    <row r="107" spans="2:10">
      <c r="B107" t="str">
        <f t="shared" si="1"/>
        <v>SRSO (SERC South)_Non-Baseload_Carbon Dioxide</v>
      </c>
      <c r="C107" t="s">
        <v>72</v>
      </c>
      <c r="D107" t="s">
        <v>85</v>
      </c>
      <c r="E107" t="s">
        <v>91</v>
      </c>
      <c r="F107" t="s">
        <v>86</v>
      </c>
      <c r="G107" t="s">
        <v>81</v>
      </c>
      <c r="H107" s="8">
        <v>-1579.07</v>
      </c>
      <c r="I107" s="8" t="s">
        <v>41</v>
      </c>
      <c r="J107" s="8">
        <v>-1579.07</v>
      </c>
    </row>
    <row r="108" spans="2:10">
      <c r="B108" t="str">
        <f t="shared" si="1"/>
        <v>SRTV (SERC Tennessee Valley)_Non-Baseload_Carbon Dioxide</v>
      </c>
      <c r="C108" t="s">
        <v>73</v>
      </c>
      <c r="D108" t="s">
        <v>85</v>
      </c>
      <c r="E108" t="s">
        <v>91</v>
      </c>
      <c r="F108" t="s">
        <v>86</v>
      </c>
      <c r="G108" t="s">
        <v>81</v>
      </c>
      <c r="H108" s="8">
        <v>-1669.58</v>
      </c>
      <c r="I108" s="8" t="s">
        <v>41</v>
      </c>
      <c r="J108" s="8">
        <v>-1669.58</v>
      </c>
    </row>
    <row r="109" spans="2:10">
      <c r="B109" t="str">
        <f t="shared" si="1"/>
        <v>SRVC (SERC Virginia/Carolina)_Non-Baseload_Carbon Dioxide</v>
      </c>
      <c r="C109" t="s">
        <v>74</v>
      </c>
      <c r="D109" t="s">
        <v>85</v>
      </c>
      <c r="E109" t="s">
        <v>91</v>
      </c>
      <c r="F109" t="s">
        <v>86</v>
      </c>
      <c r="G109" t="s">
        <v>81</v>
      </c>
      <c r="H109" s="8">
        <v>-1236.02</v>
      </c>
      <c r="I109" s="8" t="s">
        <v>41</v>
      </c>
      <c r="J109" s="8">
        <v>-1236.02</v>
      </c>
    </row>
    <row r="110" spans="2:10">
      <c r="B110" t="str">
        <f t="shared" si="1"/>
        <v>US Average_Non-Baseload_Carbon Dioxide</v>
      </c>
      <c r="C110" t="s">
        <v>75</v>
      </c>
      <c r="D110" t="s">
        <v>85</v>
      </c>
      <c r="E110" t="s">
        <v>91</v>
      </c>
      <c r="F110" t="s">
        <v>86</v>
      </c>
      <c r="G110" t="s">
        <v>81</v>
      </c>
      <c r="H110" s="8">
        <v>-1549.36</v>
      </c>
      <c r="I110" s="8" t="s">
        <v>41</v>
      </c>
      <c r="J110" s="8">
        <v>-1549.36</v>
      </c>
    </row>
    <row r="111" spans="2:10">
      <c r="B111" t="str">
        <f t="shared" si="1"/>
        <v>AKGD (ASCC Alaska Grid)_Non-Baseload_Methane</v>
      </c>
      <c r="C111" t="s">
        <v>49</v>
      </c>
      <c r="D111" t="s">
        <v>85</v>
      </c>
      <c r="E111" t="s">
        <v>92</v>
      </c>
      <c r="F111" t="s">
        <v>87</v>
      </c>
      <c r="G111" t="s">
        <v>82</v>
      </c>
      <c r="H111" s="8">
        <v>-2.8660000000000001E-2</v>
      </c>
      <c r="I111" s="8" t="s">
        <v>41</v>
      </c>
      <c r="J111" s="8">
        <v>-0.71650000000000003</v>
      </c>
    </row>
    <row r="112" spans="2:10">
      <c r="B112" t="str">
        <f t="shared" si="1"/>
        <v>AKMS (ASCC Miscellaneous)_Non-Baseload_Methane</v>
      </c>
      <c r="C112" t="s">
        <v>50</v>
      </c>
      <c r="D112" t="s">
        <v>85</v>
      </c>
      <c r="E112" t="s">
        <v>92</v>
      </c>
      <c r="F112" t="s">
        <v>87</v>
      </c>
      <c r="G112" t="s">
        <v>82</v>
      </c>
      <c r="H112" s="8">
        <v>-5.5640000000000002E-2</v>
      </c>
      <c r="I112" s="8" t="s">
        <v>41</v>
      </c>
      <c r="J112" s="8">
        <v>-1.391</v>
      </c>
    </row>
    <row r="113" spans="2:10">
      <c r="B113" t="str">
        <f t="shared" si="1"/>
        <v>AZNM (WECC Southwest)_Non-Baseload_Methane</v>
      </c>
      <c r="C113" t="s">
        <v>51</v>
      </c>
      <c r="D113" t="s">
        <v>85</v>
      </c>
      <c r="E113" t="s">
        <v>92</v>
      </c>
      <c r="F113" t="s">
        <v>87</v>
      </c>
      <c r="G113" t="s">
        <v>82</v>
      </c>
      <c r="H113" s="8">
        <v>-2.1530000000000001E-2</v>
      </c>
      <c r="I113" s="8" t="s">
        <v>41</v>
      </c>
      <c r="J113" s="8">
        <v>-0.53825000000000001</v>
      </c>
    </row>
    <row r="114" spans="2:10">
      <c r="B114" t="str">
        <f t="shared" si="1"/>
        <v>CAMX (WECC California)_Non-Baseload_Methane</v>
      </c>
      <c r="C114" t="s">
        <v>52</v>
      </c>
      <c r="D114" t="s">
        <v>85</v>
      </c>
      <c r="E114" t="s">
        <v>92</v>
      </c>
      <c r="F114" t="s">
        <v>87</v>
      </c>
      <c r="G114" t="s">
        <v>82</v>
      </c>
      <c r="H114" s="8">
        <v>-3.8809999999999997E-2</v>
      </c>
      <c r="I114" s="8" t="s">
        <v>41</v>
      </c>
      <c r="J114" s="8">
        <v>-0.97024999999999995</v>
      </c>
    </row>
    <row r="115" spans="2:10">
      <c r="B115" t="str">
        <f t="shared" si="1"/>
        <v>ERCT (ERCOT All)_Non-Baseload_Methane</v>
      </c>
      <c r="C115" t="s">
        <v>53</v>
      </c>
      <c r="D115" t="s">
        <v>85</v>
      </c>
      <c r="E115" t="s">
        <v>92</v>
      </c>
      <c r="F115" t="s">
        <v>87</v>
      </c>
      <c r="G115" t="s">
        <v>82</v>
      </c>
      <c r="H115" s="8">
        <v>-9.6820000000000003E-2</v>
      </c>
      <c r="I115" s="8" t="s">
        <v>41</v>
      </c>
      <c r="J115" s="8">
        <v>-2.4205000000000001</v>
      </c>
    </row>
    <row r="116" spans="2:10">
      <c r="B116" t="str">
        <f t="shared" si="1"/>
        <v>FRCC (FRCC All)_Non-Baseload_Methane</v>
      </c>
      <c r="C116" t="s">
        <v>54</v>
      </c>
      <c r="D116" t="s">
        <v>85</v>
      </c>
      <c r="E116" t="s">
        <v>92</v>
      </c>
      <c r="F116" t="s">
        <v>87</v>
      </c>
      <c r="G116" t="s">
        <v>82</v>
      </c>
      <c r="H116" s="8">
        <v>-0.11801</v>
      </c>
      <c r="I116" s="8" t="s">
        <v>41</v>
      </c>
      <c r="J116" s="8">
        <v>-2.95025</v>
      </c>
    </row>
    <row r="117" spans="2:10">
      <c r="B117" t="str">
        <f t="shared" si="1"/>
        <v>HIMS (HICC Miscellaneous)_Non-Baseload_Methane</v>
      </c>
      <c r="C117" t="s">
        <v>55</v>
      </c>
      <c r="D117" t="s">
        <v>85</v>
      </c>
      <c r="E117" t="s">
        <v>92</v>
      </c>
      <c r="F117" t="s">
        <v>87</v>
      </c>
      <c r="G117" t="s">
        <v>82</v>
      </c>
      <c r="H117" s="8">
        <v>-3.0169999999999999E-2</v>
      </c>
      <c r="I117" s="8" t="s">
        <v>41</v>
      </c>
      <c r="J117" s="8">
        <v>-0.75424999999999998</v>
      </c>
    </row>
    <row r="118" spans="2:10">
      <c r="B118" t="str">
        <f t="shared" si="1"/>
        <v>HIOA (HICC Oahu)_Non-Baseload_Methane</v>
      </c>
      <c r="C118" t="s">
        <v>56</v>
      </c>
      <c r="D118" t="s">
        <v>85</v>
      </c>
      <c r="E118" t="s">
        <v>92</v>
      </c>
      <c r="F118" t="s">
        <v>87</v>
      </c>
      <c r="G118" t="s">
        <v>82</v>
      </c>
      <c r="H118" s="8">
        <v>-5.2600000000000001E-2</v>
      </c>
      <c r="I118" s="8" t="s">
        <v>41</v>
      </c>
      <c r="J118" s="8">
        <v>-1.3149999999999999</v>
      </c>
    </row>
    <row r="119" spans="2:10">
      <c r="B119" t="str">
        <f t="shared" si="1"/>
        <v>MROE (MRO East)_Non-Baseload_Methane</v>
      </c>
      <c r="C119" t="s">
        <v>57</v>
      </c>
      <c r="D119" t="s">
        <v>85</v>
      </c>
      <c r="E119" t="s">
        <v>92</v>
      </c>
      <c r="F119" t="s">
        <v>87</v>
      </c>
      <c r="G119" t="s">
        <v>82</v>
      </c>
      <c r="H119" s="8">
        <v>-3.1399999999999997E-2</v>
      </c>
      <c r="I119" s="8" t="s">
        <v>41</v>
      </c>
      <c r="J119" s="8">
        <v>-0.78499999999999992</v>
      </c>
    </row>
    <row r="120" spans="2:10">
      <c r="B120" t="str">
        <f t="shared" si="1"/>
        <v>MROW (MRO West)_Non-Baseload_Methane</v>
      </c>
      <c r="C120" t="s">
        <v>58</v>
      </c>
      <c r="D120" t="s">
        <v>85</v>
      </c>
      <c r="E120" t="s">
        <v>92</v>
      </c>
      <c r="F120" t="s">
        <v>87</v>
      </c>
      <c r="G120" t="s">
        <v>82</v>
      </c>
      <c r="H120" s="8">
        <v>-2.2499999999999999E-2</v>
      </c>
      <c r="I120" s="8" t="s">
        <v>41</v>
      </c>
      <c r="J120" s="8">
        <v>-0.5625</v>
      </c>
    </row>
    <row r="121" spans="2:10">
      <c r="B121" t="str">
        <f t="shared" si="1"/>
        <v>NEWE (NPCC New England)_Non-Baseload_Methane</v>
      </c>
      <c r="C121" t="s">
        <v>59</v>
      </c>
      <c r="D121" t="s">
        <v>85</v>
      </c>
      <c r="E121" t="s">
        <v>92</v>
      </c>
      <c r="F121" t="s">
        <v>87</v>
      </c>
      <c r="G121" t="s">
        <v>82</v>
      </c>
      <c r="H121" s="8">
        <v>-6.7699999999999996E-2</v>
      </c>
      <c r="I121" s="8" t="s">
        <v>41</v>
      </c>
      <c r="J121" s="8">
        <v>-1.6924999999999999</v>
      </c>
    </row>
    <row r="122" spans="2:10">
      <c r="B122" t="str">
        <f t="shared" si="1"/>
        <v>NWPP (WECC Northwest)_Non-Baseload_Methane</v>
      </c>
      <c r="C122" t="s">
        <v>60</v>
      </c>
      <c r="D122" t="s">
        <v>85</v>
      </c>
      <c r="E122" t="s">
        <v>92</v>
      </c>
      <c r="F122" t="s">
        <v>87</v>
      </c>
      <c r="G122" t="s">
        <v>82</v>
      </c>
      <c r="H122" s="8">
        <v>-3.9E-2</v>
      </c>
      <c r="I122" s="8" t="s">
        <v>41</v>
      </c>
      <c r="J122" s="8">
        <v>-0.97499999999999998</v>
      </c>
    </row>
    <row r="123" spans="2:10">
      <c r="B123" t="str">
        <f t="shared" si="1"/>
        <v>NYCW (NPCC NYC/Westchester)_Non-Baseload_Methane</v>
      </c>
      <c r="C123" t="s">
        <v>61</v>
      </c>
      <c r="D123" t="s">
        <v>85</v>
      </c>
      <c r="E123" t="s">
        <v>92</v>
      </c>
      <c r="F123" t="s">
        <v>87</v>
      </c>
      <c r="G123" t="s">
        <v>82</v>
      </c>
      <c r="H123" s="8">
        <v>-3.2739999999999998E-2</v>
      </c>
      <c r="I123" s="8" t="s">
        <v>41</v>
      </c>
      <c r="J123" s="8">
        <v>-0.81850000000000001</v>
      </c>
    </row>
    <row r="124" spans="2:10">
      <c r="B124" t="str">
        <f t="shared" si="1"/>
        <v>NYLI (NPCC Long Island)_Non-Baseload_Methane</v>
      </c>
      <c r="C124" t="s">
        <v>62</v>
      </c>
      <c r="D124" t="s">
        <v>85</v>
      </c>
      <c r="E124" t="s">
        <v>92</v>
      </c>
      <c r="F124" t="s">
        <v>87</v>
      </c>
      <c r="G124" t="s">
        <v>82</v>
      </c>
      <c r="H124" s="8">
        <v>-3.3910000000000003E-2</v>
      </c>
      <c r="I124" s="8" t="s">
        <v>41</v>
      </c>
      <c r="J124" s="8">
        <v>-0.84775000000000011</v>
      </c>
    </row>
    <row r="125" spans="2:10">
      <c r="B125" t="str">
        <f t="shared" si="1"/>
        <v>NYUP (NPCC Upstate NY)_Non-Baseload_Methane</v>
      </c>
      <c r="C125" t="s">
        <v>63</v>
      </c>
      <c r="D125" t="s">
        <v>85</v>
      </c>
      <c r="E125" t="s">
        <v>92</v>
      </c>
      <c r="F125" t="s">
        <v>87</v>
      </c>
      <c r="G125" t="s">
        <v>82</v>
      </c>
      <c r="H125" s="8">
        <v>-2.1760000000000002E-2</v>
      </c>
      <c r="I125" s="8" t="s">
        <v>41</v>
      </c>
      <c r="J125" s="8">
        <v>-0.54400000000000004</v>
      </c>
    </row>
    <row r="126" spans="2:10">
      <c r="B126" t="str">
        <f t="shared" si="1"/>
        <v>RFCE (RFC East)_Non-Baseload_Methane</v>
      </c>
      <c r="C126" t="s">
        <v>64</v>
      </c>
      <c r="D126" t="s">
        <v>85</v>
      </c>
      <c r="E126" t="s">
        <v>92</v>
      </c>
      <c r="F126" t="s">
        <v>87</v>
      </c>
      <c r="G126" t="s">
        <v>82</v>
      </c>
      <c r="H126" s="8">
        <v>-2.3290000000000002E-2</v>
      </c>
      <c r="I126" s="8" t="s">
        <v>41</v>
      </c>
      <c r="J126" s="8">
        <v>-0.58225000000000005</v>
      </c>
    </row>
    <row r="127" spans="2:10">
      <c r="B127" t="str">
        <f t="shared" si="1"/>
        <v>RFCM (RFC Michigan)_Non-Baseload_Methane</v>
      </c>
      <c r="C127" t="s">
        <v>65</v>
      </c>
      <c r="D127" t="s">
        <v>85</v>
      </c>
      <c r="E127" t="s">
        <v>92</v>
      </c>
      <c r="F127" t="s">
        <v>87</v>
      </c>
      <c r="G127" t="s">
        <v>82</v>
      </c>
      <c r="H127" s="8">
        <v>-2.743E-2</v>
      </c>
      <c r="I127" s="8" t="s">
        <v>41</v>
      </c>
      <c r="J127" s="8">
        <v>-0.68574999999999997</v>
      </c>
    </row>
    <row r="128" spans="2:10">
      <c r="B128" t="str">
        <f t="shared" si="1"/>
        <v>RFCW (RFC West)_Non-Baseload_Methane</v>
      </c>
      <c r="C128" t="s">
        <v>66</v>
      </c>
      <c r="D128" t="s">
        <v>85</v>
      </c>
      <c r="E128" t="s">
        <v>92</v>
      </c>
      <c r="F128" t="s">
        <v>87</v>
      </c>
      <c r="G128" t="s">
        <v>82</v>
      </c>
      <c r="H128" s="8">
        <v>-2.8170000000000001E-2</v>
      </c>
      <c r="I128" s="8" t="s">
        <v>41</v>
      </c>
      <c r="J128" s="8">
        <v>-0.70425000000000004</v>
      </c>
    </row>
    <row r="129" spans="2:10">
      <c r="B129" t="str">
        <f t="shared" si="1"/>
        <v>RMPA (WECC Rockies)_Non-Baseload_Methane</v>
      </c>
      <c r="C129" t="s">
        <v>67</v>
      </c>
      <c r="D129" t="s">
        <v>85</v>
      </c>
      <c r="E129" t="s">
        <v>92</v>
      </c>
      <c r="F129" t="s">
        <v>87</v>
      </c>
      <c r="G129" t="s">
        <v>82</v>
      </c>
      <c r="H129" s="8">
        <v>-2.2839999999999999E-2</v>
      </c>
      <c r="I129" s="8" t="s">
        <v>41</v>
      </c>
      <c r="J129" s="8">
        <v>-0.57099999999999995</v>
      </c>
    </row>
    <row r="130" spans="2:10">
      <c r="B130" t="str">
        <f t="shared" si="1"/>
        <v>SPNO (SPP North)_Non-Baseload_Methane</v>
      </c>
      <c r="C130" t="s">
        <v>68</v>
      </c>
      <c r="D130" t="s">
        <v>85</v>
      </c>
      <c r="E130" t="s">
        <v>92</v>
      </c>
      <c r="F130" t="s">
        <v>87</v>
      </c>
      <c r="G130" t="s">
        <v>82</v>
      </c>
      <c r="H130" s="8">
        <v>-5.3100000000000001E-2</v>
      </c>
      <c r="I130" s="8" t="s">
        <v>41</v>
      </c>
      <c r="J130" s="8">
        <v>-1.3275000000000001</v>
      </c>
    </row>
    <row r="131" spans="2:10">
      <c r="B131" t="str">
        <f t="shared" si="1"/>
        <v>SPSO (SPP South)_Non-Baseload_Methane</v>
      </c>
      <c r="C131" t="s">
        <v>69</v>
      </c>
      <c r="D131" t="s">
        <v>85</v>
      </c>
      <c r="E131" t="s">
        <v>92</v>
      </c>
      <c r="F131" t="s">
        <v>87</v>
      </c>
      <c r="G131" t="s">
        <v>82</v>
      </c>
      <c r="H131" s="8">
        <v>-2.6110000000000001E-2</v>
      </c>
      <c r="I131" s="8" t="s">
        <v>41</v>
      </c>
      <c r="J131" s="8">
        <v>-0.65275000000000005</v>
      </c>
    </row>
    <row r="132" spans="2:10">
      <c r="B132" t="str">
        <f t="shared" ref="B132:B164" si="2">C132&amp;"_"&amp;D132&amp;"_"&amp;E132</f>
        <v>SRMV (SERC Mississippi Valley)_Non-Baseload_Methane</v>
      </c>
      <c r="C132" t="s">
        <v>70</v>
      </c>
      <c r="D132" t="s">
        <v>85</v>
      </c>
      <c r="E132" t="s">
        <v>92</v>
      </c>
      <c r="F132" t="s">
        <v>87</v>
      </c>
      <c r="G132" t="s">
        <v>82</v>
      </c>
      <c r="H132" s="8">
        <v>-2.76E-2</v>
      </c>
      <c r="I132" s="8" t="s">
        <v>41</v>
      </c>
      <c r="J132" s="8">
        <v>-0.69</v>
      </c>
    </row>
    <row r="133" spans="2:10">
      <c r="B133" t="str">
        <f t="shared" si="2"/>
        <v>SRMW (SERC Midwest)_Non-Baseload_Methane</v>
      </c>
      <c r="C133" t="s">
        <v>71</v>
      </c>
      <c r="D133" t="s">
        <v>85</v>
      </c>
      <c r="E133" t="s">
        <v>92</v>
      </c>
      <c r="F133" t="s">
        <v>87</v>
      </c>
      <c r="G133" t="s">
        <v>82</v>
      </c>
      <c r="H133" s="8">
        <v>-3.7609999999999998E-2</v>
      </c>
      <c r="I133" s="8" t="s">
        <v>41</v>
      </c>
      <c r="J133" s="8">
        <v>-0.94024999999999992</v>
      </c>
    </row>
    <row r="134" spans="2:10">
      <c r="B134" t="str">
        <f t="shared" si="2"/>
        <v>SRSO (SERC South)_Non-Baseload_Methane</v>
      </c>
      <c r="C134" t="s">
        <v>72</v>
      </c>
      <c r="D134" t="s">
        <v>85</v>
      </c>
      <c r="E134" t="s">
        <v>92</v>
      </c>
      <c r="F134" t="s">
        <v>87</v>
      </c>
      <c r="G134" t="s">
        <v>82</v>
      </c>
      <c r="H134" s="8">
        <v>-3.8300000000000001E-2</v>
      </c>
      <c r="I134" s="8" t="s">
        <v>41</v>
      </c>
      <c r="J134" s="8">
        <v>-0.95750000000000002</v>
      </c>
    </row>
    <row r="135" spans="2:10">
      <c r="B135" t="str">
        <f t="shared" si="2"/>
        <v>SRTV (SERC Tennessee Valley)_Non-Baseload_Methane</v>
      </c>
      <c r="C135" t="s">
        <v>73</v>
      </c>
      <c r="D135" t="s">
        <v>85</v>
      </c>
      <c r="E135" t="s">
        <v>92</v>
      </c>
      <c r="F135" t="s">
        <v>87</v>
      </c>
      <c r="G135" t="s">
        <v>82</v>
      </c>
      <c r="H135" s="8">
        <v>-2.2890000000000001E-2</v>
      </c>
      <c r="I135" s="8" t="s">
        <v>41</v>
      </c>
      <c r="J135" s="8">
        <v>-0.57225000000000004</v>
      </c>
    </row>
    <row r="136" spans="2:10">
      <c r="B136" t="str">
        <f t="shared" si="2"/>
        <v>SRVC (SERC Virginia/Carolina)_Non-Baseload_Methane</v>
      </c>
      <c r="C136" t="s">
        <v>74</v>
      </c>
      <c r="D136" t="s">
        <v>85</v>
      </c>
      <c r="E136" t="s">
        <v>92</v>
      </c>
      <c r="F136" t="s">
        <v>87</v>
      </c>
      <c r="G136" t="s">
        <v>82</v>
      </c>
      <c r="H136" s="8">
        <v>-2.1559999999999999E-2</v>
      </c>
      <c r="I136" s="8" t="s">
        <v>41</v>
      </c>
      <c r="J136" s="8">
        <v>-0.53900000000000003</v>
      </c>
    </row>
    <row r="137" spans="2:10">
      <c r="B137" t="str">
        <f t="shared" si="2"/>
        <v>US Average_Non-Baseload_Methane</v>
      </c>
      <c r="C137" t="s">
        <v>75</v>
      </c>
      <c r="D137" t="s">
        <v>85</v>
      </c>
      <c r="E137" t="s">
        <v>92</v>
      </c>
      <c r="F137" t="s">
        <v>87</v>
      </c>
      <c r="G137" t="s">
        <v>82</v>
      </c>
      <c r="H137" s="8">
        <v>-3.099E-2</v>
      </c>
      <c r="I137" s="8" t="s">
        <v>41</v>
      </c>
      <c r="J137" s="8">
        <v>-0.77475000000000005</v>
      </c>
    </row>
    <row r="138" spans="2:10">
      <c r="B138" t="str">
        <f t="shared" si="2"/>
        <v>AKGD (ASCC Alaska Grid)_Non-Baseload_Nitrous Oxide</v>
      </c>
      <c r="C138" t="s">
        <v>49</v>
      </c>
      <c r="D138" t="s">
        <v>85</v>
      </c>
      <c r="E138" t="s">
        <v>93</v>
      </c>
      <c r="F138" t="s">
        <v>88</v>
      </c>
      <c r="G138" t="s">
        <v>83</v>
      </c>
      <c r="H138" s="8">
        <v>-3.3800000000000002E-3</v>
      </c>
      <c r="I138" s="8" t="s">
        <v>41</v>
      </c>
      <c r="J138" s="8">
        <v>-1.0072400000000001</v>
      </c>
    </row>
    <row r="139" spans="2:10">
      <c r="B139" t="str">
        <f t="shared" si="2"/>
        <v>AKMS (ASCC Miscellaneous)_Non-Baseload_Nitrous Oxide</v>
      </c>
      <c r="C139" t="s">
        <v>50</v>
      </c>
      <c r="D139" t="s">
        <v>85</v>
      </c>
      <c r="E139" t="s">
        <v>93</v>
      </c>
      <c r="F139" t="s">
        <v>88</v>
      </c>
      <c r="G139" t="s">
        <v>83</v>
      </c>
      <c r="H139" s="8">
        <v>-1.0699999999999999E-2</v>
      </c>
      <c r="I139" s="8" t="s">
        <v>41</v>
      </c>
      <c r="J139" s="8">
        <v>-3.1885999999999997</v>
      </c>
    </row>
    <row r="140" spans="2:10">
      <c r="B140" t="str">
        <f t="shared" si="2"/>
        <v>AZNM (WECC Southwest)_Non-Baseload_Nitrous Oxide</v>
      </c>
      <c r="C140" t="s">
        <v>51</v>
      </c>
      <c r="D140" t="s">
        <v>85</v>
      </c>
      <c r="E140" t="s">
        <v>93</v>
      </c>
      <c r="F140" t="s">
        <v>88</v>
      </c>
      <c r="G140" t="s">
        <v>83</v>
      </c>
      <c r="H140" s="8">
        <v>-1.0710000000000001E-2</v>
      </c>
      <c r="I140" s="8" t="s">
        <v>41</v>
      </c>
      <c r="J140" s="8">
        <v>-3.1915800000000001</v>
      </c>
    </row>
    <row r="141" spans="2:10">
      <c r="B141" t="str">
        <f t="shared" si="2"/>
        <v>CAMX (WECC California)_Non-Baseload_Nitrous Oxide</v>
      </c>
      <c r="C141" t="s">
        <v>52</v>
      </c>
      <c r="D141" t="s">
        <v>85</v>
      </c>
      <c r="E141" t="s">
        <v>93</v>
      </c>
      <c r="F141" t="s">
        <v>88</v>
      </c>
      <c r="G141" t="s">
        <v>83</v>
      </c>
      <c r="H141" s="8">
        <v>-1.379E-2</v>
      </c>
      <c r="I141" s="8" t="s">
        <v>41</v>
      </c>
      <c r="J141" s="8">
        <v>-4.1094200000000001</v>
      </c>
    </row>
    <row r="142" spans="2:10">
      <c r="B142" t="str">
        <f t="shared" si="2"/>
        <v>ERCT (ERCOT All)_Non-Baseload_Nitrous Oxide</v>
      </c>
      <c r="C142" t="s">
        <v>53</v>
      </c>
      <c r="D142" t="s">
        <v>85</v>
      </c>
      <c r="E142" t="s">
        <v>93</v>
      </c>
      <c r="F142" t="s">
        <v>88</v>
      </c>
      <c r="G142" t="s">
        <v>83</v>
      </c>
      <c r="H142" s="8">
        <v>-1.7149999999999999E-2</v>
      </c>
      <c r="I142" s="8" t="s">
        <v>41</v>
      </c>
      <c r="J142" s="8">
        <v>-5.1106999999999996</v>
      </c>
    </row>
    <row r="143" spans="2:10">
      <c r="B143" t="str">
        <f t="shared" si="2"/>
        <v>FRCC (FRCC All)_Non-Baseload_Nitrous Oxide</v>
      </c>
      <c r="C143" t="s">
        <v>54</v>
      </c>
      <c r="D143" t="s">
        <v>85</v>
      </c>
      <c r="E143" t="s">
        <v>93</v>
      </c>
      <c r="F143" t="s">
        <v>88</v>
      </c>
      <c r="G143" t="s">
        <v>83</v>
      </c>
      <c r="H143" s="8">
        <v>-1.9429999999999999E-2</v>
      </c>
      <c r="I143" s="8" t="s">
        <v>41</v>
      </c>
      <c r="J143" s="8">
        <v>-5.7901400000000001</v>
      </c>
    </row>
    <row r="144" spans="2:10">
      <c r="B144" t="str">
        <f t="shared" si="2"/>
        <v>HIMS (HICC Miscellaneous)_Non-Baseload_Nitrous Oxide</v>
      </c>
      <c r="C144" t="s">
        <v>55</v>
      </c>
      <c r="D144" t="s">
        <v>85</v>
      </c>
      <c r="E144" t="s">
        <v>93</v>
      </c>
      <c r="F144" t="s">
        <v>88</v>
      </c>
      <c r="G144" t="s">
        <v>83</v>
      </c>
      <c r="H144" s="8">
        <v>-2.6259999999999999E-2</v>
      </c>
      <c r="I144" s="8" t="s">
        <v>41</v>
      </c>
      <c r="J144" s="8">
        <v>-7.8254799999999998</v>
      </c>
    </row>
    <row r="145" spans="2:10">
      <c r="B145" t="str">
        <f t="shared" si="2"/>
        <v>HIOA (HICC Oahu)_Non-Baseload_Nitrous Oxide</v>
      </c>
      <c r="C145" t="s">
        <v>56</v>
      </c>
      <c r="D145" t="s">
        <v>85</v>
      </c>
      <c r="E145" t="s">
        <v>93</v>
      </c>
      <c r="F145" t="s">
        <v>88</v>
      </c>
      <c r="G145" t="s">
        <v>83</v>
      </c>
      <c r="H145" s="8">
        <v>-3.2719999999999999E-2</v>
      </c>
      <c r="I145" s="8" t="s">
        <v>41</v>
      </c>
      <c r="J145" s="8">
        <v>-9.7505600000000001</v>
      </c>
    </row>
    <row r="146" spans="2:10">
      <c r="B146" t="str">
        <f t="shared" si="2"/>
        <v>MROE (MRO East)_Non-Baseload_Nitrous Oxide</v>
      </c>
      <c r="C146" t="s">
        <v>57</v>
      </c>
      <c r="D146" t="s">
        <v>85</v>
      </c>
      <c r="E146" t="s">
        <v>93</v>
      </c>
      <c r="F146" t="s">
        <v>88</v>
      </c>
      <c r="G146" t="s">
        <v>83</v>
      </c>
      <c r="H146" s="8">
        <v>-3.5599999999999998E-3</v>
      </c>
      <c r="I146" s="8" t="s">
        <v>41</v>
      </c>
      <c r="J146" s="8">
        <v>-1.06088</v>
      </c>
    </row>
    <row r="147" spans="2:10">
      <c r="B147" t="str">
        <f t="shared" si="2"/>
        <v>MROW (MRO West)_Non-Baseload_Nitrous Oxide</v>
      </c>
      <c r="C147" t="s">
        <v>58</v>
      </c>
      <c r="D147" t="s">
        <v>85</v>
      </c>
      <c r="E147" t="s">
        <v>93</v>
      </c>
      <c r="F147" t="s">
        <v>88</v>
      </c>
      <c r="G147" t="s">
        <v>83</v>
      </c>
      <c r="H147" s="8">
        <v>-2.32E-3</v>
      </c>
      <c r="I147" s="8" t="s">
        <v>41</v>
      </c>
      <c r="J147" s="8">
        <v>-0.69135999999999997</v>
      </c>
    </row>
    <row r="148" spans="2:10">
      <c r="B148" t="str">
        <f t="shared" si="2"/>
        <v>NEWE (NPCC New England)_Non-Baseload_Nitrous Oxide</v>
      </c>
      <c r="C148" t="s">
        <v>59</v>
      </c>
      <c r="D148" t="s">
        <v>85</v>
      </c>
      <c r="E148" t="s">
        <v>93</v>
      </c>
      <c r="F148" t="s">
        <v>88</v>
      </c>
      <c r="G148" t="s">
        <v>83</v>
      </c>
      <c r="H148" s="8">
        <v>-1.29E-2</v>
      </c>
      <c r="I148" s="8" t="s">
        <v>41</v>
      </c>
      <c r="J148" s="8">
        <v>-3.8441999999999998</v>
      </c>
    </row>
    <row r="149" spans="2:10">
      <c r="B149" t="str">
        <f t="shared" si="2"/>
        <v>NWPP (WECC Northwest)_Non-Baseload_Nitrous Oxide</v>
      </c>
      <c r="C149" t="s">
        <v>60</v>
      </c>
      <c r="D149" t="s">
        <v>85</v>
      </c>
      <c r="E149" t="s">
        <v>93</v>
      </c>
      <c r="F149" t="s">
        <v>88</v>
      </c>
      <c r="G149" t="s">
        <v>83</v>
      </c>
      <c r="H149" s="8">
        <v>-1.304E-2</v>
      </c>
      <c r="I149" s="8" t="s">
        <v>41</v>
      </c>
      <c r="J149" s="8">
        <v>-3.88592</v>
      </c>
    </row>
    <row r="150" spans="2:10">
      <c r="B150" t="str">
        <f t="shared" si="2"/>
        <v>NYCW (NPCC NYC/Westchester)_Non-Baseload_Nitrous Oxide</v>
      </c>
      <c r="C150" t="s">
        <v>61</v>
      </c>
      <c r="D150" t="s">
        <v>85</v>
      </c>
      <c r="E150" t="s">
        <v>93</v>
      </c>
      <c r="F150" t="s">
        <v>88</v>
      </c>
      <c r="G150" t="s">
        <v>83</v>
      </c>
      <c r="H150" s="8">
        <v>-1.8689999999999998E-2</v>
      </c>
      <c r="I150" s="8" t="s">
        <v>41</v>
      </c>
      <c r="J150" s="8">
        <v>-5.5696199999999996</v>
      </c>
    </row>
    <row r="151" spans="2:10">
      <c r="B151" t="str">
        <f t="shared" si="2"/>
        <v>NYLI (NPCC Long Island)_Non-Baseload_Nitrous Oxide</v>
      </c>
      <c r="C151" t="s">
        <v>62</v>
      </c>
      <c r="D151" t="s">
        <v>85</v>
      </c>
      <c r="E151" t="s">
        <v>93</v>
      </c>
      <c r="F151" t="s">
        <v>88</v>
      </c>
      <c r="G151" t="s">
        <v>83</v>
      </c>
      <c r="H151" s="8">
        <v>-2.8719999999999999E-2</v>
      </c>
      <c r="I151" s="8" t="s">
        <v>41</v>
      </c>
      <c r="J151" s="8">
        <v>-8.5585599999999999</v>
      </c>
    </row>
    <row r="152" spans="2:10">
      <c r="B152" t="str">
        <f t="shared" si="2"/>
        <v>NYUP (NPCC Upstate NY)_Non-Baseload_Nitrous Oxide</v>
      </c>
      <c r="C152" t="s">
        <v>63</v>
      </c>
      <c r="D152" t="s">
        <v>85</v>
      </c>
      <c r="E152" t="s">
        <v>93</v>
      </c>
      <c r="F152" t="s">
        <v>88</v>
      </c>
      <c r="G152" t="s">
        <v>83</v>
      </c>
      <c r="H152" s="8">
        <v>-2.785E-2</v>
      </c>
      <c r="I152" s="8" t="s">
        <v>41</v>
      </c>
      <c r="J152" s="8">
        <v>-8.2993000000000006</v>
      </c>
    </row>
    <row r="153" spans="2:10">
      <c r="B153" t="str">
        <f t="shared" si="2"/>
        <v>RFCE (RFC East)_Non-Baseload_Nitrous Oxide</v>
      </c>
      <c r="C153" t="s">
        <v>64</v>
      </c>
      <c r="D153" t="s">
        <v>85</v>
      </c>
      <c r="E153" t="s">
        <v>93</v>
      </c>
      <c r="F153" t="s">
        <v>88</v>
      </c>
      <c r="G153" t="s">
        <v>83</v>
      </c>
      <c r="H153" s="8">
        <v>-2.8840000000000001E-2</v>
      </c>
      <c r="I153" s="8" t="s">
        <v>41</v>
      </c>
      <c r="J153" s="8">
        <v>-8.5943199999999997</v>
      </c>
    </row>
    <row r="154" spans="2:10">
      <c r="B154" t="str">
        <f t="shared" si="2"/>
        <v>RFCM (RFC Michigan)_Non-Baseload_Nitrous Oxide</v>
      </c>
      <c r="C154" t="s">
        <v>65</v>
      </c>
      <c r="D154" t="s">
        <v>85</v>
      </c>
      <c r="E154" t="s">
        <v>93</v>
      </c>
      <c r="F154" t="s">
        <v>88</v>
      </c>
      <c r="G154" t="s">
        <v>83</v>
      </c>
      <c r="H154" s="8">
        <v>-9.75E-3</v>
      </c>
      <c r="I154" s="8" t="s">
        <v>41</v>
      </c>
      <c r="J154" s="8">
        <v>-2.9055</v>
      </c>
    </row>
    <row r="155" spans="2:10">
      <c r="B155" t="str">
        <f t="shared" si="2"/>
        <v>RFCW (RFC West)_Non-Baseload_Nitrous Oxide</v>
      </c>
      <c r="C155" t="s">
        <v>66</v>
      </c>
      <c r="D155" t="s">
        <v>85</v>
      </c>
      <c r="E155" t="s">
        <v>93</v>
      </c>
      <c r="F155" t="s">
        <v>88</v>
      </c>
      <c r="G155" t="s">
        <v>83</v>
      </c>
      <c r="H155" s="8">
        <v>-2.4830000000000001E-2</v>
      </c>
      <c r="I155" s="8" t="s">
        <v>41</v>
      </c>
      <c r="J155" s="8">
        <v>-7.3993400000000005</v>
      </c>
    </row>
    <row r="156" spans="2:10">
      <c r="B156" t="str">
        <f t="shared" si="2"/>
        <v>RMPA (WECC Rockies)_Non-Baseload_Nitrous Oxide</v>
      </c>
      <c r="C156" t="s">
        <v>67</v>
      </c>
      <c r="D156" t="s">
        <v>85</v>
      </c>
      <c r="E156" t="s">
        <v>93</v>
      </c>
      <c r="F156" t="s">
        <v>88</v>
      </c>
      <c r="G156" t="s">
        <v>83</v>
      </c>
      <c r="H156" s="8">
        <v>-2.6110000000000001E-2</v>
      </c>
      <c r="I156" s="8" t="s">
        <v>41</v>
      </c>
      <c r="J156" s="8">
        <v>-7.78078</v>
      </c>
    </row>
    <row r="157" spans="2:10">
      <c r="B157" t="str">
        <f t="shared" si="2"/>
        <v>SPNO (SPP North)_Non-Baseload_Nitrous Oxide</v>
      </c>
      <c r="C157" t="s">
        <v>68</v>
      </c>
      <c r="D157" t="s">
        <v>85</v>
      </c>
      <c r="E157" t="s">
        <v>93</v>
      </c>
      <c r="F157" t="s">
        <v>88</v>
      </c>
      <c r="G157" t="s">
        <v>83</v>
      </c>
      <c r="H157" s="8">
        <v>-2.9940000000000001E-2</v>
      </c>
      <c r="I157" s="8" t="s">
        <v>41</v>
      </c>
      <c r="J157" s="8">
        <v>-8.9221199999999996</v>
      </c>
    </row>
    <row r="158" spans="2:10">
      <c r="B158" t="str">
        <f t="shared" si="2"/>
        <v>SPSO (SPP South)_Non-Baseload_Nitrous Oxide</v>
      </c>
      <c r="C158" t="s">
        <v>69</v>
      </c>
      <c r="D158" t="s">
        <v>85</v>
      </c>
      <c r="E158" t="s">
        <v>93</v>
      </c>
      <c r="F158" t="s">
        <v>88</v>
      </c>
      <c r="G158" t="s">
        <v>83</v>
      </c>
      <c r="H158" s="8">
        <v>-3.0630000000000001E-2</v>
      </c>
      <c r="I158" s="8" t="s">
        <v>41</v>
      </c>
      <c r="J158" s="8">
        <v>-9.1277400000000011</v>
      </c>
    </row>
    <row r="159" spans="2:10">
      <c r="B159" t="str">
        <f t="shared" si="2"/>
        <v>SRMV (SERC Mississippi Valley)_Non-Baseload_Nitrous Oxide</v>
      </c>
      <c r="C159" t="s">
        <v>70</v>
      </c>
      <c r="D159" t="s">
        <v>85</v>
      </c>
      <c r="E159" t="s">
        <v>93</v>
      </c>
      <c r="F159" t="s">
        <v>88</v>
      </c>
      <c r="G159" t="s">
        <v>83</v>
      </c>
      <c r="H159" s="8">
        <v>-1.619E-2</v>
      </c>
      <c r="I159" s="8" t="s">
        <v>41</v>
      </c>
      <c r="J159" s="8">
        <v>-4.8246199999999995</v>
      </c>
    </row>
    <row r="160" spans="2:10">
      <c r="B160" t="str">
        <f t="shared" si="2"/>
        <v>SRMW (SERC Midwest)_Non-Baseload_Nitrous Oxide</v>
      </c>
      <c r="C160" t="s">
        <v>71</v>
      </c>
      <c r="D160" t="s">
        <v>85</v>
      </c>
      <c r="E160" t="s">
        <v>93</v>
      </c>
      <c r="F160" t="s">
        <v>88</v>
      </c>
      <c r="G160" t="s">
        <v>83</v>
      </c>
      <c r="H160" s="8">
        <v>-6.0400000000000002E-3</v>
      </c>
      <c r="I160" s="8" t="s">
        <v>41</v>
      </c>
      <c r="J160" s="8">
        <v>-1.79992</v>
      </c>
    </row>
    <row r="161" spans="2:10">
      <c r="B161" t="str">
        <f t="shared" si="2"/>
        <v>SRSO (SERC South)_Non-Baseload_Nitrous Oxide</v>
      </c>
      <c r="C161" t="s">
        <v>72</v>
      </c>
      <c r="D161" t="s">
        <v>85</v>
      </c>
      <c r="E161" t="s">
        <v>93</v>
      </c>
      <c r="F161" t="s">
        <v>88</v>
      </c>
      <c r="G161" t="s">
        <v>83</v>
      </c>
      <c r="H161" s="8">
        <v>-2.2839999999999999E-2</v>
      </c>
      <c r="I161" s="8" t="s">
        <v>41</v>
      </c>
      <c r="J161" s="8">
        <v>-6.8063199999999995</v>
      </c>
    </row>
    <row r="162" spans="2:10">
      <c r="B162" t="str">
        <f t="shared" si="2"/>
        <v>SRTV (SERC Tennessee Valley)_Non-Baseload_Nitrous Oxide</v>
      </c>
      <c r="C162" t="s">
        <v>73</v>
      </c>
      <c r="D162" t="s">
        <v>85</v>
      </c>
      <c r="E162" t="s">
        <v>93</v>
      </c>
      <c r="F162" t="s">
        <v>88</v>
      </c>
      <c r="G162" t="s">
        <v>83</v>
      </c>
      <c r="H162" s="8">
        <v>-2.0660000000000001E-2</v>
      </c>
      <c r="I162" s="8" t="s">
        <v>41</v>
      </c>
      <c r="J162" s="8">
        <v>-6.1566800000000006</v>
      </c>
    </row>
    <row r="163" spans="2:10">
      <c r="B163" t="str">
        <f t="shared" si="2"/>
        <v>SRVC (SERC Virginia/Carolina)_Non-Baseload_Nitrous Oxide</v>
      </c>
      <c r="C163" t="s">
        <v>74</v>
      </c>
      <c r="D163" t="s">
        <v>85</v>
      </c>
      <c r="E163" t="s">
        <v>93</v>
      </c>
      <c r="F163" t="s">
        <v>88</v>
      </c>
      <c r="G163" t="s">
        <v>83</v>
      </c>
      <c r="H163" s="8">
        <v>-1.052E-2</v>
      </c>
      <c r="I163" s="8" t="s">
        <v>41</v>
      </c>
      <c r="J163" s="8">
        <v>-3.13496</v>
      </c>
    </row>
    <row r="164" spans="2:10">
      <c r="B164" t="str">
        <f t="shared" si="2"/>
        <v>US Average_Non-Baseload_Nitrous Oxide</v>
      </c>
      <c r="C164" t="s">
        <v>75</v>
      </c>
      <c r="D164" t="s">
        <v>85</v>
      </c>
      <c r="E164" t="s">
        <v>93</v>
      </c>
      <c r="F164" t="s">
        <v>88</v>
      </c>
      <c r="G164" t="s">
        <v>83</v>
      </c>
      <c r="H164" s="8">
        <v>-1.9859999999999999E-2</v>
      </c>
      <c r="I164" s="8" t="s">
        <v>41</v>
      </c>
      <c r="J164" s="8">
        <v>-5.9182799999999993</v>
      </c>
    </row>
    <row r="167" spans="2:10">
      <c r="J167" s="8"/>
    </row>
  </sheetData>
  <autoFilter ref="A2:J164"/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theme="4"/>
  </sheetPr>
  <dimension ref="A1:AE114"/>
  <sheetViews>
    <sheetView showGridLines="0" tabSelected="1" view="pageLayout" topLeftCell="F1" zoomScaleNormal="85" workbookViewId="0">
      <selection activeCell="G45" sqref="G45"/>
    </sheetView>
  </sheetViews>
  <sheetFormatPr defaultRowHeight="15"/>
  <cols>
    <col min="2" max="2" width="32" bestFit="1" customWidth="1"/>
    <col min="3" max="3" width="12.28515625" bestFit="1" customWidth="1"/>
    <col min="4" max="4" width="13.42578125" bestFit="1" customWidth="1"/>
    <col min="5" max="5" width="21.5703125" bestFit="1" customWidth="1"/>
    <col min="6" max="6" width="12.42578125" bestFit="1" customWidth="1"/>
    <col min="7" max="7" width="22.42578125" bestFit="1" customWidth="1"/>
    <col min="8" max="12" width="11.7109375" customWidth="1"/>
    <col min="13" max="13" width="14.42578125" hidden="1" customWidth="1"/>
  </cols>
  <sheetData>
    <row r="1" spans="1:31">
      <c r="A1" s="17" t="s">
        <v>172</v>
      </c>
    </row>
    <row r="2" spans="1:31">
      <c r="A2" s="21" t="str">
        <f>HYPERLINK("#'Contents'!a1","Return to Contents")</f>
        <v>Return to Contents</v>
      </c>
    </row>
    <row r="3" spans="1:31">
      <c r="A3" s="21"/>
    </row>
    <row r="4" spans="1:31" ht="15" customHeight="1">
      <c r="B4" s="148"/>
      <c r="C4" s="148" t="s">
        <v>8</v>
      </c>
      <c r="D4" s="148" t="s">
        <v>344</v>
      </c>
      <c r="E4" s="148" t="s">
        <v>345</v>
      </c>
      <c r="F4" s="148" t="s">
        <v>225</v>
      </c>
      <c r="G4" s="148" t="s">
        <v>346</v>
      </c>
      <c r="M4" s="17" t="s">
        <v>604</v>
      </c>
    </row>
    <row r="5" spans="1:31">
      <c r="B5" s="251">
        <v>2017</v>
      </c>
      <c r="C5" s="248">
        <f>SUMIFS('Program Inputs'!$I$5:$I$37, 'Program Inputs'!$H$5:$H$37, $B5)</f>
        <v>14680</v>
      </c>
      <c r="D5" s="248">
        <f ca="1">INDEX(Analysis!$X$10:$X$12, MATCH($B5, Analysis!$H$10:$H$12, 0), 0)/1000</f>
        <v>5417.7211657970411</v>
      </c>
      <c r="E5" s="248">
        <f ca="1">INDEX(Analysis!$Y$10:$Y$12, MATCH($B5, Analysis!$H$10:$H$12, 0), 0)</f>
        <v>1250.4055123885378</v>
      </c>
      <c r="F5" s="249">
        <f ca="1">SUMIFS('Program Inputs'!$P$5:$P$37, 'Program Inputs'!$H$5:$H$37, $B5)</f>
        <v>914740.11749999993</v>
      </c>
      <c r="G5" s="788">
        <f ca="1">F5/$M5</f>
        <v>5.5290542290843282E-3</v>
      </c>
      <c r="M5" s="787">
        <v>165442421</v>
      </c>
    </row>
    <row r="6" spans="1:31">
      <c r="B6" s="251">
        <v>2018</v>
      </c>
      <c r="C6" s="248">
        <f>SUMIFS('Program Inputs'!$I$5:$I$37, 'Program Inputs'!$H$5:$H$37, $B6)</f>
        <v>14771</v>
      </c>
      <c r="D6" s="248">
        <f ca="1">INDEX(Analysis!$X$10:$X$12, MATCH($B6, Analysis!$H$10:$H$12, 0), 0)/1000</f>
        <v>5475.9525113538166</v>
      </c>
      <c r="E6" s="248">
        <f ca="1">INDEX(Analysis!$Y$10:$Y$12, MATCH($B6, Analysis!$H$10:$H$12, 0), 0)</f>
        <v>1269.383567603114</v>
      </c>
      <c r="F6" s="249">
        <f ca="1">SUMIFS('Program Inputs'!$P$5:$P$37, 'Program Inputs'!$H$5:$H$37, $B6)</f>
        <v>928901.01249999995</v>
      </c>
      <c r="G6" s="788">
        <f t="shared" ref="G6:G7" ca="1" si="0">F6/$M6</f>
        <v>5.6146483283147797E-3</v>
      </c>
      <c r="M6" s="787">
        <v>165442421</v>
      </c>
    </row>
    <row r="7" spans="1:31">
      <c r="B7" s="251">
        <v>2019</v>
      </c>
      <c r="C7" s="248">
        <f>SUMIFS('Program Inputs'!$I$5:$I$37, 'Program Inputs'!$H$5:$H$37, $B7)</f>
        <v>14862</v>
      </c>
      <c r="D7" s="248">
        <f ca="1">INDEX(Analysis!$X$10:$X$12, MATCH($B7, Analysis!$H$10:$H$12, 0), 0)/1000</f>
        <v>5534.183856910593</v>
      </c>
      <c r="E7" s="248">
        <f ca="1">INDEX(Analysis!$Y$10:$Y$12, MATCH($B7, Analysis!$H$10:$H$12, 0), 0)</f>
        <v>1288.36162281769</v>
      </c>
      <c r="F7" s="249">
        <f ca="1">SUMIFS('Program Inputs'!$P$5:$P$37, 'Program Inputs'!$H$5:$H$37, $B7)</f>
        <v>943061.90749999997</v>
      </c>
      <c r="G7" s="788">
        <f t="shared" ca="1" si="0"/>
        <v>5.7002424275452305E-3</v>
      </c>
      <c r="M7" s="787">
        <v>165442421</v>
      </c>
    </row>
    <row r="10" spans="1:31">
      <c r="B10" s="148"/>
      <c r="C10" s="148">
        <v>2017</v>
      </c>
      <c r="D10" s="148">
        <v>2018</v>
      </c>
      <c r="E10" s="148">
        <v>2019</v>
      </c>
    </row>
    <row r="11" spans="1:31">
      <c r="B11" s="209" t="s">
        <v>347</v>
      </c>
      <c r="C11" s="250">
        <f t="array" aca="1" ref="C11:E11" ca="1">TRANSPOSE(Analysis!$J$14:$J$16)</f>
        <v>0.84603815515064318</v>
      </c>
      <c r="D11" s="250">
        <f ca="1"/>
        <v>0.85353151568360974</v>
      </c>
      <c r="E11" s="250">
        <f ca="1"/>
        <v>0.86130016983458602</v>
      </c>
    </row>
    <row r="12" spans="1:31">
      <c r="B12" s="209" t="s">
        <v>348</v>
      </c>
      <c r="C12" s="250">
        <f t="array" aca="1" ref="C12:E12" ca="1">TRANSPOSE(Analysis!$J$17:$J$19)</f>
        <v>1.0348572386002628</v>
      </c>
      <c r="D12" s="250">
        <f ca="1"/>
        <v>1.0502409635290186</v>
      </c>
      <c r="E12" s="250">
        <f ca="1"/>
        <v>1.0658464271074912</v>
      </c>
    </row>
    <row r="13" spans="1:31">
      <c r="B13" s="209" t="s">
        <v>349</v>
      </c>
      <c r="C13" s="250">
        <f t="array" aca="1" ref="C13:E13" ca="1">TRANSPOSE(Analysis!$J$10:$J$12)</f>
        <v>0.99888002364991146</v>
      </c>
      <c r="D13" s="250">
        <f ca="1"/>
        <v>1.0116285610608486</v>
      </c>
      <c r="E13" s="250">
        <f ca="1"/>
        <v>1.0245544859401563</v>
      </c>
    </row>
    <row r="16" spans="1:31">
      <c r="B16" s="17" t="s">
        <v>350</v>
      </c>
      <c r="V16" s="252"/>
      <c r="W16" s="800" t="s">
        <v>344</v>
      </c>
      <c r="X16" s="800"/>
      <c r="Y16" s="800"/>
      <c r="Z16" s="800" t="s">
        <v>345</v>
      </c>
      <c r="AA16" s="800"/>
      <c r="AB16" s="800"/>
      <c r="AC16" s="800" t="s">
        <v>225</v>
      </c>
      <c r="AD16" s="800"/>
      <c r="AE16" s="800"/>
    </row>
    <row r="17" spans="2:31">
      <c r="B17" s="148"/>
      <c r="C17" s="148" t="s">
        <v>8</v>
      </c>
      <c r="D17" s="148" t="s">
        <v>344</v>
      </c>
      <c r="E17" s="148" t="s">
        <v>345</v>
      </c>
      <c r="F17" s="148" t="s">
        <v>225</v>
      </c>
      <c r="V17" s="252"/>
      <c r="W17" s="252">
        <v>2017</v>
      </c>
      <c r="X17" s="252">
        <v>2018</v>
      </c>
      <c r="Y17" s="252">
        <v>2019</v>
      </c>
      <c r="Z17" s="252">
        <v>2017</v>
      </c>
      <c r="AA17" s="252">
        <v>2018</v>
      </c>
      <c r="AB17" s="252">
        <v>2019</v>
      </c>
      <c r="AC17" s="252">
        <v>2017</v>
      </c>
      <c r="AD17" s="252">
        <v>2018</v>
      </c>
      <c r="AE17" s="252">
        <v>2019</v>
      </c>
    </row>
    <row r="18" spans="2:31">
      <c r="B18" s="209" t="s">
        <v>249</v>
      </c>
      <c r="C18" s="248">
        <f>SUMIFS('Program Inputs'!$I$5:$I$37, 'Program Inputs'!$E$5:$E$37, $B18, 'Program Inputs'!$H$5:$H$37, 2017)</f>
        <v>4500</v>
      </c>
      <c r="D18" s="248">
        <f ca="1">SUMIFS(Analysis!$X$21:$X$47, Analysis!$E$21:$E$47, $B18, Analysis!$H$21:$H$47, 2017)/1000</f>
        <v>162.33483419999999</v>
      </c>
      <c r="E18" s="248">
        <f ca="1">SUMIFS(Analysis!$Y$21:$Y$47, Analysis!$E$21:$E$47, $B18, Analysis!$H$21:$H$47, 2017)</f>
        <v>14.249636099999998</v>
      </c>
      <c r="F18" s="249">
        <f ca="1">SUMIFS('Program Inputs'!$P$5:$P$37, 'Program Inputs'!$E$5:$E$37, $B18, 'Program Inputs'!$H$5:$H$37, 2017)</f>
        <v>37800</v>
      </c>
      <c r="V18" s="252" t="str">
        <f t="shared" ref="V18:V26" si="1">B18</f>
        <v>Residential Lighting</v>
      </c>
      <c r="W18" s="253">
        <f t="shared" ref="W18:W26" ca="1" si="2">D18</f>
        <v>162.33483419999999</v>
      </c>
      <c r="X18" s="253">
        <f t="shared" ref="X18:X26" ca="1" si="3">D30</f>
        <v>164.28285221039999</v>
      </c>
      <c r="Y18" s="253">
        <f t="shared" ref="Y18:Y26" ca="1" si="4">D42</f>
        <v>166.2308702208</v>
      </c>
      <c r="Z18" s="253">
        <f t="shared" ref="Z18:Z26" ca="1" si="5">E18</f>
        <v>14.249636099999998</v>
      </c>
      <c r="AA18" s="253">
        <f t="shared" ref="AA18:AA26" ca="1" si="6">E30</f>
        <v>14.420631733199997</v>
      </c>
      <c r="AB18" s="253">
        <f t="shared" ref="AB18:AB26" ca="1" si="7">E42</f>
        <v>14.591627366399997</v>
      </c>
      <c r="AC18" s="254">
        <f t="shared" ref="AC18:AC26" ca="1" si="8">F18</f>
        <v>37800</v>
      </c>
      <c r="AD18" s="254">
        <f t="shared" ref="AD18:AD26" ca="1" si="9">F30</f>
        <v>38263.050000000003</v>
      </c>
      <c r="AE18" s="254">
        <f t="shared" ref="AE18:AE26" ca="1" si="10">F42</f>
        <v>38726.1</v>
      </c>
    </row>
    <row r="19" spans="2:31">
      <c r="B19" s="209" t="s">
        <v>120</v>
      </c>
      <c r="C19" s="248">
        <f>SUMIFS('Program Inputs'!$I$5:$I$37, 'Program Inputs'!$E$5:$E$37, $B19, 'Program Inputs'!$H$5:$H$37, 2017)</f>
        <v>83</v>
      </c>
      <c r="D19" s="248">
        <f ca="1">SUMIFS(Analysis!$X$21:$X$47, Analysis!$E$21:$E$47, $B19, Analysis!$H$21:$H$47, 2017)/1000</f>
        <v>105.515</v>
      </c>
      <c r="E19" s="248">
        <f ca="1">SUMIFS(Analysis!$Y$21:$Y$47, Analysis!$E$21:$E$47, $B19, Analysis!$H$21:$H$47, 2017)</f>
        <v>12.045091324200914</v>
      </c>
      <c r="F19" s="249">
        <f ca="1">SUMIFS('Program Inputs'!$P$5:$P$37, 'Program Inputs'!$E$5:$E$37, $B19, 'Program Inputs'!$H$5:$H$37, 2017)</f>
        <v>16231.6875</v>
      </c>
      <c r="V19" s="252" t="str">
        <f t="shared" si="1"/>
        <v>Appliance Recycling</v>
      </c>
      <c r="W19" s="253">
        <f t="shared" ca="1" si="2"/>
        <v>105.515</v>
      </c>
      <c r="X19" s="253">
        <f t="shared" ca="1" si="3"/>
        <v>105.515</v>
      </c>
      <c r="Y19" s="253">
        <f t="shared" ca="1" si="4"/>
        <v>105.515</v>
      </c>
      <c r="Z19" s="253">
        <f t="shared" ca="1" si="5"/>
        <v>12.045091324200914</v>
      </c>
      <c r="AA19" s="253">
        <f t="shared" ca="1" si="6"/>
        <v>12.045091324200914</v>
      </c>
      <c r="AB19" s="253">
        <f t="shared" ca="1" si="7"/>
        <v>12.045091324200914</v>
      </c>
      <c r="AC19" s="254">
        <f t="shared" ca="1" si="8"/>
        <v>16231.6875</v>
      </c>
      <c r="AD19" s="254">
        <f t="shared" ca="1" si="9"/>
        <v>16231.6875</v>
      </c>
      <c r="AE19" s="254">
        <f t="shared" ca="1" si="10"/>
        <v>16231.6875</v>
      </c>
    </row>
    <row r="20" spans="2:31">
      <c r="B20" s="209" t="s">
        <v>250</v>
      </c>
      <c r="C20" s="248">
        <f>SUMIFS('Program Inputs'!$I$5:$I$37, 'Program Inputs'!$E$5:$E$37, $B20, 'Program Inputs'!$H$5:$H$37, 2017)</f>
        <v>111</v>
      </c>
      <c r="D20" s="248">
        <f ca="1">SUMIFS(Analysis!$X$21:$X$47, Analysis!$E$21:$E$47, $B20, Analysis!$H$21:$H$47, 2017)/1000</f>
        <v>225.13899576627091</v>
      </c>
      <c r="E20" s="248">
        <f ca="1">SUMIFS(Analysis!$Y$21:$Y$47, Analysis!$E$21:$E$47, $B20, Analysis!$H$21:$H$47, 2017)</f>
        <v>79.476859716854349</v>
      </c>
      <c r="F20" s="249">
        <f ca="1">SUMIFS('Program Inputs'!$P$5:$P$37, 'Program Inputs'!$E$5:$E$37, $B20, 'Program Inputs'!$H$5:$H$37, 2017)</f>
        <v>35606.654999999999</v>
      </c>
      <c r="V20" s="252" t="str">
        <f t="shared" si="1"/>
        <v>High Efficiency HVAC</v>
      </c>
      <c r="W20" s="253">
        <f t="shared" ca="1" si="2"/>
        <v>225.13899576627091</v>
      </c>
      <c r="X20" s="253">
        <f t="shared" ca="1" si="3"/>
        <v>248.65054161051953</v>
      </c>
      <c r="Y20" s="253">
        <f t="shared" ca="1" si="4"/>
        <v>272.1620874547682</v>
      </c>
      <c r="Z20" s="253">
        <f t="shared" ca="1" si="5"/>
        <v>79.476859716854349</v>
      </c>
      <c r="AA20" s="253">
        <f t="shared" ca="1" si="6"/>
        <v>90.344578872698506</v>
      </c>
      <c r="AB20" s="253">
        <f t="shared" ca="1" si="7"/>
        <v>101.21229802854266</v>
      </c>
      <c r="AC20" s="254">
        <f t="shared" ca="1" si="8"/>
        <v>35606.654999999999</v>
      </c>
      <c r="AD20" s="254">
        <f t="shared" ca="1" si="9"/>
        <v>42224.805</v>
      </c>
      <c r="AE20" s="254">
        <f t="shared" ca="1" si="10"/>
        <v>48842.955000000002</v>
      </c>
    </row>
    <row r="21" spans="2:31">
      <c r="B21" s="209" t="s">
        <v>219</v>
      </c>
      <c r="C21" s="248">
        <f>SUMIFS('Program Inputs'!$I$5:$I$37, 'Program Inputs'!$E$5:$E$37, $B21, 'Program Inputs'!$H$5:$H$37, 2017)</f>
        <v>30</v>
      </c>
      <c r="D21" s="248">
        <f ca="1">SUMIFS(Analysis!$X$21:$X$47, Analysis!$E$21:$E$47, $B21, Analysis!$H$21:$H$47, 2017)/1000</f>
        <v>34.770228121385635</v>
      </c>
      <c r="E21" s="248">
        <f ca="1">SUMIFS(Analysis!$Y$21:$Y$47, Analysis!$E$21:$E$47, $B21, Analysis!$H$21:$H$47, 2017)</f>
        <v>4.5497772774931642</v>
      </c>
      <c r="F21" s="249">
        <f ca="1">SUMIFS('Program Inputs'!$P$5:$P$37, 'Program Inputs'!$E$5:$E$37, $B21, 'Program Inputs'!$H$5:$H$37, 2017)</f>
        <v>12592.125</v>
      </c>
      <c r="V21" s="252" t="str">
        <f t="shared" si="1"/>
        <v>Whole House Efficiency</v>
      </c>
      <c r="W21" s="253">
        <f t="shared" ca="1" si="2"/>
        <v>34.770228121385635</v>
      </c>
      <c r="X21" s="253">
        <f t="shared" ca="1" si="3"/>
        <v>34.770228121385635</v>
      </c>
      <c r="Y21" s="253">
        <f t="shared" ca="1" si="4"/>
        <v>34.770228121385635</v>
      </c>
      <c r="Z21" s="253">
        <f t="shared" ca="1" si="5"/>
        <v>4.5497772774931642</v>
      </c>
      <c r="AA21" s="253">
        <f t="shared" ca="1" si="6"/>
        <v>4.5497772774931642</v>
      </c>
      <c r="AB21" s="253">
        <f t="shared" ca="1" si="7"/>
        <v>4.5497772774931642</v>
      </c>
      <c r="AC21" s="254">
        <f t="shared" ca="1" si="8"/>
        <v>12592.125</v>
      </c>
      <c r="AD21" s="254">
        <f t="shared" ca="1" si="9"/>
        <v>12592.125</v>
      </c>
      <c r="AE21" s="254">
        <f t="shared" ca="1" si="10"/>
        <v>12592.125</v>
      </c>
    </row>
    <row r="22" spans="2:31">
      <c r="B22" s="209" t="s">
        <v>251</v>
      </c>
      <c r="C22" s="248">
        <f>SUMIFS('Program Inputs'!$I$5:$I$37, 'Program Inputs'!$E$5:$E$37, $B22, 'Program Inputs'!$H$5:$H$37, 2017)</f>
        <v>650</v>
      </c>
      <c r="D22" s="248">
        <f ca="1">SUMIFS(Analysis!$X$21:$X$47, Analysis!$E$21:$E$47, $B22, Analysis!$H$21:$H$47, 2017)/1000</f>
        <v>96.320597031838162</v>
      </c>
      <c r="E22" s="248">
        <f ca="1">SUMIFS(Analysis!$Y$21:$Y$47, Analysis!$E$21:$E$47, $B22, Analysis!$H$21:$H$47, 2017)</f>
        <v>16.066260315621943</v>
      </c>
      <c r="F22" s="249">
        <f ca="1">SUMIFS('Program Inputs'!$P$5:$P$37, 'Program Inputs'!$E$5:$E$37, $B22, 'Program Inputs'!$H$5:$H$37, 2017)</f>
        <v>32628.75</v>
      </c>
      <c r="V22" s="252" t="str">
        <f t="shared" si="1"/>
        <v>Residential Audit</v>
      </c>
      <c r="W22" s="253">
        <f t="shared" ca="1" si="2"/>
        <v>96.320597031838162</v>
      </c>
      <c r="X22" s="253">
        <f t="shared" ca="1" si="3"/>
        <v>96.320597031838162</v>
      </c>
      <c r="Y22" s="253">
        <f t="shared" ca="1" si="4"/>
        <v>96.320597031838162</v>
      </c>
      <c r="Z22" s="253">
        <f t="shared" ca="1" si="5"/>
        <v>16.066260315621943</v>
      </c>
      <c r="AA22" s="253">
        <f t="shared" ca="1" si="6"/>
        <v>16.066260315621943</v>
      </c>
      <c r="AB22" s="253">
        <f t="shared" ca="1" si="7"/>
        <v>16.066260315621943</v>
      </c>
      <c r="AC22" s="254">
        <f t="shared" ca="1" si="8"/>
        <v>32628.75</v>
      </c>
      <c r="AD22" s="254">
        <f t="shared" ca="1" si="9"/>
        <v>32628.75</v>
      </c>
      <c r="AE22" s="254">
        <f t="shared" ca="1" si="10"/>
        <v>32628.75</v>
      </c>
    </row>
    <row r="23" spans="2:31">
      <c r="B23" s="209" t="s">
        <v>252</v>
      </c>
      <c r="C23" s="248">
        <f>SUMIFS('Program Inputs'!$I$5:$I$37, 'Program Inputs'!$E$5:$E$37, $B23, 'Program Inputs'!$H$5:$H$37, 2017)</f>
        <v>1200</v>
      </c>
      <c r="D23" s="248">
        <f ca="1">SUMIFS(Analysis!$X$21:$X$47, Analysis!$E$21:$E$47, $B23, Analysis!$H$21:$H$47, 2017)/1000</f>
        <v>476.4</v>
      </c>
      <c r="E23" s="248">
        <f ca="1">SUMIFS(Analysis!$Y$21:$Y$47, Analysis!$E$21:$E$47, $B23, Analysis!$H$21:$H$47, 2017)</f>
        <v>48</v>
      </c>
      <c r="F23" s="249">
        <f ca="1">SUMIFS('Program Inputs'!$P$5:$P$37, 'Program Inputs'!$E$5:$E$37, $B23, 'Program Inputs'!$H$5:$H$37, 2017)</f>
        <v>66150</v>
      </c>
      <c r="V23" s="252" t="str">
        <f t="shared" si="1"/>
        <v>School-Based Education</v>
      </c>
      <c r="W23" s="253">
        <f t="shared" ca="1" si="2"/>
        <v>476.4</v>
      </c>
      <c r="X23" s="253">
        <f t="shared" ca="1" si="3"/>
        <v>476.4</v>
      </c>
      <c r="Y23" s="253">
        <f t="shared" ca="1" si="4"/>
        <v>476.4</v>
      </c>
      <c r="Z23" s="253">
        <f t="shared" ca="1" si="5"/>
        <v>48</v>
      </c>
      <c r="AA23" s="253">
        <f t="shared" ca="1" si="6"/>
        <v>48</v>
      </c>
      <c r="AB23" s="253">
        <f t="shared" ca="1" si="7"/>
        <v>48</v>
      </c>
      <c r="AC23" s="254">
        <f t="shared" ca="1" si="8"/>
        <v>66150</v>
      </c>
      <c r="AD23" s="254">
        <f t="shared" ca="1" si="9"/>
        <v>66150</v>
      </c>
      <c r="AE23" s="254">
        <f t="shared" ca="1" si="10"/>
        <v>66150</v>
      </c>
    </row>
    <row r="24" spans="2:31">
      <c r="B24" s="209" t="s">
        <v>253</v>
      </c>
      <c r="C24" s="248">
        <f>SUMIFS('Program Inputs'!$I$5:$I$37, 'Program Inputs'!$E$5:$E$37, $B24, 'Program Inputs'!$H$5:$H$37, 2017)</f>
        <v>30</v>
      </c>
      <c r="D24" s="248">
        <f ca="1">SUMIFS(Analysis!$X$21:$X$47, Analysis!$E$21:$E$47, $B24, Analysis!$H$21:$H$47, 2017)/1000</f>
        <v>35.337440362481694</v>
      </c>
      <c r="E24" s="248">
        <f ca="1">SUMIFS(Analysis!$Y$21:$Y$47, Analysis!$E$21:$E$47, $B24, Analysis!$H$21:$H$47, 2017)</f>
        <v>5.9845573556071914</v>
      </c>
      <c r="F24" s="249">
        <f ca="1">SUMIFS('Program Inputs'!$P$5:$P$37, 'Program Inputs'!$E$5:$E$37, $B24, 'Program Inputs'!$H$5:$H$37, 2017)</f>
        <v>13230</v>
      </c>
      <c r="V24" s="252" t="str">
        <f t="shared" si="1"/>
        <v>Weatherization</v>
      </c>
      <c r="W24" s="253">
        <f t="shared" ca="1" si="2"/>
        <v>35.337440362481694</v>
      </c>
      <c r="X24" s="253">
        <f t="shared" ca="1" si="3"/>
        <v>35.337440362481694</v>
      </c>
      <c r="Y24" s="253">
        <f t="shared" ca="1" si="4"/>
        <v>35.337440362481694</v>
      </c>
      <c r="Z24" s="253">
        <f t="shared" ca="1" si="5"/>
        <v>5.9845573556071914</v>
      </c>
      <c r="AA24" s="253">
        <f t="shared" ca="1" si="6"/>
        <v>5.9845573556071914</v>
      </c>
      <c r="AB24" s="253">
        <f t="shared" ca="1" si="7"/>
        <v>5.9845573556071914</v>
      </c>
      <c r="AC24" s="254">
        <f t="shared" ca="1" si="8"/>
        <v>13230</v>
      </c>
      <c r="AD24" s="254">
        <f t="shared" ca="1" si="9"/>
        <v>13230</v>
      </c>
      <c r="AE24" s="254">
        <f t="shared" ca="1" si="10"/>
        <v>13230</v>
      </c>
    </row>
    <row r="25" spans="2:31">
      <c r="B25" s="209" t="s">
        <v>254</v>
      </c>
      <c r="C25" s="248">
        <f>SUMIFS('Program Inputs'!$I$5:$I$37, 'Program Inputs'!$E$5:$E$37, $B25, 'Program Inputs'!$H$5:$H$37, 2017)</f>
        <v>60</v>
      </c>
      <c r="D25" s="248">
        <f ca="1">SUMIFS(Analysis!$X$21:$X$47, Analysis!$E$21:$E$47, $B25, Analysis!$H$21:$H$47, 2017)/1000</f>
        <v>1966.3069021276594</v>
      </c>
      <c r="E25" s="248">
        <f ca="1">SUMIFS(Analysis!$Y$21:$Y$47, Analysis!$E$21:$E$47, $B25, Analysis!$H$21:$H$47, 2017)</f>
        <v>476.36042553191493</v>
      </c>
      <c r="F25" s="249">
        <f ca="1">SUMIFS('Program Inputs'!$P$5:$P$37, 'Program Inputs'!$E$5:$E$37, $B25, 'Program Inputs'!$H$5:$H$37, 2017)</f>
        <v>367661.7</v>
      </c>
      <c r="V25" s="252" t="str">
        <f t="shared" si="1"/>
        <v>C&amp;I Custom</v>
      </c>
      <c r="W25" s="253">
        <f t="shared" ca="1" si="2"/>
        <v>1966.3069021276594</v>
      </c>
      <c r="X25" s="253">
        <f t="shared" ca="1" si="3"/>
        <v>1999.0786838297872</v>
      </c>
      <c r="Y25" s="253">
        <f t="shared" ca="1" si="4"/>
        <v>2031.8504655319148</v>
      </c>
      <c r="Z25" s="253">
        <f t="shared" ca="1" si="5"/>
        <v>476.36042553191493</v>
      </c>
      <c r="AA25" s="253">
        <f t="shared" ca="1" si="6"/>
        <v>484.29976595744682</v>
      </c>
      <c r="AB25" s="253">
        <f t="shared" ca="1" si="7"/>
        <v>492.23910638297872</v>
      </c>
      <c r="AC25" s="254">
        <f t="shared" ca="1" si="8"/>
        <v>367661.7</v>
      </c>
      <c r="AD25" s="254">
        <f t="shared" ca="1" si="9"/>
        <v>373789.39500000002</v>
      </c>
      <c r="AE25" s="254">
        <f t="shared" ca="1" si="10"/>
        <v>379917.08999999997</v>
      </c>
    </row>
    <row r="26" spans="2:31">
      <c r="B26" s="209" t="s">
        <v>255</v>
      </c>
      <c r="C26" s="248">
        <f>SUMIFS('Program Inputs'!$I$5:$I$37, 'Program Inputs'!$E$5:$E$37, $B26, 'Program Inputs'!$H$5:$H$37, 2017)</f>
        <v>8016</v>
      </c>
      <c r="D26" s="248">
        <f ca="1">SUMIFS(Analysis!$X$21:$X$47, Analysis!$E$21:$E$47, $B26, Analysis!$H$21:$H$47, 2017)/1000</f>
        <v>2315.5971681874066</v>
      </c>
      <c r="E26" s="248">
        <f ca="1">SUMIFS(Analysis!$Y$21:$Y$47, Analysis!$E$21:$E$47, $B26, Analysis!$H$21:$H$47, 2017)</f>
        <v>593.67290476684536</v>
      </c>
      <c r="F26" s="249">
        <f ca="1">SUMIFS('Program Inputs'!$P$5:$P$37, 'Program Inputs'!$E$5:$E$37, $B26, 'Program Inputs'!$H$5:$H$37, 2017)</f>
        <v>286045.2</v>
      </c>
      <c r="V26" s="252" t="str">
        <f t="shared" si="1"/>
        <v>C&amp;I Prescriptive</v>
      </c>
      <c r="W26" s="253">
        <f t="shared" ca="1" si="2"/>
        <v>2315.5971681874066</v>
      </c>
      <c r="X26" s="253">
        <f t="shared" ca="1" si="3"/>
        <v>2315.5971681874066</v>
      </c>
      <c r="Y26" s="253">
        <f t="shared" ca="1" si="4"/>
        <v>2315.5971681874066</v>
      </c>
      <c r="Z26" s="253">
        <f t="shared" ca="1" si="5"/>
        <v>593.67290476684536</v>
      </c>
      <c r="AA26" s="253">
        <f t="shared" ca="1" si="6"/>
        <v>593.67290476684536</v>
      </c>
      <c r="AB26" s="253">
        <f t="shared" ca="1" si="7"/>
        <v>593.67290476684536</v>
      </c>
      <c r="AC26" s="254">
        <f t="shared" ca="1" si="8"/>
        <v>286045.2</v>
      </c>
      <c r="AD26" s="254">
        <f t="shared" ca="1" si="9"/>
        <v>286045.2</v>
      </c>
      <c r="AE26" s="254">
        <f t="shared" ca="1" si="10"/>
        <v>286045.2</v>
      </c>
    </row>
    <row r="28" spans="2:31">
      <c r="B28" s="17" t="s">
        <v>351</v>
      </c>
    </row>
    <row r="29" spans="2:31">
      <c r="B29" s="148"/>
      <c r="C29" s="148" t="s">
        <v>8</v>
      </c>
      <c r="D29" s="148" t="s">
        <v>344</v>
      </c>
      <c r="E29" s="148" t="s">
        <v>345</v>
      </c>
      <c r="F29" s="148" t="s">
        <v>225</v>
      </c>
    </row>
    <row r="30" spans="2:31">
      <c r="B30" s="209" t="s">
        <v>249</v>
      </c>
      <c r="C30" s="248">
        <f>SUMIFS('Program Inputs'!$I$5:$I$37, 'Program Inputs'!$E$5:$E$37, $B30, 'Program Inputs'!$H$5:$H$37, 2018)</f>
        <v>4560</v>
      </c>
      <c r="D30" s="248">
        <f ca="1">SUMIFS(Analysis!$X$21:$X$47, Analysis!$E$21:$E$47, $B30, Analysis!$H$21:$H$47, 2018)/1000</f>
        <v>164.28285221039999</v>
      </c>
      <c r="E30" s="248">
        <f ca="1">SUMIFS(Analysis!$Y$21:$Y$47, Analysis!$E$21:$E$47, $B30, Analysis!$H$21:$H$47, 2018)</f>
        <v>14.420631733199997</v>
      </c>
      <c r="F30" s="249">
        <f ca="1">SUMIFS('Program Inputs'!$P$5:$P$37, 'Program Inputs'!$E$5:$E$37, $B30, 'Program Inputs'!$H$5:$H$37, 2018)</f>
        <v>38263.050000000003</v>
      </c>
    </row>
    <row r="31" spans="2:31">
      <c r="B31" s="209" t="s">
        <v>120</v>
      </c>
      <c r="C31" s="248">
        <f>SUMIFS('Program Inputs'!$I$5:$I$37, 'Program Inputs'!$E$5:$E$37, $B31, 'Program Inputs'!$H$5:$H$37, 2018)</f>
        <v>83</v>
      </c>
      <c r="D31" s="248">
        <f ca="1">SUMIFS(Analysis!$X$21:$X$47, Analysis!$E$21:$E$47, $B31, Analysis!$H$21:$H$47, 2018)/1000</f>
        <v>105.515</v>
      </c>
      <c r="E31" s="248">
        <f ca="1">SUMIFS(Analysis!$Y$21:$Y$47, Analysis!$E$21:$E$47, $B31, Analysis!$H$21:$H$47, 2018)</f>
        <v>12.045091324200914</v>
      </c>
      <c r="F31" s="249">
        <f ca="1">SUMIFS('Program Inputs'!$P$5:$P$37, 'Program Inputs'!$E$5:$E$37, $B31, 'Program Inputs'!$H$5:$H$37, 2018)</f>
        <v>16231.6875</v>
      </c>
    </row>
    <row r="32" spans="2:31">
      <c r="B32" s="209" t="s">
        <v>250</v>
      </c>
      <c r="C32" s="248">
        <f>SUMIFS('Program Inputs'!$I$5:$I$37, 'Program Inputs'!$E$5:$E$37, $B32, 'Program Inputs'!$H$5:$H$37, 2018)</f>
        <v>141</v>
      </c>
      <c r="D32" s="248">
        <f ca="1">SUMIFS(Analysis!$X$21:$X$47, Analysis!$E$21:$E$47, $B32, Analysis!$H$21:$H$47, 2018)/1000</f>
        <v>248.65054161051953</v>
      </c>
      <c r="E32" s="248">
        <f ca="1">SUMIFS(Analysis!$Y$21:$Y$47, Analysis!$E$21:$E$47, $B32, Analysis!$H$21:$H$47, 2018)</f>
        <v>90.344578872698506</v>
      </c>
      <c r="F32" s="249">
        <f ca="1">SUMIFS('Program Inputs'!$P$5:$P$37, 'Program Inputs'!$E$5:$E$37, $B32, 'Program Inputs'!$H$5:$H$37, 2018)</f>
        <v>42224.805</v>
      </c>
    </row>
    <row r="33" spans="2:6">
      <c r="B33" s="209" t="s">
        <v>219</v>
      </c>
      <c r="C33" s="248">
        <f>SUMIFS('Program Inputs'!$I$5:$I$37, 'Program Inputs'!$E$5:$E$37, $B33, 'Program Inputs'!$H$5:$H$37, 2018)</f>
        <v>30</v>
      </c>
      <c r="D33" s="248">
        <f ca="1">SUMIFS(Analysis!$X$21:$X$47, Analysis!$E$21:$E$47, $B33, Analysis!$H$21:$H$47, 2018)/1000</f>
        <v>34.770228121385635</v>
      </c>
      <c r="E33" s="248">
        <f ca="1">SUMIFS(Analysis!$Y$21:$Y$47, Analysis!$E$21:$E$47, $B33, Analysis!$H$21:$H$47, 2018)</f>
        <v>4.5497772774931642</v>
      </c>
      <c r="F33" s="249">
        <f ca="1">SUMIFS('Program Inputs'!$P$5:$P$37, 'Program Inputs'!$E$5:$E$37, $B33, 'Program Inputs'!$H$5:$H$37, 2018)</f>
        <v>12592.125</v>
      </c>
    </row>
    <row r="34" spans="2:6">
      <c r="B34" s="209" t="s">
        <v>251</v>
      </c>
      <c r="C34" s="248">
        <f>SUMIFS('Program Inputs'!$I$5:$I$37, 'Program Inputs'!$E$5:$E$37, $B34, 'Program Inputs'!$H$5:$H$37, 2018)</f>
        <v>650</v>
      </c>
      <c r="D34" s="248">
        <f ca="1">SUMIFS(Analysis!$X$21:$X$47, Analysis!$E$21:$E$47, $B34, Analysis!$H$21:$H$47, 2018)/1000</f>
        <v>96.320597031838162</v>
      </c>
      <c r="E34" s="248">
        <f ca="1">SUMIFS(Analysis!$Y$21:$Y$47, Analysis!$E$21:$E$47, $B34, Analysis!$H$21:$H$47, 2018)</f>
        <v>16.066260315621943</v>
      </c>
      <c r="F34" s="249">
        <f ca="1">SUMIFS('Program Inputs'!$P$5:$P$37, 'Program Inputs'!$E$5:$E$37, $B34, 'Program Inputs'!$H$5:$H$37, 2018)</f>
        <v>32628.75</v>
      </c>
    </row>
    <row r="35" spans="2:6">
      <c r="B35" s="209" t="s">
        <v>252</v>
      </c>
      <c r="C35" s="248">
        <f>SUMIFS('Program Inputs'!$I$5:$I$37, 'Program Inputs'!$E$5:$E$37, $B35, 'Program Inputs'!$H$5:$H$37, 2018)</f>
        <v>1200</v>
      </c>
      <c r="D35" s="248">
        <f ca="1">SUMIFS(Analysis!$X$21:$X$47, Analysis!$E$21:$E$47, $B35, Analysis!$H$21:$H$47, 2018)/1000</f>
        <v>476.4</v>
      </c>
      <c r="E35" s="248">
        <f ca="1">SUMIFS(Analysis!$Y$21:$Y$47, Analysis!$E$21:$E$47, $B35, Analysis!$H$21:$H$47, 2018)</f>
        <v>48</v>
      </c>
      <c r="F35" s="249">
        <f ca="1">SUMIFS('Program Inputs'!$P$5:$P$37, 'Program Inputs'!$E$5:$E$37, $B35, 'Program Inputs'!$H$5:$H$37, 2018)</f>
        <v>66150</v>
      </c>
    </row>
    <row r="36" spans="2:6">
      <c r="B36" s="209" t="s">
        <v>253</v>
      </c>
      <c r="C36" s="248">
        <f>SUMIFS('Program Inputs'!$I$5:$I$37, 'Program Inputs'!$E$5:$E$37, $B36, 'Program Inputs'!$H$5:$H$37, 2018)</f>
        <v>30</v>
      </c>
      <c r="D36" s="248">
        <f ca="1">SUMIFS(Analysis!$X$21:$X$47, Analysis!$E$21:$E$47, $B36, Analysis!$H$21:$H$47, 2018)/1000</f>
        <v>35.337440362481694</v>
      </c>
      <c r="E36" s="248">
        <f ca="1">SUMIFS(Analysis!$Y$21:$Y$47, Analysis!$E$21:$E$47, $B36, Analysis!$H$21:$H$47, 2018)</f>
        <v>5.9845573556071914</v>
      </c>
      <c r="F36" s="249">
        <f ca="1">SUMIFS('Program Inputs'!$P$5:$P$37, 'Program Inputs'!$E$5:$E$37, $B36, 'Program Inputs'!$H$5:$H$37, 2018)</f>
        <v>13230</v>
      </c>
    </row>
    <row r="37" spans="2:6">
      <c r="B37" s="209" t="s">
        <v>254</v>
      </c>
      <c r="C37" s="248">
        <f>SUMIFS('Program Inputs'!$I$5:$I$37, 'Program Inputs'!$E$5:$E$37, $B37, 'Program Inputs'!$H$5:$H$37, 2018)</f>
        <v>61</v>
      </c>
      <c r="D37" s="248">
        <f ca="1">SUMIFS(Analysis!$X$21:$X$47, Analysis!$E$21:$E$47, $B37, Analysis!$H$21:$H$47, 2018)/1000</f>
        <v>1999.0786838297872</v>
      </c>
      <c r="E37" s="248">
        <f ca="1">SUMIFS(Analysis!$Y$21:$Y$47, Analysis!$E$21:$E$47, $B37, Analysis!$H$21:$H$47, 2018)</f>
        <v>484.29976595744682</v>
      </c>
      <c r="F37" s="249">
        <f ca="1">SUMIFS('Program Inputs'!$P$5:$P$37, 'Program Inputs'!$E$5:$E$37, $B37, 'Program Inputs'!$H$5:$H$37, 2018)</f>
        <v>373789.39500000002</v>
      </c>
    </row>
    <row r="38" spans="2:6">
      <c r="B38" s="209" t="s">
        <v>255</v>
      </c>
      <c r="C38" s="248">
        <f>SUMIFS('Program Inputs'!$I$5:$I$37, 'Program Inputs'!$E$5:$E$37, $B38, 'Program Inputs'!$H$5:$H$37, 2018)</f>
        <v>8016</v>
      </c>
      <c r="D38" s="248">
        <f ca="1">SUMIFS(Analysis!$X$21:$X$47, Analysis!$E$21:$E$47, $B38, Analysis!$H$21:$H$47, 2018)/1000</f>
        <v>2315.5971681874066</v>
      </c>
      <c r="E38" s="248">
        <f ca="1">SUMIFS(Analysis!$Y$21:$Y$47, Analysis!$E$21:$E$47, $B38, Analysis!$H$21:$H$47, 2018)</f>
        <v>593.67290476684536</v>
      </c>
      <c r="F38" s="249">
        <f ca="1">SUMIFS('Program Inputs'!$P$5:$P$37, 'Program Inputs'!$E$5:$E$37, $B38, 'Program Inputs'!$H$5:$H$37, 2018)</f>
        <v>286045.2</v>
      </c>
    </row>
    <row r="40" spans="2:6">
      <c r="B40" s="17" t="s">
        <v>352</v>
      </c>
    </row>
    <row r="41" spans="2:6">
      <c r="B41" s="148"/>
      <c r="C41" s="148" t="s">
        <v>8</v>
      </c>
      <c r="D41" s="148" t="s">
        <v>344</v>
      </c>
      <c r="E41" s="148" t="s">
        <v>345</v>
      </c>
      <c r="F41" s="148" t="s">
        <v>225</v>
      </c>
    </row>
    <row r="42" spans="2:6">
      <c r="B42" s="209" t="s">
        <v>249</v>
      </c>
      <c r="C42" s="248">
        <f>SUMIFS('Program Inputs'!$I$5:$I$37, 'Program Inputs'!$E$5:$E$37, $B42, 'Program Inputs'!$H$5:$H$37, 2019)</f>
        <v>4620</v>
      </c>
      <c r="D42" s="248">
        <f ca="1">SUMIFS(Analysis!$X$21:$X$47, Analysis!$E$21:$E$47, $B42, Analysis!$H$21:$H$47, 2019)/1000</f>
        <v>166.2308702208</v>
      </c>
      <c r="E42" s="248">
        <f ca="1">SUMIFS(Analysis!$Y$21:$Y$47, Analysis!$E$21:$E$47, $B42, Analysis!$H$21:$H$47, 2019)</f>
        <v>14.591627366399997</v>
      </c>
      <c r="F42" s="249">
        <f ca="1">SUMIFS('Program Inputs'!$P$5:$P$37, 'Program Inputs'!$E$5:$E$37, $B42, 'Program Inputs'!$H$5:$H$37, 2019)</f>
        <v>38726.1</v>
      </c>
    </row>
    <row r="43" spans="2:6">
      <c r="B43" s="209" t="s">
        <v>120</v>
      </c>
      <c r="C43" s="248">
        <f>SUMIFS('Program Inputs'!$I$5:$I$37, 'Program Inputs'!$E$5:$E$37, $B43, 'Program Inputs'!$H$5:$H$37, 2019)</f>
        <v>83</v>
      </c>
      <c r="D43" s="248">
        <f ca="1">SUMIFS(Analysis!$X$21:$X$47, Analysis!$E$21:$E$47, $B43, Analysis!$H$21:$H$47, 2019)/1000</f>
        <v>105.515</v>
      </c>
      <c r="E43" s="248">
        <f ca="1">SUMIFS(Analysis!$Y$21:$Y$47, Analysis!$E$21:$E$47, $B43, Analysis!$H$21:$H$47, 2019)</f>
        <v>12.045091324200914</v>
      </c>
      <c r="F43" s="249">
        <f ca="1">SUMIFS('Program Inputs'!$P$5:$P$37, 'Program Inputs'!$E$5:$E$37, $B43, 'Program Inputs'!$H$5:$H$37, 2019)</f>
        <v>16231.6875</v>
      </c>
    </row>
    <row r="44" spans="2:6">
      <c r="B44" s="209" t="s">
        <v>250</v>
      </c>
      <c r="C44" s="248">
        <f>SUMIFS('Program Inputs'!$I$5:$I$37, 'Program Inputs'!$E$5:$E$37, $B44, 'Program Inputs'!$H$5:$H$37, 2019)</f>
        <v>171</v>
      </c>
      <c r="D44" s="248">
        <f ca="1">SUMIFS(Analysis!$X$21:$X$47, Analysis!$E$21:$E$47, $B44, Analysis!$H$21:$H$47, 2019)/1000</f>
        <v>272.1620874547682</v>
      </c>
      <c r="E44" s="248">
        <f ca="1">SUMIFS(Analysis!$Y$21:$Y$47, Analysis!$E$21:$E$47, $B44, Analysis!$H$21:$H$47, 2019)</f>
        <v>101.21229802854266</v>
      </c>
      <c r="F44" s="249">
        <f ca="1">SUMIFS('Program Inputs'!$P$5:$P$37, 'Program Inputs'!$E$5:$E$37, $B44, 'Program Inputs'!$H$5:$H$37, 2019)</f>
        <v>48842.955000000002</v>
      </c>
    </row>
    <row r="45" spans="2:6">
      <c r="B45" s="209" t="s">
        <v>219</v>
      </c>
      <c r="C45" s="248">
        <f>SUMIFS('Program Inputs'!$I$5:$I$37, 'Program Inputs'!$E$5:$E$37, $B45, 'Program Inputs'!$H$5:$H$37, 2019)</f>
        <v>30</v>
      </c>
      <c r="D45" s="248">
        <f ca="1">SUMIFS(Analysis!$X$21:$X$47, Analysis!$E$21:$E$47, $B45, Analysis!$H$21:$H$47, 2019)/1000</f>
        <v>34.770228121385635</v>
      </c>
      <c r="E45" s="248">
        <f ca="1">SUMIFS(Analysis!$Y$21:$Y$47, Analysis!$E$21:$E$47, $B45, Analysis!$H$21:$H$47, 2019)</f>
        <v>4.5497772774931642</v>
      </c>
      <c r="F45" s="249">
        <f ca="1">SUMIFS('Program Inputs'!$P$5:$P$37, 'Program Inputs'!$E$5:$E$37, $B45, 'Program Inputs'!$H$5:$H$37, 2019)</f>
        <v>12592.125</v>
      </c>
    </row>
    <row r="46" spans="2:6">
      <c r="B46" s="209" t="s">
        <v>251</v>
      </c>
      <c r="C46" s="248">
        <f>SUMIFS('Program Inputs'!$I$5:$I$37, 'Program Inputs'!$E$5:$E$37, $B46, 'Program Inputs'!$H$5:$H$37, 2019)</f>
        <v>650</v>
      </c>
      <c r="D46" s="248">
        <f ca="1">SUMIFS(Analysis!$X$21:$X$47, Analysis!$E$21:$E$47, $B46, Analysis!$H$21:$H$47, 2019)/1000</f>
        <v>96.320597031838162</v>
      </c>
      <c r="E46" s="248">
        <f ca="1">SUMIFS(Analysis!$Y$21:$Y$47, Analysis!$E$21:$E$47, $B46, Analysis!$H$21:$H$47, 2019)</f>
        <v>16.066260315621943</v>
      </c>
      <c r="F46" s="249">
        <f ca="1">SUMIFS('Program Inputs'!$P$5:$P$37, 'Program Inputs'!$E$5:$E$37, $B46, 'Program Inputs'!$H$5:$H$37, 2019)</f>
        <v>32628.75</v>
      </c>
    </row>
    <row r="47" spans="2:6">
      <c r="B47" s="209" t="s">
        <v>252</v>
      </c>
      <c r="C47" s="248">
        <f>SUMIFS('Program Inputs'!$I$5:$I$37, 'Program Inputs'!$E$5:$E$37, $B47, 'Program Inputs'!$H$5:$H$37, 2019)</f>
        <v>1200</v>
      </c>
      <c r="D47" s="248">
        <f ca="1">SUMIFS(Analysis!$X$21:$X$47, Analysis!$E$21:$E$47, $B47, Analysis!$H$21:$H$47, 2019)/1000</f>
        <v>476.4</v>
      </c>
      <c r="E47" s="248">
        <f ca="1">SUMIFS(Analysis!$Y$21:$Y$47, Analysis!$E$21:$E$47, $B47, Analysis!$H$21:$H$47, 2019)</f>
        <v>48</v>
      </c>
      <c r="F47" s="249">
        <f ca="1">SUMIFS('Program Inputs'!$P$5:$P$37, 'Program Inputs'!$E$5:$E$37, $B47, 'Program Inputs'!$H$5:$H$37, 2019)</f>
        <v>66150</v>
      </c>
    </row>
    <row r="48" spans="2:6">
      <c r="B48" s="209" t="s">
        <v>253</v>
      </c>
      <c r="C48" s="248">
        <f>SUMIFS('Program Inputs'!$I$5:$I$37, 'Program Inputs'!$E$5:$E$37, $B48, 'Program Inputs'!$H$5:$H$37, 2019)</f>
        <v>30</v>
      </c>
      <c r="D48" s="248">
        <f ca="1">SUMIFS(Analysis!$X$21:$X$47, Analysis!$E$21:$E$47, $B48, Analysis!$H$21:$H$47, 2019)/1000</f>
        <v>35.337440362481694</v>
      </c>
      <c r="E48" s="248">
        <f ca="1">SUMIFS(Analysis!$Y$21:$Y$47, Analysis!$E$21:$E$47, $B48, Analysis!$H$21:$H$47, 2019)</f>
        <v>5.9845573556071914</v>
      </c>
      <c r="F48" s="249">
        <f ca="1">SUMIFS('Program Inputs'!$P$5:$P$37, 'Program Inputs'!$E$5:$E$37, $B48, 'Program Inputs'!$H$5:$H$37, 2019)</f>
        <v>13230</v>
      </c>
    </row>
    <row r="49" spans="2:14">
      <c r="B49" s="209" t="s">
        <v>254</v>
      </c>
      <c r="C49" s="248">
        <f>SUMIFS('Program Inputs'!$I$5:$I$37, 'Program Inputs'!$E$5:$E$37, $B49, 'Program Inputs'!$H$5:$H$37, 2019)</f>
        <v>62</v>
      </c>
      <c r="D49" s="248">
        <f ca="1">SUMIFS(Analysis!$X$21:$X$47, Analysis!$E$21:$E$47, $B49, Analysis!$H$21:$H$47, 2019)/1000</f>
        <v>2031.8504655319148</v>
      </c>
      <c r="E49" s="248">
        <f ca="1">SUMIFS(Analysis!$Y$21:$Y$47, Analysis!$E$21:$E$47, $B49, Analysis!$H$21:$H$47, 2019)</f>
        <v>492.23910638297872</v>
      </c>
      <c r="F49" s="249">
        <f ca="1">SUMIFS('Program Inputs'!$P$5:$P$37, 'Program Inputs'!$E$5:$E$37, $B49, 'Program Inputs'!$H$5:$H$37, 2019)</f>
        <v>379917.08999999997</v>
      </c>
    </row>
    <row r="50" spans="2:14">
      <c r="B50" s="209" t="s">
        <v>255</v>
      </c>
      <c r="C50" s="248">
        <f>SUMIFS('Program Inputs'!$I$5:$I$37, 'Program Inputs'!$E$5:$E$37, $B50, 'Program Inputs'!$H$5:$H$37, 2019)</f>
        <v>8016</v>
      </c>
      <c r="D50" s="248">
        <f ca="1">SUMIFS(Analysis!$X$21:$X$47, Analysis!$E$21:$E$47, $B50, Analysis!$H$21:$H$47, 2019)/1000</f>
        <v>2315.5971681874066</v>
      </c>
      <c r="E50" s="248">
        <f ca="1">SUMIFS(Analysis!$Y$21:$Y$47, Analysis!$E$21:$E$47, $B50, Analysis!$H$21:$H$47, 2019)</f>
        <v>593.67290476684536</v>
      </c>
      <c r="F50" s="249">
        <f ca="1">SUMIFS('Program Inputs'!$P$5:$P$37, 'Program Inputs'!$E$5:$E$37, $B50, 'Program Inputs'!$H$5:$H$37, 2019)</f>
        <v>286045.2</v>
      </c>
    </row>
    <row r="52" spans="2:14" ht="15.75" thickBot="1"/>
    <row r="53" spans="2:14" ht="16.5" thickTop="1" thickBot="1">
      <c r="B53" s="777" t="s">
        <v>254</v>
      </c>
      <c r="D53" s="780" t="s">
        <v>599</v>
      </c>
      <c r="E53" s="780"/>
      <c r="F53" s="780"/>
    </row>
    <row r="54" spans="2:14" ht="15.75" thickTop="1"/>
    <row r="56" spans="2:14">
      <c r="B56" s="148"/>
      <c r="C56" s="148" t="s">
        <v>596</v>
      </c>
      <c r="D56" s="148" t="s">
        <v>597</v>
      </c>
      <c r="E56" s="148" t="s">
        <v>598</v>
      </c>
    </row>
    <row r="57" spans="2:14">
      <c r="B57" s="209" t="s">
        <v>600</v>
      </c>
      <c r="C57" s="778">
        <f ca="1">INDEX(Analysis!$X$21:$X$47, MATCH(IF(LEFT($B$53,3)="C&amp;I", "C&amp;I_", "Residential_")&amp;$B$53&amp;"_0_All_"&amp;RIGHT(C$56,4), Analysis!$B$21:$B$47, 0), 0)</f>
        <v>1966306.9021276594</v>
      </c>
      <c r="D57" s="778">
        <f ca="1">INDEX(Analysis!$X$21:$X$47, MATCH(IF(LEFT($B$53,3)="C&amp;I", "C&amp;I_", "Residential_")&amp;$B$53&amp;"_0_All_"&amp;RIGHT(D$56,4), Analysis!$B$21:$B$47, 0), 0)</f>
        <v>1999078.6838297872</v>
      </c>
      <c r="E57" s="778">
        <f ca="1">INDEX(Analysis!$X$21:$X$47, MATCH(IF(LEFT($B$53,3)="C&amp;I", "C&amp;I_", "Residential_")&amp;$B$53&amp;"_0_All_"&amp;RIGHT(E$56,4), Analysis!$B$21:$B$47, 0), 0)</f>
        <v>2031850.4655319147</v>
      </c>
    </row>
    <row r="58" spans="2:14">
      <c r="B58" s="209" t="s">
        <v>601</v>
      </c>
      <c r="C58" s="778">
        <f ca="1">INDEX(Analysis!$Y$21:$Y$47, MATCH(IF(LEFT($B$53,3)="C&amp;I", "C&amp;I_", "Residential_")&amp;$B$53&amp;"_0_All_"&amp;RIGHT(C$56,4), Analysis!$B$21:$B$47, 0), 0)</f>
        <v>476.36042553191493</v>
      </c>
      <c r="D58" s="778">
        <f ca="1">INDEX(Analysis!$Y$21:$Y$47, MATCH(IF(LEFT($B$53,3)="C&amp;I", "C&amp;I_", "Residential_")&amp;$B$53&amp;"_0_All_"&amp;RIGHT(D$56,4), Analysis!$B$21:$B$47, 0), 0)</f>
        <v>484.29976595744682</v>
      </c>
      <c r="E58" s="778">
        <f ca="1">INDEX(Analysis!$Y$21:$Y$47, MATCH(IF(LEFT($B$53,3)="C&amp;I", "C&amp;I_", "Residential_")&amp;$B$53&amp;"_0_All_"&amp;RIGHT(E$56,4), Analysis!$B$21:$B$47, 0), 0)</f>
        <v>492.23910638297872</v>
      </c>
    </row>
    <row r="60" spans="2:14">
      <c r="B60" s="148"/>
      <c r="C60" s="148" t="s">
        <v>596</v>
      </c>
      <c r="D60" s="148" t="s">
        <v>597</v>
      </c>
      <c r="E60" s="148" t="s">
        <v>598</v>
      </c>
    </row>
    <row r="61" spans="2:14">
      <c r="B61" s="209" t="s">
        <v>602</v>
      </c>
      <c r="C61" s="779">
        <f ca="1">INDEX(Analysis!$AN$21:$AN$47, MATCH(IF(LEFT($B$53,3)="C&amp;I", "C&amp;I_", "Residential_")&amp;$B$53&amp;"_0_All_"&amp;RIGHT(C$56,4), Analysis!$B$21:$B$47, 0), 0)</f>
        <v>367661.7</v>
      </c>
      <c r="D61" s="779">
        <f ca="1">INDEX(Analysis!$AN$21:$AN$47, MATCH(IF(LEFT($B$53,3)="C&amp;I", "C&amp;I_", "Residential_")&amp;$B$53&amp;"_0_All_"&amp;RIGHT(D$56,4), Analysis!$B$21:$B$47, 0), 0)</f>
        <v>373789.39500000002</v>
      </c>
      <c r="E61" s="779">
        <f ca="1">INDEX(Analysis!$AN$21:$AN$47, MATCH(IF(LEFT($B$53,3)="C&amp;I", "C&amp;I_", "Residential_")&amp;$B$53&amp;"_0_All_"&amp;RIGHT(E$56,4), Analysis!$B$21:$B$47, 0), 0)</f>
        <v>379917.08999999997</v>
      </c>
    </row>
    <row r="63" spans="2:14">
      <c r="B63" s="148"/>
      <c r="C63" s="148"/>
      <c r="D63" s="801" t="s">
        <v>8</v>
      </c>
      <c r="E63" s="802"/>
      <c r="F63" s="803"/>
    </row>
    <row r="64" spans="2:14">
      <c r="B64" s="148" t="s">
        <v>595</v>
      </c>
      <c r="C64" s="148" t="s">
        <v>32</v>
      </c>
      <c r="D64" s="148" t="s">
        <v>596</v>
      </c>
      <c r="E64" s="148" t="s">
        <v>597</v>
      </c>
      <c r="F64" s="148" t="s">
        <v>598</v>
      </c>
      <c r="M64" s="252" t="s">
        <v>6</v>
      </c>
      <c r="N64" s="252" t="s">
        <v>269</v>
      </c>
    </row>
    <row r="65" spans="1:14">
      <c r="A65" s="774">
        <v>1</v>
      </c>
      <c r="B65" s="775" t="str">
        <f>IF($A65&gt;VLOOKUP($B$53, $M$65:$N$73, 2, FALSE), "", INDEX('Measure Inputs'!$I$7:$I$82, MATCH($B$53, 'Measure Inputs'!$G$7:$G$82, 0)+$A65-1, 0))</f>
        <v>C&amp;I Custom</v>
      </c>
      <c r="C65" s="776">
        <f>IF($A65&gt;VLOOKUP($B$53, $M$65:$N$73, 2, FALSE), "", INDEX('Measure Inputs'!$O$7:$O$234, MATCH($B$53, 'Measure Inputs'!$G$7:$G$234, 0)+$A65-1, 0))</f>
        <v>3970</v>
      </c>
      <c r="D65" s="778">
        <f>IF($A65&gt;VLOOKUP($B$53, $M$65:$N$73, 2, FALSE), "", INDEX('Measure Inputs'!$L$7:$L$234, (MATCH($B$53, 'Measure Inputs'!$G$7:$G$234, 0)+$A65-1)+$N$74*(COUNTA($D$64:D$64)-1), 0))</f>
        <v>60</v>
      </c>
      <c r="E65" s="778">
        <f>IF($A65&gt;VLOOKUP($B$53, $M$65:$N$73, 2, FALSE), "", INDEX('Measure Inputs'!$L$7:$L$234, (MATCH($B$53, 'Measure Inputs'!$G$7:$G$234, 0)+$A65-1)+$N$74*(COUNTA($D$64:E$64)-1), 0))</f>
        <v>61</v>
      </c>
      <c r="F65" s="778">
        <f>IF($A65&gt;VLOOKUP($B$53, $M$65:$N$73, 2, FALSE), "", INDEX('Measure Inputs'!$L$7:$L$234, (MATCH($B$53, 'Measure Inputs'!$G$7:$G$234, 0)+$A65-1)+$N$74*(COUNTA($D$64:F$64)-1), 0))</f>
        <v>62</v>
      </c>
      <c r="M65" s="252" t="s">
        <v>249</v>
      </c>
      <c r="N65" s="252">
        <f>COUNTIF('Measure Inputs'!$G$7:$G$82, $M65)</f>
        <v>2</v>
      </c>
    </row>
    <row r="66" spans="1:14">
      <c r="A66" s="774">
        <v>2</v>
      </c>
      <c r="B66" s="775" t="str">
        <f>IF($A66&gt;VLOOKUP($B$53, $M$65:$N$73, 2, FALSE), "", INDEX('Measure Inputs'!$I$7:$I$82, MATCH($B$53, 'Measure Inputs'!$G$7:$G$82, 0)+$A66-1, 0))</f>
        <v/>
      </c>
      <c r="C66" s="776" t="str">
        <f>IF($A66&gt;VLOOKUP($B$53, $M$65:$N$73, 2, FALSE), "", INDEX('Measure Inputs'!$O$7:$O$234, MATCH($B$53, 'Measure Inputs'!$G$7:$G$234, 0)+$A66-1, 0))</f>
        <v/>
      </c>
      <c r="D66" s="778" t="str">
        <f>IF($A66&gt;VLOOKUP($B$53, $M$65:$N$73, 2, FALSE), "", INDEX('Measure Inputs'!$L$7:$L$234, (MATCH($B$53, 'Measure Inputs'!$G$7:$G$234, 0)+$A66-1)+$N$74*(COUNTA($D$64:D$64)-1), 0))</f>
        <v/>
      </c>
      <c r="E66" s="778" t="str">
        <f>IF($A66&gt;VLOOKUP($B$53, $M$65:$N$73, 2, FALSE), "", INDEX('Measure Inputs'!$L$7:$L$234, (MATCH($B$53, 'Measure Inputs'!$G$7:$G$234, 0)+$A66-1)+$N$74*(COUNTA($D$64:E$64)-1), 0))</f>
        <v/>
      </c>
      <c r="F66" s="778" t="str">
        <f>IF($A66&gt;VLOOKUP($B$53, $M$65:$N$73, 2, FALSE), "", INDEX('Measure Inputs'!$L$7:$L$234, (MATCH($B$53, 'Measure Inputs'!$G$7:$G$234, 0)+$A66-1)+$N$74*(COUNTA($D$64:F$64)-1), 0))</f>
        <v/>
      </c>
      <c r="M66" s="252" t="s">
        <v>120</v>
      </c>
      <c r="N66" s="252">
        <f>COUNTIF('Measure Inputs'!$G$7:$G$82, $M66)</f>
        <v>2</v>
      </c>
    </row>
    <row r="67" spans="1:14">
      <c r="A67" s="774">
        <v>3</v>
      </c>
      <c r="B67" s="775" t="str">
        <f>IF($A67&gt;VLOOKUP($B$53, $M$65:$N$73, 2, FALSE), "", INDEX('Measure Inputs'!$I$7:$I$82, MATCH($B$53, 'Measure Inputs'!$G$7:$G$82, 0)+$A67-1, 0))</f>
        <v/>
      </c>
      <c r="C67" s="776" t="str">
        <f>IF($A67&gt;VLOOKUP($B$53, $M$65:$N$73, 2, FALSE), "", INDEX('Measure Inputs'!$O$7:$O$234, MATCH($B$53, 'Measure Inputs'!$G$7:$G$234, 0)+$A67-1, 0))</f>
        <v/>
      </c>
      <c r="D67" s="778" t="str">
        <f>IF($A67&gt;VLOOKUP($B$53, $M$65:$N$73, 2, FALSE), "", INDEX('Measure Inputs'!$L$7:$L$234, (MATCH($B$53, 'Measure Inputs'!$G$7:$G$234, 0)+$A67-1)+$N$74*(COUNTA($D$64:D$64)-1), 0))</f>
        <v/>
      </c>
      <c r="E67" s="778" t="str">
        <f>IF($A67&gt;VLOOKUP($B$53, $M$65:$N$73, 2, FALSE), "", INDEX('Measure Inputs'!$L$7:$L$234, (MATCH($B$53, 'Measure Inputs'!$G$7:$G$234, 0)+$A67-1)+$N$74*(COUNTA($D$64:E$64)-1), 0))</f>
        <v/>
      </c>
      <c r="F67" s="778" t="str">
        <f>IF($A67&gt;VLOOKUP($B$53, $M$65:$N$73, 2, FALSE), "", INDEX('Measure Inputs'!$L$7:$L$234, (MATCH($B$53, 'Measure Inputs'!$G$7:$G$234, 0)+$A67-1)+$N$74*(COUNTA($D$64:F$64)-1), 0))</f>
        <v/>
      </c>
      <c r="M67" s="252" t="s">
        <v>250</v>
      </c>
      <c r="N67" s="252">
        <f>COUNTIF('Measure Inputs'!$G$7:$G$82, $M67)</f>
        <v>9</v>
      </c>
    </row>
    <row r="68" spans="1:14">
      <c r="A68" s="774">
        <v>4</v>
      </c>
      <c r="B68" s="775" t="str">
        <f>IF($A68&gt;VLOOKUP($B$53, $M$65:$N$73, 2, FALSE), "", INDEX('Measure Inputs'!$I$7:$I$82, MATCH($B$53, 'Measure Inputs'!$G$7:$G$82, 0)+$A68-1, 0))</f>
        <v/>
      </c>
      <c r="C68" s="776" t="str">
        <f>IF($A68&gt;VLOOKUP($B$53, $M$65:$N$73, 2, FALSE), "", INDEX('Measure Inputs'!$O$7:$O$234, MATCH($B$53, 'Measure Inputs'!$G$7:$G$234, 0)+$A68-1, 0))</f>
        <v/>
      </c>
      <c r="D68" s="778" t="str">
        <f>IF($A68&gt;VLOOKUP($B$53, $M$65:$N$73, 2, FALSE), "", INDEX('Measure Inputs'!$L$7:$L$234, (MATCH($B$53, 'Measure Inputs'!$G$7:$G$234, 0)+$A68-1)+$N$74*(COUNTA($D$64:D$64)-1), 0))</f>
        <v/>
      </c>
      <c r="E68" s="778" t="str">
        <f>IF($A68&gt;VLOOKUP($B$53, $M$65:$N$73, 2, FALSE), "", INDEX('Measure Inputs'!$L$7:$L$234, (MATCH($B$53, 'Measure Inputs'!$G$7:$G$234, 0)+$A68-1)+$N$74*(COUNTA($D$64:E$64)-1), 0))</f>
        <v/>
      </c>
      <c r="F68" s="778" t="str">
        <f>IF($A68&gt;VLOOKUP($B$53, $M$65:$N$73, 2, FALSE), "", INDEX('Measure Inputs'!$L$7:$L$234, (MATCH($B$53, 'Measure Inputs'!$G$7:$G$234, 0)+$A68-1)+$N$74*(COUNTA($D$64:F$64)-1), 0))</f>
        <v/>
      </c>
      <c r="M68" s="252" t="s">
        <v>219</v>
      </c>
      <c r="N68" s="252">
        <f>COUNTIF('Measure Inputs'!$G$7:$G$82, $M68)</f>
        <v>7</v>
      </c>
    </row>
    <row r="69" spans="1:14">
      <c r="A69" s="774">
        <v>5</v>
      </c>
      <c r="B69" s="775" t="str">
        <f>IF($A69&gt;VLOOKUP($B$53, $M$65:$N$73, 2, FALSE), "", INDEX('Measure Inputs'!$I$7:$I$82, MATCH($B$53, 'Measure Inputs'!$G$7:$G$82, 0)+$A69-1, 0))</f>
        <v/>
      </c>
      <c r="C69" s="776" t="str">
        <f>IF($A69&gt;VLOOKUP($B$53, $M$65:$N$73, 2, FALSE), "", INDEX('Measure Inputs'!$O$7:$O$234, MATCH($B$53, 'Measure Inputs'!$G$7:$G$234, 0)+$A69-1, 0))</f>
        <v/>
      </c>
      <c r="D69" s="778" t="str">
        <f>IF($A69&gt;VLOOKUP($B$53, $M$65:$N$73, 2, FALSE), "", INDEX('Measure Inputs'!$L$7:$L$234, (MATCH($B$53, 'Measure Inputs'!$G$7:$G$234, 0)+$A69-1)+$N$74*(COUNTA($D$64:D$64)-1), 0))</f>
        <v/>
      </c>
      <c r="E69" s="778" t="str">
        <f>IF($A69&gt;VLOOKUP($B$53, $M$65:$N$73, 2, FALSE), "", INDEX('Measure Inputs'!$L$7:$L$234, (MATCH($B$53, 'Measure Inputs'!$G$7:$G$234, 0)+$A69-1)+$N$74*(COUNTA($D$64:E$64)-1), 0))</f>
        <v/>
      </c>
      <c r="F69" s="778" t="str">
        <f>IF($A69&gt;VLOOKUP($B$53, $M$65:$N$73, 2, FALSE), "", INDEX('Measure Inputs'!$L$7:$L$234, (MATCH($B$53, 'Measure Inputs'!$G$7:$G$234, 0)+$A69-1)+$N$74*(COUNTA($D$64:F$64)-1), 0))</f>
        <v/>
      </c>
      <c r="M69" s="252" t="s">
        <v>251</v>
      </c>
      <c r="N69" s="252">
        <f>COUNTIF('Measure Inputs'!$G$7:$G$82, $M69)</f>
        <v>4</v>
      </c>
    </row>
    <row r="70" spans="1:14">
      <c r="A70" s="774">
        <v>6</v>
      </c>
      <c r="B70" s="775" t="str">
        <f>IF($A70&gt;VLOOKUP($B$53, $M$65:$N$73, 2, FALSE), "", INDEX('Measure Inputs'!$I$7:$I$82, MATCH($B$53, 'Measure Inputs'!$G$7:$G$82, 0)+$A70-1, 0))</f>
        <v/>
      </c>
      <c r="C70" s="776" t="str">
        <f>IF($A70&gt;VLOOKUP($B$53, $M$65:$N$73, 2, FALSE), "", INDEX('Measure Inputs'!$O$7:$O$234, MATCH($B$53, 'Measure Inputs'!$G$7:$G$234, 0)+$A70-1, 0))</f>
        <v/>
      </c>
      <c r="D70" s="778" t="str">
        <f>IF($A70&gt;VLOOKUP($B$53, $M$65:$N$73, 2, FALSE), "", INDEX('Measure Inputs'!$L$7:$L$234, (MATCH($B$53, 'Measure Inputs'!$G$7:$G$234, 0)+$A70-1)+$N$74*(COUNTA($D$64:D$64)-1), 0))</f>
        <v/>
      </c>
      <c r="E70" s="778" t="str">
        <f>IF($A70&gt;VLOOKUP($B$53, $M$65:$N$73, 2, FALSE), "", INDEX('Measure Inputs'!$L$7:$L$234, (MATCH($B$53, 'Measure Inputs'!$G$7:$G$234, 0)+$A70-1)+$N$74*(COUNTA($D$64:E$64)-1), 0))</f>
        <v/>
      </c>
      <c r="F70" s="778" t="str">
        <f>IF($A70&gt;VLOOKUP($B$53, $M$65:$N$73, 2, FALSE), "", INDEX('Measure Inputs'!$L$7:$L$234, (MATCH($B$53, 'Measure Inputs'!$G$7:$G$234, 0)+$A70-1)+$N$74*(COUNTA($D$64:F$64)-1), 0))</f>
        <v/>
      </c>
      <c r="M70" s="252" t="s">
        <v>252</v>
      </c>
      <c r="N70" s="252">
        <f>COUNTIF('Measure Inputs'!$G$7:$G$82, $M70)</f>
        <v>1</v>
      </c>
    </row>
    <row r="71" spans="1:14">
      <c r="A71" s="774">
        <v>7</v>
      </c>
      <c r="B71" s="775" t="str">
        <f>IF($A71&gt;VLOOKUP($B$53, $M$65:$N$73, 2, FALSE), "", INDEX('Measure Inputs'!$I$7:$I$82, MATCH($B$53, 'Measure Inputs'!$G$7:$G$82, 0)+$A71-1, 0))</f>
        <v/>
      </c>
      <c r="C71" s="776" t="str">
        <f>IF($A71&gt;VLOOKUP($B$53, $M$65:$N$73, 2, FALSE), "", INDEX('Measure Inputs'!$O$7:$O$234, MATCH($B$53, 'Measure Inputs'!$G$7:$G$234, 0)+$A71-1, 0))</f>
        <v/>
      </c>
      <c r="D71" s="778" t="str">
        <f>IF($A71&gt;VLOOKUP($B$53, $M$65:$N$73, 2, FALSE), "", INDEX('Measure Inputs'!$L$7:$L$234, (MATCH($B$53, 'Measure Inputs'!$G$7:$G$234, 0)+$A71-1)+$N$74*(COUNTA($D$64:D$64)-1), 0))</f>
        <v/>
      </c>
      <c r="E71" s="778" t="str">
        <f>IF($A71&gt;VLOOKUP($B$53, $M$65:$N$73, 2, FALSE), "", INDEX('Measure Inputs'!$L$7:$L$234, (MATCH($B$53, 'Measure Inputs'!$G$7:$G$234, 0)+$A71-1)+$N$74*(COUNTA($D$64:E$64)-1), 0))</f>
        <v/>
      </c>
      <c r="F71" s="778" t="str">
        <f>IF($A71&gt;VLOOKUP($B$53, $M$65:$N$73, 2, FALSE), "", INDEX('Measure Inputs'!$L$7:$L$234, (MATCH($B$53, 'Measure Inputs'!$G$7:$G$234, 0)+$A71-1)+$N$74*(COUNTA($D$64:F$64)-1), 0))</f>
        <v/>
      </c>
      <c r="M71" s="252" t="s">
        <v>253</v>
      </c>
      <c r="N71" s="252">
        <f>COUNTIF('Measure Inputs'!$G$7:$G$82, $M71)</f>
        <v>7</v>
      </c>
    </row>
    <row r="72" spans="1:14">
      <c r="A72" s="774">
        <v>8</v>
      </c>
      <c r="B72" s="775" t="str">
        <f>IF($A72&gt;VLOOKUP($B$53, $M$65:$N$73, 2, FALSE), "", INDEX('Measure Inputs'!$I$7:$I$82, MATCH($B$53, 'Measure Inputs'!$G$7:$G$82, 0)+$A72-1, 0))</f>
        <v/>
      </c>
      <c r="C72" s="776" t="str">
        <f>IF($A72&gt;VLOOKUP($B$53, $M$65:$N$73, 2, FALSE), "", INDEX('Measure Inputs'!$O$7:$O$234, MATCH($B$53, 'Measure Inputs'!$G$7:$G$234, 0)+$A72-1, 0))</f>
        <v/>
      </c>
      <c r="D72" s="778" t="str">
        <f>IF($A72&gt;VLOOKUP($B$53, $M$65:$N$73, 2, FALSE), "", INDEX('Measure Inputs'!$L$7:$L$234, (MATCH($B$53, 'Measure Inputs'!$G$7:$G$234, 0)+$A72-1)+$N$74*(COUNTA($D$64:D$64)-1), 0))</f>
        <v/>
      </c>
      <c r="E72" s="778" t="str">
        <f>IF($A72&gt;VLOOKUP($B$53, $M$65:$N$73, 2, FALSE), "", INDEX('Measure Inputs'!$L$7:$L$234, (MATCH($B$53, 'Measure Inputs'!$G$7:$G$234, 0)+$A72-1)+$N$74*(COUNTA($D$64:E$64)-1), 0))</f>
        <v/>
      </c>
      <c r="F72" s="778" t="str">
        <f>IF($A72&gt;VLOOKUP($B$53, $M$65:$N$73, 2, FALSE), "", INDEX('Measure Inputs'!$L$7:$L$234, (MATCH($B$53, 'Measure Inputs'!$G$7:$G$234, 0)+$A72-1)+$N$74*(COUNTA($D$64:F$64)-1), 0))</f>
        <v/>
      </c>
      <c r="M72" s="252" t="s">
        <v>254</v>
      </c>
      <c r="N72" s="252">
        <f>COUNTIF('Measure Inputs'!$G$7:$G$82, $M72)</f>
        <v>1</v>
      </c>
    </row>
    <row r="73" spans="1:14">
      <c r="A73" s="774">
        <v>9</v>
      </c>
      <c r="B73" s="775" t="str">
        <f>IF($A73&gt;VLOOKUP($B$53, $M$65:$N$73, 2, FALSE), "", INDEX('Measure Inputs'!$I$7:$I$82, MATCH($B$53, 'Measure Inputs'!$G$7:$G$82, 0)+$A73-1, 0))</f>
        <v/>
      </c>
      <c r="C73" s="776" t="str">
        <f>IF($A73&gt;VLOOKUP($B$53, $M$65:$N$73, 2, FALSE), "", INDEX('Measure Inputs'!$O$7:$O$234, MATCH($B$53, 'Measure Inputs'!$G$7:$G$234, 0)+$A73-1, 0))</f>
        <v/>
      </c>
      <c r="D73" s="778" t="str">
        <f>IF($A73&gt;VLOOKUP($B$53, $M$65:$N$73, 2, FALSE), "", INDEX('Measure Inputs'!$L$7:$L$234, (MATCH($B$53, 'Measure Inputs'!$G$7:$G$234, 0)+$A73-1)+$N$74*(COUNTA($D$64:D$64)-1), 0))</f>
        <v/>
      </c>
      <c r="E73" s="778" t="str">
        <f>IF($A73&gt;VLOOKUP($B$53, $M$65:$N$73, 2, FALSE), "", INDEX('Measure Inputs'!$L$7:$L$234, (MATCH($B$53, 'Measure Inputs'!$G$7:$G$234, 0)+$A73-1)+$N$74*(COUNTA($D$64:E$64)-1), 0))</f>
        <v/>
      </c>
      <c r="F73" s="778" t="str">
        <f>IF($A73&gt;VLOOKUP($B$53, $M$65:$N$73, 2, FALSE), "", INDEX('Measure Inputs'!$L$7:$L$234, (MATCH($B$53, 'Measure Inputs'!$G$7:$G$234, 0)+$A73-1)+$N$74*(COUNTA($D$64:F$64)-1), 0))</f>
        <v/>
      </c>
      <c r="M73" s="252" t="s">
        <v>255</v>
      </c>
      <c r="N73" s="252">
        <f>COUNTIF('Measure Inputs'!$G$7:$G$82, $M73)</f>
        <v>43</v>
      </c>
    </row>
    <row r="74" spans="1:14">
      <c r="A74" s="774">
        <v>10</v>
      </c>
      <c r="B74" s="775" t="str">
        <f>IF($A74&gt;VLOOKUP($B$53, $M$65:$N$73, 2, FALSE), "", INDEX('Measure Inputs'!$I$7:$I$82, MATCH($B$53, 'Measure Inputs'!$G$7:$G$82, 0)+$A74-1, 0))</f>
        <v/>
      </c>
      <c r="C74" s="776" t="str">
        <f>IF($A74&gt;VLOOKUP($B$53, $M$65:$N$73, 2, FALSE), "", INDEX('Measure Inputs'!$O$7:$O$234, MATCH($B$53, 'Measure Inputs'!$G$7:$G$234, 0)+$A74-1, 0))</f>
        <v/>
      </c>
      <c r="D74" s="778" t="str">
        <f>IF($A74&gt;VLOOKUP($B$53, $M$65:$N$73, 2, FALSE), "", INDEX('Measure Inputs'!$L$7:$L$234, (MATCH($B$53, 'Measure Inputs'!$G$7:$G$234, 0)+$A74-1)+$N$74*(COUNTA($D$64:D$64)-1), 0))</f>
        <v/>
      </c>
      <c r="E74" s="778" t="str">
        <f>IF($A74&gt;VLOOKUP($B$53, $M$65:$N$73, 2, FALSE), "", INDEX('Measure Inputs'!$L$7:$L$234, (MATCH($B$53, 'Measure Inputs'!$G$7:$G$234, 0)+$A74-1)+$N$74*(COUNTA($D$64:E$64)-1), 0))</f>
        <v/>
      </c>
      <c r="F74" s="778" t="str">
        <f>IF($A74&gt;VLOOKUP($B$53, $M$65:$N$73, 2, FALSE), "", INDEX('Measure Inputs'!$L$7:$L$234, (MATCH($B$53, 'Measure Inputs'!$G$7:$G$234, 0)+$A74-1)+$N$74*(COUNTA($D$64:F$64)-1), 0))</f>
        <v/>
      </c>
      <c r="M74" s="252"/>
      <c r="N74" s="252">
        <f>SUM(N65:N73)</f>
        <v>76</v>
      </c>
    </row>
    <row r="75" spans="1:14">
      <c r="A75" s="774">
        <v>11</v>
      </c>
      <c r="B75" s="775" t="str">
        <f>IF($A75&gt;VLOOKUP($B$53, $M$65:$N$73, 2, FALSE), "", INDEX('Measure Inputs'!$I$7:$I$82, MATCH($B$53, 'Measure Inputs'!$G$7:$G$82, 0)+$A75-1, 0))</f>
        <v/>
      </c>
      <c r="C75" s="776" t="str">
        <f>IF($A75&gt;VLOOKUP($B$53, $M$65:$N$73, 2, FALSE), "", INDEX('Measure Inputs'!$O$7:$O$234, MATCH($B$53, 'Measure Inputs'!$G$7:$G$234, 0)+$A75-1, 0))</f>
        <v/>
      </c>
      <c r="D75" s="778" t="str">
        <f>IF($A75&gt;VLOOKUP($B$53, $M$65:$N$73, 2, FALSE), "", INDEX('Measure Inputs'!$L$7:$L$234, (MATCH($B$53, 'Measure Inputs'!$G$7:$G$234, 0)+$A75-1)+$N$74*(COUNTA($D$64:D$64)-1), 0))</f>
        <v/>
      </c>
      <c r="E75" s="778" t="str">
        <f>IF($A75&gt;VLOOKUP($B$53, $M$65:$N$73, 2, FALSE), "", INDEX('Measure Inputs'!$L$7:$L$234, (MATCH($B$53, 'Measure Inputs'!$G$7:$G$234, 0)+$A75-1)+$N$74*(COUNTA($D$64:E$64)-1), 0))</f>
        <v/>
      </c>
      <c r="F75" s="778" t="str">
        <f>IF($A75&gt;VLOOKUP($B$53, $M$65:$N$73, 2, FALSE), "", INDEX('Measure Inputs'!$L$7:$L$234, (MATCH($B$53, 'Measure Inputs'!$G$7:$G$234, 0)+$A75-1)+$N$74*(COUNTA($D$64:F$64)-1), 0))</f>
        <v/>
      </c>
    </row>
    <row r="76" spans="1:14">
      <c r="A76" s="774">
        <v>12</v>
      </c>
      <c r="B76" s="775" t="str">
        <f>IF($A76&gt;VLOOKUP($B$53, $M$65:$N$73, 2, FALSE), "", INDEX('Measure Inputs'!$I$7:$I$82, MATCH($B$53, 'Measure Inputs'!$G$7:$G$82, 0)+$A76-1, 0))</f>
        <v/>
      </c>
      <c r="C76" s="776" t="str">
        <f>IF($A76&gt;VLOOKUP($B$53, $M$65:$N$73, 2, FALSE), "", INDEX('Measure Inputs'!$O$7:$O$234, MATCH($B$53, 'Measure Inputs'!$G$7:$G$234, 0)+$A76-1, 0))</f>
        <v/>
      </c>
      <c r="D76" s="778" t="str">
        <f>IF($A76&gt;VLOOKUP($B$53, $M$65:$N$73, 2, FALSE), "", INDEX('Measure Inputs'!$L$7:$L$234, (MATCH($B$53, 'Measure Inputs'!$G$7:$G$234, 0)+$A76-1)+$N$74*(COUNTA($D$64:D$64)-1), 0))</f>
        <v/>
      </c>
      <c r="E76" s="778" t="str">
        <f>IF($A76&gt;VLOOKUP($B$53, $M$65:$N$73, 2, FALSE), "", INDEX('Measure Inputs'!$L$7:$L$234, (MATCH($B$53, 'Measure Inputs'!$G$7:$G$234, 0)+$A76-1)+$N$74*(COUNTA($D$64:E$64)-1), 0))</f>
        <v/>
      </c>
      <c r="F76" s="778" t="str">
        <f>IF($A76&gt;VLOOKUP($B$53, $M$65:$N$73, 2, FALSE), "", INDEX('Measure Inputs'!$L$7:$L$234, (MATCH($B$53, 'Measure Inputs'!$G$7:$G$234, 0)+$A76-1)+$N$74*(COUNTA($D$64:F$64)-1), 0))</f>
        <v/>
      </c>
    </row>
    <row r="77" spans="1:14">
      <c r="A77" s="774">
        <v>13</v>
      </c>
      <c r="B77" s="775" t="str">
        <f>IF($A77&gt;VLOOKUP($B$53, $M$65:$N$73, 2, FALSE), "", INDEX('Measure Inputs'!$I$7:$I$82, MATCH($B$53, 'Measure Inputs'!$G$7:$G$82, 0)+$A77-1, 0))</f>
        <v/>
      </c>
      <c r="C77" s="776" t="str">
        <f>IF($A77&gt;VLOOKUP($B$53, $M$65:$N$73, 2, FALSE), "", INDEX('Measure Inputs'!$O$7:$O$234, MATCH($B$53, 'Measure Inputs'!$G$7:$G$234, 0)+$A77-1, 0))</f>
        <v/>
      </c>
      <c r="D77" s="778" t="str">
        <f>IF($A77&gt;VLOOKUP($B$53, $M$65:$N$73, 2, FALSE), "", INDEX('Measure Inputs'!$L$7:$L$234, (MATCH($B$53, 'Measure Inputs'!$G$7:$G$234, 0)+$A77-1)+$N$74*(COUNTA($D$64:D$64)-1), 0))</f>
        <v/>
      </c>
      <c r="E77" s="778" t="str">
        <f>IF($A77&gt;VLOOKUP($B$53, $M$65:$N$73, 2, FALSE), "", INDEX('Measure Inputs'!$L$7:$L$234, (MATCH($B$53, 'Measure Inputs'!$G$7:$G$234, 0)+$A77-1)+$N$74*(COUNTA($D$64:E$64)-1), 0))</f>
        <v/>
      </c>
      <c r="F77" s="778" t="str">
        <f>IF($A77&gt;VLOOKUP($B$53, $M$65:$N$73, 2, FALSE), "", INDEX('Measure Inputs'!$L$7:$L$234, (MATCH($B$53, 'Measure Inputs'!$G$7:$G$234, 0)+$A77-1)+$N$74*(COUNTA($D$64:F$64)-1), 0))</f>
        <v/>
      </c>
    </row>
    <row r="78" spans="1:14">
      <c r="A78" s="774">
        <v>14</v>
      </c>
      <c r="B78" s="775" t="str">
        <f>IF($A78&gt;VLOOKUP($B$53, $M$65:$N$73, 2, FALSE), "", INDEX('Measure Inputs'!$I$7:$I$82, MATCH($B$53, 'Measure Inputs'!$G$7:$G$82, 0)+$A78-1, 0))</f>
        <v/>
      </c>
      <c r="C78" s="776" t="str">
        <f>IF($A78&gt;VLOOKUP($B$53, $M$65:$N$73, 2, FALSE), "", INDEX('Measure Inputs'!$O$7:$O$234, MATCH($B$53, 'Measure Inputs'!$G$7:$G$234, 0)+$A78-1, 0))</f>
        <v/>
      </c>
      <c r="D78" s="778" t="str">
        <f>IF($A78&gt;VLOOKUP($B$53, $M$65:$N$73, 2, FALSE), "", INDEX('Measure Inputs'!$L$7:$L$234, (MATCH($B$53, 'Measure Inputs'!$G$7:$G$234, 0)+$A78-1)+$N$74*(COUNTA($D$64:D$64)-1), 0))</f>
        <v/>
      </c>
      <c r="E78" s="778" t="str">
        <f>IF($A78&gt;VLOOKUP($B$53, $M$65:$N$73, 2, FALSE), "", INDEX('Measure Inputs'!$L$7:$L$234, (MATCH($B$53, 'Measure Inputs'!$G$7:$G$234, 0)+$A78-1)+$N$74*(COUNTA($D$64:E$64)-1), 0))</f>
        <v/>
      </c>
      <c r="F78" s="778" t="str">
        <f>IF($A78&gt;VLOOKUP($B$53, $M$65:$N$73, 2, FALSE), "", INDEX('Measure Inputs'!$L$7:$L$234, (MATCH($B$53, 'Measure Inputs'!$G$7:$G$234, 0)+$A78-1)+$N$74*(COUNTA($D$64:F$64)-1), 0))</f>
        <v/>
      </c>
    </row>
    <row r="79" spans="1:14">
      <c r="A79" s="774">
        <v>15</v>
      </c>
      <c r="B79" s="775" t="str">
        <f>IF($A79&gt;VLOOKUP($B$53, $M$65:$N$73, 2, FALSE), "", INDEX('Measure Inputs'!$I$7:$I$82, MATCH($B$53, 'Measure Inputs'!$G$7:$G$82, 0)+$A79-1, 0))</f>
        <v/>
      </c>
      <c r="C79" s="776" t="str">
        <f>IF($A79&gt;VLOOKUP($B$53, $M$65:$N$73, 2, FALSE), "", INDEX('Measure Inputs'!$O$7:$O$234, MATCH($B$53, 'Measure Inputs'!$G$7:$G$234, 0)+$A79-1, 0))</f>
        <v/>
      </c>
      <c r="D79" s="778" t="str">
        <f>IF($A79&gt;VLOOKUP($B$53, $M$65:$N$73, 2, FALSE), "", INDEX('Measure Inputs'!$L$7:$L$234, (MATCH($B$53, 'Measure Inputs'!$G$7:$G$234, 0)+$A79-1)+$N$74*(COUNTA($D$64:D$64)-1), 0))</f>
        <v/>
      </c>
      <c r="E79" s="778" t="str">
        <f>IF($A79&gt;VLOOKUP($B$53, $M$65:$N$73, 2, FALSE), "", INDEX('Measure Inputs'!$L$7:$L$234, (MATCH($B$53, 'Measure Inputs'!$G$7:$G$234, 0)+$A79-1)+$N$74*(COUNTA($D$64:E$64)-1), 0))</f>
        <v/>
      </c>
      <c r="F79" s="778" t="str">
        <f>IF($A79&gt;VLOOKUP($B$53, $M$65:$N$73, 2, FALSE), "", INDEX('Measure Inputs'!$L$7:$L$234, (MATCH($B$53, 'Measure Inputs'!$G$7:$G$234, 0)+$A79-1)+$N$74*(COUNTA($D$64:F$64)-1), 0))</f>
        <v/>
      </c>
    </row>
    <row r="80" spans="1:14">
      <c r="A80" s="774">
        <v>16</v>
      </c>
      <c r="B80" s="775" t="str">
        <f>IF($A80&gt;VLOOKUP($B$53, $M$65:$N$73, 2, FALSE), "", INDEX('Measure Inputs'!$I$7:$I$82, MATCH($B$53, 'Measure Inputs'!$G$7:$G$82, 0)+$A80-1, 0))</f>
        <v/>
      </c>
      <c r="C80" s="776" t="str">
        <f>IF($A80&gt;VLOOKUP($B$53, $M$65:$N$73, 2, FALSE), "", INDEX('Measure Inputs'!$O$7:$O$234, MATCH($B$53, 'Measure Inputs'!$G$7:$G$234, 0)+$A80-1, 0))</f>
        <v/>
      </c>
      <c r="D80" s="778" t="str">
        <f>IF($A80&gt;VLOOKUP($B$53, $M$65:$N$73, 2, FALSE), "", INDEX('Measure Inputs'!$L$7:$L$234, (MATCH($B$53, 'Measure Inputs'!$G$7:$G$234, 0)+$A80-1)+$N$74*(COUNTA($D$64:D$64)-1), 0))</f>
        <v/>
      </c>
      <c r="E80" s="778" t="str">
        <f>IF($A80&gt;VLOOKUP($B$53, $M$65:$N$73, 2, FALSE), "", INDEX('Measure Inputs'!$L$7:$L$234, (MATCH($B$53, 'Measure Inputs'!$G$7:$G$234, 0)+$A80-1)+$N$74*(COUNTA($D$64:E$64)-1), 0))</f>
        <v/>
      </c>
      <c r="F80" s="778" t="str">
        <f>IF($A80&gt;VLOOKUP($B$53, $M$65:$N$73, 2, FALSE), "", INDEX('Measure Inputs'!$L$7:$L$234, (MATCH($B$53, 'Measure Inputs'!$G$7:$G$234, 0)+$A80-1)+$N$74*(COUNTA($D$64:F$64)-1), 0))</f>
        <v/>
      </c>
    </row>
    <row r="81" spans="1:12">
      <c r="A81" s="774">
        <v>17</v>
      </c>
      <c r="B81" s="775" t="str">
        <f>IF($A81&gt;VLOOKUP($B$53, $M$65:$N$73, 2, FALSE), "", INDEX('Measure Inputs'!$I$7:$I$82, MATCH($B$53, 'Measure Inputs'!$G$7:$G$82, 0)+$A81-1, 0))</f>
        <v/>
      </c>
      <c r="C81" s="776" t="str">
        <f>IF($A81&gt;VLOOKUP($B$53, $M$65:$N$73, 2, FALSE), "", INDEX('Measure Inputs'!$O$7:$O$234, MATCH($B$53, 'Measure Inputs'!$G$7:$G$234, 0)+$A81-1, 0))</f>
        <v/>
      </c>
      <c r="D81" s="778" t="str">
        <f>IF($A81&gt;VLOOKUP($B$53, $M$65:$N$73, 2, FALSE), "", INDEX('Measure Inputs'!$L$7:$L$234, (MATCH($B$53, 'Measure Inputs'!$G$7:$G$234, 0)+$A81-1)+$N$74*(COUNTA($D$64:D$64)-1), 0))</f>
        <v/>
      </c>
      <c r="E81" s="778" t="str">
        <f>IF($A81&gt;VLOOKUP($B$53, $M$65:$N$73, 2, FALSE), "", INDEX('Measure Inputs'!$L$7:$L$234, (MATCH($B$53, 'Measure Inputs'!$G$7:$G$234, 0)+$A81-1)+$N$74*(COUNTA($D$64:E$64)-1), 0))</f>
        <v/>
      </c>
      <c r="F81" s="778" t="str">
        <f>IF($A81&gt;VLOOKUP($B$53, $M$65:$N$73, 2, FALSE), "", INDEX('Measure Inputs'!$L$7:$L$234, (MATCH($B$53, 'Measure Inputs'!$G$7:$G$234, 0)+$A81-1)+$N$74*(COUNTA($D$64:F$64)-1), 0))</f>
        <v/>
      </c>
    </row>
    <row r="82" spans="1:12">
      <c r="A82" s="774">
        <v>18</v>
      </c>
      <c r="B82" s="775" t="str">
        <f>IF($A82&gt;VLOOKUP($B$53, $M$65:$N$73, 2, FALSE), "", INDEX('Measure Inputs'!$I$7:$I$82, MATCH($B$53, 'Measure Inputs'!$G$7:$G$82, 0)+$A82-1, 0))</f>
        <v/>
      </c>
      <c r="C82" s="776" t="str">
        <f>IF($A82&gt;VLOOKUP($B$53, $M$65:$N$73, 2, FALSE), "", INDEX('Measure Inputs'!$O$7:$O$234, MATCH($B$53, 'Measure Inputs'!$G$7:$G$234, 0)+$A82-1, 0))</f>
        <v/>
      </c>
      <c r="D82" s="778" t="str">
        <f>IF($A82&gt;VLOOKUP($B$53, $M$65:$N$73, 2, FALSE), "", INDEX('Measure Inputs'!$L$7:$L$234, (MATCH($B$53, 'Measure Inputs'!$G$7:$G$234, 0)+$A82-1)+$N$74*(COUNTA($D$64:D$64)-1), 0))</f>
        <v/>
      </c>
      <c r="E82" s="778" t="str">
        <f>IF($A82&gt;VLOOKUP($B$53, $M$65:$N$73, 2, FALSE), "", INDEX('Measure Inputs'!$L$7:$L$234, (MATCH($B$53, 'Measure Inputs'!$G$7:$G$234, 0)+$A82-1)+$N$74*(COUNTA($D$64:E$64)-1), 0))</f>
        <v/>
      </c>
      <c r="F82" s="778" t="str">
        <f>IF($A82&gt;VLOOKUP($B$53, $M$65:$N$73, 2, FALSE), "", INDEX('Measure Inputs'!$L$7:$L$234, (MATCH($B$53, 'Measure Inputs'!$G$7:$G$234, 0)+$A82-1)+$N$74*(COUNTA($D$64:F$64)-1), 0))</f>
        <v/>
      </c>
    </row>
    <row r="83" spans="1:12">
      <c r="A83" s="774">
        <v>19</v>
      </c>
      <c r="B83" s="775" t="str">
        <f>IF($A83&gt;VLOOKUP($B$53, $M$65:$N$73, 2, FALSE), "", INDEX('Measure Inputs'!$I$7:$I$82, MATCH($B$53, 'Measure Inputs'!$G$7:$G$82, 0)+$A83-1, 0))</f>
        <v/>
      </c>
      <c r="C83" s="776" t="str">
        <f>IF($A83&gt;VLOOKUP($B$53, $M$65:$N$73, 2, FALSE), "", INDEX('Measure Inputs'!$O$7:$O$234, MATCH($B$53, 'Measure Inputs'!$G$7:$G$234, 0)+$A83-1, 0))</f>
        <v/>
      </c>
      <c r="D83" s="778" t="str">
        <f>IF($A83&gt;VLOOKUP($B$53, $M$65:$N$73, 2, FALSE), "", INDEX('Measure Inputs'!$L$7:$L$234, (MATCH($B$53, 'Measure Inputs'!$G$7:$G$234, 0)+$A83-1)+$N$74*(COUNTA($D$64:D$64)-1), 0))</f>
        <v/>
      </c>
      <c r="E83" s="778" t="str">
        <f>IF($A83&gt;VLOOKUP($B$53, $M$65:$N$73, 2, FALSE), "", INDEX('Measure Inputs'!$L$7:$L$234, (MATCH($B$53, 'Measure Inputs'!$G$7:$G$234, 0)+$A83-1)+$N$74*(COUNTA($D$64:E$64)-1), 0))</f>
        <v/>
      </c>
      <c r="F83" s="778" t="str">
        <f>IF($A83&gt;VLOOKUP($B$53, $M$65:$N$73, 2, FALSE), "", INDEX('Measure Inputs'!$L$7:$L$234, (MATCH($B$53, 'Measure Inputs'!$G$7:$G$234, 0)+$A83-1)+$N$74*(COUNTA($D$64:F$64)-1), 0))</f>
        <v/>
      </c>
    </row>
    <row r="84" spans="1:12">
      <c r="A84" s="774">
        <v>20</v>
      </c>
      <c r="B84" s="775" t="str">
        <f>IF($A84&gt;VLOOKUP($B$53, $M$65:$N$73, 2, FALSE), "", INDEX('Measure Inputs'!$I$7:$I$82, MATCH($B$53, 'Measure Inputs'!$G$7:$G$82, 0)+$A84-1, 0))</f>
        <v/>
      </c>
      <c r="C84" s="776" t="str">
        <f>IF($A84&gt;VLOOKUP($B$53, $M$65:$N$73, 2, FALSE), "", INDEX('Measure Inputs'!$O$7:$O$234, MATCH($B$53, 'Measure Inputs'!$G$7:$G$234, 0)+$A84-1, 0))</f>
        <v/>
      </c>
      <c r="D84" s="778" t="str">
        <f>IF($A84&gt;VLOOKUP($B$53, $M$65:$N$73, 2, FALSE), "", INDEX('Measure Inputs'!$L$7:$L$234, (MATCH($B$53, 'Measure Inputs'!$G$7:$G$234, 0)+$A84-1)+$N$74*(COUNTA($D$64:D$64)-1), 0))</f>
        <v/>
      </c>
      <c r="E84" s="778" t="str">
        <f>IF($A84&gt;VLOOKUP($B$53, $M$65:$N$73, 2, FALSE), "", INDEX('Measure Inputs'!$L$7:$L$234, (MATCH($B$53, 'Measure Inputs'!$G$7:$G$234, 0)+$A84-1)+$N$74*(COUNTA($D$64:E$64)-1), 0))</f>
        <v/>
      </c>
      <c r="F84" s="778" t="str">
        <f>IF($A84&gt;VLOOKUP($B$53, $M$65:$N$73, 2, FALSE), "", INDEX('Measure Inputs'!$L$7:$L$234, (MATCH($B$53, 'Measure Inputs'!$G$7:$G$234, 0)+$A84-1)+$N$74*(COUNTA($D$64:F$64)-1), 0))</f>
        <v/>
      </c>
      <c r="J84" s="781"/>
      <c r="K84" s="781"/>
      <c r="L84" s="781"/>
    </row>
    <row r="85" spans="1:12">
      <c r="A85" s="774">
        <v>21</v>
      </c>
      <c r="B85" s="775" t="str">
        <f>IF($A85&gt;VLOOKUP($B$53, $M$65:$N$73, 2, FALSE), "", INDEX('Measure Inputs'!$I$7:$I$82, MATCH($B$53, 'Measure Inputs'!$G$7:$G$82, 0)+$A85-1, 0))</f>
        <v/>
      </c>
      <c r="C85" s="776" t="str">
        <f>IF($A85&gt;VLOOKUP($B$53, $M$65:$N$73, 2, FALSE), "", INDEX('Measure Inputs'!$O$7:$O$234, MATCH($B$53, 'Measure Inputs'!$G$7:$G$234, 0)+$A85-1, 0))</f>
        <v/>
      </c>
      <c r="D85" s="778" t="str">
        <f>IF($A85&gt;VLOOKUP($B$53, $M$65:$N$73, 2, FALSE), "", INDEX('Measure Inputs'!$L$7:$L$234, (MATCH($B$53, 'Measure Inputs'!$G$7:$G$234, 0)+$A85-1)+$N$74*(COUNTA($D$64:D$64)-1), 0))</f>
        <v/>
      </c>
      <c r="E85" s="778" t="str">
        <f>IF($A85&gt;VLOOKUP($B$53, $M$65:$N$73, 2, FALSE), "", INDEX('Measure Inputs'!$L$7:$L$234, (MATCH($B$53, 'Measure Inputs'!$G$7:$G$234, 0)+$A85-1)+$N$74*(COUNTA($D$64:E$64)-1), 0))</f>
        <v/>
      </c>
      <c r="F85" s="778" t="str">
        <f>IF($A85&gt;VLOOKUP($B$53, $M$65:$N$73, 2, FALSE), "", INDEX('Measure Inputs'!$L$7:$L$234, (MATCH($B$53, 'Measure Inputs'!$G$7:$G$234, 0)+$A85-1)+$N$74*(COUNTA($D$64:F$64)-1), 0))</f>
        <v/>
      </c>
      <c r="J85" s="781"/>
      <c r="K85" s="781"/>
      <c r="L85" s="781"/>
    </row>
    <row r="86" spans="1:12">
      <c r="A86" s="774">
        <v>22</v>
      </c>
      <c r="B86" s="775" t="str">
        <f>IF($A86&gt;VLOOKUP($B$53, $M$65:$N$73, 2, FALSE), "", INDEX('Measure Inputs'!$I$7:$I$82, MATCH($B$53, 'Measure Inputs'!$G$7:$G$82, 0)+$A86-1, 0))</f>
        <v/>
      </c>
      <c r="C86" s="776" t="str">
        <f>IF($A86&gt;VLOOKUP($B$53, $M$65:$N$73, 2, FALSE), "", INDEX('Measure Inputs'!$O$7:$O$234, MATCH($B$53, 'Measure Inputs'!$G$7:$G$234, 0)+$A86-1, 0))</f>
        <v/>
      </c>
      <c r="D86" s="778" t="str">
        <f>IF($A86&gt;VLOOKUP($B$53, $M$65:$N$73, 2, FALSE), "", INDEX('Measure Inputs'!$L$7:$L$234, (MATCH($B$53, 'Measure Inputs'!$G$7:$G$234, 0)+$A86-1)+$N$74*(COUNTA($D$64:D$64)-1), 0))</f>
        <v/>
      </c>
      <c r="E86" s="778" t="str">
        <f>IF($A86&gt;VLOOKUP($B$53, $M$65:$N$73, 2, FALSE), "", INDEX('Measure Inputs'!$L$7:$L$234, (MATCH($B$53, 'Measure Inputs'!$G$7:$G$234, 0)+$A86-1)+$N$74*(COUNTA($D$64:E$64)-1), 0))</f>
        <v/>
      </c>
      <c r="F86" s="778" t="str">
        <f>IF($A86&gt;VLOOKUP($B$53, $M$65:$N$73, 2, FALSE), "", INDEX('Measure Inputs'!$L$7:$L$234, (MATCH($B$53, 'Measure Inputs'!$G$7:$G$234, 0)+$A86-1)+$N$74*(COUNTA($D$64:F$64)-1), 0))</f>
        <v/>
      </c>
    </row>
    <row r="87" spans="1:12">
      <c r="A87" s="774">
        <v>23</v>
      </c>
      <c r="B87" s="775" t="str">
        <f>IF($A87&gt;VLOOKUP($B$53, $M$65:$N$73, 2, FALSE), "", INDEX('Measure Inputs'!$I$7:$I$82, MATCH($B$53, 'Measure Inputs'!$G$7:$G$82, 0)+$A87-1, 0))</f>
        <v/>
      </c>
      <c r="C87" s="776" t="str">
        <f>IF($A87&gt;VLOOKUP($B$53, $M$65:$N$73, 2, FALSE), "", INDEX('Measure Inputs'!$O$7:$O$234, MATCH($B$53, 'Measure Inputs'!$G$7:$G$234, 0)+$A87-1, 0))</f>
        <v/>
      </c>
      <c r="D87" s="778" t="str">
        <f>IF($A87&gt;VLOOKUP($B$53, $M$65:$N$73, 2, FALSE), "", INDEX('Measure Inputs'!$L$7:$L$234, (MATCH($B$53, 'Measure Inputs'!$G$7:$G$234, 0)+$A87-1)+$N$74*(COUNTA($D$64:D$64)-1), 0))</f>
        <v/>
      </c>
      <c r="E87" s="778" t="str">
        <f>IF($A87&gt;VLOOKUP($B$53, $M$65:$N$73, 2, FALSE), "", INDEX('Measure Inputs'!$L$7:$L$234, (MATCH($B$53, 'Measure Inputs'!$G$7:$G$234, 0)+$A87-1)+$N$74*(COUNTA($D$64:E$64)-1), 0))</f>
        <v/>
      </c>
      <c r="F87" s="778" t="str">
        <f>IF($A87&gt;VLOOKUP($B$53, $M$65:$N$73, 2, FALSE), "", INDEX('Measure Inputs'!$L$7:$L$234, (MATCH($B$53, 'Measure Inputs'!$G$7:$G$234, 0)+$A87-1)+$N$74*(COUNTA($D$64:F$64)-1), 0))</f>
        <v/>
      </c>
    </row>
    <row r="88" spans="1:12">
      <c r="A88" s="774">
        <v>24</v>
      </c>
      <c r="B88" s="775" t="str">
        <f>IF($A88&gt;VLOOKUP($B$53, $M$65:$N$73, 2, FALSE), "", INDEX('Measure Inputs'!$I$7:$I$82, MATCH($B$53, 'Measure Inputs'!$G$7:$G$82, 0)+$A88-1, 0))</f>
        <v/>
      </c>
      <c r="C88" s="776" t="str">
        <f>IF($A88&gt;VLOOKUP($B$53, $M$65:$N$73, 2, FALSE), "", INDEX('Measure Inputs'!$O$7:$O$234, MATCH($B$53, 'Measure Inputs'!$G$7:$G$234, 0)+$A88-1, 0))</f>
        <v/>
      </c>
      <c r="D88" s="778" t="str">
        <f>IF($A88&gt;VLOOKUP($B$53, $M$65:$N$73, 2, FALSE), "", INDEX('Measure Inputs'!$L$7:$L$234, (MATCH($B$53, 'Measure Inputs'!$G$7:$G$234, 0)+$A88-1)+$N$74*(COUNTA($D$64:D$64)-1), 0))</f>
        <v/>
      </c>
      <c r="E88" s="778" t="str">
        <f>IF($A88&gt;VLOOKUP($B$53, $M$65:$N$73, 2, FALSE), "", INDEX('Measure Inputs'!$L$7:$L$234, (MATCH($B$53, 'Measure Inputs'!$G$7:$G$234, 0)+$A88-1)+$N$74*(COUNTA($D$64:E$64)-1), 0))</f>
        <v/>
      </c>
      <c r="F88" s="778" t="str">
        <f>IF($A88&gt;VLOOKUP($B$53, $M$65:$N$73, 2, FALSE), "", INDEX('Measure Inputs'!$L$7:$L$234, (MATCH($B$53, 'Measure Inputs'!$G$7:$G$234, 0)+$A88-1)+$N$74*(COUNTA($D$64:F$64)-1), 0))</f>
        <v/>
      </c>
    </row>
    <row r="89" spans="1:12">
      <c r="A89" s="774">
        <v>25</v>
      </c>
      <c r="B89" s="775" t="str">
        <f>IF($A89&gt;VLOOKUP($B$53, $M$65:$N$73, 2, FALSE), "", INDEX('Measure Inputs'!$I$7:$I$82, MATCH($B$53, 'Measure Inputs'!$G$7:$G$82, 0)+$A89-1, 0))</f>
        <v/>
      </c>
      <c r="C89" s="776" t="str">
        <f>IF($A89&gt;VLOOKUP($B$53, $M$65:$N$73, 2, FALSE), "", INDEX('Measure Inputs'!$O$7:$O$234, MATCH($B$53, 'Measure Inputs'!$G$7:$G$234, 0)+$A89-1, 0))</f>
        <v/>
      </c>
      <c r="D89" s="778" t="str">
        <f>IF($A89&gt;VLOOKUP($B$53, $M$65:$N$73, 2, FALSE), "", INDEX('Measure Inputs'!$L$7:$L$234, (MATCH($B$53, 'Measure Inputs'!$G$7:$G$234, 0)+$A89-1)+$N$74*(COUNTA($D$64:D$64)-1), 0))</f>
        <v/>
      </c>
      <c r="E89" s="778" t="str">
        <f>IF($A89&gt;VLOOKUP($B$53, $M$65:$N$73, 2, FALSE), "", INDEX('Measure Inputs'!$L$7:$L$234, (MATCH($B$53, 'Measure Inputs'!$G$7:$G$234, 0)+$A89-1)+$N$74*(COUNTA($D$64:E$64)-1), 0))</f>
        <v/>
      </c>
      <c r="F89" s="778" t="str">
        <f>IF($A89&gt;VLOOKUP($B$53, $M$65:$N$73, 2, FALSE), "", INDEX('Measure Inputs'!$L$7:$L$234, (MATCH($B$53, 'Measure Inputs'!$G$7:$G$234, 0)+$A89-1)+$N$74*(COUNTA($D$64:F$64)-1), 0))</f>
        <v/>
      </c>
    </row>
    <row r="90" spans="1:12">
      <c r="A90" s="774">
        <v>26</v>
      </c>
      <c r="B90" s="775" t="str">
        <f>IF($A90&gt;VLOOKUP($B$53, $M$65:$N$73, 2, FALSE), "", INDEX('Measure Inputs'!$I$7:$I$82, MATCH($B$53, 'Measure Inputs'!$G$7:$G$82, 0)+$A90-1, 0))</f>
        <v/>
      </c>
      <c r="C90" s="776" t="str">
        <f>IF($A90&gt;VLOOKUP($B$53, $M$65:$N$73, 2, FALSE), "", INDEX('Measure Inputs'!$O$7:$O$234, MATCH($B$53, 'Measure Inputs'!$G$7:$G$234, 0)+$A90-1, 0))</f>
        <v/>
      </c>
      <c r="D90" s="778" t="str">
        <f>IF($A90&gt;VLOOKUP($B$53, $M$65:$N$73, 2, FALSE), "", INDEX('Measure Inputs'!$L$7:$L$234, (MATCH($B$53, 'Measure Inputs'!$G$7:$G$234, 0)+$A90-1)+$N$74*(COUNTA($D$64:D$64)-1), 0))</f>
        <v/>
      </c>
      <c r="E90" s="778" t="str">
        <f>IF($A90&gt;VLOOKUP($B$53, $M$65:$N$73, 2, FALSE), "", INDEX('Measure Inputs'!$L$7:$L$234, (MATCH($B$53, 'Measure Inputs'!$G$7:$G$234, 0)+$A90-1)+$N$74*(COUNTA($D$64:E$64)-1), 0))</f>
        <v/>
      </c>
      <c r="F90" s="778" t="str">
        <f>IF($A90&gt;VLOOKUP($B$53, $M$65:$N$73, 2, FALSE), "", INDEX('Measure Inputs'!$L$7:$L$234, (MATCH($B$53, 'Measure Inputs'!$G$7:$G$234, 0)+$A90-1)+$N$74*(COUNTA($D$64:F$64)-1), 0))</f>
        <v/>
      </c>
    </row>
    <row r="91" spans="1:12">
      <c r="A91" s="774">
        <v>27</v>
      </c>
      <c r="B91" s="775" t="str">
        <f>IF($A91&gt;VLOOKUP($B$53, $M$65:$N$73, 2, FALSE), "", INDEX('Measure Inputs'!$I$7:$I$82, MATCH($B$53, 'Measure Inputs'!$G$7:$G$82, 0)+$A91-1, 0))</f>
        <v/>
      </c>
      <c r="C91" s="776" t="str">
        <f>IF($A91&gt;VLOOKUP($B$53, $M$65:$N$73, 2, FALSE), "", INDEX('Measure Inputs'!$O$7:$O$234, MATCH($B$53, 'Measure Inputs'!$G$7:$G$234, 0)+$A91-1, 0))</f>
        <v/>
      </c>
      <c r="D91" s="778" t="str">
        <f>IF($A91&gt;VLOOKUP($B$53, $M$65:$N$73, 2, FALSE), "", INDEX('Measure Inputs'!$L$7:$L$234, (MATCH($B$53, 'Measure Inputs'!$G$7:$G$234, 0)+$A91-1)+$N$74*(COUNTA($D$64:D$64)-1), 0))</f>
        <v/>
      </c>
      <c r="E91" s="778" t="str">
        <f>IF($A91&gt;VLOOKUP($B$53, $M$65:$N$73, 2, FALSE), "", INDEX('Measure Inputs'!$L$7:$L$234, (MATCH($B$53, 'Measure Inputs'!$G$7:$G$234, 0)+$A91-1)+$N$74*(COUNTA($D$64:E$64)-1), 0))</f>
        <v/>
      </c>
      <c r="F91" s="778" t="str">
        <f>IF($A91&gt;VLOOKUP($B$53, $M$65:$N$73, 2, FALSE), "", INDEX('Measure Inputs'!$L$7:$L$234, (MATCH($B$53, 'Measure Inputs'!$G$7:$G$234, 0)+$A91-1)+$N$74*(COUNTA($D$64:F$64)-1), 0))</f>
        <v/>
      </c>
    </row>
    <row r="92" spans="1:12">
      <c r="A92" s="774">
        <v>28</v>
      </c>
      <c r="B92" s="775" t="str">
        <f>IF($A92&gt;VLOOKUP($B$53, $M$65:$N$73, 2, FALSE), "", INDEX('Measure Inputs'!$I$7:$I$82, MATCH($B$53, 'Measure Inputs'!$G$7:$G$82, 0)+$A92-1, 0))</f>
        <v/>
      </c>
      <c r="C92" s="776" t="str">
        <f>IF($A92&gt;VLOOKUP($B$53, $M$65:$N$73, 2, FALSE), "", INDEX('Measure Inputs'!$O$7:$O$234, MATCH($B$53, 'Measure Inputs'!$G$7:$G$234, 0)+$A92-1, 0))</f>
        <v/>
      </c>
      <c r="D92" s="778" t="str">
        <f>IF($A92&gt;VLOOKUP($B$53, $M$65:$N$73, 2, FALSE), "", INDEX('Measure Inputs'!$L$7:$L$234, (MATCH($B$53, 'Measure Inputs'!$G$7:$G$234, 0)+$A92-1)+$N$74*(COUNTA($D$64:D$64)-1), 0))</f>
        <v/>
      </c>
      <c r="E92" s="778" t="str">
        <f>IF($A92&gt;VLOOKUP($B$53, $M$65:$N$73, 2, FALSE), "", INDEX('Measure Inputs'!$L$7:$L$234, (MATCH($B$53, 'Measure Inputs'!$G$7:$G$234, 0)+$A92-1)+$N$74*(COUNTA($D$64:E$64)-1), 0))</f>
        <v/>
      </c>
      <c r="F92" s="778" t="str">
        <f>IF($A92&gt;VLOOKUP($B$53, $M$65:$N$73, 2, FALSE), "", INDEX('Measure Inputs'!$L$7:$L$234, (MATCH($B$53, 'Measure Inputs'!$G$7:$G$234, 0)+$A92-1)+$N$74*(COUNTA($D$64:F$64)-1), 0))</f>
        <v/>
      </c>
    </row>
    <row r="93" spans="1:12">
      <c r="A93" s="774">
        <v>29</v>
      </c>
      <c r="B93" s="775" t="str">
        <f>IF($A93&gt;VLOOKUP($B$53, $M$65:$N$73, 2, FALSE), "", INDEX('Measure Inputs'!$I$7:$I$82, MATCH($B$53, 'Measure Inputs'!$G$7:$G$82, 0)+$A93-1, 0))</f>
        <v/>
      </c>
      <c r="C93" s="776" t="str">
        <f>IF($A93&gt;VLOOKUP($B$53, $M$65:$N$73, 2, FALSE), "", INDEX('Measure Inputs'!$O$7:$O$234, MATCH($B$53, 'Measure Inputs'!$G$7:$G$234, 0)+$A93-1, 0))</f>
        <v/>
      </c>
      <c r="D93" s="778" t="str">
        <f>IF($A93&gt;VLOOKUP($B$53, $M$65:$N$73, 2, FALSE), "", INDEX('Measure Inputs'!$L$7:$L$234, (MATCH($B$53, 'Measure Inputs'!$G$7:$G$234, 0)+$A93-1)+$N$74*(COUNTA($D$64:D$64)-1), 0))</f>
        <v/>
      </c>
      <c r="E93" s="778" t="str">
        <f>IF($A93&gt;VLOOKUP($B$53, $M$65:$N$73, 2, FALSE), "", INDEX('Measure Inputs'!$L$7:$L$234, (MATCH($B$53, 'Measure Inputs'!$G$7:$G$234, 0)+$A93-1)+$N$74*(COUNTA($D$64:E$64)-1), 0))</f>
        <v/>
      </c>
      <c r="F93" s="778" t="str">
        <f>IF($A93&gt;VLOOKUP($B$53, $M$65:$N$73, 2, FALSE), "", INDEX('Measure Inputs'!$L$7:$L$234, (MATCH($B$53, 'Measure Inputs'!$G$7:$G$234, 0)+$A93-1)+$N$74*(COUNTA($D$64:F$64)-1), 0))</f>
        <v/>
      </c>
    </row>
    <row r="94" spans="1:12">
      <c r="A94" s="774">
        <v>30</v>
      </c>
      <c r="B94" s="775" t="str">
        <f>IF($A94&gt;VLOOKUP($B$53, $M$65:$N$73, 2, FALSE), "", INDEX('Measure Inputs'!$I$7:$I$82, MATCH($B$53, 'Measure Inputs'!$G$7:$G$82, 0)+$A94-1, 0))</f>
        <v/>
      </c>
      <c r="C94" s="776" t="str">
        <f>IF($A94&gt;VLOOKUP($B$53, $M$65:$N$73, 2, FALSE), "", INDEX('Measure Inputs'!$O$7:$O$234, MATCH($B$53, 'Measure Inputs'!$G$7:$G$234, 0)+$A94-1, 0))</f>
        <v/>
      </c>
      <c r="D94" s="778" t="str">
        <f>IF($A94&gt;VLOOKUP($B$53, $M$65:$N$73, 2, FALSE), "", INDEX('Measure Inputs'!$L$7:$L$234, (MATCH($B$53, 'Measure Inputs'!$G$7:$G$234, 0)+$A94-1)+$N$74*(COUNTA($D$64:D$64)-1), 0))</f>
        <v/>
      </c>
      <c r="E94" s="778" t="str">
        <f>IF($A94&gt;VLOOKUP($B$53, $M$65:$N$73, 2, FALSE), "", INDEX('Measure Inputs'!$L$7:$L$234, (MATCH($B$53, 'Measure Inputs'!$G$7:$G$234, 0)+$A94-1)+$N$74*(COUNTA($D$64:E$64)-1), 0))</f>
        <v/>
      </c>
      <c r="F94" s="778" t="str">
        <f>IF($A94&gt;VLOOKUP($B$53, $M$65:$N$73, 2, FALSE), "", INDEX('Measure Inputs'!$L$7:$L$234, (MATCH($B$53, 'Measure Inputs'!$G$7:$G$234, 0)+$A94-1)+$N$74*(COUNTA($D$64:F$64)-1), 0))</f>
        <v/>
      </c>
    </row>
    <row r="95" spans="1:12">
      <c r="A95" s="774">
        <v>31</v>
      </c>
      <c r="B95" s="775" t="str">
        <f>IF($A95&gt;VLOOKUP($B$53, $M$65:$N$73, 2, FALSE), "", INDEX('Measure Inputs'!$I$7:$I$82, MATCH($B$53, 'Measure Inputs'!$G$7:$G$82, 0)+$A95-1, 0))</f>
        <v/>
      </c>
      <c r="C95" s="776" t="str">
        <f>IF($A95&gt;VLOOKUP($B$53, $M$65:$N$73, 2, FALSE), "", INDEX('Measure Inputs'!$O$7:$O$234, MATCH($B$53, 'Measure Inputs'!$G$7:$G$234, 0)+$A95-1, 0))</f>
        <v/>
      </c>
      <c r="D95" s="778" t="str">
        <f>IF($A95&gt;VLOOKUP($B$53, $M$65:$N$73, 2, FALSE), "", INDEX('Measure Inputs'!$L$7:$L$234, (MATCH($B$53, 'Measure Inputs'!$G$7:$G$234, 0)+$A95-1)+$N$74*(COUNTA($D$64:D$64)-1), 0))</f>
        <v/>
      </c>
      <c r="E95" s="778" t="str">
        <f>IF($A95&gt;VLOOKUP($B$53, $M$65:$N$73, 2, FALSE), "", INDEX('Measure Inputs'!$L$7:$L$234, (MATCH($B$53, 'Measure Inputs'!$G$7:$G$234, 0)+$A95-1)+$N$74*(COUNTA($D$64:E$64)-1), 0))</f>
        <v/>
      </c>
      <c r="F95" s="778" t="str">
        <f>IF($A95&gt;VLOOKUP($B$53, $M$65:$N$73, 2, FALSE), "", INDEX('Measure Inputs'!$L$7:$L$234, (MATCH($B$53, 'Measure Inputs'!$G$7:$G$234, 0)+$A95-1)+$N$74*(COUNTA($D$64:F$64)-1), 0))</f>
        <v/>
      </c>
    </row>
    <row r="96" spans="1:12">
      <c r="A96" s="774">
        <v>32</v>
      </c>
      <c r="B96" s="775" t="str">
        <f>IF($A96&gt;VLOOKUP($B$53, $M$65:$N$73, 2, FALSE), "", INDEX('Measure Inputs'!$I$7:$I$82, MATCH($B$53, 'Measure Inputs'!$G$7:$G$82, 0)+$A96-1, 0))</f>
        <v/>
      </c>
      <c r="C96" s="776" t="str">
        <f>IF($A96&gt;VLOOKUP($B$53, $M$65:$N$73, 2, FALSE), "", INDEX('Measure Inputs'!$O$7:$O$234, MATCH($B$53, 'Measure Inputs'!$G$7:$G$234, 0)+$A96-1, 0))</f>
        <v/>
      </c>
      <c r="D96" s="778" t="str">
        <f>IF($A96&gt;VLOOKUP($B$53, $M$65:$N$73, 2, FALSE), "", INDEX('Measure Inputs'!$L$7:$L$234, (MATCH($B$53, 'Measure Inputs'!$G$7:$G$234, 0)+$A96-1)+$N$74*(COUNTA($D$64:D$64)-1), 0))</f>
        <v/>
      </c>
      <c r="E96" s="778" t="str">
        <f>IF($A96&gt;VLOOKUP($B$53, $M$65:$N$73, 2, FALSE), "", INDEX('Measure Inputs'!$L$7:$L$234, (MATCH($B$53, 'Measure Inputs'!$G$7:$G$234, 0)+$A96-1)+$N$74*(COUNTA($D$64:E$64)-1), 0))</f>
        <v/>
      </c>
      <c r="F96" s="778" t="str">
        <f>IF($A96&gt;VLOOKUP($B$53, $M$65:$N$73, 2, FALSE), "", INDEX('Measure Inputs'!$L$7:$L$234, (MATCH($B$53, 'Measure Inputs'!$G$7:$G$234, 0)+$A96-1)+$N$74*(COUNTA($D$64:F$64)-1), 0))</f>
        <v/>
      </c>
    </row>
    <row r="97" spans="1:6">
      <c r="A97" s="774">
        <v>33</v>
      </c>
      <c r="B97" s="775" t="str">
        <f>IF($A97&gt;VLOOKUP($B$53, $M$65:$N$73, 2, FALSE), "", INDEX('Measure Inputs'!$I$7:$I$82, MATCH($B$53, 'Measure Inputs'!$G$7:$G$82, 0)+$A97-1, 0))</f>
        <v/>
      </c>
      <c r="C97" s="776" t="str">
        <f>IF($A97&gt;VLOOKUP($B$53, $M$65:$N$73, 2, FALSE), "", INDEX('Measure Inputs'!$O$7:$O$234, MATCH($B$53, 'Measure Inputs'!$G$7:$G$234, 0)+$A97-1, 0))</f>
        <v/>
      </c>
      <c r="D97" s="778" t="str">
        <f>IF($A97&gt;VLOOKUP($B$53, $M$65:$N$73, 2, FALSE), "", INDEX('Measure Inputs'!$L$7:$L$234, (MATCH($B$53, 'Measure Inputs'!$G$7:$G$234, 0)+$A97-1)+$N$74*(COUNTA($D$64:D$64)-1), 0))</f>
        <v/>
      </c>
      <c r="E97" s="778" t="str">
        <f>IF($A97&gt;VLOOKUP($B$53, $M$65:$N$73, 2, FALSE), "", INDEX('Measure Inputs'!$L$7:$L$234, (MATCH($B$53, 'Measure Inputs'!$G$7:$G$234, 0)+$A97-1)+$N$74*(COUNTA($D$64:E$64)-1), 0))</f>
        <v/>
      </c>
      <c r="F97" s="778" t="str">
        <f>IF($A97&gt;VLOOKUP($B$53, $M$65:$N$73, 2, FALSE), "", INDEX('Measure Inputs'!$L$7:$L$234, (MATCH($B$53, 'Measure Inputs'!$G$7:$G$234, 0)+$A97-1)+$N$74*(COUNTA($D$64:F$64)-1), 0))</f>
        <v/>
      </c>
    </row>
    <row r="98" spans="1:6">
      <c r="A98" s="774">
        <v>34</v>
      </c>
      <c r="B98" s="775" t="str">
        <f>IF($A98&gt;VLOOKUP($B$53, $M$65:$N$73, 2, FALSE), "", INDEX('Measure Inputs'!$I$7:$I$82, MATCH($B$53, 'Measure Inputs'!$G$7:$G$82, 0)+$A98-1, 0))</f>
        <v/>
      </c>
      <c r="C98" s="776" t="str">
        <f>IF($A98&gt;VLOOKUP($B$53, $M$65:$N$73, 2, FALSE), "", INDEX('Measure Inputs'!$O$7:$O$234, MATCH($B$53, 'Measure Inputs'!$G$7:$G$234, 0)+$A98-1, 0))</f>
        <v/>
      </c>
      <c r="D98" s="778" t="str">
        <f>IF($A98&gt;VLOOKUP($B$53, $M$65:$N$73, 2, FALSE), "", INDEX('Measure Inputs'!$L$7:$L$234, (MATCH($B$53, 'Measure Inputs'!$G$7:$G$234, 0)+$A98-1)+$N$74*(COUNTA($D$64:D$64)-1), 0))</f>
        <v/>
      </c>
      <c r="E98" s="778" t="str">
        <f>IF($A98&gt;VLOOKUP($B$53, $M$65:$N$73, 2, FALSE), "", INDEX('Measure Inputs'!$L$7:$L$234, (MATCH($B$53, 'Measure Inputs'!$G$7:$G$234, 0)+$A98-1)+$N$74*(COUNTA($D$64:E$64)-1), 0))</f>
        <v/>
      </c>
      <c r="F98" s="778" t="str">
        <f>IF($A98&gt;VLOOKUP($B$53, $M$65:$N$73, 2, FALSE), "", INDEX('Measure Inputs'!$L$7:$L$234, (MATCH($B$53, 'Measure Inputs'!$G$7:$G$234, 0)+$A98-1)+$N$74*(COUNTA($D$64:F$64)-1), 0))</f>
        <v/>
      </c>
    </row>
    <row r="99" spans="1:6">
      <c r="A99" s="774">
        <v>35</v>
      </c>
      <c r="B99" s="775" t="str">
        <f>IF($A99&gt;VLOOKUP($B$53, $M$65:$N$73, 2, FALSE), "", INDEX('Measure Inputs'!$I$7:$I$82, MATCH($B$53, 'Measure Inputs'!$G$7:$G$82, 0)+$A99-1, 0))</f>
        <v/>
      </c>
      <c r="C99" s="776" t="str">
        <f>IF($A99&gt;VLOOKUP($B$53, $M$65:$N$73, 2, FALSE), "", INDEX('Measure Inputs'!$O$7:$O$234, MATCH($B$53, 'Measure Inputs'!$G$7:$G$234, 0)+$A99-1, 0))</f>
        <v/>
      </c>
      <c r="D99" s="778" t="str">
        <f>IF($A99&gt;VLOOKUP($B$53, $M$65:$N$73, 2, FALSE), "", INDEX('Measure Inputs'!$L$7:$L$234, (MATCH($B$53, 'Measure Inputs'!$G$7:$G$234, 0)+$A99-1)+$N$74*(COUNTA($D$64:D$64)-1), 0))</f>
        <v/>
      </c>
      <c r="E99" s="778" t="str">
        <f>IF($A99&gt;VLOOKUP($B$53, $M$65:$N$73, 2, FALSE), "", INDEX('Measure Inputs'!$L$7:$L$234, (MATCH($B$53, 'Measure Inputs'!$G$7:$G$234, 0)+$A99-1)+$N$74*(COUNTA($D$64:E$64)-1), 0))</f>
        <v/>
      </c>
      <c r="F99" s="778" t="str">
        <f>IF($A99&gt;VLOOKUP($B$53, $M$65:$N$73, 2, FALSE), "", INDEX('Measure Inputs'!$L$7:$L$234, (MATCH($B$53, 'Measure Inputs'!$G$7:$G$234, 0)+$A99-1)+$N$74*(COUNTA($D$64:F$64)-1), 0))</f>
        <v/>
      </c>
    </row>
    <row r="100" spans="1:6">
      <c r="A100" s="774">
        <v>36</v>
      </c>
      <c r="B100" s="775" t="str">
        <f>IF($A100&gt;VLOOKUP($B$53, $M$65:$N$73, 2, FALSE), "", INDEX('Measure Inputs'!$I$7:$I$82, MATCH($B$53, 'Measure Inputs'!$G$7:$G$82, 0)+$A100-1, 0))</f>
        <v/>
      </c>
      <c r="C100" s="776" t="str">
        <f>IF($A100&gt;VLOOKUP($B$53, $M$65:$N$73, 2, FALSE), "", INDEX('Measure Inputs'!$O$7:$O$234, MATCH($B$53, 'Measure Inputs'!$G$7:$G$234, 0)+$A100-1, 0))</f>
        <v/>
      </c>
      <c r="D100" s="778" t="str">
        <f>IF($A100&gt;VLOOKUP($B$53, $M$65:$N$73, 2, FALSE), "", INDEX('Measure Inputs'!$L$7:$L$234, (MATCH($B$53, 'Measure Inputs'!$G$7:$G$234, 0)+$A100-1)+$N$74*(COUNTA($D$64:D$64)-1), 0))</f>
        <v/>
      </c>
      <c r="E100" s="778" t="str">
        <f>IF($A100&gt;VLOOKUP($B$53, $M$65:$N$73, 2, FALSE), "", INDEX('Measure Inputs'!$L$7:$L$234, (MATCH($B$53, 'Measure Inputs'!$G$7:$G$234, 0)+$A100-1)+$N$74*(COUNTA($D$64:E$64)-1), 0))</f>
        <v/>
      </c>
      <c r="F100" s="778" t="str">
        <f>IF($A100&gt;VLOOKUP($B$53, $M$65:$N$73, 2, FALSE), "", INDEX('Measure Inputs'!$L$7:$L$234, (MATCH($B$53, 'Measure Inputs'!$G$7:$G$234, 0)+$A100-1)+$N$74*(COUNTA($D$64:F$64)-1), 0))</f>
        <v/>
      </c>
    </row>
    <row r="101" spans="1:6">
      <c r="A101" s="774">
        <v>37</v>
      </c>
      <c r="B101" s="775" t="str">
        <f>IF($A101&gt;VLOOKUP($B$53, $M$65:$N$73, 2, FALSE), "", INDEX('Measure Inputs'!$I$7:$I$82, MATCH($B$53, 'Measure Inputs'!$G$7:$G$82, 0)+$A101-1, 0))</f>
        <v/>
      </c>
      <c r="C101" s="776" t="str">
        <f>IF($A101&gt;VLOOKUP($B$53, $M$65:$N$73, 2, FALSE), "", INDEX('Measure Inputs'!$O$7:$O$234, MATCH($B$53, 'Measure Inputs'!$G$7:$G$234, 0)+$A101-1, 0))</f>
        <v/>
      </c>
      <c r="D101" s="778" t="str">
        <f>IF($A101&gt;VLOOKUP($B$53, $M$65:$N$73, 2, FALSE), "", INDEX('Measure Inputs'!$L$7:$L$234, (MATCH($B$53, 'Measure Inputs'!$G$7:$G$234, 0)+$A101-1)+$N$74*(COUNTA($D$64:D$64)-1), 0))</f>
        <v/>
      </c>
      <c r="E101" s="778" t="str">
        <f>IF($A101&gt;VLOOKUP($B$53, $M$65:$N$73, 2, FALSE), "", INDEX('Measure Inputs'!$L$7:$L$234, (MATCH($B$53, 'Measure Inputs'!$G$7:$G$234, 0)+$A101-1)+$N$74*(COUNTA($D$64:E$64)-1), 0))</f>
        <v/>
      </c>
      <c r="F101" s="778" t="str">
        <f>IF($A101&gt;VLOOKUP($B$53, $M$65:$N$73, 2, FALSE), "", INDEX('Measure Inputs'!$L$7:$L$234, (MATCH($B$53, 'Measure Inputs'!$G$7:$G$234, 0)+$A101-1)+$N$74*(COUNTA($D$64:F$64)-1), 0))</f>
        <v/>
      </c>
    </row>
    <row r="102" spans="1:6">
      <c r="A102" s="774">
        <v>38</v>
      </c>
      <c r="B102" s="775" t="str">
        <f>IF($A102&gt;VLOOKUP($B$53, $M$65:$N$73, 2, FALSE), "", INDEX('Measure Inputs'!$I$7:$I$82, MATCH($B$53, 'Measure Inputs'!$G$7:$G$82, 0)+$A102-1, 0))</f>
        <v/>
      </c>
      <c r="C102" s="776" t="str">
        <f>IF($A102&gt;VLOOKUP($B$53, $M$65:$N$73, 2, FALSE), "", INDEX('Measure Inputs'!$O$7:$O$234, MATCH($B$53, 'Measure Inputs'!$G$7:$G$234, 0)+$A102-1, 0))</f>
        <v/>
      </c>
      <c r="D102" s="778" t="str">
        <f>IF($A102&gt;VLOOKUP($B$53, $M$65:$N$73, 2, FALSE), "", INDEX('Measure Inputs'!$L$7:$L$234, (MATCH($B$53, 'Measure Inputs'!$G$7:$G$234, 0)+$A102-1)+$N$74*(COUNTA($D$64:D$64)-1), 0))</f>
        <v/>
      </c>
      <c r="E102" s="778" t="str">
        <f>IF($A102&gt;VLOOKUP($B$53, $M$65:$N$73, 2, FALSE), "", INDEX('Measure Inputs'!$L$7:$L$234, (MATCH($B$53, 'Measure Inputs'!$G$7:$G$234, 0)+$A102-1)+$N$74*(COUNTA($D$64:E$64)-1), 0))</f>
        <v/>
      </c>
      <c r="F102" s="778" t="str">
        <f>IF($A102&gt;VLOOKUP($B$53, $M$65:$N$73, 2, FALSE), "", INDEX('Measure Inputs'!$L$7:$L$234, (MATCH($B$53, 'Measure Inputs'!$G$7:$G$234, 0)+$A102-1)+$N$74*(COUNTA($D$64:F$64)-1), 0))</f>
        <v/>
      </c>
    </row>
    <row r="103" spans="1:6">
      <c r="A103" s="774">
        <v>39</v>
      </c>
      <c r="B103" s="775" t="str">
        <f>IF($A103&gt;VLOOKUP($B$53, $M$65:$N$73, 2, FALSE), "", INDEX('Measure Inputs'!$I$7:$I$82, MATCH($B$53, 'Measure Inputs'!$G$7:$G$82, 0)+$A103-1, 0))</f>
        <v/>
      </c>
      <c r="C103" s="776" t="str">
        <f>IF($A103&gt;VLOOKUP($B$53, $M$65:$N$73, 2, FALSE), "", INDEX('Measure Inputs'!$O$7:$O$234, MATCH($B$53, 'Measure Inputs'!$G$7:$G$234, 0)+$A103-1, 0))</f>
        <v/>
      </c>
      <c r="D103" s="778" t="str">
        <f>IF($A103&gt;VLOOKUP($B$53, $M$65:$N$73, 2, FALSE), "", INDEX('Measure Inputs'!$L$7:$L$234, (MATCH($B$53, 'Measure Inputs'!$G$7:$G$234, 0)+$A103-1)+$N$74*(COUNTA($D$64:D$64)-1), 0))</f>
        <v/>
      </c>
      <c r="E103" s="778" t="str">
        <f>IF($A103&gt;VLOOKUP($B$53, $M$65:$N$73, 2, FALSE), "", INDEX('Measure Inputs'!$L$7:$L$234, (MATCH($B$53, 'Measure Inputs'!$G$7:$G$234, 0)+$A103-1)+$N$74*(COUNTA($D$64:E$64)-1), 0))</f>
        <v/>
      </c>
      <c r="F103" s="778" t="str">
        <f>IF($A103&gt;VLOOKUP($B$53, $M$65:$N$73, 2, FALSE), "", INDEX('Measure Inputs'!$L$7:$L$234, (MATCH($B$53, 'Measure Inputs'!$G$7:$G$234, 0)+$A103-1)+$N$74*(COUNTA($D$64:F$64)-1), 0))</f>
        <v/>
      </c>
    </row>
    <row r="104" spans="1:6">
      <c r="A104" s="774">
        <v>40</v>
      </c>
      <c r="B104" s="775" t="str">
        <f>IF($A104&gt;VLOOKUP($B$53, $M$65:$N$73, 2, FALSE), "", INDEX('Measure Inputs'!$I$7:$I$82, MATCH($B$53, 'Measure Inputs'!$G$7:$G$82, 0)+$A104-1, 0))</f>
        <v/>
      </c>
      <c r="C104" s="776" t="str">
        <f>IF($A104&gt;VLOOKUP($B$53, $M$65:$N$73, 2, FALSE), "", INDEX('Measure Inputs'!$O$7:$O$234, MATCH($B$53, 'Measure Inputs'!$G$7:$G$234, 0)+$A104-1, 0))</f>
        <v/>
      </c>
      <c r="D104" s="778" t="str">
        <f>IF($A104&gt;VLOOKUP($B$53, $M$65:$N$73, 2, FALSE), "", INDEX('Measure Inputs'!$L$7:$L$234, (MATCH($B$53, 'Measure Inputs'!$G$7:$G$234, 0)+$A104-1)+$N$74*(COUNTA($D$64:D$64)-1), 0))</f>
        <v/>
      </c>
      <c r="E104" s="778" t="str">
        <f>IF($A104&gt;VLOOKUP($B$53, $M$65:$N$73, 2, FALSE), "", INDEX('Measure Inputs'!$L$7:$L$234, (MATCH($B$53, 'Measure Inputs'!$G$7:$G$234, 0)+$A104-1)+$N$74*(COUNTA($D$64:E$64)-1), 0))</f>
        <v/>
      </c>
      <c r="F104" s="778" t="str">
        <f>IF($A104&gt;VLOOKUP($B$53, $M$65:$N$73, 2, FALSE), "", INDEX('Measure Inputs'!$L$7:$L$234, (MATCH($B$53, 'Measure Inputs'!$G$7:$G$234, 0)+$A104-1)+$N$74*(COUNTA($D$64:F$64)-1), 0))</f>
        <v/>
      </c>
    </row>
    <row r="105" spans="1:6">
      <c r="A105" s="774">
        <v>41</v>
      </c>
      <c r="B105" s="775" t="str">
        <f>IF($A105&gt;VLOOKUP($B$53, $M$65:$N$73, 2, FALSE), "", INDEX('Measure Inputs'!$I$7:$I$82, MATCH($B$53, 'Measure Inputs'!$G$7:$G$82, 0)+$A105-1, 0))</f>
        <v/>
      </c>
      <c r="C105" s="776" t="str">
        <f>IF($A105&gt;VLOOKUP($B$53, $M$65:$N$73, 2, FALSE), "", INDEX('Measure Inputs'!$O$7:$O$234, MATCH($B$53, 'Measure Inputs'!$G$7:$G$234, 0)+$A105-1, 0))</f>
        <v/>
      </c>
      <c r="D105" s="778" t="str">
        <f>IF($A105&gt;VLOOKUP($B$53, $M$65:$N$73, 2, FALSE), "", INDEX('Measure Inputs'!$L$7:$L$234, (MATCH($B$53, 'Measure Inputs'!$G$7:$G$234, 0)+$A105-1)+$N$74*(COUNTA($D$64:D$64)-1), 0))</f>
        <v/>
      </c>
      <c r="E105" s="778" t="str">
        <f>IF($A105&gt;VLOOKUP($B$53, $M$65:$N$73, 2, FALSE), "", INDEX('Measure Inputs'!$L$7:$L$234, (MATCH($B$53, 'Measure Inputs'!$G$7:$G$234, 0)+$A105-1)+$N$74*(COUNTA($D$64:E$64)-1), 0))</f>
        <v/>
      </c>
      <c r="F105" s="778" t="str">
        <f>IF($A105&gt;VLOOKUP($B$53, $M$65:$N$73, 2, FALSE), "", INDEX('Measure Inputs'!$L$7:$L$234, (MATCH($B$53, 'Measure Inputs'!$G$7:$G$234, 0)+$A105-1)+$N$74*(COUNTA($D$64:F$64)-1), 0))</f>
        <v/>
      </c>
    </row>
    <row r="106" spans="1:6">
      <c r="A106" s="774">
        <v>42</v>
      </c>
      <c r="B106" s="775" t="str">
        <f>IF($A106&gt;VLOOKUP($B$53, $M$65:$N$73, 2, FALSE), "", INDEX('Measure Inputs'!$I$7:$I$82, MATCH($B$53, 'Measure Inputs'!$G$7:$G$82, 0)+$A106-1, 0))</f>
        <v/>
      </c>
      <c r="C106" s="776" t="str">
        <f>IF($A106&gt;VLOOKUP($B$53, $M$65:$N$73, 2, FALSE), "", INDEX('Measure Inputs'!$O$7:$O$234, MATCH($B$53, 'Measure Inputs'!$G$7:$G$234, 0)+$A106-1, 0))</f>
        <v/>
      </c>
      <c r="D106" s="778" t="str">
        <f>IF($A106&gt;VLOOKUP($B$53, $M$65:$N$73, 2, FALSE), "", INDEX('Measure Inputs'!$L$7:$L$234, (MATCH($B$53, 'Measure Inputs'!$G$7:$G$234, 0)+$A106-1)+$N$74*(COUNTA($D$64:D$64)-1), 0))</f>
        <v/>
      </c>
      <c r="E106" s="778" t="str">
        <f>IF($A106&gt;VLOOKUP($B$53, $M$65:$N$73, 2, FALSE), "", INDEX('Measure Inputs'!$L$7:$L$234, (MATCH($B$53, 'Measure Inputs'!$G$7:$G$234, 0)+$A106-1)+$N$74*(COUNTA($D$64:E$64)-1), 0))</f>
        <v/>
      </c>
      <c r="F106" s="778" t="str">
        <f>IF($A106&gt;VLOOKUP($B$53, $M$65:$N$73, 2, FALSE), "", INDEX('Measure Inputs'!$L$7:$L$234, (MATCH($B$53, 'Measure Inputs'!$G$7:$G$234, 0)+$A106-1)+$N$74*(COUNTA($D$64:F$64)-1), 0))</f>
        <v/>
      </c>
    </row>
    <row r="107" spans="1:6">
      <c r="A107" s="774">
        <v>43</v>
      </c>
      <c r="B107" s="775" t="str">
        <f>IF($A107&gt;VLOOKUP($B$53, $M$65:$N$73, 2, FALSE), "", INDEX('Measure Inputs'!$I$7:$I$82, MATCH($B$53, 'Measure Inputs'!$G$7:$G$82, 0)+$A107-1, 0))</f>
        <v/>
      </c>
      <c r="C107" s="776" t="str">
        <f>IF($A107&gt;VLOOKUP($B$53, $M$65:$N$73, 2, FALSE), "", INDEX('Measure Inputs'!$O$7:$O$234, MATCH($B$53, 'Measure Inputs'!$G$7:$G$234, 0)+$A107-1, 0))</f>
        <v/>
      </c>
      <c r="D107" s="778" t="str">
        <f>IF($A107&gt;VLOOKUP($B$53, $M$65:$N$73, 2, FALSE), "", INDEX('Measure Inputs'!$L$7:$L$234, (MATCH($B$53, 'Measure Inputs'!$G$7:$G$234, 0)+$A107-1)+$N$74*(COUNTA($D$64:D$64)-1), 0))</f>
        <v/>
      </c>
      <c r="E107" s="778" t="str">
        <f>IF($A107&gt;VLOOKUP($B$53, $M$65:$N$73, 2, FALSE), "", INDEX('Measure Inputs'!$L$7:$L$234, (MATCH($B$53, 'Measure Inputs'!$G$7:$G$234, 0)+$A107-1)+$N$74*(COUNTA($D$64:E$64)-1), 0))</f>
        <v/>
      </c>
      <c r="F107" s="778" t="str">
        <f>IF($A107&gt;VLOOKUP($B$53, $M$65:$N$73, 2, FALSE), "", INDEX('Measure Inputs'!$L$7:$L$234, (MATCH($B$53, 'Measure Inputs'!$G$7:$G$234, 0)+$A107-1)+$N$74*(COUNTA($D$64:F$64)-1), 0))</f>
        <v/>
      </c>
    </row>
    <row r="108" spans="1:6">
      <c r="A108" s="774">
        <v>44</v>
      </c>
      <c r="B108" s="775" t="str">
        <f>IF($A108&gt;VLOOKUP($B$53, $M$65:$N$73, 2, FALSE), "", INDEX('Measure Inputs'!$I$7:$I$82, MATCH($B$53, 'Measure Inputs'!$G$7:$G$82, 0)+$A108-1, 0))</f>
        <v/>
      </c>
      <c r="C108" s="776" t="str">
        <f>IF($A108&gt;VLOOKUP($B$53, $M$65:$N$73, 2, FALSE), "", INDEX('Measure Inputs'!$O$7:$O$234, MATCH($B$53, 'Measure Inputs'!$G$7:$G$234, 0)+$A108-1, 0))</f>
        <v/>
      </c>
      <c r="D108" s="778" t="str">
        <f>IF($A108&gt;VLOOKUP($B$53, $M$65:$N$73, 2, FALSE), "", INDEX('Measure Inputs'!$L$7:$L$234, (MATCH($B$53, 'Measure Inputs'!$G$7:$G$234, 0)+$A108-1)+$N$74*(COUNTA($D$64:D$64)-1), 0))</f>
        <v/>
      </c>
      <c r="E108" s="778" t="str">
        <f>IF($A108&gt;VLOOKUP($B$53, $M$65:$N$73, 2, FALSE), "", INDEX('Measure Inputs'!$L$7:$L$234, (MATCH($B$53, 'Measure Inputs'!$G$7:$G$234, 0)+$A108-1)+$N$74*(COUNTA($D$64:E$64)-1), 0))</f>
        <v/>
      </c>
      <c r="F108" s="778" t="str">
        <f>IF($A108&gt;VLOOKUP($B$53, $M$65:$N$73, 2, FALSE), "", INDEX('Measure Inputs'!$L$7:$L$234, (MATCH($B$53, 'Measure Inputs'!$G$7:$G$234, 0)+$A108-1)+$N$74*(COUNTA($D$64:F$64)-1), 0))</f>
        <v/>
      </c>
    </row>
    <row r="109" spans="1:6">
      <c r="A109" s="774">
        <v>45</v>
      </c>
      <c r="B109" s="775" t="str">
        <f>IF($A109&gt;VLOOKUP($B$53, $M$65:$N$73, 2, FALSE), "", INDEX('Measure Inputs'!$I$7:$I$82, MATCH($B$53, 'Measure Inputs'!$G$7:$G$82, 0)+$A109-1, 0))</f>
        <v/>
      </c>
      <c r="C109" s="776" t="str">
        <f>IF($A109&gt;VLOOKUP($B$53, $M$65:$N$73, 2, FALSE), "", INDEX('Measure Inputs'!$O$7:$O$234, MATCH($B$53, 'Measure Inputs'!$G$7:$G$234, 0)+$A109-1, 0))</f>
        <v/>
      </c>
      <c r="D109" s="778" t="str">
        <f>IF($A109&gt;VLOOKUP($B$53, $M$65:$N$73, 2, FALSE), "", INDEX('Measure Inputs'!$L$7:$L$234, (MATCH($B$53, 'Measure Inputs'!$G$7:$G$234, 0)+$A109-1)+$N$74*(COUNTA($D$64:D$64)-1), 0))</f>
        <v/>
      </c>
      <c r="E109" s="778" t="str">
        <f>IF($A109&gt;VLOOKUP($B$53, $M$65:$N$73, 2, FALSE), "", INDEX('Measure Inputs'!$L$7:$L$234, (MATCH($B$53, 'Measure Inputs'!$G$7:$G$234, 0)+$A109-1)+$N$74*(COUNTA($D$64:E$64)-1), 0))</f>
        <v/>
      </c>
      <c r="F109" s="778" t="str">
        <f>IF($A109&gt;VLOOKUP($B$53, $M$65:$N$73, 2, FALSE), "", INDEX('Measure Inputs'!$L$7:$L$234, (MATCH($B$53, 'Measure Inputs'!$G$7:$G$234, 0)+$A109-1)+$N$74*(COUNTA($D$64:F$64)-1), 0))</f>
        <v/>
      </c>
    </row>
    <row r="110" spans="1:6">
      <c r="A110" s="774">
        <v>46</v>
      </c>
      <c r="B110" s="775" t="str">
        <f>IF($A110&gt;VLOOKUP($B$53, $M$65:$N$73, 2, FALSE), "", INDEX('Measure Inputs'!$I$7:$I$82, MATCH($B$53, 'Measure Inputs'!$G$7:$G$82, 0)+$A110-1, 0))</f>
        <v/>
      </c>
      <c r="C110" s="776" t="str">
        <f>IF($A110&gt;VLOOKUP($B$53, $M$65:$N$73, 2, FALSE), "", INDEX('Measure Inputs'!$O$7:$O$234, MATCH($B$53, 'Measure Inputs'!$G$7:$G$234, 0)+$A110-1, 0))</f>
        <v/>
      </c>
      <c r="D110" s="778" t="str">
        <f>IF($A110&gt;VLOOKUP($B$53, $M$65:$N$73, 2, FALSE), "", INDEX('Measure Inputs'!$L$7:$L$234, (MATCH($B$53, 'Measure Inputs'!$G$7:$G$234, 0)+$A110-1)+$N$74*(COUNTA($D$64:D$64)-1), 0))</f>
        <v/>
      </c>
      <c r="E110" s="778" t="str">
        <f>IF($A110&gt;VLOOKUP($B$53, $M$65:$N$73, 2, FALSE), "", INDEX('Measure Inputs'!$L$7:$L$234, (MATCH($B$53, 'Measure Inputs'!$G$7:$G$234, 0)+$A110-1)+$N$74*(COUNTA($D$64:E$64)-1), 0))</f>
        <v/>
      </c>
      <c r="F110" s="778" t="str">
        <f>IF($A110&gt;VLOOKUP($B$53, $M$65:$N$73, 2, FALSE), "", INDEX('Measure Inputs'!$L$7:$L$234, (MATCH($B$53, 'Measure Inputs'!$G$7:$G$234, 0)+$A110-1)+$N$74*(COUNTA($D$64:F$64)-1), 0))</f>
        <v/>
      </c>
    </row>
    <row r="111" spans="1:6">
      <c r="A111" s="774">
        <v>47</v>
      </c>
      <c r="B111" s="775" t="str">
        <f>IF($A111&gt;VLOOKUP($B$53, $M$65:$N$73, 2, FALSE), "", INDEX('Measure Inputs'!$I$7:$I$82, MATCH($B$53, 'Measure Inputs'!$G$7:$G$82, 0)+$A111-1, 0))</f>
        <v/>
      </c>
      <c r="C111" s="776" t="str">
        <f>IF($A111&gt;VLOOKUP($B$53, $M$65:$N$73, 2, FALSE), "", INDEX('Measure Inputs'!$O$7:$O$234, MATCH($B$53, 'Measure Inputs'!$G$7:$G$234, 0)+$A111-1, 0))</f>
        <v/>
      </c>
      <c r="D111" s="778" t="str">
        <f>IF($A111&gt;VLOOKUP($B$53, $M$65:$N$73, 2, FALSE), "", INDEX('Measure Inputs'!$L$7:$L$234, (MATCH($B$53, 'Measure Inputs'!$G$7:$G$234, 0)+$A111-1)+$N$74*(COUNTA($D$64:D$64)-1), 0))</f>
        <v/>
      </c>
      <c r="E111" s="778" t="str">
        <f>IF($A111&gt;VLOOKUP($B$53, $M$65:$N$73, 2, FALSE), "", INDEX('Measure Inputs'!$L$7:$L$234, (MATCH($B$53, 'Measure Inputs'!$G$7:$G$234, 0)+$A111-1)+$N$74*(COUNTA($D$64:E$64)-1), 0))</f>
        <v/>
      </c>
      <c r="F111" s="778" t="str">
        <f>IF($A111&gt;VLOOKUP($B$53, $M$65:$N$73, 2, FALSE), "", INDEX('Measure Inputs'!$L$7:$L$234, (MATCH($B$53, 'Measure Inputs'!$G$7:$G$234, 0)+$A111-1)+$N$74*(COUNTA($D$64:F$64)-1), 0))</f>
        <v/>
      </c>
    </row>
    <row r="112" spans="1:6">
      <c r="A112" s="774">
        <v>48</v>
      </c>
      <c r="B112" s="775" t="str">
        <f>IF($A112&gt;VLOOKUP($B$53, $M$65:$N$73, 2, FALSE), "", INDEX('Measure Inputs'!$I$7:$I$82, MATCH($B$53, 'Measure Inputs'!$G$7:$G$82, 0)+$A112-1, 0))</f>
        <v/>
      </c>
      <c r="C112" s="776" t="str">
        <f>IF($A112&gt;VLOOKUP($B$53, $M$65:$N$73, 2, FALSE), "", INDEX('Measure Inputs'!$O$7:$O$234, MATCH($B$53, 'Measure Inputs'!$G$7:$G$234, 0)+$A112-1, 0))</f>
        <v/>
      </c>
      <c r="D112" s="778" t="str">
        <f>IF($A112&gt;VLOOKUP($B$53, $M$65:$N$73, 2, FALSE), "", INDEX('Measure Inputs'!$L$7:$L$234, (MATCH($B$53, 'Measure Inputs'!$G$7:$G$234, 0)+$A112-1)+$N$74*(COUNTA($D$64:D$64)-1), 0))</f>
        <v/>
      </c>
      <c r="E112" s="778" t="str">
        <f>IF($A112&gt;VLOOKUP($B$53, $M$65:$N$73, 2, FALSE), "", INDEX('Measure Inputs'!$L$7:$L$234, (MATCH($B$53, 'Measure Inputs'!$G$7:$G$234, 0)+$A112-1)+$N$74*(COUNTA($D$64:E$64)-1), 0))</f>
        <v/>
      </c>
      <c r="F112" s="778" t="str">
        <f>IF($A112&gt;VLOOKUP($B$53, $M$65:$N$73, 2, FALSE), "", INDEX('Measure Inputs'!$L$7:$L$234, (MATCH($B$53, 'Measure Inputs'!$G$7:$G$234, 0)+$A112-1)+$N$74*(COUNTA($D$64:F$64)-1), 0))</f>
        <v/>
      </c>
    </row>
    <row r="113" spans="1:6">
      <c r="A113" s="774">
        <v>49</v>
      </c>
      <c r="B113" s="775" t="str">
        <f>IF($A113&gt;VLOOKUP($B$53, $M$65:$N$73, 2, FALSE), "", INDEX('Measure Inputs'!$I$7:$I$82, MATCH($B$53, 'Measure Inputs'!$G$7:$G$82, 0)+$A113-1, 0))</f>
        <v/>
      </c>
      <c r="C113" s="776" t="str">
        <f>IF($A113&gt;VLOOKUP($B$53, $M$65:$N$73, 2, FALSE), "", INDEX('Measure Inputs'!$O$7:$O$234, MATCH($B$53, 'Measure Inputs'!$G$7:$G$234, 0)+$A113-1, 0))</f>
        <v/>
      </c>
      <c r="D113" s="778" t="str">
        <f>IF($A113&gt;VLOOKUP($B$53, $M$65:$N$73, 2, FALSE), "", INDEX('Measure Inputs'!$L$7:$L$234, (MATCH($B$53, 'Measure Inputs'!$G$7:$G$234, 0)+$A113-1)+$N$74*(COUNTA($D$64:D$64)-1), 0))</f>
        <v/>
      </c>
      <c r="E113" s="778" t="str">
        <f>IF($A113&gt;VLOOKUP($B$53, $M$65:$N$73, 2, FALSE), "", INDEX('Measure Inputs'!$L$7:$L$234, (MATCH($B$53, 'Measure Inputs'!$G$7:$G$234, 0)+$A113-1)+$N$74*(COUNTA($D$64:E$64)-1), 0))</f>
        <v/>
      </c>
      <c r="F113" s="778" t="str">
        <f>IF($A113&gt;VLOOKUP($B$53, $M$65:$N$73, 2, FALSE), "", INDEX('Measure Inputs'!$L$7:$L$234, (MATCH($B$53, 'Measure Inputs'!$G$7:$G$234, 0)+$A113-1)+$N$74*(COUNTA($D$64:F$64)-1), 0))</f>
        <v/>
      </c>
    </row>
    <row r="114" spans="1:6">
      <c r="A114" s="774">
        <v>50</v>
      </c>
      <c r="B114" s="775" t="str">
        <f>IF($A114&gt;VLOOKUP($B$53, $M$65:$N$73, 2, FALSE), "", INDEX('Measure Inputs'!$I$7:$I$82, MATCH($B$53, 'Measure Inputs'!$G$7:$G$82, 0)+$A114-1, 0))</f>
        <v/>
      </c>
      <c r="C114" s="776" t="str">
        <f>IF($A114&gt;VLOOKUP($B$53, $M$65:$N$73, 2, FALSE), "", INDEX('Measure Inputs'!$O$7:$O$234, MATCH($B$53, 'Measure Inputs'!$G$7:$G$234, 0)+$A114-1, 0))</f>
        <v/>
      </c>
      <c r="D114" s="778" t="str">
        <f>IF($A114&gt;VLOOKUP($B$53, $M$65:$N$73, 2, FALSE), "", INDEX('Measure Inputs'!$L$7:$L$234, (MATCH($B$53, 'Measure Inputs'!$G$7:$G$234, 0)+$A114-1)+$N$74*(COUNTA($D$64:D$64)-1), 0))</f>
        <v/>
      </c>
      <c r="E114" s="778" t="str">
        <f>IF($A114&gt;VLOOKUP($B$53, $M$65:$N$73, 2, FALSE), "", INDEX('Measure Inputs'!$L$7:$L$234, (MATCH($B$53, 'Measure Inputs'!$G$7:$G$234, 0)+$A114-1)+$N$74*(COUNTA($D$64:E$64)-1), 0))</f>
        <v/>
      </c>
      <c r="F114" s="778" t="str">
        <f>IF($A114&gt;VLOOKUP($B$53, $M$65:$N$73, 2, FALSE), "", INDEX('Measure Inputs'!$L$7:$L$234, (MATCH($B$53, 'Measure Inputs'!$G$7:$G$234, 0)+$A114-1)+$N$74*(COUNTA($D$64:F$64)-1), 0))</f>
        <v/>
      </c>
    </row>
  </sheetData>
  <mergeCells count="4">
    <mergeCell ref="W16:Y16"/>
    <mergeCell ref="Z16:AB16"/>
    <mergeCell ref="AC16:AE16"/>
    <mergeCell ref="D63:F63"/>
  </mergeCells>
  <dataValidations disablePrompts="1" count="1">
    <dataValidation type="list" allowBlank="1" showInputMessage="1" showErrorMessage="1" sqref="B53">
      <formula1>$M$65:$M$73</formula1>
    </dataValidation>
  </dataValidations>
  <pageMargins left="0.7" right="0.7" top="0.75" bottom="0.75" header="0.3" footer="0.3"/>
  <pageSetup orientation="portrait" r:id="rId1"/>
  <headerFooter>
    <oddHeader>&amp;CAttachment DR 2.3</oddHead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1"/>
  </sheetPr>
  <dimension ref="A1:V42"/>
  <sheetViews>
    <sheetView showGridLines="0" zoomScale="85" zoomScaleNormal="85" workbookViewId="0">
      <pane ySplit="4" topLeftCell="A5" activePane="bottomLeft" state="frozen"/>
      <selection pane="bottomLeft"/>
    </sheetView>
  </sheetViews>
  <sheetFormatPr defaultRowHeight="15"/>
  <cols>
    <col min="2" max="2" width="44.7109375" hidden="1" customWidth="1"/>
    <col min="3" max="3" width="7.42578125" hidden="1" customWidth="1"/>
    <col min="4" max="4" width="12.85546875" bestFit="1" customWidth="1"/>
    <col min="5" max="5" width="33.42578125" bestFit="1" customWidth="1"/>
    <col min="6" max="6" width="9.5703125" hidden="1" customWidth="1"/>
    <col min="7" max="7" width="13.85546875" hidden="1" customWidth="1"/>
    <col min="8" max="8" width="12" customWidth="1"/>
    <col min="9" max="9" width="13.5703125" customWidth="1"/>
    <col min="10" max="11" width="14.42578125" customWidth="1"/>
    <col min="12" max="13" width="13.7109375" customWidth="1"/>
    <col min="14" max="14" width="14.7109375" bestFit="1" customWidth="1"/>
    <col min="15" max="15" width="13.140625" customWidth="1"/>
    <col min="16" max="16" width="12.140625" bestFit="1" customWidth="1"/>
    <col min="17" max="17" width="8.85546875" customWidth="1"/>
    <col min="18" max="18" width="12.7109375" customWidth="1"/>
    <col min="19" max="19" width="8.42578125" customWidth="1"/>
    <col min="20" max="22" width="12.7109375" customWidth="1"/>
    <col min="23" max="27" width="8.85546875" customWidth="1"/>
    <col min="28" max="28" width="10.85546875" customWidth="1"/>
    <col min="29" max="31" width="8.85546875" customWidth="1"/>
  </cols>
  <sheetData>
    <row r="1" spans="1:22" s="1" customFormat="1">
      <c r="A1" s="17" t="s">
        <v>137</v>
      </c>
      <c r="C1" s="17"/>
      <c r="D1" s="9"/>
      <c r="E1" s="10"/>
      <c r="F1" s="10"/>
      <c r="G1" s="10"/>
      <c r="H1" s="10"/>
      <c r="I1"/>
      <c r="J1" s="752"/>
      <c r="K1"/>
      <c r="L1"/>
      <c r="M1"/>
    </row>
    <row r="2" spans="1:22" s="1" customFormat="1">
      <c r="A2" s="20" t="str">
        <f>HYPERLINK("#'Contents'!a1","Return to Contents")</f>
        <v>Return to Contents</v>
      </c>
      <c r="C2" s="20"/>
      <c r="D2" s="9"/>
      <c r="E2" s="10"/>
      <c r="F2" s="10"/>
      <c r="G2" s="10"/>
      <c r="H2" s="10"/>
      <c r="I2" s="91"/>
      <c r="J2" s="91"/>
      <c r="K2" s="91"/>
      <c r="L2" s="91"/>
      <c r="M2" s="91"/>
    </row>
    <row r="3" spans="1:22" s="1" customFormat="1" ht="15" customHeight="1">
      <c r="B3" s="6"/>
      <c r="C3" s="6"/>
      <c r="D3" s="11"/>
      <c r="E3" s="11"/>
      <c r="F3" s="11"/>
      <c r="G3" s="11"/>
      <c r="H3" s="11"/>
      <c r="I3"/>
      <c r="J3" s="804" t="s">
        <v>245</v>
      </c>
      <c r="K3" s="805"/>
      <c r="L3" s="805"/>
      <c r="M3" s="806"/>
      <c r="N3" s="809" t="s">
        <v>164</v>
      </c>
      <c r="O3" s="807" t="s">
        <v>24</v>
      </c>
      <c r="P3" s="811" t="s">
        <v>225</v>
      </c>
      <c r="Q3"/>
      <c r="R3" s="804" t="s">
        <v>326</v>
      </c>
      <c r="S3" s="805"/>
      <c r="T3" s="805"/>
      <c r="U3" s="805"/>
      <c r="V3" s="806"/>
    </row>
    <row r="4" spans="1:22" s="1" customFormat="1" ht="30">
      <c r="B4" s="23" t="s">
        <v>10</v>
      </c>
      <c r="C4" s="23" t="s">
        <v>183</v>
      </c>
      <c r="D4" s="23" t="s">
        <v>4</v>
      </c>
      <c r="E4" s="44" t="s">
        <v>6</v>
      </c>
      <c r="F4" s="44" t="s">
        <v>177</v>
      </c>
      <c r="G4" s="44" t="s">
        <v>3</v>
      </c>
      <c r="H4" s="44" t="s">
        <v>161</v>
      </c>
      <c r="I4" s="30" t="s">
        <v>181</v>
      </c>
      <c r="J4" s="30" t="s">
        <v>29</v>
      </c>
      <c r="K4" s="28" t="s">
        <v>28</v>
      </c>
      <c r="L4" s="155" t="s">
        <v>30</v>
      </c>
      <c r="M4" s="155" t="s">
        <v>321</v>
      </c>
      <c r="N4" s="810"/>
      <c r="O4" s="808"/>
      <c r="P4" s="811"/>
      <c r="R4" s="758" t="s">
        <v>29</v>
      </c>
      <c r="S4" s="773"/>
      <c r="T4" s="759" t="s">
        <v>321</v>
      </c>
      <c r="U4" s="759" t="s">
        <v>28</v>
      </c>
      <c r="V4" s="760" t="s">
        <v>30</v>
      </c>
    </row>
    <row r="5" spans="1:22" s="1" customFormat="1">
      <c r="B5" s="41" t="str">
        <f t="shared" ref="B5:B13" si="0">D5&amp;"_"&amp;E5&amp;"_"&amp;F5&amp;"_"&amp;G5&amp;"_"&amp;H5</f>
        <v>Residential_Residential Lighting_0_All_2017</v>
      </c>
      <c r="C5" s="41" t="b">
        <f>COUNTIF($B$5:B5,B5)=1</f>
        <v>1</v>
      </c>
      <c r="D5" s="26" t="s">
        <v>2</v>
      </c>
      <c r="E5" s="29" t="s">
        <v>249</v>
      </c>
      <c r="F5" s="29">
        <v>0</v>
      </c>
      <c r="G5" s="29" t="s">
        <v>98</v>
      </c>
      <c r="H5" s="29">
        <v>2017</v>
      </c>
      <c r="I5" s="31">
        <f>SUMIFS('Measure Inputs'!$L$7:$L$234,'Measure Inputs'!$G$7:$G$234,'Program Inputs'!E5,'Measure Inputs'!$H$7:$H$234,'Program Inputs'!F5,'Measure Inputs'!$J$7:$J$234,'Program Inputs'!H5)</f>
        <v>4500</v>
      </c>
      <c r="J5" s="156">
        <f>I5*R5</f>
        <v>6750</v>
      </c>
      <c r="K5" s="156">
        <f ca="1">$O5*$U5</f>
        <v>3000</v>
      </c>
      <c r="L5" s="156">
        <f t="shared" ref="L5:L19" ca="1" si="1">SUM($J5,$K5,$M5,$O5)*$V5</f>
        <v>1800</v>
      </c>
      <c r="M5" s="156">
        <f ca="1">T5*$O5</f>
        <v>1250</v>
      </c>
      <c r="N5" s="157">
        <f t="shared" ref="N5:N34" ca="1" si="2">SUM(J5:M5)</f>
        <v>12800</v>
      </c>
      <c r="O5" s="157">
        <f ca="1">SUMIFS(OFFSET(Analysis!$AI$49,,,InputRows),OFFSET(Analysis!$B$49,,,InputRows),SUBSTITUTE($B5,"All","*"))</f>
        <v>25000</v>
      </c>
      <c r="P5" s="157">
        <f ca="1">SUM(N5:O5)</f>
        <v>37800</v>
      </c>
      <c r="Q5" s="168"/>
      <c r="R5" s="761">
        <v>1.5</v>
      </c>
      <c r="S5" s="761"/>
      <c r="T5" s="762">
        <v>0.05</v>
      </c>
      <c r="U5" s="762">
        <v>0.12</v>
      </c>
      <c r="V5" s="763">
        <v>0.05</v>
      </c>
    </row>
    <row r="6" spans="1:22" s="1" customFormat="1">
      <c r="B6" s="41" t="str">
        <f t="shared" si="0"/>
        <v>Residential_Appliance Recycling_0_All_2017</v>
      </c>
      <c r="C6" s="41" t="b">
        <f>COUNTIF($B$5:B6,B6)=1</f>
        <v>1</v>
      </c>
      <c r="D6" s="26" t="s">
        <v>2</v>
      </c>
      <c r="E6" s="29" t="s">
        <v>120</v>
      </c>
      <c r="F6" s="29">
        <v>0</v>
      </c>
      <c r="G6" s="29" t="s">
        <v>98</v>
      </c>
      <c r="H6" s="29">
        <v>2017</v>
      </c>
      <c r="I6" s="31">
        <f>SUMIFS('Measure Inputs'!$L$7:$L$234,'Measure Inputs'!$G$7:$G$234,'Program Inputs'!E6,'Measure Inputs'!$H$7:$H$234,'Program Inputs'!F6,'Measure Inputs'!$J$7:$J$234,'Program Inputs'!H6)</f>
        <v>83</v>
      </c>
      <c r="J6" s="156">
        <f>I6*$R6</f>
        <v>8300</v>
      </c>
      <c r="K6" s="156">
        <f ca="1">$O6*$U6</f>
        <v>622.5</v>
      </c>
      <c r="L6" s="210">
        <f t="shared" ca="1" si="1"/>
        <v>772.9375</v>
      </c>
      <c r="M6" s="156">
        <f ca="1">T6*$O6</f>
        <v>311.25</v>
      </c>
      <c r="N6" s="157">
        <f t="shared" ca="1" si="2"/>
        <v>10006.6875</v>
      </c>
      <c r="O6" s="157">
        <f ca="1">SUMIFS(OFFSET(Analysis!$AI$49,,,InputRows),OFFSET(Analysis!$B$49,,,InputRows),SUBSTITUTE($B6,"All","*"))</f>
        <v>6225</v>
      </c>
      <c r="P6" s="157">
        <f t="shared" ref="P6:P34" ca="1" si="3">SUM(N6:O6)</f>
        <v>16231.6875</v>
      </c>
      <c r="Q6" s="168"/>
      <c r="R6" s="764">
        <v>100</v>
      </c>
      <c r="S6" s="764"/>
      <c r="T6" s="762">
        <v>0.05</v>
      </c>
      <c r="U6" s="762">
        <v>0.1</v>
      </c>
      <c r="V6" s="763">
        <v>0.05</v>
      </c>
    </row>
    <row r="7" spans="1:22" s="1" customFormat="1">
      <c r="B7" s="41" t="str">
        <f t="shared" si="0"/>
        <v>Residential_High Efficiency HVAC_0_All_2017</v>
      </c>
      <c r="C7" s="41" t="b">
        <f>COUNTIF($B$5:B7,B7)=1</f>
        <v>1</v>
      </c>
      <c r="D7" s="26" t="s">
        <v>2</v>
      </c>
      <c r="E7" s="29" t="s">
        <v>250</v>
      </c>
      <c r="F7" s="29">
        <v>0</v>
      </c>
      <c r="G7" s="29" t="s">
        <v>98</v>
      </c>
      <c r="H7" s="29">
        <v>2017</v>
      </c>
      <c r="I7" s="31">
        <f>SUMIFS('Measure Inputs'!$L$7:$L$234,'Measure Inputs'!$G$7:$G$234,'Program Inputs'!E7,'Measure Inputs'!$H$7:$H$234,'Program Inputs'!F7,'Measure Inputs'!$J$7:$J$234,'Program Inputs'!H7)</f>
        <v>111</v>
      </c>
      <c r="J7" s="156">
        <f>I7*$R7</f>
        <v>11.100000000000001</v>
      </c>
      <c r="K7" s="156">
        <f ca="1">$O7*$U7</f>
        <v>4237.5</v>
      </c>
      <c r="L7" s="156">
        <f t="shared" ca="1" si="1"/>
        <v>1695.5550000000001</v>
      </c>
      <c r="M7" s="156">
        <f ca="1">T7*$O7</f>
        <v>1412.5</v>
      </c>
      <c r="N7" s="157">
        <f t="shared" ca="1" si="2"/>
        <v>7356.6550000000007</v>
      </c>
      <c r="O7" s="157">
        <f ca="1">SUMIFS(OFFSET(Analysis!$AI$49,,,InputRows),OFFSET(Analysis!$B$49,,,InputRows),SUBSTITUTE($B7,"All","*"))</f>
        <v>28250</v>
      </c>
      <c r="P7" s="157">
        <f t="shared" ca="1" si="3"/>
        <v>35606.654999999999</v>
      </c>
      <c r="Q7" s="168"/>
      <c r="R7" s="762">
        <v>0.1</v>
      </c>
      <c r="S7" s="762"/>
      <c r="T7" s="762">
        <v>0.05</v>
      </c>
      <c r="U7" s="762">
        <v>0.15</v>
      </c>
      <c r="V7" s="763">
        <v>0.05</v>
      </c>
    </row>
    <row r="8" spans="1:22" s="1" customFormat="1">
      <c r="B8" s="41" t="str">
        <f t="shared" si="0"/>
        <v>Residential_Whole House Efficiency_0_All_2017</v>
      </c>
      <c r="C8" s="41" t="b">
        <f>COUNTIF($B$5:B8,B8)=1</f>
        <v>1</v>
      </c>
      <c r="D8" s="26" t="s">
        <v>2</v>
      </c>
      <c r="E8" s="29" t="s">
        <v>219</v>
      </c>
      <c r="F8" s="29">
        <v>0</v>
      </c>
      <c r="G8" s="29" t="s">
        <v>98</v>
      </c>
      <c r="H8" s="29">
        <v>2017</v>
      </c>
      <c r="I8" s="514">
        <v>30</v>
      </c>
      <c r="J8" s="156">
        <f>I8*$R8</f>
        <v>9750</v>
      </c>
      <c r="K8" s="156">
        <f>$J8*$U8</f>
        <v>1755</v>
      </c>
      <c r="L8" s="156">
        <f t="shared" ca="1" si="1"/>
        <v>599.625</v>
      </c>
      <c r="M8" s="156">
        <f>T8*$J8</f>
        <v>487.5</v>
      </c>
      <c r="N8" s="157">
        <f t="shared" ca="1" si="2"/>
        <v>12592.125</v>
      </c>
      <c r="O8" s="157">
        <f ca="1">SUMIFS(OFFSET(Analysis!$AI$49,,,InputRows),OFFSET(Analysis!$B$49,,,InputRows),SUBSTITUTE($B8,"All","*"))</f>
        <v>0</v>
      </c>
      <c r="P8" s="157">
        <f t="shared" ca="1" si="3"/>
        <v>12592.125</v>
      </c>
      <c r="Q8" s="168"/>
      <c r="R8" s="764">
        <v>325</v>
      </c>
      <c r="S8" s="764"/>
      <c r="T8" s="762">
        <v>0.05</v>
      </c>
      <c r="U8" s="762">
        <v>0.18</v>
      </c>
      <c r="V8" s="763">
        <v>0.05</v>
      </c>
    </row>
    <row r="9" spans="1:22" s="1" customFormat="1">
      <c r="B9" s="41" t="str">
        <f t="shared" si="0"/>
        <v>Residential_Residential Audit_0_All_2017</v>
      </c>
      <c r="C9" s="41" t="b">
        <f>COUNTIF($B$5:B9,B9)=1</f>
        <v>1</v>
      </c>
      <c r="D9" s="26" t="s">
        <v>2</v>
      </c>
      <c r="E9" s="26" t="s">
        <v>251</v>
      </c>
      <c r="F9" s="26">
        <v>0</v>
      </c>
      <c r="G9" s="26" t="s">
        <v>98</v>
      </c>
      <c r="H9" s="29">
        <v>2017</v>
      </c>
      <c r="I9" s="514">
        <v>650</v>
      </c>
      <c r="J9" s="156">
        <f>$R9+ROUND(I9/2,0)*S9</f>
        <v>28250</v>
      </c>
      <c r="K9" s="156">
        <f>$J9*$U9</f>
        <v>1412.5</v>
      </c>
      <c r="L9" s="156">
        <f t="shared" ca="1" si="1"/>
        <v>1553.75</v>
      </c>
      <c r="M9" s="156">
        <f>T9*$J9</f>
        <v>1412.5</v>
      </c>
      <c r="N9" s="157">
        <f t="shared" ca="1" si="2"/>
        <v>32628.75</v>
      </c>
      <c r="O9" s="157">
        <f ca="1">SUMIFS(OFFSET(Analysis!$AI$49,,,InputRows),OFFSET(Analysis!$B$49,,,InputRows),SUBSTITUTE($B9,"All","*"))</f>
        <v>0</v>
      </c>
      <c r="P9" s="157">
        <f t="shared" ca="1" si="3"/>
        <v>32628.75</v>
      </c>
      <c r="Q9" s="168"/>
      <c r="R9" s="764">
        <v>12000</v>
      </c>
      <c r="S9" s="764">
        <v>50</v>
      </c>
      <c r="T9" s="762">
        <v>0.05</v>
      </c>
      <c r="U9" s="762">
        <v>0.05</v>
      </c>
      <c r="V9" s="763">
        <v>0.05</v>
      </c>
    </row>
    <row r="10" spans="1:22" s="1" customFormat="1">
      <c r="B10" s="41" t="str">
        <f t="shared" si="0"/>
        <v>Residential_School-Based Education_0_All_2017</v>
      </c>
      <c r="C10" s="41" t="b">
        <f>COUNTIF($B$5:B10,B10)=1</f>
        <v>1</v>
      </c>
      <c r="D10" s="26" t="s">
        <v>2</v>
      </c>
      <c r="E10" s="26" t="s">
        <v>252</v>
      </c>
      <c r="F10" s="29">
        <v>0</v>
      </c>
      <c r="G10" s="29" t="s">
        <v>98</v>
      </c>
      <c r="H10" s="29">
        <v>2017</v>
      </c>
      <c r="I10" s="31">
        <f>SUMIFS('Measure Inputs'!$L$7:$L$234,'Measure Inputs'!$G$7:$G$234,'Program Inputs'!E10,'Measure Inputs'!$H$7:$H$234,'Program Inputs'!F10,'Measure Inputs'!$J$7:$J$234,'Program Inputs'!H10)</f>
        <v>1200</v>
      </c>
      <c r="J10" s="156">
        <f>I10*$R10</f>
        <v>60000</v>
      </c>
      <c r="K10" s="156">
        <f>$J10*$U10</f>
        <v>0</v>
      </c>
      <c r="L10" s="156">
        <f t="shared" ca="1" si="1"/>
        <v>3150</v>
      </c>
      <c r="M10" s="156">
        <f>T10*$J10</f>
        <v>3000</v>
      </c>
      <c r="N10" s="157">
        <f t="shared" ca="1" si="2"/>
        <v>66150</v>
      </c>
      <c r="O10" s="157">
        <f ca="1">SUMIFS(OFFSET(Analysis!$AI$49,,,InputRows),OFFSET(Analysis!$B$49,,,InputRows),SUBSTITUTE($B10,"All","*"))</f>
        <v>0</v>
      </c>
      <c r="P10" s="157">
        <f t="shared" ca="1" si="3"/>
        <v>66150</v>
      </c>
      <c r="Q10" s="168"/>
      <c r="R10" s="764">
        <v>50</v>
      </c>
      <c r="S10" s="764"/>
      <c r="T10" s="762">
        <v>0.05</v>
      </c>
      <c r="U10" s="762">
        <v>0</v>
      </c>
      <c r="V10" s="763">
        <v>0.05</v>
      </c>
    </row>
    <row r="11" spans="1:22" s="1" customFormat="1">
      <c r="B11" s="41" t="str">
        <f t="shared" si="0"/>
        <v>Residential_Weatherization_0_All_2017</v>
      </c>
      <c r="C11" s="41" t="b">
        <f>COUNTIF($B$5:B11,B11)=1</f>
        <v>1</v>
      </c>
      <c r="D11" s="26" t="s">
        <v>2</v>
      </c>
      <c r="E11" s="26" t="s">
        <v>253</v>
      </c>
      <c r="F11" s="29">
        <v>0</v>
      </c>
      <c r="G11" s="29" t="s">
        <v>98</v>
      </c>
      <c r="H11" s="29">
        <v>2017</v>
      </c>
      <c r="I11" s="514">
        <v>30</v>
      </c>
      <c r="J11" s="156">
        <f>I11*$R11</f>
        <v>12000</v>
      </c>
      <c r="K11" s="156">
        <f>$J11*$U11</f>
        <v>0</v>
      </c>
      <c r="L11" s="156">
        <f t="shared" ca="1" si="1"/>
        <v>630</v>
      </c>
      <c r="M11" s="156">
        <f>T11*$J11</f>
        <v>600</v>
      </c>
      <c r="N11" s="157">
        <f t="shared" ca="1" si="2"/>
        <v>13230</v>
      </c>
      <c r="O11" s="157">
        <f ca="1">SUMIFS(OFFSET(Analysis!$AI$49,,,InputRows),OFFSET(Analysis!$B$49,,,InputRows),SUBSTITUTE($B11,"All","*"))</f>
        <v>0</v>
      </c>
      <c r="P11" s="157">
        <f t="shared" ca="1" si="3"/>
        <v>13230</v>
      </c>
      <c r="Q11" s="168"/>
      <c r="R11" s="764">
        <v>400</v>
      </c>
      <c r="S11" s="764"/>
      <c r="T11" s="762">
        <v>0.05</v>
      </c>
      <c r="U11" s="762">
        <v>0</v>
      </c>
      <c r="V11" s="763">
        <v>0.05</v>
      </c>
    </row>
    <row r="12" spans="1:22" s="1" customFormat="1">
      <c r="B12" s="41" t="str">
        <f t="shared" si="0"/>
        <v>C&amp;I_C&amp;I Custom_0_All_2017</v>
      </c>
      <c r="C12" s="41" t="b">
        <f>COUNTIF($B$5:B12,B12)=1</f>
        <v>1</v>
      </c>
      <c r="D12" s="26" t="s">
        <v>256</v>
      </c>
      <c r="E12" s="26" t="s">
        <v>254</v>
      </c>
      <c r="F12" s="29">
        <v>0</v>
      </c>
      <c r="G12" s="29" t="s">
        <v>98</v>
      </c>
      <c r="H12" s="29">
        <v>2017</v>
      </c>
      <c r="I12" s="31">
        <f>SUMIFS('Measure Inputs'!$L$7:$L$234,'Measure Inputs'!$G$7:$G$234,'Program Inputs'!E12,'Measure Inputs'!$H$7:$H$234,'Program Inputs'!F12,'Measure Inputs'!$J$7:$J$234,'Program Inputs'!H12)</f>
        <v>60</v>
      </c>
      <c r="J12" s="156">
        <f ca="1">O12*$R12</f>
        <v>47640</v>
      </c>
      <c r="K12" s="156">
        <f ca="1">$O12*$U12</f>
        <v>35730</v>
      </c>
      <c r="L12" s="156">
        <f t="shared" ca="1" si="1"/>
        <v>17507.7</v>
      </c>
      <c r="M12" s="156">
        <f ca="1">T12*$O12</f>
        <v>28584</v>
      </c>
      <c r="N12" s="157">
        <f t="shared" ca="1" si="2"/>
        <v>129461.7</v>
      </c>
      <c r="O12" s="157">
        <f ca="1">SUMIFS(OFFSET(Analysis!$AI$49,,,InputRows),OFFSET(Analysis!$B$49,,,InputRows),SUBSTITUTE($B12,"All","*"))</f>
        <v>238200</v>
      </c>
      <c r="P12" s="157">
        <f t="shared" ca="1" si="3"/>
        <v>367661.7</v>
      </c>
      <c r="Q12" s="168"/>
      <c r="R12" s="762">
        <v>0.2</v>
      </c>
      <c r="S12" s="762"/>
      <c r="T12" s="762">
        <v>0.12</v>
      </c>
      <c r="U12" s="762">
        <v>0.15</v>
      </c>
      <c r="V12" s="763">
        <v>0.05</v>
      </c>
    </row>
    <row r="13" spans="1:22" s="1" customFormat="1">
      <c r="B13" s="41" t="str">
        <f t="shared" si="0"/>
        <v>C&amp;I_C&amp;I Prescriptive_0_All_2017</v>
      </c>
      <c r="C13" s="41" t="b">
        <f>COUNTIF($B$5:B13,B13)=1</f>
        <v>1</v>
      </c>
      <c r="D13" s="26" t="s">
        <v>256</v>
      </c>
      <c r="E13" s="26" t="s">
        <v>255</v>
      </c>
      <c r="F13" s="29">
        <v>0</v>
      </c>
      <c r="G13" s="29" t="s">
        <v>98</v>
      </c>
      <c r="H13" s="29">
        <v>2017</v>
      </c>
      <c r="I13" s="31">
        <f>SUMIFS('Measure Inputs'!$L$7:$L$234,'Measure Inputs'!$G$7:$G$234,'Program Inputs'!E13,'Measure Inputs'!$H$7:$H$234,'Program Inputs'!F13,'Measure Inputs'!$J$7:$J$234,'Program Inputs'!H13)</f>
        <v>8016</v>
      </c>
      <c r="J13" s="156">
        <f ca="1">O13*$R13</f>
        <v>51079.5</v>
      </c>
      <c r="K13" s="156">
        <f ca="1">$O13*$U13</f>
        <v>25539.75</v>
      </c>
      <c r="L13" s="156">
        <f t="shared" ca="1" si="1"/>
        <v>13621.2</v>
      </c>
      <c r="M13" s="156">
        <f ca="1">T13*$O13</f>
        <v>25539.75</v>
      </c>
      <c r="N13" s="157">
        <f t="shared" ca="1" si="2"/>
        <v>115780.2</v>
      </c>
      <c r="O13" s="157">
        <f ca="1">SUMIFS(OFFSET(Analysis!$AI$49,,,InputRows),OFFSET(Analysis!$B$49,,,InputRows),SUBSTITUTE($B13,"All","*"))</f>
        <v>170265</v>
      </c>
      <c r="P13" s="157">
        <f t="shared" ca="1" si="3"/>
        <v>286045.2</v>
      </c>
      <c r="Q13" s="168"/>
      <c r="R13" s="762">
        <v>0.3</v>
      </c>
      <c r="S13" s="762"/>
      <c r="T13" s="762">
        <v>0.15</v>
      </c>
      <c r="U13" s="762">
        <v>0.15</v>
      </c>
      <c r="V13" s="763">
        <v>0.05</v>
      </c>
    </row>
    <row r="14" spans="1:22" s="1" customFormat="1">
      <c r="B14" s="41" t="str">
        <f t="shared" ref="B14:B37" si="4">D14&amp;"_"&amp;E14&amp;"_"&amp;F14&amp;"_"&amp;G14&amp;"_"&amp;H14</f>
        <v>Residential_Cross Marketing and Training_0_All_2017</v>
      </c>
      <c r="C14" s="41" t="b">
        <f>COUNTIF($B$5:B14,B14)=1</f>
        <v>1</v>
      </c>
      <c r="D14" s="782" t="s">
        <v>2</v>
      </c>
      <c r="E14" s="782" t="s">
        <v>603</v>
      </c>
      <c r="F14" s="783">
        <v>0</v>
      </c>
      <c r="G14" s="783" t="s">
        <v>98</v>
      </c>
      <c r="H14" s="783">
        <v>2017</v>
      </c>
      <c r="I14" s="784">
        <f>SUMIFS('Measure Inputs'!$L$7:$L$234,'Measure Inputs'!$G$7:$G$234,'Program Inputs'!E14,'Measure Inputs'!$H$7:$H$234,'Program Inputs'!F14,'Measure Inputs'!$J$7:$J$234,'Program Inputs'!H14)</f>
        <v>0</v>
      </c>
      <c r="J14" s="785">
        <f t="shared" ref="J14:J15" ca="1" si="5">O14*$R14</f>
        <v>0</v>
      </c>
      <c r="K14" s="785">
        <f t="shared" ref="K14:K15" ca="1" si="6">$O14*$U14</f>
        <v>0</v>
      </c>
      <c r="L14" s="785">
        <f t="shared" ca="1" si="1"/>
        <v>0</v>
      </c>
      <c r="M14" s="785">
        <f t="shared" ref="M14:M15" ca="1" si="7">T14*$O14</f>
        <v>0</v>
      </c>
      <c r="N14" s="786">
        <f ca="1">SUM(O5:O13)*10%*$R14</f>
        <v>5947.5000000000009</v>
      </c>
      <c r="O14" s="786">
        <f ca="1">SUMIFS(OFFSET(Analysis!$AI$49,,,InputRows),OFFSET(Analysis!$B$49,,,InputRows),SUBSTITUTE($B14,"All","*"))</f>
        <v>0</v>
      </c>
      <c r="P14" s="786">
        <f t="shared" ref="P14:P15" ca="1" si="8">SUM(N14:O14)</f>
        <v>5947.5000000000009</v>
      </c>
      <c r="Q14" s="168"/>
      <c r="R14" s="796">
        <f ca="1">SUM(O5:O11)/SUM(O5:O13)</f>
        <v>0.1270996281574561</v>
      </c>
      <c r="S14" s="762"/>
      <c r="T14" s="762"/>
      <c r="U14" s="762"/>
      <c r="V14" s="763"/>
    </row>
    <row r="15" spans="1:22" s="1" customFormat="1">
      <c r="B15" s="41" t="str">
        <f t="shared" si="4"/>
        <v>C&amp;I_Cross Marketing and Training_0_All_2017</v>
      </c>
      <c r="C15" s="41" t="b">
        <f>COUNTIF($B$5:B15,B15)=1</f>
        <v>1</v>
      </c>
      <c r="D15" s="782" t="s">
        <v>256</v>
      </c>
      <c r="E15" s="782" t="s">
        <v>603</v>
      </c>
      <c r="F15" s="783">
        <v>0</v>
      </c>
      <c r="G15" s="783" t="s">
        <v>98</v>
      </c>
      <c r="H15" s="783">
        <v>2017</v>
      </c>
      <c r="I15" s="784">
        <f>SUMIFS('Measure Inputs'!$L$7:$L$234,'Measure Inputs'!$G$7:$G$234,'Program Inputs'!E15,'Measure Inputs'!$H$7:$H$234,'Program Inputs'!F15,'Measure Inputs'!$J$7:$J$234,'Program Inputs'!H15)</f>
        <v>0</v>
      </c>
      <c r="J15" s="785">
        <f t="shared" ca="1" si="5"/>
        <v>0</v>
      </c>
      <c r="K15" s="785">
        <f t="shared" ca="1" si="6"/>
        <v>0</v>
      </c>
      <c r="L15" s="785">
        <f t="shared" ca="1" si="1"/>
        <v>0</v>
      </c>
      <c r="M15" s="785">
        <f t="shared" ca="1" si="7"/>
        <v>0</v>
      </c>
      <c r="N15" s="786">
        <f ca="1">SUM(O5:O13)*10%*$R15</f>
        <v>40846.5</v>
      </c>
      <c r="O15" s="786">
        <f ca="1">SUMIFS(OFFSET(Analysis!$AI$49,,,InputRows),OFFSET(Analysis!$B$49,,,InputRows),SUBSTITUTE($B15,"All","*"))</f>
        <v>0</v>
      </c>
      <c r="P15" s="786">
        <f t="shared" ca="1" si="8"/>
        <v>40846.5</v>
      </c>
      <c r="Q15" s="168"/>
      <c r="R15" s="796">
        <f ca="1">SUM(O12:O13)/SUM(O5:O13)</f>
        <v>0.87290037184254388</v>
      </c>
      <c r="S15" s="762"/>
      <c r="T15" s="762"/>
      <c r="U15" s="762"/>
      <c r="V15" s="763"/>
    </row>
    <row r="16" spans="1:22" s="1" customFormat="1">
      <c r="B16" s="41" t="str">
        <f t="shared" si="4"/>
        <v>Residential_Residential Lighting_0_All_2018</v>
      </c>
      <c r="C16" s="41" t="b">
        <f>COUNTIF($B$5:B16,B16)=1</f>
        <v>1</v>
      </c>
      <c r="D16" s="753" t="s">
        <v>2</v>
      </c>
      <c r="E16" s="754" t="s">
        <v>249</v>
      </c>
      <c r="F16" s="754">
        <v>0</v>
      </c>
      <c r="G16" s="754" t="s">
        <v>98</v>
      </c>
      <c r="H16" s="754">
        <v>2018</v>
      </c>
      <c r="I16" s="755">
        <f>SUMIFS('Measure Inputs'!$L$7:$L$234,'Measure Inputs'!$G$7:$G$234,'Program Inputs'!E16,'Measure Inputs'!$H$7:$H$234,'Program Inputs'!F16,'Measure Inputs'!$J$7:$J$234,'Program Inputs'!H16)</f>
        <v>4560</v>
      </c>
      <c r="J16" s="756">
        <f>I16*R16</f>
        <v>6840</v>
      </c>
      <c r="K16" s="756">
        <f ca="1">$O16*$U16</f>
        <v>3036</v>
      </c>
      <c r="L16" s="756">
        <f t="shared" ca="1" si="1"/>
        <v>1822.0500000000002</v>
      </c>
      <c r="M16" s="756">
        <f ca="1">T16*$O16</f>
        <v>1265</v>
      </c>
      <c r="N16" s="157">
        <f t="shared" ca="1" si="2"/>
        <v>12963.05</v>
      </c>
      <c r="O16" s="157">
        <f ca="1">SUMIFS(OFFSET(Analysis!$AI$49,,,InputRows),OFFSET(Analysis!$B$49,,,InputRows),SUBSTITUTE($B16,"All","*"))</f>
        <v>25300</v>
      </c>
      <c r="P16" s="157">
        <f t="shared" ca="1" si="3"/>
        <v>38263.050000000003</v>
      </c>
      <c r="Q16" s="168"/>
      <c r="R16" s="765">
        <v>1.5</v>
      </c>
      <c r="S16" s="765"/>
      <c r="T16" s="766">
        <v>0.05</v>
      </c>
      <c r="U16" s="766">
        <v>0.12</v>
      </c>
      <c r="V16" s="766">
        <v>0.05</v>
      </c>
    </row>
    <row r="17" spans="2:22" s="1" customFormat="1">
      <c r="B17" s="41" t="str">
        <f t="shared" si="4"/>
        <v>Residential_Appliance Recycling_0_All_2018</v>
      </c>
      <c r="C17" s="41" t="b">
        <f>COUNTIF($B$5:B17,B17)=1</f>
        <v>1</v>
      </c>
      <c r="D17" s="753" t="s">
        <v>2</v>
      </c>
      <c r="E17" s="754" t="s">
        <v>120</v>
      </c>
      <c r="F17" s="754">
        <v>0</v>
      </c>
      <c r="G17" s="754" t="s">
        <v>98</v>
      </c>
      <c r="H17" s="754">
        <v>2018</v>
      </c>
      <c r="I17" s="755">
        <f>SUMIFS('Measure Inputs'!$L$7:$L$234,'Measure Inputs'!$G$7:$G$234,'Program Inputs'!E17,'Measure Inputs'!$H$7:$H$234,'Program Inputs'!F17,'Measure Inputs'!$J$7:$J$234,'Program Inputs'!H17)</f>
        <v>83</v>
      </c>
      <c r="J17" s="756">
        <f>I17*$R17</f>
        <v>8300</v>
      </c>
      <c r="K17" s="756">
        <f ca="1">$O17*$U17</f>
        <v>622.5</v>
      </c>
      <c r="L17" s="756">
        <f t="shared" ca="1" si="1"/>
        <v>772.9375</v>
      </c>
      <c r="M17" s="756">
        <f ca="1">T17*$O17</f>
        <v>311.25</v>
      </c>
      <c r="N17" s="157">
        <f t="shared" ca="1" si="2"/>
        <v>10006.6875</v>
      </c>
      <c r="O17" s="157">
        <f ca="1">SUMIFS(OFFSET(Analysis!$AI$49,,,InputRows),OFFSET(Analysis!$B$49,,,InputRows),SUBSTITUTE($B17,"All","*"))</f>
        <v>6225</v>
      </c>
      <c r="P17" s="157">
        <f t="shared" ca="1" si="3"/>
        <v>16231.6875</v>
      </c>
      <c r="Q17" s="168"/>
      <c r="R17" s="767">
        <v>100</v>
      </c>
      <c r="S17" s="767"/>
      <c r="T17" s="766">
        <v>0.05</v>
      </c>
      <c r="U17" s="766">
        <v>0.1</v>
      </c>
      <c r="V17" s="766">
        <v>0.05</v>
      </c>
    </row>
    <row r="18" spans="2:22" s="1" customFormat="1">
      <c r="B18" s="41" t="str">
        <f t="shared" si="4"/>
        <v>Residential_High Efficiency HVAC_0_All_2018</v>
      </c>
      <c r="C18" s="41" t="b">
        <f>COUNTIF($B$5:B18,B18)=1</f>
        <v>1</v>
      </c>
      <c r="D18" s="753" t="s">
        <v>2</v>
      </c>
      <c r="E18" s="754" t="s">
        <v>250</v>
      </c>
      <c r="F18" s="754">
        <v>0</v>
      </c>
      <c r="G18" s="754" t="s">
        <v>98</v>
      </c>
      <c r="H18" s="754">
        <v>2018</v>
      </c>
      <c r="I18" s="755">
        <f>SUMIFS('Measure Inputs'!$L$7:$L$234,'Measure Inputs'!$G$7:$G$234,'Program Inputs'!E18,'Measure Inputs'!$H$7:$H$234,'Program Inputs'!F18,'Measure Inputs'!$J$7:$J$234,'Program Inputs'!H18)</f>
        <v>141</v>
      </c>
      <c r="J18" s="756">
        <f>I18*$R18</f>
        <v>14.100000000000001</v>
      </c>
      <c r="K18" s="756">
        <f ca="1">$O18*$U18</f>
        <v>5025</v>
      </c>
      <c r="L18" s="756">
        <f t="shared" ca="1" si="1"/>
        <v>2010.7049999999999</v>
      </c>
      <c r="M18" s="756">
        <f ca="1">T18*$O18</f>
        <v>1675</v>
      </c>
      <c r="N18" s="157">
        <f t="shared" ca="1" si="2"/>
        <v>8724.8050000000003</v>
      </c>
      <c r="O18" s="157">
        <f ca="1">SUMIFS(OFFSET(Analysis!$AI$49,,,InputRows),OFFSET(Analysis!$B$49,,,InputRows),SUBSTITUTE($B18,"All","*"))</f>
        <v>33500</v>
      </c>
      <c r="P18" s="157">
        <f t="shared" ca="1" si="3"/>
        <v>42224.805</v>
      </c>
      <c r="Q18" s="168"/>
      <c r="R18" s="766">
        <v>0.1</v>
      </c>
      <c r="S18" s="766"/>
      <c r="T18" s="766">
        <v>0.05</v>
      </c>
      <c r="U18" s="766">
        <v>0.15</v>
      </c>
      <c r="V18" s="766">
        <v>0.05</v>
      </c>
    </row>
    <row r="19" spans="2:22" s="1" customFormat="1">
      <c r="B19" s="41" t="str">
        <f t="shared" si="4"/>
        <v>Residential_Whole House Efficiency_0_All_2018</v>
      </c>
      <c r="C19" s="41" t="b">
        <f>COUNTIF($B$5:B19,B19)=1</f>
        <v>1</v>
      </c>
      <c r="D19" s="753" t="s">
        <v>2</v>
      </c>
      <c r="E19" s="754" t="s">
        <v>219</v>
      </c>
      <c r="F19" s="754">
        <v>0</v>
      </c>
      <c r="G19" s="754" t="s">
        <v>98</v>
      </c>
      <c r="H19" s="754">
        <v>2018</v>
      </c>
      <c r="I19" s="514">
        <v>30</v>
      </c>
      <c r="J19" s="756">
        <f>I19*$R19</f>
        <v>9750</v>
      </c>
      <c r="K19" s="756">
        <f>$J19*$U19</f>
        <v>1755</v>
      </c>
      <c r="L19" s="756">
        <f t="shared" ca="1" si="1"/>
        <v>599.625</v>
      </c>
      <c r="M19" s="756">
        <f>T19*$J19</f>
        <v>487.5</v>
      </c>
      <c r="N19" s="157">
        <f t="shared" ca="1" si="2"/>
        <v>12592.125</v>
      </c>
      <c r="O19" s="157">
        <f ca="1">SUMIFS(OFFSET(Analysis!$AI$49,,,InputRows),OFFSET(Analysis!$B$49,,,InputRows),SUBSTITUTE($B19,"All","*"))</f>
        <v>0</v>
      </c>
      <c r="P19" s="157">
        <f t="shared" ca="1" si="3"/>
        <v>12592.125</v>
      </c>
      <c r="Q19" s="168"/>
      <c r="R19" s="767">
        <v>325</v>
      </c>
      <c r="S19" s="767"/>
      <c r="T19" s="766">
        <v>0.05</v>
      </c>
      <c r="U19" s="766">
        <v>0.18</v>
      </c>
      <c r="V19" s="766">
        <v>0.05</v>
      </c>
    </row>
    <row r="20" spans="2:22" s="1" customFormat="1">
      <c r="B20" s="41" t="str">
        <f t="shared" si="4"/>
        <v>Residential_Residential Audit_0_All_2018</v>
      </c>
      <c r="C20" s="41" t="b">
        <f>COUNTIF($B$5:B20,B20)=1</f>
        <v>1</v>
      </c>
      <c r="D20" s="753" t="s">
        <v>2</v>
      </c>
      <c r="E20" s="753" t="s">
        <v>251</v>
      </c>
      <c r="F20" s="753">
        <v>0</v>
      </c>
      <c r="G20" s="753" t="s">
        <v>98</v>
      </c>
      <c r="H20" s="754">
        <v>2018</v>
      </c>
      <c r="I20" s="514">
        <v>650</v>
      </c>
      <c r="J20" s="756">
        <f>$R20+ROUND(I20/2,0)*S20</f>
        <v>28250</v>
      </c>
      <c r="K20" s="756">
        <f t="shared" ref="K20:K22" si="9">$J20*$U20</f>
        <v>1412.5</v>
      </c>
      <c r="L20" s="756">
        <f t="shared" ref="L20:L22" ca="1" si="10">SUM($J20,$K20,$M20,$O20)*$V20</f>
        <v>1553.75</v>
      </c>
      <c r="M20" s="756">
        <f t="shared" ref="M20:M22" si="11">T20*$J20</f>
        <v>1412.5</v>
      </c>
      <c r="N20" s="157">
        <f t="shared" ca="1" si="2"/>
        <v>32628.75</v>
      </c>
      <c r="O20" s="157">
        <f ca="1">SUMIFS(OFFSET(Analysis!$AI$49,,,InputRows),OFFSET(Analysis!$B$49,,,InputRows),SUBSTITUTE($B20,"All","*"))</f>
        <v>0</v>
      </c>
      <c r="P20" s="157">
        <f t="shared" ca="1" si="3"/>
        <v>32628.75</v>
      </c>
      <c r="Q20" s="168"/>
      <c r="R20" s="767">
        <v>12000</v>
      </c>
      <c r="S20" s="767">
        <v>50</v>
      </c>
      <c r="T20" s="766">
        <v>0.05</v>
      </c>
      <c r="U20" s="766">
        <v>0.05</v>
      </c>
      <c r="V20" s="766">
        <v>0.05</v>
      </c>
    </row>
    <row r="21" spans="2:22" s="1" customFormat="1">
      <c r="B21" s="41" t="str">
        <f t="shared" si="4"/>
        <v>Residential_School-Based Education_0_All_2018</v>
      </c>
      <c r="C21" s="41" t="b">
        <f>COUNTIF($B$5:B21,B21)=1</f>
        <v>1</v>
      </c>
      <c r="D21" s="753" t="s">
        <v>2</v>
      </c>
      <c r="E21" s="753" t="s">
        <v>252</v>
      </c>
      <c r="F21" s="754">
        <v>0</v>
      </c>
      <c r="G21" s="754" t="s">
        <v>98</v>
      </c>
      <c r="H21" s="754">
        <v>2018</v>
      </c>
      <c r="I21" s="755">
        <f>SUMIFS('Measure Inputs'!$L$7:$L$234,'Measure Inputs'!$G$7:$G$234,'Program Inputs'!E21,'Measure Inputs'!$H$7:$H$234,'Program Inputs'!F21,'Measure Inputs'!$J$7:$J$234,'Program Inputs'!H21)</f>
        <v>1200</v>
      </c>
      <c r="J21" s="756">
        <f>I21*$R21</f>
        <v>60000</v>
      </c>
      <c r="K21" s="756">
        <f t="shared" si="9"/>
        <v>0</v>
      </c>
      <c r="L21" s="756">
        <f t="shared" ca="1" si="10"/>
        <v>3150</v>
      </c>
      <c r="M21" s="756">
        <f t="shared" si="11"/>
        <v>3000</v>
      </c>
      <c r="N21" s="157">
        <f t="shared" ca="1" si="2"/>
        <v>66150</v>
      </c>
      <c r="O21" s="157">
        <f ca="1">SUMIFS(OFFSET(Analysis!$AI$49,,,InputRows),OFFSET(Analysis!$B$49,,,InputRows),SUBSTITUTE($B21,"All","*"))</f>
        <v>0</v>
      </c>
      <c r="P21" s="157">
        <f t="shared" ca="1" si="3"/>
        <v>66150</v>
      </c>
      <c r="Q21" s="168"/>
      <c r="R21" s="767">
        <v>50</v>
      </c>
      <c r="S21" s="767"/>
      <c r="T21" s="766">
        <v>0.05</v>
      </c>
      <c r="U21" s="766">
        <v>0</v>
      </c>
      <c r="V21" s="766">
        <v>0.05</v>
      </c>
    </row>
    <row r="22" spans="2:22" s="1" customFormat="1">
      <c r="B22" s="41" t="str">
        <f t="shared" si="4"/>
        <v>Residential_Weatherization_0_All_2018</v>
      </c>
      <c r="C22" s="41" t="b">
        <f>COUNTIF($B$5:B22,B22)=1</f>
        <v>1</v>
      </c>
      <c r="D22" s="753" t="s">
        <v>2</v>
      </c>
      <c r="E22" s="753" t="s">
        <v>253</v>
      </c>
      <c r="F22" s="754">
        <v>0</v>
      </c>
      <c r="G22" s="754" t="s">
        <v>98</v>
      </c>
      <c r="H22" s="754">
        <v>2018</v>
      </c>
      <c r="I22" s="514">
        <v>30</v>
      </c>
      <c r="J22" s="756">
        <f>I22*$R22</f>
        <v>12000</v>
      </c>
      <c r="K22" s="756">
        <f t="shared" si="9"/>
        <v>0</v>
      </c>
      <c r="L22" s="756">
        <f t="shared" ca="1" si="10"/>
        <v>630</v>
      </c>
      <c r="M22" s="756">
        <f t="shared" si="11"/>
        <v>600</v>
      </c>
      <c r="N22" s="157">
        <f t="shared" ca="1" si="2"/>
        <v>13230</v>
      </c>
      <c r="O22" s="157">
        <f ca="1">SUMIFS(OFFSET(Analysis!$AI$49,,,InputRows),OFFSET(Analysis!$B$49,,,InputRows),SUBSTITUTE($B22,"All","*"))</f>
        <v>0</v>
      </c>
      <c r="P22" s="157">
        <f t="shared" ca="1" si="3"/>
        <v>13230</v>
      </c>
      <c r="Q22" s="168"/>
      <c r="R22" s="767">
        <v>400</v>
      </c>
      <c r="S22" s="767"/>
      <c r="T22" s="766">
        <v>0.05</v>
      </c>
      <c r="U22" s="766">
        <v>0</v>
      </c>
      <c r="V22" s="766">
        <v>0.05</v>
      </c>
    </row>
    <row r="23" spans="2:22" s="1" customFormat="1">
      <c r="B23" s="41" t="str">
        <f t="shared" si="4"/>
        <v>C&amp;I_C&amp;I Custom_0_All_2018</v>
      </c>
      <c r="C23" s="41" t="b">
        <f>COUNTIF($B$5:B23,B23)=1</f>
        <v>1</v>
      </c>
      <c r="D23" s="753" t="s">
        <v>256</v>
      </c>
      <c r="E23" s="753" t="s">
        <v>254</v>
      </c>
      <c r="F23" s="754">
        <v>0</v>
      </c>
      <c r="G23" s="754" t="s">
        <v>98</v>
      </c>
      <c r="H23" s="754">
        <v>2018</v>
      </c>
      <c r="I23" s="755">
        <f>SUMIFS('Measure Inputs'!$L$7:$L$234,'Measure Inputs'!$G$7:$G$234,'Program Inputs'!E23,'Measure Inputs'!$H$7:$H$234,'Program Inputs'!F23,'Measure Inputs'!$J$7:$J$234,'Program Inputs'!H23)</f>
        <v>61</v>
      </c>
      <c r="J23" s="756">
        <f ca="1">O23*$R23</f>
        <v>48434</v>
      </c>
      <c r="K23" s="756">
        <f ca="1">$O23*$U23</f>
        <v>36325.5</v>
      </c>
      <c r="L23" s="756">
        <f t="shared" ref="L23:L37" ca="1" si="12">SUM($J23,$K23,$M23,$O23)*$V23</f>
        <v>17799.495000000003</v>
      </c>
      <c r="M23" s="756">
        <f ca="1">T23*$O23</f>
        <v>29060.399999999998</v>
      </c>
      <c r="N23" s="157">
        <f t="shared" ca="1" si="2"/>
        <v>131619.39499999999</v>
      </c>
      <c r="O23" s="157">
        <f ca="1">SUMIFS(OFFSET(Analysis!$AI$49,,,InputRows),OFFSET(Analysis!$B$49,,,InputRows),SUBSTITUTE($B23,"All","*"))</f>
        <v>242170</v>
      </c>
      <c r="P23" s="157">
        <f t="shared" ca="1" si="3"/>
        <v>373789.39500000002</v>
      </c>
      <c r="Q23" s="168"/>
      <c r="R23" s="766">
        <v>0.2</v>
      </c>
      <c r="S23" s="766"/>
      <c r="T23" s="766">
        <v>0.12</v>
      </c>
      <c r="U23" s="766">
        <v>0.15</v>
      </c>
      <c r="V23" s="766">
        <v>0.05</v>
      </c>
    </row>
    <row r="24" spans="2:22" s="1" customFormat="1">
      <c r="B24" s="41" t="str">
        <f t="shared" si="4"/>
        <v>C&amp;I_C&amp;I Prescriptive_0_All_2018</v>
      </c>
      <c r="C24" s="41" t="b">
        <f>COUNTIF($B$5:B24,B24)=1</f>
        <v>1</v>
      </c>
      <c r="D24" s="753" t="s">
        <v>256</v>
      </c>
      <c r="E24" s="753" t="s">
        <v>255</v>
      </c>
      <c r="F24" s="754">
        <v>0</v>
      </c>
      <c r="G24" s="754" t="s">
        <v>98</v>
      </c>
      <c r="H24" s="754">
        <v>2018</v>
      </c>
      <c r="I24" s="755">
        <f>SUMIFS('Measure Inputs'!$L$7:$L$234,'Measure Inputs'!$G$7:$G$234,'Program Inputs'!E24,'Measure Inputs'!$H$7:$H$234,'Program Inputs'!F24,'Measure Inputs'!$J$7:$J$234,'Program Inputs'!H24)</f>
        <v>8016</v>
      </c>
      <c r="J24" s="756">
        <f ca="1">O24*$R24</f>
        <v>51079.5</v>
      </c>
      <c r="K24" s="756">
        <f ca="1">$O24*$U24</f>
        <v>25539.75</v>
      </c>
      <c r="L24" s="756">
        <f t="shared" ca="1" si="12"/>
        <v>13621.2</v>
      </c>
      <c r="M24" s="756">
        <f ca="1">T24*$O24</f>
        <v>25539.75</v>
      </c>
      <c r="N24" s="157">
        <f t="shared" ca="1" si="2"/>
        <v>115780.2</v>
      </c>
      <c r="O24" s="157">
        <f ca="1">SUMIFS(OFFSET(Analysis!$AI$49,,,InputRows),OFFSET(Analysis!$B$49,,,InputRows),SUBSTITUTE($B24,"All","*"))</f>
        <v>170265</v>
      </c>
      <c r="P24" s="157">
        <f t="shared" ca="1" si="3"/>
        <v>286045.2</v>
      </c>
      <c r="Q24" s="168"/>
      <c r="R24" s="766">
        <v>0.3</v>
      </c>
      <c r="S24" s="766"/>
      <c r="T24" s="766">
        <v>0.15</v>
      </c>
      <c r="U24" s="766">
        <v>0.15</v>
      </c>
      <c r="V24" s="766">
        <v>0.05</v>
      </c>
    </row>
    <row r="25" spans="2:22" s="1" customFormat="1">
      <c r="B25" s="41" t="str">
        <f t="shared" si="4"/>
        <v>Residential_Cross Marketing and Training_0_All_2018</v>
      </c>
      <c r="C25" s="41" t="b">
        <f>COUNTIF($B$5:B25,B25)=1</f>
        <v>1</v>
      </c>
      <c r="D25" s="782" t="s">
        <v>2</v>
      </c>
      <c r="E25" s="782" t="s">
        <v>603</v>
      </c>
      <c r="F25" s="783">
        <v>0</v>
      </c>
      <c r="G25" s="783" t="s">
        <v>98</v>
      </c>
      <c r="H25" s="783">
        <v>2018</v>
      </c>
      <c r="I25" s="784">
        <f>SUMIFS('Measure Inputs'!$L$7:$L$234,'Measure Inputs'!$G$7:$G$234,'Program Inputs'!E25,'Measure Inputs'!$H$7:$H$234,'Program Inputs'!F25,'Measure Inputs'!$J$7:$J$234,'Program Inputs'!H25)</f>
        <v>0</v>
      </c>
      <c r="J25" s="785">
        <f t="shared" ref="J25:J26" ca="1" si="13">O25*$R25</f>
        <v>0</v>
      </c>
      <c r="K25" s="785">
        <f t="shared" ref="K25:K26" ca="1" si="14">$O25*$U25</f>
        <v>0</v>
      </c>
      <c r="L25" s="785">
        <f t="shared" ca="1" si="12"/>
        <v>0</v>
      </c>
      <c r="M25" s="785">
        <f t="shared" ref="M25:M26" ca="1" si="15">T25*$O25</f>
        <v>0</v>
      </c>
      <c r="N25" s="786">
        <f ca="1">SUM(O16:O24)*10%*$R25</f>
        <v>6502.4999999999991</v>
      </c>
      <c r="O25" s="786">
        <f ca="1">SUMIFS(OFFSET(Analysis!$AI$49,,,InputRows),OFFSET(Analysis!$B$49,,,InputRows),SUBSTITUTE($B25,"All","*"))</f>
        <v>0</v>
      </c>
      <c r="P25" s="786">
        <f t="shared" ref="P25:P26" ca="1" si="16">SUM(N25:O25)</f>
        <v>6502.4999999999991</v>
      </c>
      <c r="Q25" s="168"/>
      <c r="R25" s="796">
        <f ca="1">SUM(O16:O22)/SUM(O16:O24)</f>
        <v>0.1361894190089222</v>
      </c>
      <c r="S25" s="766"/>
      <c r="T25" s="766"/>
      <c r="U25" s="766"/>
      <c r="V25" s="766"/>
    </row>
    <row r="26" spans="2:22" s="1" customFormat="1">
      <c r="B26" s="41" t="str">
        <f t="shared" si="4"/>
        <v>C&amp;I_Cross Marketing and Training_0_All_2018</v>
      </c>
      <c r="C26" s="41" t="b">
        <f>COUNTIF($B$5:B26,B26)=1</f>
        <v>1</v>
      </c>
      <c r="D26" s="782" t="s">
        <v>256</v>
      </c>
      <c r="E26" s="782" t="s">
        <v>603</v>
      </c>
      <c r="F26" s="783">
        <v>0</v>
      </c>
      <c r="G26" s="783" t="s">
        <v>98</v>
      </c>
      <c r="H26" s="783">
        <v>2018</v>
      </c>
      <c r="I26" s="784">
        <f>SUMIFS('Measure Inputs'!$L$7:$L$234,'Measure Inputs'!$G$7:$G$234,'Program Inputs'!E26,'Measure Inputs'!$H$7:$H$234,'Program Inputs'!F26,'Measure Inputs'!$J$7:$J$234,'Program Inputs'!H26)</f>
        <v>0</v>
      </c>
      <c r="J26" s="785">
        <f t="shared" ca="1" si="13"/>
        <v>0</v>
      </c>
      <c r="K26" s="785">
        <f t="shared" ca="1" si="14"/>
        <v>0</v>
      </c>
      <c r="L26" s="785">
        <f t="shared" ca="1" si="12"/>
        <v>0</v>
      </c>
      <c r="M26" s="785">
        <f t="shared" ca="1" si="15"/>
        <v>0</v>
      </c>
      <c r="N26" s="786">
        <f ca="1">SUM(O16:O24)*10%*$R26</f>
        <v>41243.5</v>
      </c>
      <c r="O26" s="786">
        <f ca="1">SUMIFS(OFFSET(Analysis!$AI$49,,,InputRows),OFFSET(Analysis!$B$49,,,InputRows),SUBSTITUTE($B26,"All","*"))</f>
        <v>0</v>
      </c>
      <c r="P26" s="786">
        <f t="shared" ca="1" si="16"/>
        <v>41243.5</v>
      </c>
      <c r="Q26" s="168"/>
      <c r="R26" s="796">
        <f ca="1">SUM(O23:O24)/SUM(O16:O24)</f>
        <v>0.86381058099107777</v>
      </c>
      <c r="S26" s="766"/>
      <c r="T26" s="766"/>
      <c r="U26" s="766"/>
      <c r="V26" s="766"/>
    </row>
    <row r="27" spans="2:22" s="1" customFormat="1">
      <c r="B27" s="41" t="str">
        <f t="shared" si="4"/>
        <v>Residential_Residential Lighting_0_All_2019</v>
      </c>
      <c r="C27" s="41" t="b">
        <f>COUNTIF($B$5:B27,B27)=1</f>
        <v>1</v>
      </c>
      <c r="D27" s="26" t="s">
        <v>2</v>
      </c>
      <c r="E27" s="29" t="s">
        <v>249</v>
      </c>
      <c r="F27" s="29">
        <v>0</v>
      </c>
      <c r="G27" s="29" t="s">
        <v>98</v>
      </c>
      <c r="H27" s="29">
        <v>2019</v>
      </c>
      <c r="I27" s="31">
        <f>SUMIFS('Measure Inputs'!$L$7:$L$234,'Measure Inputs'!$G$7:$G$234,'Program Inputs'!E27,'Measure Inputs'!$H$7:$H$234,'Program Inputs'!F27,'Measure Inputs'!$J$7:$J$234,'Program Inputs'!H27)</f>
        <v>4620</v>
      </c>
      <c r="J27" s="156">
        <f>I27*R27</f>
        <v>6930</v>
      </c>
      <c r="K27" s="156">
        <f ca="1">$O27*$U27</f>
        <v>3072</v>
      </c>
      <c r="L27" s="156">
        <f t="shared" ca="1" si="12"/>
        <v>1844.1000000000001</v>
      </c>
      <c r="M27" s="156">
        <f ca="1">T27*$O27</f>
        <v>1280</v>
      </c>
      <c r="N27" s="157">
        <f t="shared" ca="1" si="2"/>
        <v>13126.1</v>
      </c>
      <c r="O27" s="157">
        <f ca="1">SUMIFS(OFFSET(Analysis!$AI$49,,,InputRows),OFFSET(Analysis!$B$49,,,InputRows),SUBSTITUTE($B27,"All","*"))</f>
        <v>25600</v>
      </c>
      <c r="P27" s="157">
        <f t="shared" ca="1" si="3"/>
        <v>38726.1</v>
      </c>
      <c r="Q27" s="168"/>
      <c r="R27" s="761">
        <v>1.5</v>
      </c>
      <c r="S27" s="761"/>
      <c r="T27" s="762">
        <v>0.05</v>
      </c>
      <c r="U27" s="762">
        <v>0.12</v>
      </c>
      <c r="V27" s="763">
        <v>0.05</v>
      </c>
    </row>
    <row r="28" spans="2:22" s="1" customFormat="1">
      <c r="B28" s="41" t="str">
        <f t="shared" si="4"/>
        <v>Residential_Appliance Recycling_0_All_2019</v>
      </c>
      <c r="C28" s="41" t="b">
        <f>COUNTIF($B$5:B28,B28)=1</f>
        <v>1</v>
      </c>
      <c r="D28" s="26" t="s">
        <v>2</v>
      </c>
      <c r="E28" s="29" t="s">
        <v>120</v>
      </c>
      <c r="F28" s="29">
        <v>0</v>
      </c>
      <c r="G28" s="29" t="s">
        <v>98</v>
      </c>
      <c r="H28" s="29">
        <v>2019</v>
      </c>
      <c r="I28" s="31">
        <f>SUMIFS('Measure Inputs'!$L$7:$L$234,'Measure Inputs'!$G$7:$G$234,'Program Inputs'!E28,'Measure Inputs'!$H$7:$H$234,'Program Inputs'!F28,'Measure Inputs'!$J$7:$J$234,'Program Inputs'!H28)</f>
        <v>83</v>
      </c>
      <c r="J28" s="156">
        <f>I28*$R28</f>
        <v>8300</v>
      </c>
      <c r="K28" s="156">
        <f ca="1">$O28*$U28</f>
        <v>622.5</v>
      </c>
      <c r="L28" s="156">
        <f t="shared" ca="1" si="12"/>
        <v>772.9375</v>
      </c>
      <c r="M28" s="156">
        <f ca="1">T28*$O28</f>
        <v>311.25</v>
      </c>
      <c r="N28" s="157">
        <f t="shared" ca="1" si="2"/>
        <v>10006.6875</v>
      </c>
      <c r="O28" s="157">
        <f ca="1">SUMIFS(OFFSET(Analysis!$AI$49,,,InputRows),OFFSET(Analysis!$B$49,,,InputRows),SUBSTITUTE($B28,"All","*"))</f>
        <v>6225</v>
      </c>
      <c r="P28" s="157">
        <f t="shared" ca="1" si="3"/>
        <v>16231.6875</v>
      </c>
      <c r="Q28" s="168"/>
      <c r="R28" s="764">
        <v>100</v>
      </c>
      <c r="S28" s="764"/>
      <c r="T28" s="762">
        <v>0.05</v>
      </c>
      <c r="U28" s="762">
        <v>0.1</v>
      </c>
      <c r="V28" s="763">
        <v>0.05</v>
      </c>
    </row>
    <row r="29" spans="2:22" s="1" customFormat="1">
      <c r="B29" s="41" t="str">
        <f t="shared" si="4"/>
        <v>Residential_High Efficiency HVAC_0_All_2019</v>
      </c>
      <c r="C29" s="41" t="b">
        <f>COUNTIF($B$5:B29,B29)=1</f>
        <v>1</v>
      </c>
      <c r="D29" s="26" t="s">
        <v>2</v>
      </c>
      <c r="E29" s="29" t="s">
        <v>250</v>
      </c>
      <c r="F29" s="29">
        <v>0</v>
      </c>
      <c r="G29" s="29" t="s">
        <v>98</v>
      </c>
      <c r="H29" s="29">
        <v>2019</v>
      </c>
      <c r="I29" s="31">
        <f>SUMIFS('Measure Inputs'!$L$7:$L$234,'Measure Inputs'!$G$7:$G$234,'Program Inputs'!E29,'Measure Inputs'!$H$7:$H$234,'Program Inputs'!F29,'Measure Inputs'!$J$7:$J$234,'Program Inputs'!H29)</f>
        <v>171</v>
      </c>
      <c r="J29" s="156">
        <f>I29*$R29</f>
        <v>17.100000000000001</v>
      </c>
      <c r="K29" s="156">
        <f ca="1">$O29*$U29</f>
        <v>5812.5</v>
      </c>
      <c r="L29" s="156">
        <f t="shared" ca="1" si="12"/>
        <v>2325.855</v>
      </c>
      <c r="M29" s="156">
        <f ca="1">T29*$O29</f>
        <v>1937.5</v>
      </c>
      <c r="N29" s="157">
        <f t="shared" ca="1" si="2"/>
        <v>10092.955</v>
      </c>
      <c r="O29" s="157">
        <f ca="1">SUMIFS(OFFSET(Analysis!$AI$49,,,InputRows),OFFSET(Analysis!$B$49,,,InputRows),SUBSTITUTE($B29,"All","*"))</f>
        <v>38750</v>
      </c>
      <c r="P29" s="157">
        <f t="shared" ca="1" si="3"/>
        <v>48842.955000000002</v>
      </c>
      <c r="Q29" s="168"/>
      <c r="R29" s="762">
        <v>0.1</v>
      </c>
      <c r="S29" s="762"/>
      <c r="T29" s="762">
        <v>0.05</v>
      </c>
      <c r="U29" s="762">
        <v>0.15</v>
      </c>
      <c r="V29" s="763">
        <v>0.05</v>
      </c>
    </row>
    <row r="30" spans="2:22" s="1" customFormat="1">
      <c r="B30" s="41" t="str">
        <f t="shared" si="4"/>
        <v>Residential_Whole House Efficiency_0_All_2019</v>
      </c>
      <c r="C30" s="41" t="b">
        <f>COUNTIF($B$5:B30,B30)=1</f>
        <v>1</v>
      </c>
      <c r="D30" s="26" t="s">
        <v>2</v>
      </c>
      <c r="E30" s="29" t="s">
        <v>219</v>
      </c>
      <c r="F30" s="29">
        <v>0</v>
      </c>
      <c r="G30" s="29" t="s">
        <v>98</v>
      </c>
      <c r="H30" s="29">
        <v>2019</v>
      </c>
      <c r="I30" s="514">
        <v>30</v>
      </c>
      <c r="J30" s="156">
        <f>I30*$R30</f>
        <v>9750</v>
      </c>
      <c r="K30" s="156">
        <f>$J30*$U30</f>
        <v>1755</v>
      </c>
      <c r="L30" s="156">
        <f t="shared" ca="1" si="12"/>
        <v>599.625</v>
      </c>
      <c r="M30" s="156">
        <f>T30*$J30</f>
        <v>487.5</v>
      </c>
      <c r="N30" s="157">
        <f t="shared" ca="1" si="2"/>
        <v>12592.125</v>
      </c>
      <c r="O30" s="157">
        <f ca="1">SUMIFS(OFFSET(Analysis!$AI$49,,,InputRows),OFFSET(Analysis!$B$49,,,InputRows),SUBSTITUTE($B30,"All","*"))</f>
        <v>0</v>
      </c>
      <c r="P30" s="157">
        <f t="shared" ca="1" si="3"/>
        <v>12592.125</v>
      </c>
      <c r="Q30" s="168"/>
      <c r="R30" s="764">
        <v>325</v>
      </c>
      <c r="S30" s="764"/>
      <c r="T30" s="762">
        <v>0.05</v>
      </c>
      <c r="U30" s="762">
        <v>0.18</v>
      </c>
      <c r="V30" s="763">
        <v>0.05</v>
      </c>
    </row>
    <row r="31" spans="2:22" s="1" customFormat="1">
      <c r="B31" s="41" t="str">
        <f t="shared" si="4"/>
        <v>Residential_Residential Audit_0_All_2019</v>
      </c>
      <c r="C31" s="41" t="b">
        <f>COUNTIF($B$5:B31,B31)=1</f>
        <v>1</v>
      </c>
      <c r="D31" s="26" t="s">
        <v>2</v>
      </c>
      <c r="E31" s="26" t="s">
        <v>251</v>
      </c>
      <c r="F31" s="26">
        <v>0</v>
      </c>
      <c r="G31" s="26" t="s">
        <v>98</v>
      </c>
      <c r="H31" s="29">
        <v>2019</v>
      </c>
      <c r="I31" s="514">
        <v>650</v>
      </c>
      <c r="J31" s="156">
        <f>$R31+ROUND(I31/2,0)*S31</f>
        <v>28250</v>
      </c>
      <c r="K31" s="156">
        <f>$J31*$U31</f>
        <v>1412.5</v>
      </c>
      <c r="L31" s="156">
        <f t="shared" ca="1" si="12"/>
        <v>1553.75</v>
      </c>
      <c r="M31" s="210">
        <f>T31*$J31</f>
        <v>1412.5</v>
      </c>
      <c r="N31" s="157">
        <f t="shared" ca="1" si="2"/>
        <v>32628.75</v>
      </c>
      <c r="O31" s="157">
        <f ca="1">SUMIFS(OFFSET(Analysis!$AI$49,,,InputRows),OFFSET(Analysis!$B$49,,,InputRows),SUBSTITUTE($B31,"All","*"))</f>
        <v>0</v>
      </c>
      <c r="P31" s="157">
        <f t="shared" ca="1" si="3"/>
        <v>32628.75</v>
      </c>
      <c r="Q31" s="168"/>
      <c r="R31" s="764">
        <v>12000</v>
      </c>
      <c r="S31" s="764">
        <v>50</v>
      </c>
      <c r="T31" s="762">
        <v>0.05</v>
      </c>
      <c r="U31" s="762">
        <v>0.05</v>
      </c>
      <c r="V31" s="763">
        <v>0.05</v>
      </c>
    </row>
    <row r="32" spans="2:22" s="1" customFormat="1">
      <c r="B32" s="41" t="str">
        <f t="shared" si="4"/>
        <v>Residential_School-Based Education_0_All_2019</v>
      </c>
      <c r="C32" s="41" t="b">
        <f>COUNTIF($B$5:B32,B32)=1</f>
        <v>1</v>
      </c>
      <c r="D32" s="26" t="s">
        <v>2</v>
      </c>
      <c r="E32" s="26" t="s">
        <v>252</v>
      </c>
      <c r="F32" s="29">
        <v>0</v>
      </c>
      <c r="G32" s="29" t="s">
        <v>98</v>
      </c>
      <c r="H32" s="29">
        <v>2019</v>
      </c>
      <c r="I32" s="31">
        <f>SUMIFS('Measure Inputs'!$L$7:$L$234,'Measure Inputs'!$G$7:$G$234,'Program Inputs'!E32,'Measure Inputs'!$H$7:$H$234,'Program Inputs'!F32,'Measure Inputs'!$J$7:$J$234,'Program Inputs'!H32)</f>
        <v>1200</v>
      </c>
      <c r="J32" s="156">
        <f>I32*$R32</f>
        <v>60000</v>
      </c>
      <c r="K32" s="156">
        <f ca="1">$O32*$U32</f>
        <v>0</v>
      </c>
      <c r="L32" s="156">
        <f t="shared" ca="1" si="12"/>
        <v>3150</v>
      </c>
      <c r="M32" s="156">
        <f>T32*$J32</f>
        <v>3000</v>
      </c>
      <c r="N32" s="157">
        <f t="shared" ca="1" si="2"/>
        <v>66150</v>
      </c>
      <c r="O32" s="157">
        <f ca="1">SUMIFS(OFFSET(Analysis!$AI$49,,,InputRows),OFFSET(Analysis!$B$49,,,InputRows),SUBSTITUTE($B32,"All","*"))</f>
        <v>0</v>
      </c>
      <c r="P32" s="157">
        <f t="shared" ca="1" si="3"/>
        <v>66150</v>
      </c>
      <c r="Q32" s="168"/>
      <c r="R32" s="764">
        <v>50</v>
      </c>
      <c r="S32" s="764"/>
      <c r="T32" s="762">
        <v>0.05</v>
      </c>
      <c r="U32" s="762">
        <v>0</v>
      </c>
      <c r="V32" s="763">
        <v>0.05</v>
      </c>
    </row>
    <row r="33" spans="2:22" s="1" customFormat="1">
      <c r="B33" s="41" t="str">
        <f t="shared" si="4"/>
        <v>Residential_Weatherization_0_All_2019</v>
      </c>
      <c r="C33" s="41" t="b">
        <f>COUNTIF($B$5:B33,B33)=1</f>
        <v>1</v>
      </c>
      <c r="D33" s="26" t="s">
        <v>2</v>
      </c>
      <c r="E33" s="26" t="s">
        <v>253</v>
      </c>
      <c r="F33" s="29">
        <v>0</v>
      </c>
      <c r="G33" s="29" t="s">
        <v>98</v>
      </c>
      <c r="H33" s="29">
        <v>2019</v>
      </c>
      <c r="I33" s="514">
        <v>30</v>
      </c>
      <c r="J33" s="156">
        <f>I33*$R33</f>
        <v>12000</v>
      </c>
      <c r="K33" s="156">
        <f>$J33*$U33</f>
        <v>0</v>
      </c>
      <c r="L33" s="156">
        <f t="shared" ca="1" si="12"/>
        <v>630</v>
      </c>
      <c r="M33" s="156">
        <f>T33*$J33</f>
        <v>600</v>
      </c>
      <c r="N33" s="157">
        <f t="shared" ca="1" si="2"/>
        <v>13230</v>
      </c>
      <c r="O33" s="157">
        <f ca="1">SUMIFS(OFFSET(Analysis!$AI$49,,,InputRows),OFFSET(Analysis!$B$49,,,InputRows),SUBSTITUTE($B33,"All","*"))</f>
        <v>0</v>
      </c>
      <c r="P33" s="157">
        <f t="shared" ca="1" si="3"/>
        <v>13230</v>
      </c>
      <c r="Q33" s="168"/>
      <c r="R33" s="764">
        <v>400</v>
      </c>
      <c r="S33" s="764"/>
      <c r="T33" s="762">
        <v>0.05</v>
      </c>
      <c r="U33" s="762">
        <v>0</v>
      </c>
      <c r="V33" s="763">
        <v>0.05</v>
      </c>
    </row>
    <row r="34" spans="2:22" s="1" customFormat="1">
      <c r="B34" s="41" t="str">
        <f t="shared" si="4"/>
        <v>C&amp;I_C&amp;I Custom_0_All_2019</v>
      </c>
      <c r="C34" s="41" t="b">
        <f>COUNTIF($B$5:B34,B34)=1</f>
        <v>1</v>
      </c>
      <c r="D34" s="26" t="s">
        <v>256</v>
      </c>
      <c r="E34" s="26" t="s">
        <v>254</v>
      </c>
      <c r="F34" s="29">
        <v>0</v>
      </c>
      <c r="G34" s="29" t="s">
        <v>98</v>
      </c>
      <c r="H34" s="29">
        <v>2019</v>
      </c>
      <c r="I34" s="31">
        <f>SUMIFS('Measure Inputs'!$L$7:$L$234,'Measure Inputs'!$G$7:$G$234,'Program Inputs'!E34,'Measure Inputs'!$H$7:$H$234,'Program Inputs'!F34,'Measure Inputs'!$J$7:$J$234,'Program Inputs'!H34)</f>
        <v>62</v>
      </c>
      <c r="J34" s="156">
        <f ca="1">O34*$R34</f>
        <v>49228</v>
      </c>
      <c r="K34" s="156">
        <f ca="1">$O34*$U34</f>
        <v>36921</v>
      </c>
      <c r="L34" s="156">
        <f t="shared" ca="1" si="12"/>
        <v>18091.29</v>
      </c>
      <c r="M34" s="156">
        <f ca="1">T34*$O34</f>
        <v>29536.799999999999</v>
      </c>
      <c r="N34" s="157">
        <f t="shared" ca="1" si="2"/>
        <v>133777.09</v>
      </c>
      <c r="O34" s="157">
        <f ca="1">SUMIFS(OFFSET(Analysis!$AI$49,,,InputRows),OFFSET(Analysis!$B$49,,,InputRows),SUBSTITUTE($B34,"All","*"))</f>
        <v>246140</v>
      </c>
      <c r="P34" s="157">
        <f t="shared" ca="1" si="3"/>
        <v>379917.08999999997</v>
      </c>
      <c r="Q34" s="168"/>
      <c r="R34" s="762">
        <v>0.2</v>
      </c>
      <c r="S34" s="762"/>
      <c r="T34" s="762">
        <v>0.12</v>
      </c>
      <c r="U34" s="762">
        <v>0.15</v>
      </c>
      <c r="V34" s="763">
        <v>0.05</v>
      </c>
    </row>
    <row r="35" spans="2:22" s="1" customFormat="1">
      <c r="B35" s="41" t="str">
        <f t="shared" si="4"/>
        <v>C&amp;I_C&amp;I Prescriptive_0_All_2019</v>
      </c>
      <c r="C35" s="41" t="b">
        <f>COUNTIF($B$5:B35,B35)=1</f>
        <v>1</v>
      </c>
      <c r="D35" s="26" t="s">
        <v>256</v>
      </c>
      <c r="E35" s="26" t="s">
        <v>255</v>
      </c>
      <c r="F35" s="29">
        <v>0</v>
      </c>
      <c r="G35" s="29" t="s">
        <v>98</v>
      </c>
      <c r="H35" s="29">
        <v>2019</v>
      </c>
      <c r="I35" s="31">
        <f>SUMIFS('Measure Inputs'!$L$7:$L$234,'Measure Inputs'!$G$7:$G$234,'Program Inputs'!E35,'Measure Inputs'!$H$7:$H$234,'Program Inputs'!F35,'Measure Inputs'!$J$7:$J$234,'Program Inputs'!H35)</f>
        <v>8016</v>
      </c>
      <c r="J35" s="156">
        <f t="shared" ref="J35:J37" ca="1" si="17">O35*$R35</f>
        <v>51079.5</v>
      </c>
      <c r="K35" s="156">
        <f t="shared" ref="K35:K37" ca="1" si="18">$O35*$U35</f>
        <v>25539.75</v>
      </c>
      <c r="L35" s="156">
        <f t="shared" ca="1" si="12"/>
        <v>13621.2</v>
      </c>
      <c r="M35" s="156">
        <f t="shared" ref="M35:M37" ca="1" si="19">T35*$O35</f>
        <v>25539.75</v>
      </c>
      <c r="N35" s="157">
        <f t="shared" ref="N35" ca="1" si="20">SUM(J35:M35)</f>
        <v>115780.2</v>
      </c>
      <c r="O35" s="157">
        <f ca="1">SUMIFS(OFFSET(Analysis!$AI$49,,,InputRows),OFFSET(Analysis!$B$49,,,InputRows),SUBSTITUTE($B35,"All","*"))</f>
        <v>170265</v>
      </c>
      <c r="P35" s="157">
        <f t="shared" ref="P35:P37" ca="1" si="21">SUM(N35:O35)</f>
        <v>286045.2</v>
      </c>
      <c r="Q35" s="168"/>
      <c r="R35" s="762">
        <v>0.3</v>
      </c>
      <c r="S35" s="762"/>
      <c r="T35" s="762">
        <v>0.15</v>
      </c>
      <c r="U35" s="762">
        <v>0.15</v>
      </c>
      <c r="V35" s="763">
        <v>0.05</v>
      </c>
    </row>
    <row r="36" spans="2:22" s="1" customFormat="1">
      <c r="B36" s="41" t="str">
        <f t="shared" si="4"/>
        <v>Residential_Cross Marketing and Training_0_All_2019</v>
      </c>
      <c r="C36" s="41" t="b">
        <f>COUNTIF($B$5:B36,B36)=1</f>
        <v>1</v>
      </c>
      <c r="D36" s="782" t="s">
        <v>2</v>
      </c>
      <c r="E36" s="782" t="s">
        <v>603</v>
      </c>
      <c r="F36" s="783">
        <v>0</v>
      </c>
      <c r="G36" s="783" t="s">
        <v>98</v>
      </c>
      <c r="H36" s="783">
        <v>2019</v>
      </c>
      <c r="I36" s="784">
        <f>SUMIFS('Measure Inputs'!$L$7:$L$234,'Measure Inputs'!$G$7:$G$234,'Program Inputs'!E36,'Measure Inputs'!$H$7:$H$234,'Program Inputs'!F36,'Measure Inputs'!$J$7:$J$234,'Program Inputs'!H36)</f>
        <v>0</v>
      </c>
      <c r="J36" s="785">
        <f t="shared" ca="1" si="17"/>
        <v>0</v>
      </c>
      <c r="K36" s="785">
        <f t="shared" ca="1" si="18"/>
        <v>0</v>
      </c>
      <c r="L36" s="785">
        <f t="shared" ca="1" si="12"/>
        <v>0</v>
      </c>
      <c r="M36" s="785">
        <f t="shared" ca="1" si="19"/>
        <v>0</v>
      </c>
      <c r="N36" s="786">
        <f ca="1">SUM(O27:O35)*10%*$R36</f>
        <v>7057.4999999999991</v>
      </c>
      <c r="O36" s="786">
        <f ca="1">SUMIFS(OFFSET(Analysis!$AI$49,,,InputRows),OFFSET(Analysis!$B$49,,,InputRows),SUBSTITUTE($B36,"All","*"))</f>
        <v>0</v>
      </c>
      <c r="P36" s="786">
        <f t="shared" ca="1" si="21"/>
        <v>7057.4999999999991</v>
      </c>
      <c r="Q36" s="168"/>
      <c r="R36" s="796">
        <f ca="1">SUM(O27:O33)/SUM(O27:O35)</f>
        <v>0.14492381617314878</v>
      </c>
      <c r="S36" s="762"/>
      <c r="T36" s="762"/>
      <c r="U36" s="762"/>
      <c r="V36" s="763"/>
    </row>
    <row r="37" spans="2:22" s="1" customFormat="1">
      <c r="B37" s="41" t="str">
        <f t="shared" si="4"/>
        <v>C&amp;I_Cross Marketing and Training_0_All_2019</v>
      </c>
      <c r="C37" s="41" t="b">
        <f>COUNTIF($B$5:B37,B37)=1</f>
        <v>1</v>
      </c>
      <c r="D37" s="782" t="s">
        <v>256</v>
      </c>
      <c r="E37" s="782" t="s">
        <v>603</v>
      </c>
      <c r="F37" s="783">
        <v>0</v>
      </c>
      <c r="G37" s="783" t="s">
        <v>98</v>
      </c>
      <c r="H37" s="783">
        <v>2019</v>
      </c>
      <c r="I37" s="784">
        <f>SUMIFS('Measure Inputs'!$L$7:$L$234,'Measure Inputs'!$G$7:$G$234,'Program Inputs'!E37,'Measure Inputs'!$H$7:$H$234,'Program Inputs'!F37,'Measure Inputs'!$J$7:$J$234,'Program Inputs'!H37)</f>
        <v>0</v>
      </c>
      <c r="J37" s="785">
        <f t="shared" ca="1" si="17"/>
        <v>0</v>
      </c>
      <c r="K37" s="785">
        <f t="shared" ca="1" si="18"/>
        <v>0</v>
      </c>
      <c r="L37" s="785">
        <f t="shared" ca="1" si="12"/>
        <v>0</v>
      </c>
      <c r="M37" s="785">
        <f t="shared" ca="1" si="19"/>
        <v>0</v>
      </c>
      <c r="N37" s="786">
        <f ca="1">SUM(O27:O35)*10%*$R37</f>
        <v>41640.5</v>
      </c>
      <c r="O37" s="786">
        <f ca="1">SUMIFS(OFFSET(Analysis!$AI$49,,,InputRows),OFFSET(Analysis!$B$49,,,InputRows),SUBSTITUTE($B37,"All","*"))</f>
        <v>0</v>
      </c>
      <c r="P37" s="786">
        <f t="shared" ca="1" si="21"/>
        <v>41640.5</v>
      </c>
      <c r="Q37" s="168"/>
      <c r="R37" s="796">
        <f ca="1">SUM(O34:O35)/SUM(O27:O35)</f>
        <v>0.85507618382685124</v>
      </c>
      <c r="S37" s="762"/>
      <c r="T37" s="762"/>
      <c r="U37" s="762"/>
      <c r="V37" s="763"/>
    </row>
    <row r="41" spans="2:22">
      <c r="I41" s="781"/>
      <c r="J41" s="781"/>
      <c r="K41" s="781"/>
    </row>
    <row r="42" spans="2:22">
      <c r="I42" s="781"/>
      <c r="J42" s="781"/>
      <c r="K42" s="781"/>
      <c r="L42" s="69"/>
    </row>
  </sheetData>
  <autoFilter ref="D4:H37"/>
  <mergeCells count="5">
    <mergeCell ref="R3:V3"/>
    <mergeCell ref="O3:O4"/>
    <mergeCell ref="N3:N4"/>
    <mergeCell ref="J3:M3"/>
    <mergeCell ref="P3:P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1"/>
    <pageSetUpPr autoPageBreaks="0"/>
  </sheetPr>
  <dimension ref="A1:AC242"/>
  <sheetViews>
    <sheetView showGridLines="0" zoomScale="80" zoomScaleNormal="80" workbookViewId="0">
      <pane xSplit="11" ySplit="6" topLeftCell="L7" activePane="bottomRight" state="frozen"/>
      <selection pane="topRight" activeCell="O1" sqref="O1"/>
      <selection pane="bottomLeft" activeCell="A7" sqref="A7"/>
      <selection pane="bottomRight"/>
    </sheetView>
  </sheetViews>
  <sheetFormatPr defaultColWidth="88.28515625" defaultRowHeight="15"/>
  <cols>
    <col min="1" max="1" width="4.7109375" customWidth="1"/>
    <col min="2" max="2" width="113.5703125" hidden="1" customWidth="1"/>
    <col min="3" max="3" width="15.140625" hidden="1" customWidth="1"/>
    <col min="4" max="4" width="6.5703125" bestFit="1" customWidth="1"/>
    <col min="5" max="5" width="11.5703125" hidden="1" customWidth="1"/>
    <col min="6" max="6" width="12.85546875" bestFit="1" customWidth="1"/>
    <col min="7" max="7" width="25.140625" bestFit="1" customWidth="1"/>
    <col min="8" max="8" width="10.7109375" hidden="1" customWidth="1"/>
    <col min="9" max="9" width="69.85546875" bestFit="1" customWidth="1"/>
    <col min="10" max="10" width="9.140625" bestFit="1" customWidth="1"/>
    <col min="11" max="11" width="10.28515625" bestFit="1" customWidth="1"/>
    <col min="12" max="12" width="12.85546875" bestFit="1" customWidth="1"/>
    <col min="13" max="13" width="9.28515625" bestFit="1" customWidth="1"/>
    <col min="14" max="14" width="11.7109375" bestFit="1" customWidth="1"/>
    <col min="15" max="15" width="10.140625" bestFit="1" customWidth="1"/>
    <col min="16" max="16" width="17.85546875" bestFit="1" customWidth="1"/>
    <col min="17" max="17" width="11.5703125" bestFit="1" customWidth="1"/>
    <col min="18" max="18" width="16" bestFit="1" customWidth="1"/>
    <col min="19" max="19" width="19.140625" hidden="1" customWidth="1"/>
    <col min="20" max="21" width="6" bestFit="1" customWidth="1"/>
    <col min="22" max="22" width="8.7109375" bestFit="1" customWidth="1"/>
    <col min="23" max="23" width="8.140625" bestFit="1" customWidth="1"/>
    <col min="24" max="24" width="12.85546875" hidden="1" customWidth="1"/>
    <col min="25" max="25" width="27" hidden="1" customWidth="1"/>
    <col min="26" max="26" width="8.5703125" bestFit="1" customWidth="1"/>
    <col min="27" max="27" width="8.140625" bestFit="1" customWidth="1"/>
    <col min="28" max="28" width="12.85546875" hidden="1" customWidth="1"/>
    <col min="29" max="29" width="11.5703125" bestFit="1" customWidth="1"/>
    <col min="30" max="30" width="14.7109375" bestFit="1" customWidth="1"/>
  </cols>
  <sheetData>
    <row r="1" spans="1:29" s="66" customFormat="1">
      <c r="A1" s="17" t="s">
        <v>136</v>
      </c>
      <c r="AC1"/>
    </row>
    <row r="2" spans="1:29">
      <c r="A2" s="21" t="str">
        <f>HYPERLINK("#'Contents'!a1","Return to Contents")</f>
        <v>Return to Contents</v>
      </c>
      <c r="C2" s="17"/>
      <c r="D2" s="17"/>
      <c r="E2" s="17"/>
      <c r="G2" s="50"/>
    </row>
    <row r="3" spans="1:29" s="3" customFormat="1">
      <c r="A3"/>
      <c r="F3" s="2"/>
      <c r="G3" s="4"/>
      <c r="H3" s="4"/>
      <c r="I3" s="4"/>
      <c r="J3" s="4"/>
      <c r="K3" s="4"/>
      <c r="L3"/>
      <c r="M3"/>
      <c r="N3"/>
      <c r="O3"/>
      <c r="P3"/>
      <c r="Q3"/>
      <c r="R3"/>
      <c r="S3"/>
      <c r="T3"/>
      <c r="U3"/>
      <c r="AC3"/>
    </row>
    <row r="4" spans="1:29" s="3" customFormat="1" ht="51.75" customHeight="1">
      <c r="A4"/>
      <c r="F4" s="2"/>
      <c r="G4" s="4"/>
      <c r="H4" s="4"/>
      <c r="I4" s="512" t="s">
        <v>526</v>
      </c>
      <c r="J4" s="4"/>
      <c r="K4" s="4"/>
      <c r="L4"/>
      <c r="M4" s="812" t="s">
        <v>99</v>
      </c>
      <c r="N4" s="813"/>
      <c r="O4" s="813"/>
      <c r="P4" s="813"/>
      <c r="Q4" s="813"/>
      <c r="R4" s="813"/>
      <c r="S4" s="813"/>
      <c r="T4" s="813"/>
      <c r="U4" s="814"/>
      <c r="V4" s="815" t="s">
        <v>165</v>
      </c>
      <c r="W4" s="816"/>
      <c r="X4" s="817"/>
      <c r="Y4" s="812" t="s">
        <v>166</v>
      </c>
      <c r="Z4" s="813"/>
      <c r="AA4" s="813"/>
      <c r="AB4" s="813"/>
      <c r="AC4"/>
    </row>
    <row r="5" spans="1:29" s="3" customFormat="1">
      <c r="A5"/>
      <c r="F5" s="2"/>
      <c r="G5" s="4"/>
      <c r="H5" s="4"/>
      <c r="I5" s="4"/>
      <c r="J5" s="4"/>
      <c r="K5" s="4"/>
      <c r="L5"/>
      <c r="M5" s="815"/>
      <c r="N5" s="816"/>
      <c r="O5" s="816"/>
      <c r="P5" s="816"/>
      <c r="Q5" s="816"/>
      <c r="R5" s="816"/>
      <c r="S5" s="816"/>
      <c r="T5" s="816"/>
      <c r="U5" s="817"/>
      <c r="V5" s="92" t="s">
        <v>138</v>
      </c>
      <c r="W5" s="92" t="s">
        <v>138</v>
      </c>
      <c r="X5" s="92" t="s">
        <v>139</v>
      </c>
      <c r="Y5" s="99"/>
      <c r="Z5" s="90" t="str">
        <f>V5</f>
        <v>Electric</v>
      </c>
      <c r="AA5" s="90" t="s">
        <v>138</v>
      </c>
      <c r="AB5" s="90" t="str">
        <f>X5</f>
        <v>Natural Gas</v>
      </c>
      <c r="AC5"/>
    </row>
    <row r="6" spans="1:29" s="7" customFormat="1" ht="30">
      <c r="A6"/>
      <c r="B6" s="23" t="e">
        <f>F6&amp;"_"&amp;G6&amp;"_"&amp;H6&amp;"_"&amp;#REF!&amp;"_"&amp;#REF!&amp;"_"&amp;I6&amp;"_"&amp;J6</f>
        <v>#REF!</v>
      </c>
      <c r="C6" s="23" t="s">
        <v>113</v>
      </c>
      <c r="D6" s="23" t="s">
        <v>163</v>
      </c>
      <c r="E6" s="23" t="s">
        <v>182</v>
      </c>
      <c r="F6" s="23" t="s">
        <v>4</v>
      </c>
      <c r="G6" s="23" t="s">
        <v>6</v>
      </c>
      <c r="H6" s="141" t="s">
        <v>177</v>
      </c>
      <c r="I6" s="23" t="s">
        <v>3</v>
      </c>
      <c r="J6" s="44" t="s">
        <v>161</v>
      </c>
      <c r="K6" s="23" t="s">
        <v>5</v>
      </c>
      <c r="L6" s="144" t="s">
        <v>181</v>
      </c>
      <c r="M6" s="27" t="s">
        <v>19</v>
      </c>
      <c r="N6" s="25" t="s">
        <v>9</v>
      </c>
      <c r="O6" s="25" t="s">
        <v>32</v>
      </c>
      <c r="P6" s="24" t="s">
        <v>1</v>
      </c>
      <c r="Q6" s="24" t="s">
        <v>179</v>
      </c>
      <c r="R6" s="24" t="s">
        <v>144</v>
      </c>
      <c r="S6" s="94" t="s">
        <v>189</v>
      </c>
      <c r="T6" s="94" t="s">
        <v>178</v>
      </c>
      <c r="U6" s="94" t="s">
        <v>25</v>
      </c>
      <c r="V6" s="93" t="s">
        <v>26</v>
      </c>
      <c r="W6" s="93" t="s">
        <v>27</v>
      </c>
      <c r="X6" s="93" t="s">
        <v>140</v>
      </c>
      <c r="Y6" s="97" t="s">
        <v>141</v>
      </c>
      <c r="Z6" s="89" t="str">
        <f>V6</f>
        <v>kWh</v>
      </c>
      <c r="AA6" s="89" t="s">
        <v>27</v>
      </c>
      <c r="AB6" s="89" t="str">
        <f>X6</f>
        <v>Therms</v>
      </c>
      <c r="AC6"/>
    </row>
    <row r="7" spans="1:29" s="2" customFormat="1">
      <c r="A7" s="61"/>
      <c r="B7" s="41" t="str">
        <f t="shared" ref="B7:B64" si="0">F7&amp;"_"&amp;G7&amp;"_"&amp;H7&amp;"_"&amp;I7&amp;"_"&amp;J7</f>
        <v>Residential_Residential Lighting_0_LED_2017</v>
      </c>
      <c r="C7" s="41" t="b">
        <f>ISNUMBER(MATCH(B7,Analysis!B:B,0))</f>
        <v>1</v>
      </c>
      <c r="D7" s="41">
        <v>1</v>
      </c>
      <c r="E7" s="41" t="b">
        <f>COUNTIF($B$7:B7,B7)=1</f>
        <v>1</v>
      </c>
      <c r="F7" s="26" t="s">
        <v>2</v>
      </c>
      <c r="G7" s="26" t="s">
        <v>249</v>
      </c>
      <c r="H7" s="142">
        <v>0</v>
      </c>
      <c r="I7" s="29" t="s">
        <v>216</v>
      </c>
      <c r="J7" s="26">
        <v>2017</v>
      </c>
      <c r="K7" s="143">
        <f ca="1">INDEX(Analysis!J:J,MATCH($B7,Analysis!$B:$B,0))</f>
        <v>0.98959145050219266</v>
      </c>
      <c r="L7" s="174">
        <v>4000</v>
      </c>
      <c r="M7" s="139">
        <f>'Measure Calculations'!$B$10</f>
        <v>10</v>
      </c>
      <c r="N7" s="247">
        <v>0</v>
      </c>
      <c r="O7" s="130">
        <v>5</v>
      </c>
      <c r="P7" s="130">
        <f>'Measure Calculations'!$B$9</f>
        <v>7.5</v>
      </c>
      <c r="Q7" s="130">
        <v>0</v>
      </c>
      <c r="R7" s="130">
        <v>0</v>
      </c>
      <c r="S7" s="162">
        <v>0</v>
      </c>
      <c r="T7" s="95">
        <v>1</v>
      </c>
      <c r="U7" s="95">
        <v>1</v>
      </c>
      <c r="V7" s="768">
        <f>'Measure Calculations'!$B$8</f>
        <v>32.466966839999998</v>
      </c>
      <c r="W7" s="769">
        <f>'Measure Calculations'!$B$7</f>
        <v>2.8499272199999995E-3</v>
      </c>
      <c r="X7" s="770">
        <v>0</v>
      </c>
      <c r="Y7" s="98"/>
      <c r="Z7" s="770">
        <v>0</v>
      </c>
      <c r="AA7" s="769">
        <v>0</v>
      </c>
      <c r="AB7" s="135">
        <v>0</v>
      </c>
      <c r="AC7"/>
    </row>
    <row r="8" spans="1:29" s="511" customFormat="1">
      <c r="A8" s="61"/>
      <c r="B8" s="41" t="str">
        <f t="shared" si="0"/>
        <v>Residential_Residential Lighting_0_ENERGY STAR Fixture_2017</v>
      </c>
      <c r="C8" s="41" t="b">
        <f>ISNUMBER(MATCH(B8,Analysis!B:B,0))</f>
        <v>1</v>
      </c>
      <c r="D8" s="41">
        <f t="shared" ref="D8:D71" si="1">D7+1</f>
        <v>2</v>
      </c>
      <c r="E8" s="41" t="b">
        <f>COUNTIF($B$7:B8,B8)=1</f>
        <v>1</v>
      </c>
      <c r="F8" s="26" t="s">
        <v>2</v>
      </c>
      <c r="G8" s="26" t="s">
        <v>249</v>
      </c>
      <c r="H8" s="142">
        <v>0</v>
      </c>
      <c r="I8" s="29" t="s">
        <v>257</v>
      </c>
      <c r="J8" s="26">
        <v>2017</v>
      </c>
      <c r="K8" s="143">
        <f ca="1">INDEX(Analysis!J:J,MATCH($B8,Analysis!$B:$B,0))</f>
        <v>0.98959145050219266</v>
      </c>
      <c r="L8" s="174">
        <v>500</v>
      </c>
      <c r="M8" s="139">
        <f>'Measure Calculations'!$C$10</f>
        <v>10</v>
      </c>
      <c r="N8" s="140">
        <v>0</v>
      </c>
      <c r="O8" s="130">
        <v>10</v>
      </c>
      <c r="P8" s="130">
        <f>'Measure Calculations'!$C$9</f>
        <v>15</v>
      </c>
      <c r="Q8" s="130">
        <v>0</v>
      </c>
      <c r="R8" s="130">
        <v>0</v>
      </c>
      <c r="S8" s="162">
        <v>0</v>
      </c>
      <c r="T8" s="95">
        <v>1</v>
      </c>
      <c r="U8" s="95">
        <v>1</v>
      </c>
      <c r="V8" s="768">
        <f>'Measure Calculations'!$C$8</f>
        <v>64.933933679999996</v>
      </c>
      <c r="W8" s="769">
        <f>'Measure Calculations'!$C$7</f>
        <v>5.699854439999999E-3</v>
      </c>
      <c r="X8" s="770">
        <v>0</v>
      </c>
      <c r="Y8" s="98"/>
      <c r="Z8" s="770">
        <v>0</v>
      </c>
      <c r="AA8" s="769">
        <v>0</v>
      </c>
      <c r="AB8" s="135">
        <v>0</v>
      </c>
      <c r="AC8"/>
    </row>
    <row r="9" spans="1:29" s="2" customFormat="1">
      <c r="A9" s="61"/>
      <c r="B9" s="41" t="str">
        <f t="shared" si="0"/>
        <v>Residential_Appliance Recycling_0_Refrigerator Recycle_2017</v>
      </c>
      <c r="C9" s="41" t="b">
        <f>ISNUMBER(MATCH(B9,Analysis!B:B,0))</f>
        <v>1</v>
      </c>
      <c r="D9" s="41">
        <f t="shared" si="1"/>
        <v>3</v>
      </c>
      <c r="E9" s="41" t="b">
        <f>COUNTIF($B$7:B9,B9)=1</f>
        <v>1</v>
      </c>
      <c r="F9" s="142" t="s">
        <v>2</v>
      </c>
      <c r="G9" s="26" t="s">
        <v>120</v>
      </c>
      <c r="H9" s="142">
        <v>0</v>
      </c>
      <c r="I9" s="29" t="s">
        <v>213</v>
      </c>
      <c r="J9" s="26">
        <v>2017</v>
      </c>
      <c r="K9" s="143">
        <f ca="1">INDEX(Analysis!J:J,MATCH($B9,Analysis!$B:$B,0))</f>
        <v>2.7465327401959394</v>
      </c>
      <c r="L9" s="174">
        <v>75</v>
      </c>
      <c r="M9" s="139">
        <v>8</v>
      </c>
      <c r="N9" s="140">
        <v>0</v>
      </c>
      <c r="O9" s="130">
        <v>75</v>
      </c>
      <c r="P9" s="130">
        <v>93</v>
      </c>
      <c r="Q9" s="208">
        <v>0</v>
      </c>
      <c r="R9" s="130">
        <v>0</v>
      </c>
      <c r="S9" s="162">
        <v>0</v>
      </c>
      <c r="T9" s="95">
        <v>1</v>
      </c>
      <c r="U9" s="95">
        <v>1</v>
      </c>
      <c r="V9" s="771">
        <v>1289</v>
      </c>
      <c r="W9" s="772">
        <v>0.14714611872146119</v>
      </c>
      <c r="X9" s="770">
        <v>0</v>
      </c>
      <c r="Y9" s="98"/>
      <c r="Z9" s="770">
        <v>0</v>
      </c>
      <c r="AA9" s="769">
        <v>0</v>
      </c>
      <c r="AB9" s="135">
        <v>0</v>
      </c>
      <c r="AC9"/>
    </row>
    <row r="10" spans="1:29" s="2" customFormat="1">
      <c r="A10" s="61"/>
      <c r="B10" s="41" t="str">
        <f t="shared" si="0"/>
        <v>Residential_Appliance Recycling_0_Freezer Recycle_2017</v>
      </c>
      <c r="C10" s="41" t="b">
        <f>ISNUMBER(MATCH(B10,Analysis!B:B,0))</f>
        <v>1</v>
      </c>
      <c r="D10" s="41">
        <f t="shared" si="1"/>
        <v>4</v>
      </c>
      <c r="E10" s="41" t="b">
        <f>COUNTIF($B$7:B10,B10)=1</f>
        <v>1</v>
      </c>
      <c r="F10" s="142" t="s">
        <v>2</v>
      </c>
      <c r="G10" s="26" t="s">
        <v>120</v>
      </c>
      <c r="H10" s="142">
        <v>0</v>
      </c>
      <c r="I10" s="29" t="s">
        <v>212</v>
      </c>
      <c r="J10" s="26">
        <v>2017</v>
      </c>
      <c r="K10" s="143">
        <f ca="1">INDEX(Analysis!J:J,MATCH($B10,Analysis!$B:$B,0))</f>
        <v>2.3544753125806932</v>
      </c>
      <c r="L10" s="174">
        <v>8</v>
      </c>
      <c r="M10" s="139">
        <v>8</v>
      </c>
      <c r="N10" s="140">
        <v>0</v>
      </c>
      <c r="O10" s="130">
        <v>75</v>
      </c>
      <c r="P10" s="130">
        <v>93</v>
      </c>
      <c r="Q10" s="130">
        <v>0</v>
      </c>
      <c r="R10" s="130">
        <v>0</v>
      </c>
      <c r="S10" s="162">
        <v>0</v>
      </c>
      <c r="T10" s="95">
        <v>1</v>
      </c>
      <c r="U10" s="95">
        <v>1</v>
      </c>
      <c r="V10" s="768">
        <v>1105</v>
      </c>
      <c r="W10" s="769">
        <v>0.12614155251141554</v>
      </c>
      <c r="X10" s="770">
        <v>0</v>
      </c>
      <c r="Y10" s="98"/>
      <c r="Z10" s="770">
        <v>0</v>
      </c>
      <c r="AA10" s="769">
        <v>0</v>
      </c>
      <c r="AB10" s="135">
        <v>0</v>
      </c>
      <c r="AC10"/>
    </row>
    <row r="11" spans="1:29" s="511" customFormat="1">
      <c r="A11" s="61"/>
      <c r="B11" s="41" t="str">
        <f t="shared" si="0"/>
        <v>Residential_High Efficiency HVAC_0_Heat Pump SEER ≥15, EER ≥12.5, HSPF ≥8.5_2017</v>
      </c>
      <c r="C11" s="41" t="b">
        <f>ISNUMBER(MATCH(B11,Analysis!B:B,0))</f>
        <v>1</v>
      </c>
      <c r="D11" s="41">
        <f t="shared" si="1"/>
        <v>5</v>
      </c>
      <c r="E11" s="41" t="b">
        <f>COUNTIF($B$7:B19,B11)=1</f>
        <v>1</v>
      </c>
      <c r="F11" s="142" t="s">
        <v>2</v>
      </c>
      <c r="G11" s="26" t="s">
        <v>250</v>
      </c>
      <c r="H11" s="142">
        <v>0</v>
      </c>
      <c r="I11" s="29" t="s">
        <v>518</v>
      </c>
      <c r="J11" s="26">
        <v>2017</v>
      </c>
      <c r="K11" s="143">
        <f ca="1">INDEX(Analysis!J:J,MATCH($B11,Analysis!$B:$B,0))</f>
        <v>0.69652252329075781</v>
      </c>
      <c r="L11" s="174">
        <v>20</v>
      </c>
      <c r="M11" s="139">
        <f>'Measure Calculations'!$B$73</f>
        <v>18</v>
      </c>
      <c r="N11" s="140">
        <v>0</v>
      </c>
      <c r="O11" s="130">
        <f>75*3</f>
        <v>225</v>
      </c>
      <c r="P11" s="130">
        <f>'Measure Calculations'!$B$71</f>
        <v>303</v>
      </c>
      <c r="Q11" s="130">
        <v>0</v>
      </c>
      <c r="R11" s="130">
        <v>0</v>
      </c>
      <c r="S11" s="162">
        <v>0</v>
      </c>
      <c r="T11" s="95">
        <v>1</v>
      </c>
      <c r="U11" s="95">
        <v>1</v>
      </c>
      <c r="V11" s="768">
        <f>'Measure Calculations'!$B$70</f>
        <v>478.80491904078809</v>
      </c>
      <c r="W11" s="769">
        <f>'Measure Calculations'!$B$69</f>
        <v>0.29321751817717606</v>
      </c>
      <c r="X11" s="770">
        <v>0</v>
      </c>
      <c r="Y11" s="98"/>
      <c r="Z11" s="770">
        <v>0</v>
      </c>
      <c r="AA11" s="769">
        <v>0</v>
      </c>
      <c r="AB11" s="135">
        <v>0</v>
      </c>
      <c r="AC11"/>
    </row>
    <row r="12" spans="1:29" s="2" customFormat="1">
      <c r="A12" s="495"/>
      <c r="B12" s="41" t="str">
        <f t="shared" si="0"/>
        <v>Residential_High Efficiency HVAC_0_Early Retirement Heat Pump SEER ≥15, EER ≥12.5, HSPF ≥8.5_2017</v>
      </c>
      <c r="C12" s="496" t="b">
        <f>ISNUMBER(MATCH(B12,Analysis!B:B,0))</f>
        <v>1</v>
      </c>
      <c r="D12" s="496">
        <f t="shared" si="1"/>
        <v>6</v>
      </c>
      <c r="E12" s="496" t="b">
        <f>COUNTIF($B$12:B12,B12)=1</f>
        <v>1</v>
      </c>
      <c r="F12" s="498" t="s">
        <v>2</v>
      </c>
      <c r="G12" s="498" t="s">
        <v>250</v>
      </c>
      <c r="H12" s="497">
        <v>0</v>
      </c>
      <c r="I12" s="499" t="s">
        <v>519</v>
      </c>
      <c r="J12" s="498">
        <v>2017</v>
      </c>
      <c r="K12" s="500" t="str">
        <f ca="1">INDEX(Analysis!J:J,MATCH($B12,Analysis!$B:$B,0))</f>
        <v>n/a</v>
      </c>
      <c r="L12" s="174">
        <v>0</v>
      </c>
      <c r="M12" s="501">
        <f>'Measure Calculations'!$D$73</f>
        <v>18</v>
      </c>
      <c r="N12" s="502">
        <f>'Measure Calculations'!$D$74</f>
        <v>6</v>
      </c>
      <c r="O12" s="503">
        <f>200*3</f>
        <v>600</v>
      </c>
      <c r="P12" s="503">
        <f>'Measure Calculations'!$D$71</f>
        <v>4446</v>
      </c>
      <c r="Q12" s="503">
        <v>0</v>
      </c>
      <c r="R12" s="503">
        <f>'Measure Calculations'!$D$72</f>
        <v>4554</v>
      </c>
      <c r="S12" s="504">
        <v>0</v>
      </c>
      <c r="T12" s="505">
        <v>1</v>
      </c>
      <c r="U12" s="505">
        <v>1</v>
      </c>
      <c r="V12" s="506">
        <f>'Measure Calculations'!$B$70</f>
        <v>478.80491904078809</v>
      </c>
      <c r="W12" s="507">
        <f>'Measure Calculations'!$B$69</f>
        <v>0.29321751817717606</v>
      </c>
      <c r="X12" s="508">
        <v>0</v>
      </c>
      <c r="Y12" s="509"/>
      <c r="Z12" s="508">
        <f>'Measure Calculations'!$D$70</f>
        <v>3288.776470588236</v>
      </c>
      <c r="AA12" s="507">
        <f>'Measure Calculations'!$D$69</f>
        <v>1.8826803069053712</v>
      </c>
      <c r="AB12" s="508">
        <v>0</v>
      </c>
      <c r="AC12" s="513"/>
    </row>
    <row r="13" spans="1:29" s="2" customFormat="1">
      <c r="A13" s="61"/>
      <c r="B13" s="41" t="str">
        <f t="shared" si="0"/>
        <v>Residential_High Efficiency HVAC_0_Heat Pump SEER ≥15, EER ≥12.5, HSPF ≥8.5 Replace Electric Furnace_2017</v>
      </c>
      <c r="C13" s="41" t="b">
        <f>ISNUMBER(MATCH(B13,Analysis!B:B,0))</f>
        <v>1</v>
      </c>
      <c r="D13" s="41">
        <f t="shared" si="1"/>
        <v>7</v>
      </c>
      <c r="E13" s="41" t="b">
        <f>COUNTIF($B$7:B19,B13)=1</f>
        <v>1</v>
      </c>
      <c r="F13" s="142" t="s">
        <v>2</v>
      </c>
      <c r="G13" s="26" t="s">
        <v>250</v>
      </c>
      <c r="H13" s="142">
        <v>0</v>
      </c>
      <c r="I13" s="29" t="s">
        <v>520</v>
      </c>
      <c r="J13" s="26">
        <v>2017</v>
      </c>
      <c r="K13" s="143">
        <f ca="1">INDEX(Analysis!J:J,MATCH($B13,Analysis!$B:$B,0))</f>
        <v>1.3915119924118184</v>
      </c>
      <c r="L13" s="174">
        <v>6</v>
      </c>
      <c r="M13" s="139">
        <f>'Measure Calculations'!$B$86</f>
        <v>18</v>
      </c>
      <c r="N13" s="140">
        <v>0</v>
      </c>
      <c r="O13" s="130">
        <f>1500</f>
        <v>1500</v>
      </c>
      <c r="P13" s="130">
        <f>'Measure Calculations'!$D$72</f>
        <v>4554</v>
      </c>
      <c r="Q13" s="130">
        <v>0</v>
      </c>
      <c r="R13" s="130">
        <v>0</v>
      </c>
      <c r="S13" s="162">
        <v>0</v>
      </c>
      <c r="T13" s="95">
        <v>1</v>
      </c>
      <c r="U13" s="95">
        <v>1</v>
      </c>
      <c r="V13" s="768">
        <f>'Measure Calculations'!$B$85</f>
        <v>16099.081800931512</v>
      </c>
      <c r="W13" s="769">
        <f>'Measure Calculations'!$B$84</f>
        <v>6.4097015697774706</v>
      </c>
      <c r="X13" s="770">
        <v>0</v>
      </c>
      <c r="Y13" s="98"/>
      <c r="Z13" s="770">
        <v>0</v>
      </c>
      <c r="AA13" s="769">
        <v>0</v>
      </c>
      <c r="AB13" s="135">
        <v>0</v>
      </c>
      <c r="AC13" s="207"/>
    </row>
    <row r="14" spans="1:29" s="2" customFormat="1">
      <c r="A14" s="61"/>
      <c r="B14" s="41" t="str">
        <f t="shared" si="0"/>
        <v>Residential_High Efficiency HVAC_0_CAC SEER ≥15, EER ≥12.5_2017</v>
      </c>
      <c r="C14" s="41" t="b">
        <f>ISNUMBER(MATCH(B14,Analysis!B:B,0))</f>
        <v>1</v>
      </c>
      <c r="D14" s="41">
        <f t="shared" si="1"/>
        <v>8</v>
      </c>
      <c r="E14" s="41" t="b">
        <f>COUNTIF($B$7:B19,B14)=1</f>
        <v>1</v>
      </c>
      <c r="F14" s="142" t="s">
        <v>2</v>
      </c>
      <c r="G14" s="26" t="s">
        <v>250</v>
      </c>
      <c r="H14" s="142">
        <v>0</v>
      </c>
      <c r="I14" s="29" t="s">
        <v>521</v>
      </c>
      <c r="J14" s="26">
        <v>2017</v>
      </c>
      <c r="K14" s="143">
        <f ca="1">INDEX(Analysis!J:J,MATCH($B14,Analysis!$B:$B,0))</f>
        <v>1.1645858739610284</v>
      </c>
      <c r="L14" s="174">
        <v>50</v>
      </c>
      <c r="M14" s="139">
        <f>'Measure Calculations'!$B$57</f>
        <v>18</v>
      </c>
      <c r="N14" s="140">
        <v>0</v>
      </c>
      <c r="O14" s="130">
        <f>60*3</f>
        <v>180</v>
      </c>
      <c r="P14" s="130">
        <f>'Measure Calculations'!$B$56</f>
        <v>108</v>
      </c>
      <c r="Q14" s="130">
        <v>0</v>
      </c>
      <c r="R14" s="130">
        <v>0</v>
      </c>
      <c r="S14" s="162">
        <v>0</v>
      </c>
      <c r="T14" s="95">
        <v>1</v>
      </c>
      <c r="U14" s="95">
        <v>1</v>
      </c>
      <c r="V14" s="768">
        <f>'Measure Calculations'!$B$55</f>
        <v>218.95384615384629</v>
      </c>
      <c r="W14" s="769">
        <f>'Measure Calculations'!$B$54</f>
        <v>0.26705454545454549</v>
      </c>
      <c r="X14" s="770">
        <v>0</v>
      </c>
      <c r="Y14" s="98"/>
      <c r="Z14" s="770">
        <v>0</v>
      </c>
      <c r="AA14" s="769">
        <v>0</v>
      </c>
      <c r="AB14" s="135">
        <v>0</v>
      </c>
      <c r="AC14" s="207"/>
    </row>
    <row r="15" spans="1:29" s="2" customFormat="1">
      <c r="A15" s="495"/>
      <c r="B15" s="41" t="str">
        <f t="shared" si="0"/>
        <v>Residential_High Efficiency HVAC_0_Ductless Mini-Split AC SEER ≥19, EER ≥12.8_2017</v>
      </c>
      <c r="C15" s="496" t="b">
        <f>ISNUMBER(MATCH(B15,Analysis!B:B,0))</f>
        <v>1</v>
      </c>
      <c r="D15" s="496">
        <f t="shared" si="1"/>
        <v>9</v>
      </c>
      <c r="E15" s="496" t="b">
        <f>COUNTIF($B$12:B15,B15)=1</f>
        <v>1</v>
      </c>
      <c r="F15" s="498" t="s">
        <v>2</v>
      </c>
      <c r="G15" s="498" t="s">
        <v>250</v>
      </c>
      <c r="H15" s="497">
        <v>0</v>
      </c>
      <c r="I15" s="499" t="s">
        <v>516</v>
      </c>
      <c r="J15" s="498">
        <v>2017</v>
      </c>
      <c r="K15" s="500" t="str">
        <f ca="1">INDEX(Analysis!J:J,MATCH($B15,Analysis!$B:$B,0))</f>
        <v>n/a</v>
      </c>
      <c r="L15" s="174">
        <v>0</v>
      </c>
      <c r="M15" s="501">
        <f>'Measure Calculations'!$C$102</f>
        <v>18</v>
      </c>
      <c r="N15" s="502">
        <v>0</v>
      </c>
      <c r="O15" s="503">
        <f>50*3</f>
        <v>150</v>
      </c>
      <c r="P15" s="503">
        <f>'Measure Calculations'!$C$101</f>
        <v>1678.5</v>
      </c>
      <c r="Q15" s="503">
        <v>0</v>
      </c>
      <c r="R15" s="503">
        <v>0</v>
      </c>
      <c r="S15" s="504">
        <v>0</v>
      </c>
      <c r="T15" s="505">
        <v>1</v>
      </c>
      <c r="U15" s="505">
        <v>1</v>
      </c>
      <c r="V15" s="506">
        <f>'Measure Calculations'!$C$100</f>
        <v>772.46052631578959</v>
      </c>
      <c r="W15" s="507">
        <f>'Measure Calculations'!$C$99</f>
        <v>0.83827110389610371</v>
      </c>
      <c r="X15" s="508">
        <v>0</v>
      </c>
      <c r="Y15" s="509"/>
      <c r="Z15" s="508">
        <v>0</v>
      </c>
      <c r="AA15" s="507">
        <v>0</v>
      </c>
      <c r="AB15" s="508">
        <v>0</v>
      </c>
      <c r="AC15" s="510"/>
    </row>
    <row r="16" spans="1:29" s="511" customFormat="1">
      <c r="A16" s="61"/>
      <c r="B16" s="41" t="str">
        <f t="shared" si="0"/>
        <v>Residential_High Efficiency HVAC_0_Ductless Mini-Split HP SEER ≥19, EER ≥12.8, HSPF ≥10_2017</v>
      </c>
      <c r="C16" s="41" t="b">
        <f>ISNUMBER(MATCH(B16,Analysis!B:B,0))</f>
        <v>1</v>
      </c>
      <c r="D16" s="41">
        <f t="shared" si="1"/>
        <v>10</v>
      </c>
      <c r="E16" s="41" t="b">
        <f>COUNTIF($B$7:B19,B16)=1</f>
        <v>1</v>
      </c>
      <c r="F16" s="142" t="s">
        <v>2</v>
      </c>
      <c r="G16" s="26" t="s">
        <v>250</v>
      </c>
      <c r="H16" s="142">
        <v>0</v>
      </c>
      <c r="I16" s="29" t="s">
        <v>517</v>
      </c>
      <c r="J16" s="26">
        <v>2017</v>
      </c>
      <c r="K16" s="143">
        <f ca="1">INDEX(Analysis!J:J,MATCH($B16,Analysis!$B:$B,0))</f>
        <v>0.76757916894136757</v>
      </c>
      <c r="L16" s="174">
        <v>25</v>
      </c>
      <c r="M16" s="139">
        <f>'Measure Calculations'!$B$102</f>
        <v>18</v>
      </c>
      <c r="N16" s="140">
        <v>0</v>
      </c>
      <c r="O16" s="130">
        <f>50*3</f>
        <v>150</v>
      </c>
      <c r="P16" s="130">
        <f>'Measure Calculations'!$B$101</f>
        <v>1678.5</v>
      </c>
      <c r="Q16" s="130">
        <v>0</v>
      </c>
      <c r="R16" s="130">
        <v>0</v>
      </c>
      <c r="S16" s="162">
        <v>0</v>
      </c>
      <c r="T16" s="95">
        <v>1</v>
      </c>
      <c r="U16" s="95">
        <v>1</v>
      </c>
      <c r="V16" s="768">
        <f>'Measure Calculations'!$B$100</f>
        <v>3607.5399380804947</v>
      </c>
      <c r="W16" s="769">
        <f>'Measure Calculations'!$B$99</f>
        <v>0.83827110389610371</v>
      </c>
      <c r="X16" s="770">
        <v>0</v>
      </c>
      <c r="Y16" s="98"/>
      <c r="Z16" s="770">
        <v>0</v>
      </c>
      <c r="AA16" s="769">
        <v>0</v>
      </c>
      <c r="AB16" s="135">
        <v>0</v>
      </c>
      <c r="AC16" s="207"/>
    </row>
    <row r="17" spans="1:29" s="511" customFormat="1">
      <c r="A17" s="61"/>
      <c r="B17" s="41" t="str">
        <f t="shared" si="0"/>
        <v>Residential_High Efficiency HVAC_0_Heat Pump Water Heater_2017</v>
      </c>
      <c r="C17" s="41" t="b">
        <f>ISNUMBER(MATCH(B17,Analysis!B:B,0))</f>
        <v>1</v>
      </c>
      <c r="D17" s="41">
        <f t="shared" si="1"/>
        <v>11</v>
      </c>
      <c r="E17" s="41" t="b">
        <f>COUNTIF($B$7:B19,B17)=1</f>
        <v>1</v>
      </c>
      <c r="F17" s="142" t="s">
        <v>2</v>
      </c>
      <c r="G17" s="26" t="s">
        <v>250</v>
      </c>
      <c r="H17" s="142">
        <v>0</v>
      </c>
      <c r="I17" s="29" t="s">
        <v>260</v>
      </c>
      <c r="J17" s="26">
        <v>2017</v>
      </c>
      <c r="K17" s="143">
        <f ca="1">INDEX(Analysis!J:J,MATCH($B17,Analysis!$B:$B,0))</f>
        <v>0.60035540258891729</v>
      </c>
      <c r="L17" s="174">
        <v>10</v>
      </c>
      <c r="M17" s="139">
        <f>'Measure Calculations'!$B$136</f>
        <v>13</v>
      </c>
      <c r="N17" s="140">
        <v>0</v>
      </c>
      <c r="O17" s="130">
        <f>5*40</f>
        <v>200</v>
      </c>
      <c r="P17" s="130">
        <f>'Measure Calculations'!$B$135</f>
        <v>784</v>
      </c>
      <c r="Q17" s="130">
        <v>0</v>
      </c>
      <c r="R17" s="130">
        <v>0</v>
      </c>
      <c r="S17" s="162">
        <v>0</v>
      </c>
      <c r="T17" s="95">
        <v>1</v>
      </c>
      <c r="U17" s="95">
        <v>1</v>
      </c>
      <c r="V17" s="768">
        <f>'Measure Calculations'!$B$134</f>
        <v>1783.22158201614</v>
      </c>
      <c r="W17" s="769">
        <f>'Measure Calculations'!$B$133</f>
        <v>8.4479506451613423E-2</v>
      </c>
      <c r="X17" s="770">
        <v>0</v>
      </c>
      <c r="Y17" s="98"/>
      <c r="Z17" s="770">
        <v>0</v>
      </c>
      <c r="AA17" s="769">
        <v>0</v>
      </c>
      <c r="AB17" s="135">
        <v>0</v>
      </c>
      <c r="AC17" s="207"/>
    </row>
    <row r="18" spans="1:29" s="2" customFormat="1">
      <c r="A18" s="495"/>
      <c r="B18" s="41" t="str">
        <f t="shared" si="0"/>
        <v>Residential_High Efficiency HVAC_0_Geothermal EER ≥17.1, COP ≥3.6_2017</v>
      </c>
      <c r="C18" s="496" t="b">
        <f>ISNUMBER(MATCH(B18,Analysis!B:B,0))</f>
        <v>1</v>
      </c>
      <c r="D18" s="496">
        <f t="shared" si="1"/>
        <v>12</v>
      </c>
      <c r="E18" s="496" t="b">
        <f>COUNTIF($B$12:B18,B18)=1</f>
        <v>1</v>
      </c>
      <c r="F18" s="498" t="s">
        <v>2</v>
      </c>
      <c r="G18" s="498" t="s">
        <v>250</v>
      </c>
      <c r="H18" s="497">
        <v>0</v>
      </c>
      <c r="I18" s="499" t="s">
        <v>610</v>
      </c>
      <c r="J18" s="498">
        <v>2017</v>
      </c>
      <c r="K18" s="500" t="str">
        <f ca="1">INDEX(Analysis!J:J,MATCH($B18,Analysis!$B:$B,0))</f>
        <v>n/a</v>
      </c>
      <c r="L18" s="174">
        <v>0</v>
      </c>
      <c r="M18" s="501">
        <f>'Measure Calculations'!$B$115</f>
        <v>25</v>
      </c>
      <c r="N18" s="502">
        <v>0</v>
      </c>
      <c r="O18" s="503">
        <f>200*3</f>
        <v>600</v>
      </c>
      <c r="P18" s="503">
        <f>'Measure Calculations'!$B$113</f>
        <v>7728</v>
      </c>
      <c r="Q18" s="503">
        <v>0</v>
      </c>
      <c r="R18" s="503">
        <v>0</v>
      </c>
      <c r="S18" s="504">
        <v>0</v>
      </c>
      <c r="T18" s="505">
        <v>1</v>
      </c>
      <c r="U18" s="505">
        <v>1</v>
      </c>
      <c r="V18" s="506">
        <f>'Measure Calculations'!$B$112</f>
        <v>3953.4858985739597</v>
      </c>
      <c r="W18" s="507">
        <f>'Measure Calculations'!$B$111</f>
        <v>0.85102586975914363</v>
      </c>
      <c r="X18" s="508">
        <v>0</v>
      </c>
      <c r="Y18" s="509"/>
      <c r="Z18" s="508">
        <v>0</v>
      </c>
      <c r="AA18" s="507">
        <v>0</v>
      </c>
      <c r="AB18" s="508">
        <v>0</v>
      </c>
      <c r="AC18" s="510"/>
    </row>
    <row r="19" spans="1:29" s="2" customFormat="1">
      <c r="A19" s="495"/>
      <c r="B19" s="41" t="str">
        <f t="shared" si="0"/>
        <v>Residential_High Efficiency HVAC_0_Early Retirement Geothermal EER ≥17.1, COP ≥3.6_2017</v>
      </c>
      <c r="C19" s="496" t="b">
        <f>ISNUMBER(MATCH(B19,Analysis!B:B,0))</f>
        <v>1</v>
      </c>
      <c r="D19" s="496">
        <f t="shared" si="1"/>
        <v>13</v>
      </c>
      <c r="E19" s="496" t="b">
        <f>COUNTIF($B$12:B19,B19)=1</f>
        <v>1</v>
      </c>
      <c r="F19" s="498" t="s">
        <v>2</v>
      </c>
      <c r="G19" s="498" t="s">
        <v>250</v>
      </c>
      <c r="H19" s="497">
        <v>0</v>
      </c>
      <c r="I19" s="499" t="s">
        <v>609</v>
      </c>
      <c r="J19" s="498">
        <v>2017</v>
      </c>
      <c r="K19" s="500" t="str">
        <f ca="1">INDEX(Analysis!J:J,MATCH($B19,Analysis!$B:$B,0))</f>
        <v>n/a</v>
      </c>
      <c r="L19" s="174">
        <v>0</v>
      </c>
      <c r="M19" s="501">
        <f>'Measure Calculations'!$B$115</f>
        <v>25</v>
      </c>
      <c r="N19" s="502">
        <f>'Measure Calculations'!$C$115</f>
        <v>8</v>
      </c>
      <c r="O19" s="503">
        <f>300*3</f>
        <v>900</v>
      </c>
      <c r="P19" s="503">
        <f>'Measure Calculations'!$C$113</f>
        <v>11871</v>
      </c>
      <c r="Q19" s="503">
        <v>0</v>
      </c>
      <c r="R19" s="503">
        <f>'Measure Calculations'!$C$114</f>
        <v>4554</v>
      </c>
      <c r="S19" s="504">
        <v>0</v>
      </c>
      <c r="T19" s="505">
        <v>1</v>
      </c>
      <c r="U19" s="505">
        <v>1</v>
      </c>
      <c r="V19" s="506">
        <f>'Measure Calculations'!$B$112</f>
        <v>3953.4858985739597</v>
      </c>
      <c r="W19" s="507">
        <f>'Measure Calculations'!$B$111</f>
        <v>0.85102586975914363</v>
      </c>
      <c r="X19" s="508">
        <v>0</v>
      </c>
      <c r="Y19" s="509"/>
      <c r="Z19" s="508">
        <f>'Measure Calculations'!$C$112</f>
        <v>10190.917512040911</v>
      </c>
      <c r="AA19" s="507">
        <f>'Measure Calculations'!$C$111</f>
        <v>1.8947368421052631</v>
      </c>
      <c r="AB19" s="508">
        <v>0</v>
      </c>
      <c r="AC19" s="510"/>
    </row>
    <row r="20" spans="1:29" s="2" customFormat="1">
      <c r="A20" s="61"/>
      <c r="B20" s="41" t="str">
        <f t="shared" si="0"/>
        <v>Residential_Whole House Efficiency_0_Air Sealing (Electric Heat)_2017</v>
      </c>
      <c r="C20" s="41" t="b">
        <f>ISNUMBER(MATCH(B20,Analysis!B:B,0))</f>
        <v>1</v>
      </c>
      <c r="D20" s="41">
        <f t="shared" si="1"/>
        <v>14</v>
      </c>
      <c r="E20" s="41" t="b">
        <f>COUNTIF($B$7:B20,B20)=1</f>
        <v>1</v>
      </c>
      <c r="F20" s="142" t="s">
        <v>2</v>
      </c>
      <c r="G20" s="142" t="s">
        <v>219</v>
      </c>
      <c r="H20" s="142">
        <v>0</v>
      </c>
      <c r="I20" s="29" t="s">
        <v>263</v>
      </c>
      <c r="J20" s="26">
        <v>2017</v>
      </c>
      <c r="K20" s="143" t="str">
        <f ca="1">INDEX(Analysis!J:J,MATCH($B20,Analysis!$B:$B,0))</f>
        <v>n/a</v>
      </c>
      <c r="L20" s="174">
        <f>'Program Inputs'!$I$8*0.25</f>
        <v>7.5</v>
      </c>
      <c r="M20" s="139">
        <f>'Measure Calculations'!$B$27</f>
        <v>15</v>
      </c>
      <c r="N20" s="140">
        <v>0</v>
      </c>
      <c r="O20" s="130">
        <v>0</v>
      </c>
      <c r="P20" s="130">
        <v>0</v>
      </c>
      <c r="Q20" s="130">
        <v>0</v>
      </c>
      <c r="R20" s="130">
        <v>0</v>
      </c>
      <c r="S20" s="162">
        <v>0</v>
      </c>
      <c r="T20" s="95">
        <v>1</v>
      </c>
      <c r="U20" s="95">
        <v>1</v>
      </c>
      <c r="V20" s="768">
        <f>'Measure Calculations'!$B$25</f>
        <v>1337.7809950818801</v>
      </c>
      <c r="W20" s="769">
        <f>'Measure Calculations'!$B$24</f>
        <v>0.13194175032702399</v>
      </c>
      <c r="X20" s="770">
        <v>0</v>
      </c>
      <c r="Y20" s="98"/>
      <c r="Z20" s="770">
        <v>0</v>
      </c>
      <c r="AA20" s="769">
        <v>0</v>
      </c>
      <c r="AB20" s="135">
        <v>0</v>
      </c>
      <c r="AC20" s="207"/>
    </row>
    <row r="21" spans="1:29" s="2" customFormat="1">
      <c r="A21" s="61"/>
      <c r="B21" s="41" t="str">
        <f t="shared" si="0"/>
        <v>Residential_Whole House Efficiency_0_Air Sealing (Gas Heat)_2017</v>
      </c>
      <c r="C21" s="41" t="b">
        <f>ISNUMBER(MATCH(B21,Analysis!B:B,0))</f>
        <v>1</v>
      </c>
      <c r="D21" s="41">
        <f t="shared" si="1"/>
        <v>15</v>
      </c>
      <c r="E21" s="41" t="b">
        <f>COUNTIF($B$7:B21,B21)=1</f>
        <v>1</v>
      </c>
      <c r="F21" s="142" t="s">
        <v>2</v>
      </c>
      <c r="G21" s="142" t="s">
        <v>219</v>
      </c>
      <c r="H21" s="142">
        <v>0</v>
      </c>
      <c r="I21" s="29" t="s">
        <v>264</v>
      </c>
      <c r="J21" s="26">
        <v>2017</v>
      </c>
      <c r="K21" s="143" t="str">
        <f ca="1">INDEX(Analysis!J:J,MATCH($B21,Analysis!$B:$B,0))</f>
        <v>n/a</v>
      </c>
      <c r="L21" s="174">
        <f>'Program Inputs'!$I$8*0.75</f>
        <v>22.5</v>
      </c>
      <c r="M21" s="139">
        <f>'Measure Calculations'!$C$27</f>
        <v>15</v>
      </c>
      <c r="N21" s="140">
        <v>0</v>
      </c>
      <c r="O21" s="130">
        <v>0</v>
      </c>
      <c r="P21" s="130">
        <v>0</v>
      </c>
      <c r="Q21" s="130">
        <v>0</v>
      </c>
      <c r="R21" s="130">
        <v>0</v>
      </c>
      <c r="S21" s="162">
        <v>0</v>
      </c>
      <c r="T21" s="95">
        <v>1</v>
      </c>
      <c r="U21" s="95">
        <v>1</v>
      </c>
      <c r="V21" s="768">
        <f>'Measure Calculations'!$C$25</f>
        <v>108.66869158878504</v>
      </c>
      <c r="W21" s="769">
        <f>'Measure Calculations'!$C$24</f>
        <v>0</v>
      </c>
      <c r="X21" s="770">
        <v>0</v>
      </c>
      <c r="Y21" s="98"/>
      <c r="Z21" s="770">
        <v>0</v>
      </c>
      <c r="AA21" s="769">
        <v>0</v>
      </c>
      <c r="AB21" s="135">
        <v>0</v>
      </c>
      <c r="AC21" s="207"/>
    </row>
    <row r="22" spans="1:29" s="2" customFormat="1">
      <c r="A22" s="61"/>
      <c r="B22" s="41" t="str">
        <f t="shared" si="0"/>
        <v>Residential_Whole House Efficiency_0_Hot Water Pipe Insulation_2017</v>
      </c>
      <c r="C22" s="41" t="b">
        <f>ISNUMBER(MATCH(B22,Analysis!B:B,0))</f>
        <v>1</v>
      </c>
      <c r="D22" s="41">
        <f t="shared" si="1"/>
        <v>16</v>
      </c>
      <c r="E22" s="41" t="b">
        <f>COUNTIF($B$7:B22,B22)=1</f>
        <v>1</v>
      </c>
      <c r="F22" s="142" t="s">
        <v>2</v>
      </c>
      <c r="G22" s="142" t="s">
        <v>219</v>
      </c>
      <c r="H22" s="142">
        <v>0</v>
      </c>
      <c r="I22" s="29" t="s">
        <v>265</v>
      </c>
      <c r="J22" s="26">
        <v>2017</v>
      </c>
      <c r="K22" s="143" t="str">
        <f ca="1">INDEX(Analysis!J:J,MATCH($B22,Analysis!$B:$B,0))</f>
        <v>n/a</v>
      </c>
      <c r="L22" s="174">
        <f>'Program Inputs'!$I$8*0.85</f>
        <v>25.5</v>
      </c>
      <c r="M22" s="139">
        <f>'Measure Calculations'!$B$167</f>
        <v>15</v>
      </c>
      <c r="N22" s="140">
        <v>0</v>
      </c>
      <c r="O22" s="130">
        <v>0</v>
      </c>
      <c r="P22" s="130">
        <v>0</v>
      </c>
      <c r="Q22" s="130">
        <v>0</v>
      </c>
      <c r="R22" s="130">
        <v>0</v>
      </c>
      <c r="S22" s="162">
        <v>0</v>
      </c>
      <c r="T22" s="95">
        <v>1</v>
      </c>
      <c r="U22" s="95">
        <v>1</v>
      </c>
      <c r="V22" s="768">
        <f>'Measure Calculations'!$B$165</f>
        <v>123.19953120421916</v>
      </c>
      <c r="W22" s="769">
        <f>'Measure Calculations'!$B$164</f>
        <v>1.4063873425139173E-2</v>
      </c>
      <c r="X22" s="770">
        <v>0</v>
      </c>
      <c r="Y22" s="98"/>
      <c r="Z22" s="770">
        <v>0</v>
      </c>
      <c r="AA22" s="769">
        <v>0</v>
      </c>
      <c r="AB22" s="135">
        <v>0</v>
      </c>
      <c r="AC22" s="207"/>
    </row>
    <row r="23" spans="1:29" s="2" customFormat="1">
      <c r="A23" s="61"/>
      <c r="B23" s="41" t="str">
        <f t="shared" si="0"/>
        <v>Residential_Whole House Efficiency_0_Water Heater Tank Wrap_2017</v>
      </c>
      <c r="C23" s="41" t="b">
        <f>ISNUMBER(MATCH(B23,Analysis!B:B,0))</f>
        <v>1</v>
      </c>
      <c r="D23" s="41">
        <f t="shared" si="1"/>
        <v>17</v>
      </c>
      <c r="E23" s="41" t="b">
        <f>COUNTIF($B$7:B23,B23)=1</f>
        <v>1</v>
      </c>
      <c r="F23" s="142" t="s">
        <v>2</v>
      </c>
      <c r="G23" s="142" t="s">
        <v>219</v>
      </c>
      <c r="H23" s="142">
        <v>0</v>
      </c>
      <c r="I23" s="29" t="s">
        <v>266</v>
      </c>
      <c r="J23" s="26">
        <v>2017</v>
      </c>
      <c r="K23" s="143" t="str">
        <f ca="1">INDEX(Analysis!J:J,MATCH($B23,Analysis!$B:$B,0))</f>
        <v>n/a</v>
      </c>
      <c r="L23" s="174">
        <f>'Program Inputs'!$I$8*1</f>
        <v>30</v>
      </c>
      <c r="M23" s="139">
        <f>'Measure Calculations'!$B$154</f>
        <v>5</v>
      </c>
      <c r="N23" s="140">
        <v>0</v>
      </c>
      <c r="O23" s="130">
        <v>0</v>
      </c>
      <c r="P23" s="130">
        <v>0</v>
      </c>
      <c r="Q23" s="130">
        <v>0</v>
      </c>
      <c r="R23" s="130">
        <v>0</v>
      </c>
      <c r="S23" s="162">
        <v>0</v>
      </c>
      <c r="T23" s="95">
        <v>1</v>
      </c>
      <c r="U23" s="95">
        <v>1</v>
      </c>
      <c r="V23" s="768">
        <f>'Measure Calculations'!$B$152</f>
        <v>143</v>
      </c>
      <c r="W23" s="769">
        <f>'Measure Calculations'!$B$151</f>
        <v>1.6400000000000001E-2</v>
      </c>
      <c r="X23" s="770">
        <v>0</v>
      </c>
      <c r="Y23" s="98"/>
      <c r="Z23" s="770">
        <v>0</v>
      </c>
      <c r="AA23" s="769">
        <v>0</v>
      </c>
      <c r="AB23" s="135">
        <v>0</v>
      </c>
      <c r="AC23" s="207"/>
    </row>
    <row r="24" spans="1:29" s="2" customFormat="1">
      <c r="A24" s="61"/>
      <c r="B24" s="41" t="str">
        <f t="shared" si="0"/>
        <v>Residential_Whole House Efficiency_0_LED_2017</v>
      </c>
      <c r="C24" s="41" t="b">
        <f>ISNUMBER(MATCH(B24,Analysis!B:B,0))</f>
        <v>1</v>
      </c>
      <c r="D24" s="41">
        <f t="shared" si="1"/>
        <v>18</v>
      </c>
      <c r="E24" s="41" t="b">
        <f>COUNTIF($B$7:B24,B24)=1</f>
        <v>1</v>
      </c>
      <c r="F24" s="142" t="s">
        <v>2</v>
      </c>
      <c r="G24" s="142" t="s">
        <v>219</v>
      </c>
      <c r="H24" s="142">
        <v>0</v>
      </c>
      <c r="I24" s="29" t="s">
        <v>216</v>
      </c>
      <c r="J24" s="26">
        <v>2017</v>
      </c>
      <c r="K24" s="143" t="str">
        <f ca="1">INDEX(Analysis!J:J,MATCH($B24,Analysis!$B:$B,0))</f>
        <v>n/a</v>
      </c>
      <c r="L24" s="174">
        <f>'Program Inputs'!$I$8*5</f>
        <v>150</v>
      </c>
      <c r="M24" s="139">
        <f>'Measure Calculations'!$B$10</f>
        <v>10</v>
      </c>
      <c r="N24" s="247">
        <v>0</v>
      </c>
      <c r="O24" s="130">
        <v>0</v>
      </c>
      <c r="P24" s="130">
        <v>0</v>
      </c>
      <c r="Q24" s="130">
        <v>0</v>
      </c>
      <c r="R24" s="130">
        <v>0</v>
      </c>
      <c r="S24" s="162">
        <v>0</v>
      </c>
      <c r="T24" s="95">
        <v>1</v>
      </c>
      <c r="U24" s="95">
        <v>1</v>
      </c>
      <c r="V24" s="768">
        <f>'Measure Calculations'!$B$8</f>
        <v>32.466966839999998</v>
      </c>
      <c r="W24" s="769">
        <f>'Measure Calculations'!$B$7</f>
        <v>2.8499272199999995E-3</v>
      </c>
      <c r="X24" s="770">
        <v>0</v>
      </c>
      <c r="Y24" s="98"/>
      <c r="Z24" s="770">
        <v>0</v>
      </c>
      <c r="AA24" s="769">
        <v>0</v>
      </c>
      <c r="AB24" s="135">
        <v>0</v>
      </c>
      <c r="AC24" s="207"/>
    </row>
    <row r="25" spans="1:29" s="2" customFormat="1">
      <c r="A25" s="61"/>
      <c r="B25" s="41" t="str">
        <f t="shared" si="0"/>
        <v>Residential_Whole House Efficiency_0_Faucet Aerator_2017</v>
      </c>
      <c r="C25" s="41" t="b">
        <f>ISNUMBER(MATCH(B25,Analysis!B:B,0))</f>
        <v>1</v>
      </c>
      <c r="D25" s="41">
        <f t="shared" si="1"/>
        <v>19</v>
      </c>
      <c r="E25" s="41" t="b">
        <f>COUNTIF($B$7:B25,B25)=1</f>
        <v>1</v>
      </c>
      <c r="F25" s="142" t="s">
        <v>2</v>
      </c>
      <c r="G25" s="142" t="s">
        <v>219</v>
      </c>
      <c r="H25" s="142">
        <v>0</v>
      </c>
      <c r="I25" s="29" t="s">
        <v>525</v>
      </c>
      <c r="J25" s="26">
        <v>2017</v>
      </c>
      <c r="K25" s="143" t="str">
        <f ca="1">INDEX(Analysis!J:J,MATCH($B25,Analysis!$B:$B,0))</f>
        <v>n/a</v>
      </c>
      <c r="L25" s="174">
        <f>'Program Inputs'!$I$8*2</f>
        <v>60</v>
      </c>
      <c r="M25" s="139">
        <f>'Measure Calculations'!$B$45</f>
        <v>9</v>
      </c>
      <c r="N25" s="140">
        <v>0</v>
      </c>
      <c r="O25" s="130">
        <v>0</v>
      </c>
      <c r="P25" s="130">
        <v>0</v>
      </c>
      <c r="Q25" s="130">
        <v>0</v>
      </c>
      <c r="R25" s="130">
        <v>0</v>
      </c>
      <c r="S25" s="162">
        <v>0</v>
      </c>
      <c r="T25" s="95">
        <v>1</v>
      </c>
      <c r="U25" s="95">
        <v>1</v>
      </c>
      <c r="V25" s="768">
        <f>'Measure Calculations'!$B$43</f>
        <v>68.5987310821276</v>
      </c>
      <c r="W25" s="769">
        <f>'Measure Calculations'!$B$42</f>
        <v>2.9022540073207832E-2</v>
      </c>
      <c r="X25" s="770">
        <v>0</v>
      </c>
      <c r="Y25" s="98"/>
      <c r="Z25" s="770">
        <v>0</v>
      </c>
      <c r="AA25" s="769">
        <v>0</v>
      </c>
      <c r="AB25" s="135">
        <v>0</v>
      </c>
      <c r="AC25" s="207"/>
    </row>
    <row r="26" spans="1:29" s="2" customFormat="1">
      <c r="A26" s="61"/>
      <c r="B26" s="41" t="str">
        <f t="shared" si="0"/>
        <v>Residential_Whole House Efficiency_0_Low Flow Showerhead_2017</v>
      </c>
      <c r="C26" s="41" t="b">
        <f>ISNUMBER(MATCH(B26,Analysis!B:B,0))</f>
        <v>1</v>
      </c>
      <c r="D26" s="41">
        <f t="shared" si="1"/>
        <v>20</v>
      </c>
      <c r="E26" s="41" t="b">
        <f>COUNTIF($B$7:B26,B26)=1</f>
        <v>1</v>
      </c>
      <c r="F26" s="142" t="s">
        <v>2</v>
      </c>
      <c r="G26" s="142" t="s">
        <v>219</v>
      </c>
      <c r="H26" s="142">
        <v>0</v>
      </c>
      <c r="I26" s="29" t="s">
        <v>267</v>
      </c>
      <c r="J26" s="26">
        <v>2017</v>
      </c>
      <c r="K26" s="143" t="str">
        <f ca="1">INDEX(Analysis!J:J,MATCH($B26,Analysis!$B:$B,0))</f>
        <v>n/a</v>
      </c>
      <c r="L26" s="174">
        <f>'Program Inputs'!$I$8*2</f>
        <v>60</v>
      </c>
      <c r="M26" s="139">
        <f>'Measure Calculations'!$C$45</f>
        <v>10</v>
      </c>
      <c r="N26" s="140">
        <v>0</v>
      </c>
      <c r="O26" s="130">
        <v>0</v>
      </c>
      <c r="P26" s="130">
        <v>0</v>
      </c>
      <c r="Q26" s="130">
        <v>0</v>
      </c>
      <c r="R26" s="130">
        <v>0</v>
      </c>
      <c r="S26" s="162">
        <v>0</v>
      </c>
      <c r="T26" s="95">
        <v>1</v>
      </c>
      <c r="U26" s="95">
        <v>1</v>
      </c>
      <c r="V26" s="768">
        <f>'Measure Calculations'!$C$43</f>
        <v>97.904469348143664</v>
      </c>
      <c r="W26" s="769">
        <f>'Measure Calculations'!$C$42</f>
        <v>9.0123981717827612E-3</v>
      </c>
      <c r="X26" s="770">
        <v>0</v>
      </c>
      <c r="Y26" s="98"/>
      <c r="Z26" s="770">
        <v>0</v>
      </c>
      <c r="AA26" s="769">
        <v>0</v>
      </c>
      <c r="AB26" s="135">
        <v>0</v>
      </c>
      <c r="AC26" s="207"/>
    </row>
    <row r="27" spans="1:29" s="2" customFormat="1">
      <c r="A27" s="61"/>
      <c r="B27" s="41" t="str">
        <f t="shared" si="0"/>
        <v>Residential_Residential Audit_0_Residential Audit_2017</v>
      </c>
      <c r="C27" s="41" t="b">
        <f>ISNUMBER(MATCH(B27,Analysis!B:B,0))</f>
        <v>1</v>
      </c>
      <c r="D27" s="41">
        <f t="shared" si="1"/>
        <v>21</v>
      </c>
      <c r="E27" s="41" t="b">
        <f>COUNTIF($B$7:B27,B27)=1</f>
        <v>1</v>
      </c>
      <c r="F27" s="142" t="s">
        <v>2</v>
      </c>
      <c r="G27" s="142" t="s">
        <v>251</v>
      </c>
      <c r="H27" s="142">
        <v>0</v>
      </c>
      <c r="I27" s="29" t="s">
        <v>251</v>
      </c>
      <c r="J27" s="26">
        <v>2017</v>
      </c>
      <c r="K27" s="143" t="str">
        <f ca="1">INDEX(Analysis!J:J,MATCH($B27,Analysis!$B:$B,0))</f>
        <v>n/a</v>
      </c>
      <c r="L27" s="174">
        <f>'Program Inputs'!$I$9</f>
        <v>650</v>
      </c>
      <c r="M27" s="139">
        <v>1</v>
      </c>
      <c r="N27" s="140">
        <v>0</v>
      </c>
      <c r="O27" s="130">
        <v>0</v>
      </c>
      <c r="P27" s="130">
        <v>0</v>
      </c>
      <c r="Q27" s="130">
        <v>0</v>
      </c>
      <c r="R27" s="130">
        <v>0</v>
      </c>
      <c r="S27" s="162">
        <v>0</v>
      </c>
      <c r="T27" s="95">
        <v>1</v>
      </c>
      <c r="U27" s="95">
        <v>1</v>
      </c>
      <c r="V27" s="768">
        <v>0</v>
      </c>
      <c r="W27" s="769">
        <v>0</v>
      </c>
      <c r="X27" s="770">
        <v>0</v>
      </c>
      <c r="Y27" s="98"/>
      <c r="Z27" s="770">
        <v>0</v>
      </c>
      <c r="AA27" s="769">
        <v>0</v>
      </c>
      <c r="AB27" s="135">
        <v>0</v>
      </c>
      <c r="AC27" s="207"/>
    </row>
    <row r="28" spans="1:29" s="2" customFormat="1">
      <c r="A28" s="61"/>
      <c r="B28" s="41" t="str">
        <f t="shared" si="0"/>
        <v>Residential_Residential Audit_0_LED_2017</v>
      </c>
      <c r="C28" s="41" t="b">
        <f>ISNUMBER(MATCH(B28,Analysis!B:B,0))</f>
        <v>1</v>
      </c>
      <c r="D28" s="41">
        <f t="shared" si="1"/>
        <v>22</v>
      </c>
      <c r="E28" s="41" t="b">
        <f>COUNTIF($B$7:B28,B28)=1</f>
        <v>1</v>
      </c>
      <c r="F28" s="142" t="s">
        <v>2</v>
      </c>
      <c r="G28" s="142" t="s">
        <v>251</v>
      </c>
      <c r="H28" s="142">
        <v>0</v>
      </c>
      <c r="I28" s="29" t="s">
        <v>216</v>
      </c>
      <c r="J28" s="26">
        <v>2017</v>
      </c>
      <c r="K28" s="143" t="str">
        <f ca="1">INDEX(Analysis!J:J,MATCH($B28,Analysis!$B:$B,0))</f>
        <v>n/a</v>
      </c>
      <c r="L28" s="174">
        <f>'Program Inputs'!$I$9/2*4</f>
        <v>1300</v>
      </c>
      <c r="M28" s="139">
        <f>'Measure Calculations'!$B$10</f>
        <v>10</v>
      </c>
      <c r="N28" s="247">
        <v>0</v>
      </c>
      <c r="O28" s="130">
        <v>0</v>
      </c>
      <c r="P28" s="130">
        <v>0</v>
      </c>
      <c r="Q28" s="130">
        <v>0</v>
      </c>
      <c r="R28" s="130">
        <v>0</v>
      </c>
      <c r="S28" s="162">
        <v>0</v>
      </c>
      <c r="T28" s="95">
        <v>1</v>
      </c>
      <c r="U28" s="95">
        <v>1</v>
      </c>
      <c r="V28" s="768">
        <f>'Measure Calculations'!$B$8</f>
        <v>32.466966839999998</v>
      </c>
      <c r="W28" s="769">
        <f>'Measure Calculations'!$B$7</f>
        <v>2.8499272199999995E-3</v>
      </c>
      <c r="X28" s="770">
        <v>0</v>
      </c>
      <c r="Y28" s="98"/>
      <c r="Z28" s="770">
        <v>0</v>
      </c>
      <c r="AA28" s="769">
        <v>0</v>
      </c>
      <c r="AB28" s="135">
        <v>0</v>
      </c>
      <c r="AC28" s="207"/>
    </row>
    <row r="29" spans="1:29" s="2" customFormat="1">
      <c r="A29" s="61"/>
      <c r="B29" s="41" t="str">
        <f t="shared" si="0"/>
        <v>Residential_Residential Audit_0_Faucet Aerator_2017</v>
      </c>
      <c r="C29" s="41" t="b">
        <f>ISNUMBER(MATCH(B29,Analysis!B:B,0))</f>
        <v>1</v>
      </c>
      <c r="D29" s="41">
        <f t="shared" si="1"/>
        <v>23</v>
      </c>
      <c r="E29" s="41" t="b">
        <f>COUNTIF($B$7:B29,B29)=1</f>
        <v>1</v>
      </c>
      <c r="F29" s="142" t="s">
        <v>2</v>
      </c>
      <c r="G29" s="142" t="s">
        <v>251</v>
      </c>
      <c r="H29" s="142">
        <v>0</v>
      </c>
      <c r="I29" s="29" t="s">
        <v>525</v>
      </c>
      <c r="J29" s="26">
        <v>2017</v>
      </c>
      <c r="K29" s="143" t="str">
        <f ca="1">INDEX(Analysis!J:J,MATCH($B29,Analysis!$B:$B,0))</f>
        <v>n/a</v>
      </c>
      <c r="L29" s="174">
        <f>'Program Inputs'!$I$9/2</f>
        <v>325</v>
      </c>
      <c r="M29" s="139">
        <f>'Measure Calculations'!$B$45</f>
        <v>9</v>
      </c>
      <c r="N29" s="140">
        <v>0</v>
      </c>
      <c r="O29" s="130">
        <v>0</v>
      </c>
      <c r="P29" s="130">
        <v>0</v>
      </c>
      <c r="Q29" s="130">
        <v>0</v>
      </c>
      <c r="R29" s="130">
        <v>0</v>
      </c>
      <c r="S29" s="162">
        <v>0</v>
      </c>
      <c r="T29" s="95">
        <v>1</v>
      </c>
      <c r="U29" s="95">
        <v>1</v>
      </c>
      <c r="V29" s="768">
        <f>'Measure Calculations'!$B$43</f>
        <v>68.5987310821276</v>
      </c>
      <c r="W29" s="769">
        <f>'Measure Calculations'!$B$42</f>
        <v>2.9022540073207832E-2</v>
      </c>
      <c r="X29" s="770">
        <v>0</v>
      </c>
      <c r="Y29" s="98"/>
      <c r="Z29" s="770">
        <v>0</v>
      </c>
      <c r="AA29" s="769">
        <v>0</v>
      </c>
      <c r="AB29" s="135">
        <v>0</v>
      </c>
      <c r="AC29" s="207"/>
    </row>
    <row r="30" spans="1:29" s="2" customFormat="1">
      <c r="A30" s="61"/>
      <c r="B30" s="41" t="str">
        <f t="shared" si="0"/>
        <v>Residential_Residential Audit_0_Low Flow Showerhead_2017</v>
      </c>
      <c r="C30" s="41" t="b">
        <f>ISNUMBER(MATCH(B30,Analysis!B:B,0))</f>
        <v>1</v>
      </c>
      <c r="D30" s="41">
        <f t="shared" si="1"/>
        <v>24</v>
      </c>
      <c r="E30" s="41" t="b">
        <f>COUNTIF($B$7:B30,B30)=1</f>
        <v>1</v>
      </c>
      <c r="F30" s="142" t="s">
        <v>2</v>
      </c>
      <c r="G30" s="142" t="s">
        <v>251</v>
      </c>
      <c r="H30" s="142">
        <v>0</v>
      </c>
      <c r="I30" s="29" t="s">
        <v>267</v>
      </c>
      <c r="J30" s="26">
        <v>2017</v>
      </c>
      <c r="K30" s="143" t="str">
        <f ca="1">INDEX(Analysis!J:J,MATCH($B30,Analysis!$B:$B,0))</f>
        <v>n/a</v>
      </c>
      <c r="L30" s="174">
        <f>'Program Inputs'!$I$9/2</f>
        <v>325</v>
      </c>
      <c r="M30" s="139">
        <f>'Measure Calculations'!$C$45</f>
        <v>10</v>
      </c>
      <c r="N30" s="140">
        <v>0</v>
      </c>
      <c r="O30" s="130">
        <v>0</v>
      </c>
      <c r="P30" s="130">
        <v>0</v>
      </c>
      <c r="Q30" s="130">
        <v>0</v>
      </c>
      <c r="R30" s="130">
        <v>0</v>
      </c>
      <c r="S30" s="162">
        <v>0</v>
      </c>
      <c r="T30" s="95">
        <v>1</v>
      </c>
      <c r="U30" s="95">
        <v>1</v>
      </c>
      <c r="V30" s="768">
        <f>'Measure Calculations'!$C$43</f>
        <v>97.904469348143664</v>
      </c>
      <c r="W30" s="769">
        <f>'Measure Calculations'!$C$42</f>
        <v>9.0123981717827612E-3</v>
      </c>
      <c r="X30" s="770">
        <v>0</v>
      </c>
      <c r="Y30" s="98"/>
      <c r="Z30" s="770">
        <v>0</v>
      </c>
      <c r="AA30" s="769">
        <v>0</v>
      </c>
      <c r="AB30" s="135">
        <v>0</v>
      </c>
      <c r="AC30" s="207"/>
    </row>
    <row r="31" spans="1:29" s="2" customFormat="1">
      <c r="A31" s="61"/>
      <c r="B31" s="41" t="str">
        <f t="shared" si="0"/>
        <v>Residential_School-Based Education_0_School-Based Education_2017</v>
      </c>
      <c r="C31" s="41" t="b">
        <f>ISNUMBER(MATCH(B31,Analysis!B:B,0))</f>
        <v>1</v>
      </c>
      <c r="D31" s="41">
        <f t="shared" si="1"/>
        <v>25</v>
      </c>
      <c r="E31" s="41" t="b">
        <f>COUNTIF($B$7:B31,B31)=1</f>
        <v>1</v>
      </c>
      <c r="F31" s="142" t="s">
        <v>2</v>
      </c>
      <c r="G31" s="142" t="s">
        <v>252</v>
      </c>
      <c r="H31" s="142">
        <v>0</v>
      </c>
      <c r="I31" s="29" t="s">
        <v>252</v>
      </c>
      <c r="J31" s="26">
        <v>2017</v>
      </c>
      <c r="K31" s="143" t="str">
        <f ca="1">INDEX(Analysis!J:J,MATCH($B31,Analysis!$B:$B,0))</f>
        <v>n/a</v>
      </c>
      <c r="L31" s="174">
        <v>1200</v>
      </c>
      <c r="M31" s="139">
        <v>5</v>
      </c>
      <c r="N31" s="140">
        <v>0</v>
      </c>
      <c r="O31" s="130">
        <v>0</v>
      </c>
      <c r="P31" s="130">
        <v>0</v>
      </c>
      <c r="Q31" s="130">
        <v>0</v>
      </c>
      <c r="R31" s="130">
        <v>0</v>
      </c>
      <c r="S31" s="162">
        <v>0</v>
      </c>
      <c r="T31" s="95">
        <v>1</v>
      </c>
      <c r="U31" s="95">
        <v>1</v>
      </c>
      <c r="V31" s="768">
        <v>397</v>
      </c>
      <c r="W31" s="769">
        <v>0.04</v>
      </c>
      <c r="X31" s="770">
        <v>0</v>
      </c>
      <c r="Y31" s="98"/>
      <c r="Z31" s="770">
        <v>0</v>
      </c>
      <c r="AA31" s="769">
        <v>0</v>
      </c>
      <c r="AB31" s="135">
        <v>0</v>
      </c>
      <c r="AC31" s="207"/>
    </row>
    <row r="32" spans="1:29" s="2" customFormat="1">
      <c r="A32" s="61"/>
      <c r="B32" s="41" t="str">
        <f t="shared" si="0"/>
        <v>Residential_Weatherization_0_Air Sealing_2017</v>
      </c>
      <c r="C32" s="41" t="b">
        <f>ISNUMBER(MATCH(B32,Analysis!B:B,0))</f>
        <v>1</v>
      </c>
      <c r="D32" s="41">
        <f t="shared" si="1"/>
        <v>26</v>
      </c>
      <c r="E32" s="41" t="b">
        <f>COUNTIF($B$7:B32,B32)=1</f>
        <v>1</v>
      </c>
      <c r="F32" s="142" t="s">
        <v>2</v>
      </c>
      <c r="G32" s="142" t="s">
        <v>253</v>
      </c>
      <c r="H32" s="142">
        <v>0</v>
      </c>
      <c r="I32" s="29" t="s">
        <v>270</v>
      </c>
      <c r="J32" s="26">
        <v>2017</v>
      </c>
      <c r="K32" s="143" t="str">
        <f ca="1">INDEX(Analysis!J:J,MATCH($B32,Analysis!$B:$B,0))</f>
        <v>n/a</v>
      </c>
      <c r="L32" s="174">
        <f>ROUND('Program Inputs'!$I$11,0)</f>
        <v>30</v>
      </c>
      <c r="M32" s="139">
        <f>'Measure Calculations'!$B$27</f>
        <v>15</v>
      </c>
      <c r="N32" s="140">
        <v>0</v>
      </c>
      <c r="O32" s="130">
        <v>0</v>
      </c>
      <c r="P32" s="130">
        <v>0</v>
      </c>
      <c r="Q32" s="130">
        <v>0</v>
      </c>
      <c r="R32" s="130">
        <v>0</v>
      </c>
      <c r="S32" s="162">
        <v>0</v>
      </c>
      <c r="T32" s="95">
        <v>1</v>
      </c>
      <c r="U32" s="95">
        <v>1</v>
      </c>
      <c r="V32" s="768">
        <f>AVERAGE('Measure Calculations'!$B$25:$C$25)</f>
        <v>723.22484333533259</v>
      </c>
      <c r="W32" s="769">
        <f>AVERAGE('Measure Calculations'!$B$24:$C$24)</f>
        <v>0.13194175032702399</v>
      </c>
      <c r="X32" s="770">
        <v>0</v>
      </c>
      <c r="Y32" s="98"/>
      <c r="Z32" s="770">
        <v>0</v>
      </c>
      <c r="AA32" s="769">
        <v>0</v>
      </c>
      <c r="AB32" s="135">
        <v>0</v>
      </c>
      <c r="AC32" s="207"/>
    </row>
    <row r="33" spans="1:29" s="2" customFormat="1">
      <c r="A33" s="61"/>
      <c r="B33" s="41" t="str">
        <f t="shared" si="0"/>
        <v>Residential_Weatherization_0_Water Heater Tank Wrap_2017</v>
      </c>
      <c r="C33" s="41" t="b">
        <f>ISNUMBER(MATCH(B33,Analysis!B:B,0))</f>
        <v>1</v>
      </c>
      <c r="D33" s="41">
        <f t="shared" si="1"/>
        <v>27</v>
      </c>
      <c r="E33" s="41" t="b">
        <f>COUNTIF($B$7:B33,B33)=1</f>
        <v>1</v>
      </c>
      <c r="F33" s="142" t="s">
        <v>2</v>
      </c>
      <c r="G33" s="142" t="s">
        <v>253</v>
      </c>
      <c r="H33" s="142">
        <v>0</v>
      </c>
      <c r="I33" s="29" t="s">
        <v>266</v>
      </c>
      <c r="J33" s="26">
        <v>2017</v>
      </c>
      <c r="K33" s="143" t="str">
        <f ca="1">INDEX(Analysis!J:J,MATCH($B33,Analysis!$B:$B,0))</f>
        <v>n/a</v>
      </c>
      <c r="L33" s="174">
        <f>ROUND('Program Inputs'!$I$11*0.5,0)</f>
        <v>15</v>
      </c>
      <c r="M33" s="139">
        <f>'Measure Calculations'!$B$154</f>
        <v>5</v>
      </c>
      <c r="N33" s="140">
        <v>0</v>
      </c>
      <c r="O33" s="130">
        <v>0</v>
      </c>
      <c r="P33" s="130">
        <v>0</v>
      </c>
      <c r="Q33" s="130">
        <v>0</v>
      </c>
      <c r="R33" s="130">
        <v>0</v>
      </c>
      <c r="S33" s="162">
        <v>0</v>
      </c>
      <c r="T33" s="95">
        <v>1</v>
      </c>
      <c r="U33" s="95">
        <v>1</v>
      </c>
      <c r="V33" s="768">
        <f>'Measure Calculations'!$B$152</f>
        <v>143</v>
      </c>
      <c r="W33" s="769">
        <f>'Measure Calculations'!$B$151</f>
        <v>1.6400000000000001E-2</v>
      </c>
      <c r="X33" s="770">
        <v>0</v>
      </c>
      <c r="Y33" s="98"/>
      <c r="Z33" s="770">
        <v>0</v>
      </c>
      <c r="AA33" s="769">
        <v>0</v>
      </c>
      <c r="AB33" s="135">
        <v>0</v>
      </c>
      <c r="AC33" s="207"/>
    </row>
    <row r="34" spans="1:29" s="2" customFormat="1">
      <c r="A34" s="61"/>
      <c r="B34" s="41" t="str">
        <f t="shared" si="0"/>
        <v>Residential_Weatherization_0_Hot Water Pipe Insulation_2017</v>
      </c>
      <c r="C34" s="41" t="b">
        <f>ISNUMBER(MATCH(B34,Analysis!B:B,0))</f>
        <v>1</v>
      </c>
      <c r="D34" s="41">
        <f t="shared" si="1"/>
        <v>28</v>
      </c>
      <c r="E34" s="41" t="b">
        <f>COUNTIF($B$7:B34,B34)=1</f>
        <v>1</v>
      </c>
      <c r="F34" s="142" t="s">
        <v>2</v>
      </c>
      <c r="G34" s="142" t="s">
        <v>253</v>
      </c>
      <c r="H34" s="142">
        <v>0</v>
      </c>
      <c r="I34" s="29" t="s">
        <v>265</v>
      </c>
      <c r="J34" s="26">
        <v>2017</v>
      </c>
      <c r="K34" s="143" t="str">
        <f ca="1">INDEX(Analysis!J:J,MATCH($B34,Analysis!$B:$B,0))</f>
        <v>n/a</v>
      </c>
      <c r="L34" s="174">
        <f>ROUND('Program Inputs'!$I$11*0.5,0)</f>
        <v>15</v>
      </c>
      <c r="M34" s="139">
        <f>'Measure Calculations'!$B$167</f>
        <v>15</v>
      </c>
      <c r="N34" s="140">
        <v>0</v>
      </c>
      <c r="O34" s="130">
        <v>0</v>
      </c>
      <c r="P34" s="130">
        <v>0</v>
      </c>
      <c r="Q34" s="130">
        <v>0</v>
      </c>
      <c r="R34" s="130">
        <v>0</v>
      </c>
      <c r="S34" s="162">
        <v>0</v>
      </c>
      <c r="T34" s="95">
        <v>1</v>
      </c>
      <c r="U34" s="95">
        <v>1</v>
      </c>
      <c r="V34" s="768">
        <f>'Measure Calculations'!$B$165</f>
        <v>123.19953120421916</v>
      </c>
      <c r="W34" s="769">
        <f>'Measure Calculations'!$B$164</f>
        <v>1.4063873425139173E-2</v>
      </c>
      <c r="X34" s="770">
        <v>0</v>
      </c>
      <c r="Y34" s="98"/>
      <c r="Z34" s="770">
        <v>0</v>
      </c>
      <c r="AA34" s="769">
        <v>0</v>
      </c>
      <c r="AB34" s="135">
        <v>0</v>
      </c>
      <c r="AC34" s="207"/>
    </row>
    <row r="35" spans="1:29" s="2" customFormat="1">
      <c r="A35" s="61"/>
      <c r="B35" s="41" t="str">
        <f t="shared" si="0"/>
        <v>Residential_Weatherization_0_Water Heater Temperature Setback_2017</v>
      </c>
      <c r="C35" s="41" t="b">
        <f>ISNUMBER(MATCH(B35,Analysis!B:B,0))</f>
        <v>1</v>
      </c>
      <c r="D35" s="41">
        <f t="shared" si="1"/>
        <v>29</v>
      </c>
      <c r="E35" s="41" t="b">
        <f>COUNTIF($B$7:B35,B35)=1</f>
        <v>1</v>
      </c>
      <c r="F35" s="142" t="s">
        <v>2</v>
      </c>
      <c r="G35" s="142" t="s">
        <v>253</v>
      </c>
      <c r="H35" s="142">
        <v>0</v>
      </c>
      <c r="I35" s="29" t="s">
        <v>271</v>
      </c>
      <c r="J35" s="26">
        <v>2017</v>
      </c>
      <c r="K35" s="143" t="str">
        <f ca="1">INDEX(Analysis!J:J,MATCH($B35,Analysis!$B:$B,0))</f>
        <v>n/a</v>
      </c>
      <c r="L35" s="174">
        <f>ROUND('Program Inputs'!$I$11*0.5,0)</f>
        <v>15</v>
      </c>
      <c r="M35" s="139">
        <f>'Measure Calculations'!$B$147</f>
        <v>2</v>
      </c>
      <c r="N35" s="140">
        <v>0</v>
      </c>
      <c r="O35" s="130">
        <v>0</v>
      </c>
      <c r="P35" s="130">
        <v>0</v>
      </c>
      <c r="Q35" s="130">
        <v>0</v>
      </c>
      <c r="R35" s="130">
        <v>0</v>
      </c>
      <c r="S35" s="162">
        <v>0</v>
      </c>
      <c r="T35" s="95">
        <v>1</v>
      </c>
      <c r="U35" s="95">
        <v>1</v>
      </c>
      <c r="V35" s="768">
        <f>'Measure Calculations'!$B$145</f>
        <v>50.4380040433524</v>
      </c>
      <c r="W35" s="769">
        <f>'Measure Calculations'!$B$144</f>
        <v>5.7538220446443529E-3</v>
      </c>
      <c r="X35" s="770">
        <v>0</v>
      </c>
      <c r="Y35" s="98"/>
      <c r="Z35" s="770">
        <v>0</v>
      </c>
      <c r="AA35" s="769">
        <v>0</v>
      </c>
      <c r="AB35" s="135">
        <v>0</v>
      </c>
      <c r="AC35" s="207"/>
    </row>
    <row r="36" spans="1:29" s="2" customFormat="1">
      <c r="A36" s="61"/>
      <c r="B36" s="41" t="str">
        <f t="shared" si="0"/>
        <v>Residential_Weatherization_0_LED_2017</v>
      </c>
      <c r="C36" s="41" t="b">
        <f>ISNUMBER(MATCH(B36,Analysis!B:B,0))</f>
        <v>1</v>
      </c>
      <c r="D36" s="41">
        <f t="shared" si="1"/>
        <v>30</v>
      </c>
      <c r="E36" s="41" t="b">
        <f>COUNTIF($B$7:B36,B36)=1</f>
        <v>1</v>
      </c>
      <c r="F36" s="142" t="s">
        <v>2</v>
      </c>
      <c r="G36" s="142" t="s">
        <v>253</v>
      </c>
      <c r="H36" s="142">
        <v>0</v>
      </c>
      <c r="I36" s="29" t="s">
        <v>216</v>
      </c>
      <c r="J36" s="26">
        <v>2017</v>
      </c>
      <c r="K36" s="143" t="str">
        <f ca="1">INDEX(Analysis!J:J,MATCH($B36,Analysis!$B:$B,0))</f>
        <v>n/a</v>
      </c>
      <c r="L36" s="174">
        <f>ROUND('Program Inputs'!$I$11*4,0)</f>
        <v>120</v>
      </c>
      <c r="M36" s="139">
        <f>'Measure Calculations'!$B$10</f>
        <v>10</v>
      </c>
      <c r="N36" s="247">
        <v>0</v>
      </c>
      <c r="O36" s="130">
        <v>0</v>
      </c>
      <c r="P36" s="130">
        <v>0</v>
      </c>
      <c r="Q36" s="130">
        <v>0</v>
      </c>
      <c r="R36" s="130">
        <v>0</v>
      </c>
      <c r="S36" s="162">
        <v>0</v>
      </c>
      <c r="T36" s="95">
        <v>1</v>
      </c>
      <c r="U36" s="95">
        <v>1</v>
      </c>
      <c r="V36" s="768">
        <f>'Measure Calculations'!$B$8</f>
        <v>32.466966839999998</v>
      </c>
      <c r="W36" s="769">
        <f>'Measure Calculations'!$B$7</f>
        <v>2.8499272199999995E-3</v>
      </c>
      <c r="X36" s="770">
        <v>0</v>
      </c>
      <c r="Y36" s="98"/>
      <c r="Z36" s="770">
        <v>0</v>
      </c>
      <c r="AA36" s="769">
        <v>0</v>
      </c>
      <c r="AB36" s="135">
        <v>0</v>
      </c>
      <c r="AC36" s="207"/>
    </row>
    <row r="37" spans="1:29" s="2" customFormat="1">
      <c r="A37" s="61"/>
      <c r="B37" s="41" t="str">
        <f t="shared" si="0"/>
        <v>Residential_Weatherization_0_Faucet Aerator_2017</v>
      </c>
      <c r="C37" s="41" t="b">
        <f>ISNUMBER(MATCH(B37,Analysis!B:B,0))</f>
        <v>1</v>
      </c>
      <c r="D37" s="41">
        <f t="shared" si="1"/>
        <v>31</v>
      </c>
      <c r="E37" s="41" t="b">
        <f>COUNTIF($B$7:B37,B37)=1</f>
        <v>1</v>
      </c>
      <c r="F37" s="142" t="s">
        <v>2</v>
      </c>
      <c r="G37" s="142" t="s">
        <v>253</v>
      </c>
      <c r="H37" s="142">
        <v>0</v>
      </c>
      <c r="I37" s="29" t="s">
        <v>525</v>
      </c>
      <c r="J37" s="26">
        <v>2017</v>
      </c>
      <c r="K37" s="143" t="str">
        <f ca="1">INDEX(Analysis!J:J,MATCH($B37,Analysis!$B:$B,0))</f>
        <v>n/a</v>
      </c>
      <c r="L37" s="174">
        <f>ROUND('Program Inputs'!$I$11,0)</f>
        <v>30</v>
      </c>
      <c r="M37" s="139">
        <f>'Measure Calculations'!$B$45</f>
        <v>9</v>
      </c>
      <c r="N37" s="140">
        <v>0</v>
      </c>
      <c r="O37" s="130">
        <v>0</v>
      </c>
      <c r="P37" s="130">
        <v>0</v>
      </c>
      <c r="Q37" s="130">
        <v>0</v>
      </c>
      <c r="R37" s="130">
        <v>0</v>
      </c>
      <c r="S37" s="162">
        <v>0</v>
      </c>
      <c r="T37" s="95">
        <v>1</v>
      </c>
      <c r="U37" s="95">
        <v>1</v>
      </c>
      <c r="V37" s="768">
        <f>'Measure Calculations'!$B$43</f>
        <v>68.5987310821276</v>
      </c>
      <c r="W37" s="769">
        <f>'Measure Calculations'!$B$42</f>
        <v>2.9022540073207832E-2</v>
      </c>
      <c r="X37" s="770">
        <v>0</v>
      </c>
      <c r="Y37" s="98"/>
      <c r="Z37" s="770">
        <v>0</v>
      </c>
      <c r="AA37" s="769">
        <v>0</v>
      </c>
      <c r="AB37" s="135">
        <v>0</v>
      </c>
      <c r="AC37" s="207"/>
    </row>
    <row r="38" spans="1:29" s="2" customFormat="1">
      <c r="A38" s="61"/>
      <c r="B38" s="41" t="str">
        <f t="shared" si="0"/>
        <v>Residential_Weatherization_0_Low Flow Showerhead_2017</v>
      </c>
      <c r="C38" s="41" t="b">
        <f>ISNUMBER(MATCH(B38,Analysis!B:B,0))</f>
        <v>1</v>
      </c>
      <c r="D38" s="41">
        <f t="shared" si="1"/>
        <v>32</v>
      </c>
      <c r="E38" s="41" t="b">
        <f>COUNTIF($B$7:B38,B38)=1</f>
        <v>1</v>
      </c>
      <c r="F38" s="142" t="s">
        <v>2</v>
      </c>
      <c r="G38" s="142" t="s">
        <v>253</v>
      </c>
      <c r="H38" s="142">
        <v>0</v>
      </c>
      <c r="I38" s="29" t="s">
        <v>267</v>
      </c>
      <c r="J38" s="26">
        <v>2017</v>
      </c>
      <c r="K38" s="143" t="str">
        <f ca="1">INDEX(Analysis!J:J,MATCH($B38,Analysis!$B:$B,0))</f>
        <v>n/a</v>
      </c>
      <c r="L38" s="174">
        <f>ROUND('Program Inputs'!$I$11,0)</f>
        <v>30</v>
      </c>
      <c r="M38" s="139">
        <f>'Measure Calculations'!$C$45</f>
        <v>10</v>
      </c>
      <c r="N38" s="140">
        <v>0</v>
      </c>
      <c r="O38" s="130">
        <v>0</v>
      </c>
      <c r="P38" s="130">
        <v>0</v>
      </c>
      <c r="Q38" s="130">
        <v>0</v>
      </c>
      <c r="R38" s="130">
        <v>0</v>
      </c>
      <c r="S38" s="162">
        <v>0</v>
      </c>
      <c r="T38" s="95">
        <v>1</v>
      </c>
      <c r="U38" s="95">
        <v>1</v>
      </c>
      <c r="V38" s="768">
        <f>'Measure Calculations'!$C$43</f>
        <v>97.904469348143664</v>
      </c>
      <c r="W38" s="769">
        <f>'Measure Calculations'!$C$42</f>
        <v>9.0123981717827612E-3</v>
      </c>
      <c r="X38" s="770">
        <v>0</v>
      </c>
      <c r="Y38" s="98"/>
      <c r="Z38" s="770">
        <v>0</v>
      </c>
      <c r="AA38" s="769">
        <v>0</v>
      </c>
      <c r="AB38" s="135">
        <v>0</v>
      </c>
      <c r="AC38" s="207"/>
    </row>
    <row r="39" spans="1:29" s="2" customFormat="1">
      <c r="A39" s="61"/>
      <c r="B39" s="41" t="str">
        <f t="shared" si="0"/>
        <v>C&amp;I_C&amp;I Custom_0_C&amp;I Custom_2017</v>
      </c>
      <c r="C39" s="41" t="b">
        <f>ISNUMBER(MATCH(B39,Analysis!B:B,0))</f>
        <v>1</v>
      </c>
      <c r="D39" s="41">
        <f t="shared" si="1"/>
        <v>33</v>
      </c>
      <c r="E39" s="41" t="b">
        <f>COUNTIF($B$7:B39,B39)=1</f>
        <v>1</v>
      </c>
      <c r="F39" s="142" t="s">
        <v>256</v>
      </c>
      <c r="G39" s="142" t="s">
        <v>254</v>
      </c>
      <c r="H39" s="142">
        <v>0</v>
      </c>
      <c r="I39" s="29" t="s">
        <v>254</v>
      </c>
      <c r="J39" s="26">
        <v>2017</v>
      </c>
      <c r="K39" s="143">
        <f ca="1">INDEX(Analysis!J:J,MATCH($B39,Analysis!$B:$B,0))</f>
        <v>1.3460052248425056</v>
      </c>
      <c r="L39" s="174">
        <v>60</v>
      </c>
      <c r="M39" s="139">
        <v>15</v>
      </c>
      <c r="N39" s="140">
        <v>0</v>
      </c>
      <c r="O39" s="130">
        <v>3970</v>
      </c>
      <c r="P39" s="130">
        <v>7940.9</v>
      </c>
      <c r="Q39" s="130">
        <v>0</v>
      </c>
      <c r="R39" s="130">
        <v>0</v>
      </c>
      <c r="S39" s="162">
        <v>0</v>
      </c>
      <c r="T39" s="95">
        <v>1</v>
      </c>
      <c r="U39" s="95">
        <v>1</v>
      </c>
      <c r="V39" s="768">
        <f>1540273.74/47</f>
        <v>32771.781702127657</v>
      </c>
      <c r="W39" s="769">
        <f>373.149/47</f>
        <v>7.9393404255319151</v>
      </c>
      <c r="X39" s="770">
        <v>0</v>
      </c>
      <c r="Y39" s="98"/>
      <c r="Z39" s="770">
        <v>0</v>
      </c>
      <c r="AA39" s="769">
        <v>0</v>
      </c>
      <c r="AB39" s="135">
        <v>0</v>
      </c>
      <c r="AC39" s="207"/>
    </row>
    <row r="40" spans="1:29" s="2" customFormat="1">
      <c r="A40" s="61"/>
      <c r="B40" s="41" t="str">
        <f t="shared" si="0"/>
        <v>C&amp;I_C&amp;I Prescriptive_0_High Bay Fluorescent Fixture w/ HE Electronic Ballast (T5 2-3 lamp)_2017</v>
      </c>
      <c r="C40" s="41" t="b">
        <f>ISNUMBER(MATCH(B40,Analysis!B:B,0))</f>
        <v>1</v>
      </c>
      <c r="D40" s="41">
        <f t="shared" si="1"/>
        <v>34</v>
      </c>
      <c r="E40" s="41" t="b">
        <f>COUNTIF($B$7:B40,B40)=1</f>
        <v>1</v>
      </c>
      <c r="F40" s="142" t="s">
        <v>256</v>
      </c>
      <c r="G40" s="142" t="s">
        <v>255</v>
      </c>
      <c r="H40" s="142">
        <v>0</v>
      </c>
      <c r="I40" s="29" t="s">
        <v>353</v>
      </c>
      <c r="J40" s="26">
        <v>2017</v>
      </c>
      <c r="K40" s="143">
        <f ca="1">INDEX(Analysis!J:J,MATCH($B40,Analysis!$B:$B,0))</f>
        <v>1.5427975140369716</v>
      </c>
      <c r="L40" s="174">
        <v>45</v>
      </c>
      <c r="M40" s="139">
        <f>'Measure Calculations'!$L$256</f>
        <v>15</v>
      </c>
      <c r="N40" s="140">
        <v>0</v>
      </c>
      <c r="O40" s="130">
        <v>55</v>
      </c>
      <c r="P40" s="130">
        <f>'Measure Calculations'!$H$256</f>
        <v>100</v>
      </c>
      <c r="Q40" s="130">
        <v>0</v>
      </c>
      <c r="R40" s="130">
        <v>0</v>
      </c>
      <c r="S40" s="162">
        <v>0</v>
      </c>
      <c r="T40" s="95">
        <v>1</v>
      </c>
      <c r="U40" s="95">
        <v>1</v>
      </c>
      <c r="V40" s="768">
        <f>'Measure Calculations'!$F$256</f>
        <v>466.49450999999993</v>
      </c>
      <c r="W40" s="769">
        <f>'Measure Calculations'!$G$256</f>
        <v>0.12369000000000001</v>
      </c>
      <c r="X40" s="770">
        <v>0</v>
      </c>
      <c r="Y40" s="98"/>
      <c r="Z40" s="770">
        <v>0</v>
      </c>
      <c r="AA40" s="769">
        <v>0</v>
      </c>
      <c r="AB40" s="135">
        <v>0</v>
      </c>
      <c r="AC40" s="207"/>
    </row>
    <row r="41" spans="1:29" s="2" customFormat="1">
      <c r="A41" s="61"/>
      <c r="B41" s="41" t="str">
        <f t="shared" si="0"/>
        <v>C&amp;I_C&amp;I Prescriptive_0_High Bay Fluorescent Fixture w/ HE Electronic Ballast (T5 4-6 lamp)_2017</v>
      </c>
      <c r="C41" s="41" t="b">
        <f>ISNUMBER(MATCH(B41,Analysis!B:B,0))</f>
        <v>1</v>
      </c>
      <c r="D41" s="41">
        <f t="shared" si="1"/>
        <v>35</v>
      </c>
      <c r="E41" s="41" t="b">
        <f>COUNTIF($B$7:B41,B41)=1</f>
        <v>1</v>
      </c>
      <c r="F41" s="142" t="s">
        <v>256</v>
      </c>
      <c r="G41" s="142" t="s">
        <v>255</v>
      </c>
      <c r="H41" s="142">
        <v>0</v>
      </c>
      <c r="I41" s="29" t="s">
        <v>272</v>
      </c>
      <c r="J41" s="26">
        <v>2017</v>
      </c>
      <c r="K41" s="143">
        <f ca="1">INDEX(Analysis!J:J,MATCH($B41,Analysis!$B:$B,0))</f>
        <v>2.1366916108383003</v>
      </c>
      <c r="L41" s="174">
        <v>45</v>
      </c>
      <c r="M41" s="139">
        <f>'Measure Calculations'!$L$257</f>
        <v>15</v>
      </c>
      <c r="N41" s="140">
        <v>0</v>
      </c>
      <c r="O41" s="130">
        <v>75</v>
      </c>
      <c r="P41" s="130">
        <f>'Measure Calculations'!$H$257</f>
        <v>125</v>
      </c>
      <c r="Q41" s="130">
        <v>0</v>
      </c>
      <c r="R41" s="130">
        <v>0</v>
      </c>
      <c r="S41" s="162">
        <v>0</v>
      </c>
      <c r="T41" s="95">
        <v>1</v>
      </c>
      <c r="U41" s="95">
        <v>1</v>
      </c>
      <c r="V41" s="768">
        <f>'Measure Calculations'!$F$257</f>
        <v>807.58726999999988</v>
      </c>
      <c r="W41" s="769">
        <f>'Measure Calculations'!$G$257</f>
        <v>0.21413000000000001</v>
      </c>
      <c r="X41" s="770">
        <v>0</v>
      </c>
      <c r="Y41" s="98"/>
      <c r="Z41" s="770">
        <v>0</v>
      </c>
      <c r="AA41" s="769">
        <v>0</v>
      </c>
      <c r="AB41" s="135">
        <v>0</v>
      </c>
      <c r="AC41" s="207"/>
    </row>
    <row r="42" spans="1:29" s="2" customFormat="1">
      <c r="A42" s="61"/>
      <c r="B42" s="41" t="str">
        <f t="shared" si="0"/>
        <v>C&amp;I_C&amp;I Prescriptive_0_High Bay Fluorescent Fixture w/ HE Electronic Ballast (T5 8-lamp)_2017</v>
      </c>
      <c r="C42" s="41" t="b">
        <f>ISNUMBER(MATCH(B42,Analysis!B:B,0))</f>
        <v>1</v>
      </c>
      <c r="D42" s="41">
        <f t="shared" si="1"/>
        <v>36</v>
      </c>
      <c r="E42" s="41" t="b">
        <f>COUNTIF($B$7:B42,B42)=1</f>
        <v>1</v>
      </c>
      <c r="F42" s="142" t="s">
        <v>256</v>
      </c>
      <c r="G42" s="142" t="s">
        <v>255</v>
      </c>
      <c r="H42" s="142">
        <v>0</v>
      </c>
      <c r="I42" s="29" t="s">
        <v>273</v>
      </c>
      <c r="J42" s="26">
        <v>2017</v>
      </c>
      <c r="K42" s="143">
        <f ca="1">INDEX(Analysis!J:J,MATCH($B42,Analysis!$B:$B,0))</f>
        <v>5.0696658095666507</v>
      </c>
      <c r="L42" s="174">
        <v>45</v>
      </c>
      <c r="M42" s="139">
        <f>'Measure Calculations'!$L$258</f>
        <v>15</v>
      </c>
      <c r="N42" s="140">
        <v>0</v>
      </c>
      <c r="O42" s="130">
        <v>85</v>
      </c>
      <c r="P42" s="130">
        <f>'Measure Calculations'!$H$258</f>
        <v>125</v>
      </c>
      <c r="Q42" s="130">
        <v>0</v>
      </c>
      <c r="R42" s="130">
        <v>0</v>
      </c>
      <c r="S42" s="162">
        <v>0</v>
      </c>
      <c r="T42" s="95">
        <v>1</v>
      </c>
      <c r="U42" s="95">
        <v>1</v>
      </c>
      <c r="V42" s="768">
        <f>'Measure Calculations'!$F$258</f>
        <v>1916.1387399999999</v>
      </c>
      <c r="W42" s="769">
        <f>'Measure Calculations'!$G$258</f>
        <v>0.50806000000000007</v>
      </c>
      <c r="X42" s="770">
        <v>0</v>
      </c>
      <c r="Y42" s="98"/>
      <c r="Z42" s="770">
        <v>0</v>
      </c>
      <c r="AA42" s="769">
        <v>0</v>
      </c>
      <c r="AB42" s="135">
        <v>0</v>
      </c>
      <c r="AC42" s="207"/>
    </row>
    <row r="43" spans="1:29" s="2" customFormat="1">
      <c r="A43" s="61"/>
      <c r="B43" s="41" t="str">
        <f t="shared" si="0"/>
        <v>C&amp;I_C&amp;I Prescriptive_0_High Bay Fluorescent Fixture w/ HE Electronic Ballast (T5 10-lamp)_2017</v>
      </c>
      <c r="C43" s="41" t="b">
        <f>ISNUMBER(MATCH(B43,Analysis!B:B,0))</f>
        <v>1</v>
      </c>
      <c r="D43" s="41">
        <f t="shared" si="1"/>
        <v>37</v>
      </c>
      <c r="E43" s="41" t="b">
        <f>COUNTIF($B$7:B43,B43)=1</f>
        <v>1</v>
      </c>
      <c r="F43" s="142" t="s">
        <v>256</v>
      </c>
      <c r="G43" s="142" t="s">
        <v>255</v>
      </c>
      <c r="H43" s="142">
        <v>0</v>
      </c>
      <c r="I43" s="29" t="s">
        <v>274</v>
      </c>
      <c r="J43" s="26">
        <v>2017</v>
      </c>
      <c r="K43" s="143">
        <f ca="1">INDEX(Analysis!J:J,MATCH($B43,Analysis!$B:$B,0))</f>
        <v>5.4744427917440932</v>
      </c>
      <c r="L43" s="174">
        <v>45</v>
      </c>
      <c r="M43" s="139">
        <f>'Measure Calculations'!$L$259</f>
        <v>15</v>
      </c>
      <c r="N43" s="140">
        <v>0</v>
      </c>
      <c r="O43" s="130">
        <v>95</v>
      </c>
      <c r="P43" s="130">
        <f>'Measure Calculations'!$H$259</f>
        <v>150</v>
      </c>
      <c r="Q43" s="130">
        <v>0</v>
      </c>
      <c r="R43" s="130">
        <v>0</v>
      </c>
      <c r="S43" s="162">
        <v>0</v>
      </c>
      <c r="T43" s="95">
        <v>1</v>
      </c>
      <c r="U43" s="95">
        <v>1</v>
      </c>
      <c r="V43" s="768">
        <f>'Measure Calculations'!$F$259</f>
        <v>2482.9546499999997</v>
      </c>
      <c r="W43" s="769">
        <f>'Measure Calculations'!$G$259</f>
        <v>0.65834999999999999</v>
      </c>
      <c r="X43" s="770">
        <v>0</v>
      </c>
      <c r="Y43" s="98"/>
      <c r="Z43" s="770">
        <v>0</v>
      </c>
      <c r="AA43" s="769">
        <v>0</v>
      </c>
      <c r="AB43" s="135">
        <v>0</v>
      </c>
      <c r="AC43" s="207"/>
    </row>
    <row r="44" spans="1:29" s="2" customFormat="1">
      <c r="A44" s="61"/>
      <c r="B44" s="41" t="str">
        <f t="shared" si="0"/>
        <v>C&amp;I_C&amp;I Prescriptive_0_High Bay Fluorescent Fixture w/ HE Electronic Ballast (T8 4 lamp)_2017</v>
      </c>
      <c r="C44" s="41" t="b">
        <f>ISNUMBER(MATCH(B44,Analysis!B:B,0))</f>
        <v>1</v>
      </c>
      <c r="D44" s="41">
        <f t="shared" si="1"/>
        <v>38</v>
      </c>
      <c r="E44" s="41" t="b">
        <f>COUNTIF($B$7:B44,B44)=1</f>
        <v>1</v>
      </c>
      <c r="F44" s="142" t="s">
        <v>256</v>
      </c>
      <c r="G44" s="142" t="s">
        <v>255</v>
      </c>
      <c r="H44" s="142">
        <v>0</v>
      </c>
      <c r="I44" s="29" t="s">
        <v>354</v>
      </c>
      <c r="J44" s="26">
        <v>2017</v>
      </c>
      <c r="K44" s="143">
        <f ca="1">INDEX(Analysis!J:J,MATCH($B44,Analysis!$B:$B,0))</f>
        <v>0.80756325788515915</v>
      </c>
      <c r="L44" s="174">
        <v>80</v>
      </c>
      <c r="M44" s="139">
        <f>'Measure Calculations'!$L$260</f>
        <v>15</v>
      </c>
      <c r="N44" s="140">
        <v>0</v>
      </c>
      <c r="O44" s="130">
        <v>55</v>
      </c>
      <c r="P44" s="130">
        <f>'Measure Calculations'!$H$260</f>
        <v>200</v>
      </c>
      <c r="Q44" s="130">
        <v>0</v>
      </c>
      <c r="R44" s="130">
        <v>0</v>
      </c>
      <c r="S44" s="162">
        <v>0</v>
      </c>
      <c r="T44" s="95">
        <v>1</v>
      </c>
      <c r="U44" s="95">
        <v>1</v>
      </c>
      <c r="V44" s="768">
        <f>'Measure Calculations'!$F$260</f>
        <v>488.36457519999999</v>
      </c>
      <c r="W44" s="769">
        <f>'Measure Calculations'!$G$260</f>
        <v>0.12948880000000002</v>
      </c>
      <c r="X44" s="770">
        <v>0</v>
      </c>
      <c r="Y44" s="98"/>
      <c r="Z44" s="770">
        <v>0</v>
      </c>
      <c r="AA44" s="769">
        <v>0</v>
      </c>
      <c r="AB44" s="135">
        <v>0</v>
      </c>
      <c r="AC44" s="207"/>
    </row>
    <row r="45" spans="1:29" s="2" customFormat="1">
      <c r="A45" s="61"/>
      <c r="B45" s="41" t="str">
        <f t="shared" si="0"/>
        <v>C&amp;I_C&amp;I Prescriptive_0_High Bay Fluorescent Fixture w/ HE Electronic Ballast (T8 6-8 lamp)_2017</v>
      </c>
      <c r="C45" s="41" t="b">
        <f>ISNUMBER(MATCH(B45,Analysis!B:B,0))</f>
        <v>1</v>
      </c>
      <c r="D45" s="41">
        <f t="shared" si="1"/>
        <v>39</v>
      </c>
      <c r="E45" s="41" t="b">
        <f>COUNTIF($B$7:B45,B45)=1</f>
        <v>1</v>
      </c>
      <c r="F45" s="142" t="s">
        <v>256</v>
      </c>
      <c r="G45" s="142" t="s">
        <v>255</v>
      </c>
      <c r="H45" s="142">
        <v>0</v>
      </c>
      <c r="I45" s="29" t="s">
        <v>275</v>
      </c>
      <c r="J45" s="26">
        <v>2017</v>
      </c>
      <c r="K45" s="143">
        <f ca="1">INDEX(Analysis!J:J,MATCH($B45,Analysis!$B:$B,0))</f>
        <v>2.1163421669255542</v>
      </c>
      <c r="L45" s="174">
        <v>80</v>
      </c>
      <c r="M45" s="139">
        <f>'Measure Calculations'!$L$261</f>
        <v>15</v>
      </c>
      <c r="N45" s="140">
        <v>0</v>
      </c>
      <c r="O45" s="130">
        <v>75</v>
      </c>
      <c r="P45" s="130">
        <f>'Measure Calculations'!$H$261</f>
        <v>225</v>
      </c>
      <c r="Q45" s="130">
        <v>0</v>
      </c>
      <c r="R45" s="130">
        <v>0</v>
      </c>
      <c r="S45" s="162">
        <v>0</v>
      </c>
      <c r="T45" s="95">
        <v>1</v>
      </c>
      <c r="U45" s="95">
        <v>1</v>
      </c>
      <c r="V45" s="768">
        <f>'Measure Calculations'!$F$261</f>
        <v>1439.8127327999996</v>
      </c>
      <c r="W45" s="769">
        <f>'Measure Calculations'!$G$261</f>
        <v>0.38176319999999997</v>
      </c>
      <c r="X45" s="770">
        <v>0</v>
      </c>
      <c r="Y45" s="98"/>
      <c r="Z45" s="770">
        <v>0</v>
      </c>
      <c r="AA45" s="769">
        <v>0</v>
      </c>
      <c r="AB45" s="135">
        <v>0</v>
      </c>
      <c r="AC45" s="207"/>
    </row>
    <row r="46" spans="1:29" s="2" customFormat="1">
      <c r="A46" s="61"/>
      <c r="B46" s="41" t="str">
        <f t="shared" si="0"/>
        <v>C&amp;I_C&amp;I Prescriptive_0_High Bay Fluorescent Fixture w/ HE Electronic Ballast (T8 12-16 lamp)_2017</v>
      </c>
      <c r="C46" s="41" t="b">
        <f>ISNUMBER(MATCH(B46,Analysis!B:B,0))</f>
        <v>1</v>
      </c>
      <c r="D46" s="41">
        <f t="shared" si="1"/>
        <v>40</v>
      </c>
      <c r="E46" s="41" t="b">
        <f>COUNTIF($B$7:B46,B46)=1</f>
        <v>1</v>
      </c>
      <c r="F46" s="142" t="s">
        <v>256</v>
      </c>
      <c r="G46" s="142" t="s">
        <v>255</v>
      </c>
      <c r="H46" s="142">
        <v>0</v>
      </c>
      <c r="I46" s="29" t="s">
        <v>276</v>
      </c>
      <c r="J46" s="26">
        <v>2017</v>
      </c>
      <c r="K46" s="143">
        <f ca="1">INDEX(Analysis!J:J,MATCH($B46,Analysis!$B:$B,0))</f>
        <v>3.0242812688064102</v>
      </c>
      <c r="L46" s="174">
        <v>80</v>
      </c>
      <c r="M46" s="139">
        <f>'Measure Calculations'!$L$262</f>
        <v>15</v>
      </c>
      <c r="N46" s="140">
        <v>0</v>
      </c>
      <c r="O46" s="130">
        <v>85</v>
      </c>
      <c r="P46" s="130">
        <f>'Measure Calculations'!$H$262</f>
        <v>250</v>
      </c>
      <c r="Q46" s="130">
        <v>0</v>
      </c>
      <c r="R46" s="130">
        <v>0</v>
      </c>
      <c r="S46" s="162">
        <v>0</v>
      </c>
      <c r="T46" s="95">
        <v>1</v>
      </c>
      <c r="U46" s="95">
        <v>1</v>
      </c>
      <c r="V46" s="768">
        <f>'Measure Calculations'!$F$262</f>
        <v>2286.1240632000004</v>
      </c>
      <c r="W46" s="769">
        <f>'Measure Calculations'!$G$262</f>
        <v>0.60616080000000006</v>
      </c>
      <c r="X46" s="770">
        <v>0</v>
      </c>
      <c r="Y46" s="98"/>
      <c r="Z46" s="770">
        <v>0</v>
      </c>
      <c r="AA46" s="769">
        <v>0</v>
      </c>
      <c r="AB46" s="135">
        <v>0</v>
      </c>
      <c r="AC46" s="207"/>
    </row>
    <row r="47" spans="1:29" s="2" customFormat="1">
      <c r="A47" s="61"/>
      <c r="B47" s="41" t="str">
        <f t="shared" si="0"/>
        <v>C&amp;I_C&amp;I Prescriptive_0_High Bay Fluorescent Fixture w/ HE Electronic Ballast (T8 18-20 lamp)_2017</v>
      </c>
      <c r="C47" s="41" t="b">
        <f>ISNUMBER(MATCH(B47,Analysis!B:B,0))</f>
        <v>1</v>
      </c>
      <c r="D47" s="41">
        <f t="shared" si="1"/>
        <v>41</v>
      </c>
      <c r="E47" s="41" t="b">
        <f>COUNTIF($B$7:B47,B47)=1</f>
        <v>1</v>
      </c>
      <c r="F47" s="142" t="s">
        <v>256</v>
      </c>
      <c r="G47" s="142" t="s">
        <v>255</v>
      </c>
      <c r="H47" s="142">
        <v>0</v>
      </c>
      <c r="I47" s="29" t="s">
        <v>355</v>
      </c>
      <c r="J47" s="26">
        <v>2017</v>
      </c>
      <c r="K47" s="143">
        <f ca="1">INDEX(Analysis!J:J,MATCH($B47,Analysis!$B:$B,0))</f>
        <v>3.8030456397628774</v>
      </c>
      <c r="L47" s="174">
        <v>80</v>
      </c>
      <c r="M47" s="139">
        <f>'Measure Calculations'!$L$263</f>
        <v>15</v>
      </c>
      <c r="N47" s="140">
        <v>0</v>
      </c>
      <c r="O47" s="130">
        <v>95</v>
      </c>
      <c r="P47" s="130">
        <f>'Measure Calculations'!$H$263</f>
        <v>250</v>
      </c>
      <c r="Q47" s="130">
        <v>0</v>
      </c>
      <c r="R47" s="130">
        <v>0</v>
      </c>
      <c r="S47" s="162">
        <v>0</v>
      </c>
      <c r="T47" s="95">
        <v>1</v>
      </c>
      <c r="U47" s="95">
        <v>1</v>
      </c>
      <c r="V47" s="768">
        <f>'Measure Calculations'!$F$263</f>
        <v>2874.8100383999995</v>
      </c>
      <c r="W47" s="769">
        <f>'Measure Calculations'!$G$263</f>
        <v>0.76224959999999997</v>
      </c>
      <c r="X47" s="770">
        <v>0</v>
      </c>
      <c r="Y47" s="98"/>
      <c r="Z47" s="770">
        <v>0</v>
      </c>
      <c r="AA47" s="769">
        <v>0</v>
      </c>
      <c r="AB47" s="135">
        <v>0</v>
      </c>
      <c r="AC47" s="207"/>
    </row>
    <row r="48" spans="1:29" s="2" customFormat="1">
      <c r="A48" s="61"/>
      <c r="B48" s="41" t="str">
        <f t="shared" si="0"/>
        <v>C&amp;I_C&amp;I Prescriptive_0_Low-Wattage T8 _2017</v>
      </c>
      <c r="C48" s="41" t="b">
        <f>ISNUMBER(MATCH(B48,Analysis!B:B,0))</f>
        <v>1</v>
      </c>
      <c r="D48" s="41">
        <f t="shared" si="1"/>
        <v>42</v>
      </c>
      <c r="E48" s="41" t="b">
        <f>COUNTIF($B$7:B48,B48)=1</f>
        <v>1</v>
      </c>
      <c r="F48" s="142" t="s">
        <v>256</v>
      </c>
      <c r="G48" s="142" t="s">
        <v>255</v>
      </c>
      <c r="H48" s="142">
        <v>0</v>
      </c>
      <c r="I48" s="29" t="s">
        <v>280</v>
      </c>
      <c r="J48" s="26">
        <v>2017</v>
      </c>
      <c r="K48" s="143">
        <f ca="1">INDEX(Analysis!J:J,MATCH($B48,Analysis!$B:$B,0))</f>
        <v>3.2812253159145888</v>
      </c>
      <c r="L48" s="174">
        <v>850</v>
      </c>
      <c r="M48" s="139">
        <f>'Measure Calculations'!$L$267</f>
        <v>8</v>
      </c>
      <c r="N48" s="140">
        <v>0</v>
      </c>
      <c r="O48" s="130">
        <v>0.5</v>
      </c>
      <c r="P48" s="130">
        <f>'Measure Calculations'!$H$267</f>
        <v>2</v>
      </c>
      <c r="Q48" s="130">
        <v>0</v>
      </c>
      <c r="R48" s="130">
        <v>0</v>
      </c>
      <c r="S48" s="162">
        <v>0</v>
      </c>
      <c r="T48" s="95">
        <v>1</v>
      </c>
      <c r="U48" s="95">
        <v>1</v>
      </c>
      <c r="V48" s="768">
        <f>'Measure Calculations'!$F$267</f>
        <v>30.096419999999998</v>
      </c>
      <c r="W48" s="769">
        <f>'Measure Calculations'!$G$267</f>
        <v>7.980000000000001E-3</v>
      </c>
      <c r="X48" s="770">
        <v>0</v>
      </c>
      <c r="Y48" s="98"/>
      <c r="Z48" s="770">
        <v>0</v>
      </c>
      <c r="AA48" s="769">
        <v>0</v>
      </c>
      <c r="AB48" s="135">
        <v>0</v>
      </c>
      <c r="AC48" s="207"/>
    </row>
    <row r="49" spans="1:29" s="2" customFormat="1">
      <c r="A49" s="61"/>
      <c r="B49" s="41" t="str">
        <f t="shared" si="0"/>
        <v>C&amp;I_C&amp;I Prescriptive_0_Energy Star LED Lamp (≤5W)_2017</v>
      </c>
      <c r="C49" s="41" t="b">
        <f>ISNUMBER(MATCH(B49,Analysis!B:B,0))</f>
        <v>1</v>
      </c>
      <c r="D49" s="41">
        <f t="shared" si="1"/>
        <v>43</v>
      </c>
      <c r="E49" s="41" t="b">
        <f>COUNTIF($B$7:B49,B49)=1</f>
        <v>1</v>
      </c>
      <c r="F49" s="142" t="s">
        <v>256</v>
      </c>
      <c r="G49" s="142" t="s">
        <v>255</v>
      </c>
      <c r="H49" s="142">
        <v>0</v>
      </c>
      <c r="I49" s="29" t="s">
        <v>288</v>
      </c>
      <c r="J49" s="26">
        <v>2017</v>
      </c>
      <c r="K49" s="143">
        <f ca="1">INDEX(Analysis!J:J,MATCH($B49,Analysis!$B:$B,0))</f>
        <v>1.9444298168382741</v>
      </c>
      <c r="L49" s="174">
        <v>150</v>
      </c>
      <c r="M49" s="139">
        <f>'Measure Calculations'!$L$276</f>
        <v>8</v>
      </c>
      <c r="N49" s="140">
        <v>0</v>
      </c>
      <c r="O49" s="130">
        <v>5</v>
      </c>
      <c r="P49" s="130">
        <f>'Measure Calculations'!$H$276</f>
        <v>9</v>
      </c>
      <c r="Q49" s="130">
        <v>0</v>
      </c>
      <c r="R49" s="130">
        <v>0</v>
      </c>
      <c r="S49" s="162">
        <v>0</v>
      </c>
      <c r="T49" s="95">
        <v>1</v>
      </c>
      <c r="U49" s="95">
        <v>1</v>
      </c>
      <c r="V49" s="768">
        <f>'Measure Calculations'!$F$276</f>
        <v>80.25712</v>
      </c>
      <c r="W49" s="769">
        <f>'Measure Calculations'!$G$276</f>
        <v>2.128E-2</v>
      </c>
      <c r="X49" s="770">
        <v>0</v>
      </c>
      <c r="Y49" s="98"/>
      <c r="Z49" s="770">
        <v>0</v>
      </c>
      <c r="AA49" s="769">
        <v>0</v>
      </c>
      <c r="AB49" s="135">
        <v>0</v>
      </c>
      <c r="AC49" s="207"/>
    </row>
    <row r="50" spans="1:29" s="2" customFormat="1">
      <c r="A50" s="61"/>
      <c r="B50" s="41" t="str">
        <f t="shared" si="0"/>
        <v>C&amp;I_C&amp;I Prescriptive_0_Energy Star LED Lamp (6-10W)_2017</v>
      </c>
      <c r="C50" s="41" t="b">
        <f>ISNUMBER(MATCH(B50,Analysis!B:B,0))</f>
        <v>1</v>
      </c>
      <c r="D50" s="41">
        <f t="shared" si="1"/>
        <v>44</v>
      </c>
      <c r="E50" s="41" t="b">
        <f>COUNTIF($B$7:B50,B50)=1</f>
        <v>1</v>
      </c>
      <c r="F50" s="142" t="s">
        <v>256</v>
      </c>
      <c r="G50" s="142" t="s">
        <v>255</v>
      </c>
      <c r="H50" s="142">
        <v>0</v>
      </c>
      <c r="I50" s="29" t="s">
        <v>358</v>
      </c>
      <c r="J50" s="26">
        <v>2017</v>
      </c>
      <c r="K50" s="143">
        <f ca="1">INDEX(Analysis!J:J,MATCH($B50,Analysis!$B:$B,0))</f>
        <v>2.9166447252574113</v>
      </c>
      <c r="L50" s="174">
        <v>200</v>
      </c>
      <c r="M50" s="139">
        <f>'Measure Calculations'!$L$277</f>
        <v>8</v>
      </c>
      <c r="N50" s="140">
        <v>0</v>
      </c>
      <c r="O50" s="130">
        <v>8.5</v>
      </c>
      <c r="P50" s="130">
        <f>'Measure Calculations'!$H$277</f>
        <v>9</v>
      </c>
      <c r="Q50" s="130">
        <v>0</v>
      </c>
      <c r="R50" s="130">
        <v>0</v>
      </c>
      <c r="S50" s="162">
        <v>0</v>
      </c>
      <c r="T50" s="95">
        <v>1</v>
      </c>
      <c r="U50" s="95">
        <v>1</v>
      </c>
      <c r="V50" s="768">
        <f>'Measure Calculations'!$F$277</f>
        <v>120.38567999999999</v>
      </c>
      <c r="W50" s="769">
        <f>'Measure Calculations'!$G$277</f>
        <v>3.1920000000000004E-2</v>
      </c>
      <c r="X50" s="770">
        <v>0</v>
      </c>
      <c r="Y50" s="98"/>
      <c r="Z50" s="770">
        <v>0</v>
      </c>
      <c r="AA50" s="769">
        <v>0</v>
      </c>
      <c r="AB50" s="135">
        <v>0</v>
      </c>
      <c r="AC50" s="207"/>
    </row>
    <row r="51" spans="1:29" s="2" customFormat="1">
      <c r="A51" s="61"/>
      <c r="B51" s="41" t="str">
        <f t="shared" si="0"/>
        <v>C&amp;I_C&amp;I Prescriptive_0_Energy Star LED Lamp (11 to 20W)_2017</v>
      </c>
      <c r="C51" s="41" t="b">
        <f>ISNUMBER(MATCH(B51,Analysis!B:B,0))</f>
        <v>1</v>
      </c>
      <c r="D51" s="41">
        <f t="shared" si="1"/>
        <v>45</v>
      </c>
      <c r="E51" s="41" t="b">
        <f>COUNTIF($B$7:B51,B51)=1</f>
        <v>1</v>
      </c>
      <c r="F51" s="142" t="s">
        <v>256</v>
      </c>
      <c r="G51" s="142" t="s">
        <v>255</v>
      </c>
      <c r="H51" s="142">
        <v>0</v>
      </c>
      <c r="I51" s="29" t="s">
        <v>357</v>
      </c>
      <c r="J51" s="26">
        <v>2017</v>
      </c>
      <c r="K51" s="143">
        <f ca="1">INDEX(Analysis!J:J,MATCH($B51,Analysis!$B:$B,0))</f>
        <v>2.5976367084323817</v>
      </c>
      <c r="L51" s="174">
        <v>100</v>
      </c>
      <c r="M51" s="139">
        <f>'Measure Calculations'!$L$278</f>
        <v>8</v>
      </c>
      <c r="N51" s="140">
        <v>0</v>
      </c>
      <c r="O51" s="130">
        <v>12.5</v>
      </c>
      <c r="P51" s="130">
        <f>'Measure Calculations'!$H$278</f>
        <v>16</v>
      </c>
      <c r="Q51" s="130">
        <v>0</v>
      </c>
      <c r="R51" s="130">
        <v>0</v>
      </c>
      <c r="S51" s="162">
        <v>0</v>
      </c>
      <c r="T51" s="95">
        <v>1</v>
      </c>
      <c r="U51" s="95">
        <v>1</v>
      </c>
      <c r="V51" s="768">
        <f>'Measure Calculations'!$F$278</f>
        <v>190.61065999999997</v>
      </c>
      <c r="W51" s="769">
        <f>'Measure Calculations'!$G$278</f>
        <v>5.0540000000000002E-2</v>
      </c>
      <c r="X51" s="770">
        <v>0</v>
      </c>
      <c r="Y51" s="98"/>
      <c r="Z51" s="770">
        <v>0</v>
      </c>
      <c r="AA51" s="769">
        <v>0</v>
      </c>
      <c r="AB51" s="135">
        <v>0</v>
      </c>
      <c r="AC51" s="207"/>
    </row>
    <row r="52" spans="1:29" s="2" customFormat="1">
      <c r="A52" s="61"/>
      <c r="B52" s="41" t="str">
        <f t="shared" si="0"/>
        <v>C&amp;I_C&amp;I Prescriptive_0_Energy Star LED Lamp (&gt;20W)_2017</v>
      </c>
      <c r="C52" s="41" t="b">
        <f>ISNUMBER(MATCH(B52,Analysis!B:B,0))</f>
        <v>1</v>
      </c>
      <c r="D52" s="41">
        <f t="shared" si="1"/>
        <v>46</v>
      </c>
      <c r="E52" s="41" t="b">
        <f>COUNTIF($B$7:B52,B52)=1</f>
        <v>1</v>
      </c>
      <c r="F52" s="142" t="s">
        <v>256</v>
      </c>
      <c r="G52" s="142" t="s">
        <v>255</v>
      </c>
      <c r="H52" s="142">
        <v>0</v>
      </c>
      <c r="I52" s="29" t="s">
        <v>356</v>
      </c>
      <c r="J52" s="26">
        <v>2017</v>
      </c>
      <c r="K52" s="143">
        <f ca="1">INDEX(Analysis!J:J,MATCH($B52,Analysis!$B:$B,0))</f>
        <v>2.3863456843015185</v>
      </c>
      <c r="L52" s="174">
        <v>100</v>
      </c>
      <c r="M52" s="139">
        <f>'Measure Calculations'!$L$279</f>
        <v>8</v>
      </c>
      <c r="N52" s="140">
        <v>0</v>
      </c>
      <c r="O52" s="130">
        <v>15</v>
      </c>
      <c r="P52" s="130">
        <f>'Measure Calculations'!$H$279</f>
        <v>22</v>
      </c>
      <c r="Q52" s="130">
        <v>0</v>
      </c>
      <c r="R52" s="130">
        <v>0</v>
      </c>
      <c r="S52" s="162">
        <v>0</v>
      </c>
      <c r="T52" s="95">
        <v>1</v>
      </c>
      <c r="U52" s="95">
        <v>1</v>
      </c>
      <c r="V52" s="768">
        <f>'Measure Calculations'!$F$279</f>
        <v>240.77135999999999</v>
      </c>
      <c r="W52" s="769">
        <f>'Measure Calculations'!$G$279</f>
        <v>6.3840000000000008E-2</v>
      </c>
      <c r="X52" s="770">
        <v>0</v>
      </c>
      <c r="Y52" s="98"/>
      <c r="Z52" s="770">
        <v>0</v>
      </c>
      <c r="AA52" s="769">
        <v>0</v>
      </c>
      <c r="AB52" s="135">
        <v>0</v>
      </c>
      <c r="AC52" s="207"/>
    </row>
    <row r="53" spans="1:29" s="2" customFormat="1">
      <c r="A53" s="61"/>
      <c r="B53" s="41" t="str">
        <f t="shared" si="0"/>
        <v>C&amp;I_C&amp;I Prescriptive_0_High Performance T8 (1-2 Lamp)_2017</v>
      </c>
      <c r="C53" s="41" t="b">
        <f>ISNUMBER(MATCH(B53,Analysis!B:B,0))</f>
        <v>1</v>
      </c>
      <c r="D53" s="41">
        <f t="shared" si="1"/>
        <v>47</v>
      </c>
      <c r="E53" s="41" t="b">
        <f>COUNTIF($B$7:B53,B53)=1</f>
        <v>1</v>
      </c>
      <c r="F53" s="142" t="s">
        <v>256</v>
      </c>
      <c r="G53" s="142" t="s">
        <v>255</v>
      </c>
      <c r="H53" s="142">
        <v>0</v>
      </c>
      <c r="I53" s="29" t="s">
        <v>289</v>
      </c>
      <c r="J53" s="26">
        <v>2017</v>
      </c>
      <c r="K53" s="143">
        <f ca="1">INDEX(Analysis!J:J,MATCH($B53,Analysis!$B:$B,0))</f>
        <v>0.9216233656134839</v>
      </c>
      <c r="L53" s="174">
        <v>150</v>
      </c>
      <c r="M53" s="139">
        <f>'Measure Calculations'!$L$281</f>
        <v>15</v>
      </c>
      <c r="N53" s="140">
        <v>0</v>
      </c>
      <c r="O53" s="130">
        <v>9</v>
      </c>
      <c r="P53" s="130">
        <f>'Measure Calculations'!$H$281</f>
        <v>18</v>
      </c>
      <c r="Q53" s="130">
        <v>0</v>
      </c>
      <c r="R53" s="130">
        <v>0</v>
      </c>
      <c r="S53" s="162">
        <v>0</v>
      </c>
      <c r="T53" s="95">
        <v>1</v>
      </c>
      <c r="U53" s="95">
        <v>1</v>
      </c>
      <c r="V53" s="768">
        <f>'Measure Calculations'!$F$281</f>
        <v>50.160699999999999</v>
      </c>
      <c r="W53" s="769">
        <f>'Measure Calculations'!$G$281</f>
        <v>1.3300000000000001E-2</v>
      </c>
      <c r="X53" s="770">
        <v>0</v>
      </c>
      <c r="Y53" s="98"/>
      <c r="Z53" s="770">
        <v>0</v>
      </c>
      <c r="AA53" s="769">
        <v>0</v>
      </c>
      <c r="AB53" s="135">
        <v>0</v>
      </c>
      <c r="AC53" s="207"/>
    </row>
    <row r="54" spans="1:29" s="2" customFormat="1">
      <c r="A54" s="61"/>
      <c r="B54" s="41" t="str">
        <f t="shared" si="0"/>
        <v>C&amp;I_C&amp;I Prescriptive_0_High Performance T8 (3-4 Lamp)_2017</v>
      </c>
      <c r="C54" s="41" t="b">
        <f>ISNUMBER(MATCH(B54,Analysis!B:B,0))</f>
        <v>1</v>
      </c>
      <c r="D54" s="41">
        <f t="shared" si="1"/>
        <v>48</v>
      </c>
      <c r="E54" s="41" t="b">
        <f>COUNTIF($B$7:B54,B54)=1</f>
        <v>1</v>
      </c>
      <c r="F54" s="142" t="s">
        <v>256</v>
      </c>
      <c r="G54" s="142" t="s">
        <v>255</v>
      </c>
      <c r="H54" s="142">
        <v>0</v>
      </c>
      <c r="I54" s="29" t="s">
        <v>290</v>
      </c>
      <c r="J54" s="26">
        <v>2017</v>
      </c>
      <c r="K54" s="143">
        <f ca="1">INDEX(Analysis!J:J,MATCH($B54,Analysis!$B:$B,0))</f>
        <v>1.3704138740861365</v>
      </c>
      <c r="L54" s="174">
        <v>150</v>
      </c>
      <c r="M54" s="139">
        <f>'Measure Calculations'!$L$282</f>
        <v>15</v>
      </c>
      <c r="N54" s="140">
        <v>0</v>
      </c>
      <c r="O54" s="130">
        <v>12</v>
      </c>
      <c r="P54" s="130">
        <f>'Measure Calculations'!$H$282</f>
        <v>23</v>
      </c>
      <c r="Q54" s="130">
        <v>0</v>
      </c>
      <c r="R54" s="130">
        <v>0</v>
      </c>
      <c r="S54" s="162">
        <v>0</v>
      </c>
      <c r="T54" s="95">
        <v>1</v>
      </c>
      <c r="U54" s="95">
        <v>1</v>
      </c>
      <c r="V54" s="768">
        <f>'Measure Calculations'!$F$282</f>
        <v>95.305329999999984</v>
      </c>
      <c r="W54" s="769">
        <f>'Measure Calculations'!$G$282</f>
        <v>2.5270000000000001E-2</v>
      </c>
      <c r="X54" s="770">
        <v>0</v>
      </c>
      <c r="Y54" s="98"/>
      <c r="Z54" s="770">
        <v>0</v>
      </c>
      <c r="AA54" s="769">
        <v>0</v>
      </c>
      <c r="AB54" s="135">
        <v>0</v>
      </c>
      <c r="AC54" s="207"/>
    </row>
    <row r="55" spans="1:29" s="2" customFormat="1">
      <c r="A55" s="61"/>
      <c r="B55" s="41" t="str">
        <f t="shared" si="0"/>
        <v>C&amp;I_C&amp;I Prescriptive_0_LED Parking Garage/Canopy (&lt;30W)_2017</v>
      </c>
      <c r="C55" s="41" t="b">
        <f>ISNUMBER(MATCH(B55,Analysis!B:B,0))</f>
        <v>1</v>
      </c>
      <c r="D55" s="41">
        <f t="shared" si="1"/>
        <v>49</v>
      </c>
      <c r="E55" s="41" t="b">
        <f>COUNTIF($B$7:B55,B55)=1</f>
        <v>1</v>
      </c>
      <c r="F55" s="142" t="s">
        <v>256</v>
      </c>
      <c r="G55" s="142" t="s">
        <v>255</v>
      </c>
      <c r="H55" s="142">
        <v>0</v>
      </c>
      <c r="I55" s="29" t="s">
        <v>291</v>
      </c>
      <c r="J55" s="26">
        <v>2017</v>
      </c>
      <c r="K55" s="143">
        <f ca="1">INDEX(Analysis!J:J,MATCH($B55,Analysis!$B:$B,0))</f>
        <v>0.60846581735468763</v>
      </c>
      <c r="L55" s="174">
        <v>250</v>
      </c>
      <c r="M55" s="139">
        <f>'Measure Calculations'!$L$289</f>
        <v>8</v>
      </c>
      <c r="N55" s="140">
        <v>0</v>
      </c>
      <c r="O55" s="130">
        <v>60</v>
      </c>
      <c r="P55" s="130">
        <f>'Measure Calculations'!$H$289</f>
        <v>190</v>
      </c>
      <c r="Q55" s="130">
        <v>0</v>
      </c>
      <c r="R55" s="130">
        <v>0</v>
      </c>
      <c r="S55" s="162">
        <v>0</v>
      </c>
      <c r="T55" s="95">
        <v>1</v>
      </c>
      <c r="U55" s="95">
        <v>1</v>
      </c>
      <c r="V55" s="768">
        <f>'Measure Calculations'!$F$289</f>
        <v>530.19859899999994</v>
      </c>
      <c r="W55" s="769">
        <f>'Measure Calculations'!$G$289</f>
        <v>0.14058099999999998</v>
      </c>
      <c r="X55" s="770">
        <v>0</v>
      </c>
      <c r="Y55" s="98"/>
      <c r="Z55" s="770">
        <v>0</v>
      </c>
      <c r="AA55" s="769">
        <v>0</v>
      </c>
      <c r="AB55" s="135">
        <v>0</v>
      </c>
      <c r="AC55" s="207"/>
    </row>
    <row r="56" spans="1:29" s="2" customFormat="1">
      <c r="A56" s="61"/>
      <c r="B56" s="41" t="str">
        <f t="shared" si="0"/>
        <v>C&amp;I_C&amp;I Prescriptive_0_LED Parking Garage/Canopy (30-75W)_2017</v>
      </c>
      <c r="C56" s="41" t="b">
        <f>ISNUMBER(MATCH(B56,Analysis!B:B,0))</f>
        <v>1</v>
      </c>
      <c r="D56" s="41">
        <f t="shared" si="1"/>
        <v>50</v>
      </c>
      <c r="E56" s="41" t="b">
        <f>COUNTIF($B$7:B56,B56)=1</f>
        <v>1</v>
      </c>
      <c r="F56" s="142" t="s">
        <v>256</v>
      </c>
      <c r="G56" s="142" t="s">
        <v>255</v>
      </c>
      <c r="H56" s="142">
        <v>0</v>
      </c>
      <c r="I56" s="29" t="s">
        <v>292</v>
      </c>
      <c r="J56" s="26">
        <v>2017</v>
      </c>
      <c r="K56" s="143">
        <f ca="1">INDEX(Analysis!J:J,MATCH($B56,Analysis!$B:$B,0))</f>
        <v>0.49694748106302261</v>
      </c>
      <c r="L56" s="174">
        <v>100</v>
      </c>
      <c r="M56" s="139">
        <f>'Measure Calculations'!$L$290</f>
        <v>8</v>
      </c>
      <c r="N56" s="140">
        <v>0</v>
      </c>
      <c r="O56" s="130">
        <v>100</v>
      </c>
      <c r="P56" s="130">
        <f>'Measure Calculations'!$H$290</f>
        <v>287</v>
      </c>
      <c r="Q56" s="130">
        <v>0</v>
      </c>
      <c r="R56" s="130">
        <v>0</v>
      </c>
      <c r="S56" s="162">
        <v>0</v>
      </c>
      <c r="T56" s="95">
        <v>1</v>
      </c>
      <c r="U56" s="95">
        <v>1</v>
      </c>
      <c r="V56" s="768">
        <f>'Measure Calculations'!$F$290</f>
        <v>654.09552800000006</v>
      </c>
      <c r="W56" s="769">
        <f>'Measure Calculations'!$G$290</f>
        <v>0.17343200000000003</v>
      </c>
      <c r="X56" s="770">
        <v>0</v>
      </c>
      <c r="Y56" s="98"/>
      <c r="Z56" s="770">
        <v>0</v>
      </c>
      <c r="AA56" s="769">
        <v>0</v>
      </c>
      <c r="AB56" s="135">
        <v>0</v>
      </c>
      <c r="AC56" s="207"/>
    </row>
    <row r="57" spans="1:29" s="2" customFormat="1">
      <c r="A57" s="61"/>
      <c r="B57" s="41" t="str">
        <f t="shared" si="0"/>
        <v>C&amp;I_C&amp;I Prescriptive_0_LED Parking Garage/Canopy (≥75W)_2017</v>
      </c>
      <c r="C57" s="41" t="b">
        <f>ISNUMBER(MATCH(B57,Analysis!B:B,0))</f>
        <v>1</v>
      </c>
      <c r="D57" s="41">
        <f t="shared" si="1"/>
        <v>51</v>
      </c>
      <c r="E57" s="41" t="b">
        <f>COUNTIF($B$7:B57,B57)=1</f>
        <v>1</v>
      </c>
      <c r="F57" s="142" t="s">
        <v>256</v>
      </c>
      <c r="G57" s="142" t="s">
        <v>255</v>
      </c>
      <c r="H57" s="142">
        <v>0</v>
      </c>
      <c r="I57" s="29" t="s">
        <v>293</v>
      </c>
      <c r="J57" s="26">
        <v>2017</v>
      </c>
      <c r="K57" s="143">
        <f ca="1">INDEX(Analysis!J:J,MATCH($B57,Analysis!$B:$B,0))</f>
        <v>0.6842179985274579</v>
      </c>
      <c r="L57" s="174">
        <v>250</v>
      </c>
      <c r="M57" s="139">
        <f>'Measure Calculations'!$L$291</f>
        <v>8</v>
      </c>
      <c r="N57" s="140">
        <v>0</v>
      </c>
      <c r="O57" s="130">
        <v>140</v>
      </c>
      <c r="P57" s="130">
        <f>'Measure Calculations'!$H$291</f>
        <v>391</v>
      </c>
      <c r="Q57" s="130">
        <v>0</v>
      </c>
      <c r="R57" s="130">
        <v>0</v>
      </c>
      <c r="S57" s="162">
        <v>0</v>
      </c>
      <c r="T57" s="95">
        <v>1</v>
      </c>
      <c r="U57" s="95">
        <v>1</v>
      </c>
      <c r="V57" s="768">
        <f>'Measure Calculations'!$F$291</f>
        <v>1226.9307219999996</v>
      </c>
      <c r="W57" s="769">
        <f>'Measure Calculations'!$G$291</f>
        <v>0.32531799999999994</v>
      </c>
      <c r="X57" s="770">
        <v>0</v>
      </c>
      <c r="Y57" s="98"/>
      <c r="Z57" s="770">
        <v>0</v>
      </c>
      <c r="AA57" s="769">
        <v>0</v>
      </c>
      <c r="AB57" s="135">
        <v>0</v>
      </c>
      <c r="AC57" s="207"/>
    </row>
    <row r="58" spans="1:29" s="2" customFormat="1">
      <c r="A58" s="61"/>
      <c r="B58" s="41" t="str">
        <f t="shared" si="0"/>
        <v>C&amp;I_C&amp;I Prescriptive_0_LED Linear Replacement Lamp (≤4ft)_2017</v>
      </c>
      <c r="C58" s="41" t="b">
        <f>ISNUMBER(MATCH(B58,Analysis!B:B,0))</f>
        <v>1</v>
      </c>
      <c r="D58" s="41">
        <f t="shared" si="1"/>
        <v>52</v>
      </c>
      <c r="E58" s="41" t="b">
        <f>COUNTIF($B$7:B58,B58)=1</f>
        <v>1</v>
      </c>
      <c r="F58" s="142" t="s">
        <v>256</v>
      </c>
      <c r="G58" s="142" t="s">
        <v>255</v>
      </c>
      <c r="H58" s="142">
        <v>0</v>
      </c>
      <c r="I58" s="29" t="s">
        <v>299</v>
      </c>
      <c r="J58" s="26">
        <v>2017</v>
      </c>
      <c r="K58" s="143">
        <f ca="1">INDEX(Analysis!J:J,MATCH($B58,Analysis!$B:$B,0))</f>
        <v>0.79731892527965142</v>
      </c>
      <c r="L58" s="174">
        <v>4000</v>
      </c>
      <c r="M58" s="139">
        <f>'Measure Calculations'!$L$305</f>
        <v>10</v>
      </c>
      <c r="N58" s="140">
        <v>0</v>
      </c>
      <c r="O58" s="130">
        <v>6</v>
      </c>
      <c r="P58" s="130">
        <f>'Measure Calculations'!$H$305</f>
        <v>24</v>
      </c>
      <c r="Q58" s="130">
        <v>0</v>
      </c>
      <c r="R58" s="130">
        <v>0</v>
      </c>
      <c r="S58" s="162">
        <v>0</v>
      </c>
      <c r="T58" s="95">
        <v>1</v>
      </c>
      <c r="U58" s="95">
        <v>1</v>
      </c>
      <c r="V58" s="768">
        <f>'Measure Calculations'!$F$305</f>
        <v>74.739443000000009</v>
      </c>
      <c r="W58" s="769">
        <f>'Measure Calculations'!$G$305</f>
        <v>1.9817000000000005E-2</v>
      </c>
      <c r="X58" s="770">
        <v>0</v>
      </c>
      <c r="Y58" s="98"/>
      <c r="Z58" s="770">
        <v>0</v>
      </c>
      <c r="AA58" s="769">
        <v>0</v>
      </c>
      <c r="AB58" s="135">
        <v>0</v>
      </c>
      <c r="AC58" s="207"/>
    </row>
    <row r="59" spans="1:29" s="2" customFormat="1">
      <c r="A59" s="61"/>
      <c r="B59" s="41" t="str">
        <f t="shared" si="0"/>
        <v>C&amp;I_C&amp;I Prescriptive_0_LED Linear Replacement Lamp (5-8ft)_2017</v>
      </c>
      <c r="C59" s="41" t="b">
        <f>ISNUMBER(MATCH(B59,Analysis!B:B,0))</f>
        <v>1</v>
      </c>
      <c r="D59" s="41">
        <f t="shared" si="1"/>
        <v>53</v>
      </c>
      <c r="E59" s="41" t="b">
        <f>COUNTIF($B$7:B59,B59)=1</f>
        <v>1</v>
      </c>
      <c r="F59" s="142" t="s">
        <v>256</v>
      </c>
      <c r="G59" s="142" t="s">
        <v>255</v>
      </c>
      <c r="H59" s="142">
        <v>0</v>
      </c>
      <c r="I59" s="29" t="s">
        <v>300</v>
      </c>
      <c r="J59" s="26">
        <v>2017</v>
      </c>
      <c r="K59" s="143">
        <f ca="1">INDEX(Analysis!J:J,MATCH($B59,Analysis!$B:$B,0))</f>
        <v>1.1772494198759951</v>
      </c>
      <c r="L59" s="174">
        <v>350</v>
      </c>
      <c r="M59" s="139">
        <f>'Measure Calculations'!$L$306</f>
        <v>10</v>
      </c>
      <c r="N59" s="140">
        <v>0</v>
      </c>
      <c r="O59" s="130">
        <v>15</v>
      </c>
      <c r="P59" s="130">
        <f>'Measure Calculations'!$H$306</f>
        <v>36</v>
      </c>
      <c r="Q59" s="130">
        <v>0</v>
      </c>
      <c r="R59" s="130">
        <v>0</v>
      </c>
      <c r="S59" s="162">
        <v>0</v>
      </c>
      <c r="T59" s="95">
        <v>1</v>
      </c>
      <c r="U59" s="95">
        <v>1</v>
      </c>
      <c r="V59" s="768">
        <f>'Measure Calculations'!$F$306</f>
        <v>165.53030999999999</v>
      </c>
      <c r="W59" s="769">
        <f>'Measure Calculations'!$G$306</f>
        <v>4.3890000000000005E-2</v>
      </c>
      <c r="X59" s="770">
        <v>0</v>
      </c>
      <c r="Y59" s="98"/>
      <c r="Z59" s="770">
        <v>0</v>
      </c>
      <c r="AA59" s="769">
        <v>0</v>
      </c>
      <c r="AB59" s="135">
        <v>0</v>
      </c>
      <c r="AC59" s="207"/>
    </row>
    <row r="60" spans="1:29" s="2" customFormat="1">
      <c r="A60" s="61"/>
      <c r="B60" s="41" t="str">
        <f t="shared" si="0"/>
        <v>C&amp;I_C&amp;I Prescriptive_0_Ceiling Mount Occupancy_2017</v>
      </c>
      <c r="C60" s="41" t="b">
        <f>ISNUMBER(MATCH(B60,Analysis!B:B,0))</f>
        <v>1</v>
      </c>
      <c r="D60" s="41">
        <f t="shared" si="1"/>
        <v>54</v>
      </c>
      <c r="E60" s="41" t="b">
        <f>COUNTIF($B$7:B60,B60)=1</f>
        <v>1</v>
      </c>
      <c r="F60" s="142" t="s">
        <v>256</v>
      </c>
      <c r="G60" s="142" t="s">
        <v>255</v>
      </c>
      <c r="H60" s="142">
        <v>0</v>
      </c>
      <c r="I60" s="29" t="s">
        <v>307</v>
      </c>
      <c r="J60" s="26">
        <v>2017</v>
      </c>
      <c r="K60" s="143">
        <f ca="1">INDEX(Analysis!J:J,MATCH($B60,Analysis!$B:$B,0))</f>
        <v>2.0053327017694458</v>
      </c>
      <c r="L60" s="174">
        <v>30</v>
      </c>
      <c r="M60" s="139">
        <f>'Measure Calculations'!$B$252</f>
        <v>8</v>
      </c>
      <c r="N60" s="140">
        <v>0</v>
      </c>
      <c r="O60" s="130">
        <v>30</v>
      </c>
      <c r="P60" s="130">
        <f>'Measure Calculations'!$B$251</f>
        <v>102</v>
      </c>
      <c r="Q60" s="130">
        <v>0</v>
      </c>
      <c r="R60" s="130">
        <v>0</v>
      </c>
      <c r="S60" s="162">
        <v>0</v>
      </c>
      <c r="T60" s="95">
        <v>1</v>
      </c>
      <c r="U60" s="95">
        <v>1</v>
      </c>
      <c r="V60" s="768">
        <f>'Measure Calculations'!$B$249</f>
        <v>622.39396559999989</v>
      </c>
      <c r="W60" s="769">
        <f>'Measure Calculations'!$B$248</f>
        <v>0.68761000000000005</v>
      </c>
      <c r="X60" s="770">
        <v>0</v>
      </c>
      <c r="Y60" s="98"/>
      <c r="Z60" s="770">
        <v>0</v>
      </c>
      <c r="AA60" s="769">
        <v>0</v>
      </c>
      <c r="AB60" s="135">
        <v>0</v>
      </c>
      <c r="AC60" s="207"/>
    </row>
    <row r="61" spans="1:29" s="2" customFormat="1">
      <c r="A61" s="61"/>
      <c r="B61" s="41" t="str">
        <f t="shared" si="0"/>
        <v>C&amp;I_C&amp;I Prescriptive_0_Wall Mount Occupancy_2017</v>
      </c>
      <c r="C61" s="41" t="b">
        <f>ISNUMBER(MATCH(B61,Analysis!B:B,0))</f>
        <v>1</v>
      </c>
      <c r="D61" s="41">
        <f t="shared" si="1"/>
        <v>55</v>
      </c>
      <c r="E61" s="41" t="b">
        <f>COUNTIF($B$7:B61,B61)=1</f>
        <v>1</v>
      </c>
      <c r="F61" s="142" t="s">
        <v>256</v>
      </c>
      <c r="G61" s="142" t="s">
        <v>255</v>
      </c>
      <c r="H61" s="142">
        <v>0</v>
      </c>
      <c r="I61" s="29" t="s">
        <v>308</v>
      </c>
      <c r="J61" s="26">
        <v>2017</v>
      </c>
      <c r="K61" s="143">
        <f ca="1">INDEX(Analysis!J:J,MATCH($B61,Analysis!$B:$B,0))</f>
        <v>2.3660598608885151</v>
      </c>
      <c r="L61" s="174">
        <v>20</v>
      </c>
      <c r="M61" s="139">
        <f>'Measure Calculations'!$C$252</f>
        <v>8</v>
      </c>
      <c r="N61" s="140">
        <v>0</v>
      </c>
      <c r="O61" s="130">
        <v>12</v>
      </c>
      <c r="P61" s="130">
        <f>'Measure Calculations'!$C$251</f>
        <v>51</v>
      </c>
      <c r="Q61" s="130">
        <v>0</v>
      </c>
      <c r="R61" s="130">
        <v>0</v>
      </c>
      <c r="S61" s="162">
        <v>0</v>
      </c>
      <c r="T61" s="95">
        <v>1</v>
      </c>
      <c r="U61" s="95">
        <v>1</v>
      </c>
      <c r="V61" s="768">
        <f>'Measure Calculations'!$C$249</f>
        <v>367.17632399999997</v>
      </c>
      <c r="W61" s="769">
        <f>'Measure Calculations'!$C$248</f>
        <v>0.40565000000000001</v>
      </c>
      <c r="X61" s="770">
        <v>0</v>
      </c>
      <c r="Y61" s="98"/>
      <c r="Z61" s="770">
        <v>0</v>
      </c>
      <c r="AA61" s="769">
        <v>0</v>
      </c>
      <c r="AB61" s="135">
        <v>0</v>
      </c>
      <c r="AC61" s="207"/>
    </row>
    <row r="62" spans="1:29" s="2" customFormat="1">
      <c r="A62" s="61"/>
      <c r="B62" s="41" t="str">
        <f t="shared" si="0"/>
        <v>C&amp;I_C&amp;I Prescriptive_0_Fixture Mount Occupancy_2017</v>
      </c>
      <c r="C62" s="41" t="b">
        <f>ISNUMBER(MATCH(B62,Analysis!B:B,0))</f>
        <v>1</v>
      </c>
      <c r="D62" s="41">
        <f t="shared" si="1"/>
        <v>56</v>
      </c>
      <c r="E62" s="41" t="b">
        <f>COUNTIF($B$7:B62,B62)=1</f>
        <v>1</v>
      </c>
      <c r="F62" s="142" t="s">
        <v>256</v>
      </c>
      <c r="G62" s="142" t="s">
        <v>255</v>
      </c>
      <c r="H62" s="142">
        <v>0</v>
      </c>
      <c r="I62" s="29" t="s">
        <v>309</v>
      </c>
      <c r="J62" s="26">
        <v>2017</v>
      </c>
      <c r="K62" s="143">
        <f ca="1">INDEX(Analysis!J:J,MATCH($B62,Analysis!$B:$B,0))</f>
        <v>0.77407090245746835</v>
      </c>
      <c r="L62" s="174">
        <v>20</v>
      </c>
      <c r="M62" s="139">
        <f>'Measure Calculations'!$D$252</f>
        <v>8</v>
      </c>
      <c r="N62" s="140">
        <v>0</v>
      </c>
      <c r="O62" s="130">
        <v>12</v>
      </c>
      <c r="P62" s="130">
        <f>'Measure Calculations'!$D$251</f>
        <v>92</v>
      </c>
      <c r="Q62" s="130">
        <v>0</v>
      </c>
      <c r="R62" s="130">
        <v>0</v>
      </c>
      <c r="S62" s="162">
        <v>0</v>
      </c>
      <c r="T62" s="95">
        <v>1</v>
      </c>
      <c r="U62" s="95">
        <v>1</v>
      </c>
      <c r="V62" s="768">
        <f>'Measure Calculations'!$D$249</f>
        <v>216.69422399999996</v>
      </c>
      <c r="W62" s="769">
        <f>'Measure Calculations'!$D$248</f>
        <v>0.2394</v>
      </c>
      <c r="X62" s="770">
        <v>0</v>
      </c>
      <c r="Y62" s="98"/>
      <c r="Z62" s="770">
        <v>0</v>
      </c>
      <c r="AA62" s="769">
        <v>0</v>
      </c>
      <c r="AB62" s="135">
        <v>0</v>
      </c>
      <c r="AC62" s="207"/>
    </row>
    <row r="63" spans="1:29" s="2" customFormat="1">
      <c r="A63" s="61"/>
      <c r="B63" s="41" t="str">
        <f t="shared" si="0"/>
        <v>C&amp;I_C&amp;I Prescriptive_0_Exit Sign_2017</v>
      </c>
      <c r="C63" s="41" t="b">
        <f>ISNUMBER(MATCH(B63,Analysis!B:B,0))</f>
        <v>1</v>
      </c>
      <c r="D63" s="41">
        <f t="shared" si="1"/>
        <v>57</v>
      </c>
      <c r="E63" s="41" t="b">
        <f>COUNTIF($B$7:B63,B63)=1</f>
        <v>1</v>
      </c>
      <c r="F63" s="142" t="s">
        <v>256</v>
      </c>
      <c r="G63" s="142" t="s">
        <v>255</v>
      </c>
      <c r="H63" s="142">
        <v>0</v>
      </c>
      <c r="I63" s="29" t="s">
        <v>311</v>
      </c>
      <c r="J63" s="26">
        <v>2017</v>
      </c>
      <c r="K63" s="143">
        <f ca="1">INDEX(Analysis!J:J,MATCH($B63,Analysis!$B:$B,0))</f>
        <v>5.5000292383769374</v>
      </c>
      <c r="L63" s="174">
        <v>160</v>
      </c>
      <c r="M63" s="139">
        <f>'Measure Calculations'!$B$241</f>
        <v>16</v>
      </c>
      <c r="N63" s="140">
        <v>0</v>
      </c>
      <c r="O63" s="130">
        <v>6</v>
      </c>
      <c r="P63" s="130">
        <f>'Measure Calculations'!$B$240</f>
        <v>25</v>
      </c>
      <c r="Q63" s="130">
        <v>0</v>
      </c>
      <c r="R63" s="130">
        <v>0</v>
      </c>
      <c r="S63" s="162">
        <v>0</v>
      </c>
      <c r="T63" s="95">
        <v>1</v>
      </c>
      <c r="U63" s="95">
        <v>1</v>
      </c>
      <c r="V63" s="768">
        <f>'Measure Calculations'!$B$238</f>
        <v>435.54719999999992</v>
      </c>
      <c r="W63" s="769">
        <f>'Measure Calculations'!$B$237</f>
        <v>5.8520000000000003E-2</v>
      </c>
      <c r="X63" s="770">
        <v>0</v>
      </c>
      <c r="Y63" s="98"/>
      <c r="Z63" s="770">
        <v>0</v>
      </c>
      <c r="AA63" s="769">
        <v>0</v>
      </c>
      <c r="AB63" s="135">
        <v>0</v>
      </c>
      <c r="AC63" s="207"/>
    </row>
    <row r="64" spans="1:29" s="2" customFormat="1">
      <c r="A64" s="61"/>
      <c r="B64" s="41" t="str">
        <f t="shared" si="0"/>
        <v>C&amp;I_C&amp;I Prescriptive_0_LED wall mounted area lights (wallpacks) (&lt;30W)_2017</v>
      </c>
      <c r="C64" s="41" t="b">
        <f>ISNUMBER(MATCH(B64,Analysis!B:B,0))</f>
        <v>1</v>
      </c>
      <c r="D64" s="41">
        <f t="shared" si="1"/>
        <v>58</v>
      </c>
      <c r="E64" s="41" t="b">
        <f>COUNTIF($B$7:B64,B64)=1</f>
        <v>1</v>
      </c>
      <c r="F64" s="142" t="s">
        <v>256</v>
      </c>
      <c r="G64" s="142" t="s">
        <v>255</v>
      </c>
      <c r="H64" s="142">
        <v>0</v>
      </c>
      <c r="I64" s="29" t="s">
        <v>359</v>
      </c>
      <c r="J64" s="26">
        <v>2017</v>
      </c>
      <c r="K64" s="143">
        <f ca="1">INDEX(Analysis!J:J,MATCH($B64,Analysis!$B:$B,0))</f>
        <v>0.66808812618718239</v>
      </c>
      <c r="L64" s="174">
        <v>30</v>
      </c>
      <c r="M64" s="139">
        <f>'Measure Calculations'!$L$302</f>
        <v>10</v>
      </c>
      <c r="N64" s="140">
        <v>0</v>
      </c>
      <c r="O64" s="130">
        <v>35</v>
      </c>
      <c r="P64" s="130">
        <f>'Measure Calculations'!$H$302</f>
        <v>190</v>
      </c>
      <c r="Q64" s="130">
        <v>0</v>
      </c>
      <c r="R64" s="130">
        <v>0</v>
      </c>
      <c r="S64" s="162">
        <v>0</v>
      </c>
      <c r="T64" s="95">
        <v>1</v>
      </c>
      <c r="U64" s="95">
        <v>1</v>
      </c>
      <c r="V64" s="768">
        <f>'Measure Calculations'!$F$302</f>
        <v>514.81499999999994</v>
      </c>
      <c r="W64" s="769">
        <f>'Measure Calculations'!$G$302</f>
        <v>0.105</v>
      </c>
      <c r="X64" s="770">
        <v>0</v>
      </c>
      <c r="Y64" s="98"/>
      <c r="Z64" s="770">
        <v>0</v>
      </c>
      <c r="AA64" s="769">
        <v>0</v>
      </c>
      <c r="AB64" s="135">
        <v>0</v>
      </c>
      <c r="AC64" s="207"/>
    </row>
    <row r="65" spans="1:29" s="2" customFormat="1">
      <c r="A65" s="61"/>
      <c r="B65" s="41" t="str">
        <f t="shared" ref="B65:B128" si="2">F65&amp;"_"&amp;G65&amp;"_"&amp;H65&amp;"_"&amp;I65&amp;"_"&amp;J65</f>
        <v>C&amp;I_C&amp;I Prescriptive_0_LED wall mounted area lights (wallpacks) (30 to 75W)_2017</v>
      </c>
      <c r="C65" s="41" t="b">
        <f>ISNUMBER(MATCH(B65,Analysis!B:B,0))</f>
        <v>1</v>
      </c>
      <c r="D65" s="41">
        <f t="shared" si="1"/>
        <v>59</v>
      </c>
      <c r="E65" s="41" t="b">
        <f>COUNTIF($B$7:B65,B65)=1</f>
        <v>1</v>
      </c>
      <c r="F65" s="142" t="s">
        <v>256</v>
      </c>
      <c r="G65" s="142" t="s">
        <v>255</v>
      </c>
      <c r="H65" s="142">
        <v>0</v>
      </c>
      <c r="I65" s="29" t="s">
        <v>360</v>
      </c>
      <c r="J65" s="26">
        <v>2017</v>
      </c>
      <c r="K65" s="143">
        <f ca="1">INDEX(Analysis!J:J,MATCH($B65,Analysis!$B:$B,0))</f>
        <v>1.0530673965120678</v>
      </c>
      <c r="L65" s="174">
        <v>20</v>
      </c>
      <c r="M65" s="139">
        <f>'Measure Calculations'!$L$303</f>
        <v>10</v>
      </c>
      <c r="N65" s="140">
        <v>0</v>
      </c>
      <c r="O65" s="130">
        <v>75</v>
      </c>
      <c r="P65" s="130">
        <f>'Measure Calculations'!$H$303</f>
        <v>287</v>
      </c>
      <c r="Q65" s="130">
        <v>0</v>
      </c>
      <c r="R65" s="130">
        <v>0</v>
      </c>
      <c r="S65" s="162">
        <v>0</v>
      </c>
      <c r="T65" s="95">
        <v>1</v>
      </c>
      <c r="U65" s="95">
        <v>1</v>
      </c>
      <c r="V65" s="768">
        <f>'Measure Calculations'!$F$303</f>
        <v>1225.75</v>
      </c>
      <c r="W65" s="769">
        <f>'Measure Calculations'!$G$303</f>
        <v>0.25</v>
      </c>
      <c r="X65" s="770">
        <v>0</v>
      </c>
      <c r="Y65" s="98"/>
      <c r="Z65" s="770">
        <v>0</v>
      </c>
      <c r="AA65" s="769">
        <v>0</v>
      </c>
      <c r="AB65" s="135">
        <v>0</v>
      </c>
      <c r="AC65" s="207"/>
    </row>
    <row r="66" spans="1:29" s="2" customFormat="1">
      <c r="A66" s="61"/>
      <c r="B66" s="41" t="str">
        <f t="shared" si="2"/>
        <v>C&amp;I_C&amp;I Prescriptive_0_LED wall mounted area lights (wallpacks) (≥75W)_2017</v>
      </c>
      <c r="C66" s="41" t="b">
        <f>ISNUMBER(MATCH(B66,Analysis!B:B,0))</f>
        <v>1</v>
      </c>
      <c r="D66" s="41">
        <f t="shared" si="1"/>
        <v>60</v>
      </c>
      <c r="E66" s="41" t="b">
        <f>COUNTIF($B$7:B66,B66)=1</f>
        <v>1</v>
      </c>
      <c r="F66" s="142" t="s">
        <v>256</v>
      </c>
      <c r="G66" s="142" t="s">
        <v>255</v>
      </c>
      <c r="H66" s="142">
        <v>0</v>
      </c>
      <c r="I66" s="29" t="s">
        <v>361</v>
      </c>
      <c r="J66" s="26">
        <v>2017</v>
      </c>
      <c r="K66" s="143">
        <f ca="1">INDEX(Analysis!J:J,MATCH($B66,Analysis!$B:$B,0))</f>
        <v>0.75441640555444589</v>
      </c>
      <c r="L66" s="174">
        <v>10</v>
      </c>
      <c r="M66" s="139">
        <f>'Measure Calculations'!$L$304</f>
        <v>10</v>
      </c>
      <c r="N66" s="140">
        <v>0</v>
      </c>
      <c r="O66" s="130">
        <v>100</v>
      </c>
      <c r="P66" s="130">
        <f>'Measure Calculations'!$H$304</f>
        <v>391</v>
      </c>
      <c r="Q66" s="130">
        <v>0</v>
      </c>
      <c r="R66" s="130">
        <v>0</v>
      </c>
      <c r="S66" s="162">
        <v>0</v>
      </c>
      <c r="T66" s="95">
        <v>1</v>
      </c>
      <c r="U66" s="95">
        <v>1</v>
      </c>
      <c r="V66" s="768">
        <f>'Measure Calculations'!$F$304</f>
        <v>1196.3319999999999</v>
      </c>
      <c r="W66" s="769">
        <f>'Measure Calculations'!$G$304</f>
        <v>0.24399999999999999</v>
      </c>
      <c r="X66" s="770">
        <v>0</v>
      </c>
      <c r="Y66" s="98"/>
      <c r="Z66" s="770">
        <v>0</v>
      </c>
      <c r="AA66" s="769">
        <v>0</v>
      </c>
      <c r="AB66" s="135">
        <v>0</v>
      </c>
      <c r="AC66" s="207"/>
    </row>
    <row r="67" spans="1:29" s="2" customFormat="1">
      <c r="A67" s="61"/>
      <c r="B67" s="41" t="str">
        <f t="shared" si="2"/>
        <v>C&amp;I_C&amp;I Prescriptive_0_Energy Star LED downlights (new or retrofit) (50W or less)_2017</v>
      </c>
      <c r="C67" s="41" t="b">
        <f>ISNUMBER(MATCH(B67,Analysis!B:B,0))</f>
        <v>1</v>
      </c>
      <c r="D67" s="41">
        <f t="shared" si="1"/>
        <v>61</v>
      </c>
      <c r="E67" s="41" t="b">
        <f>COUNTIF($B$7:B67,B67)=1</f>
        <v>1</v>
      </c>
      <c r="F67" s="142" t="s">
        <v>256</v>
      </c>
      <c r="G67" s="142" t="s">
        <v>255</v>
      </c>
      <c r="H67" s="142">
        <v>0</v>
      </c>
      <c r="I67" s="29" t="s">
        <v>362</v>
      </c>
      <c r="J67" s="26">
        <v>2017</v>
      </c>
      <c r="K67" s="143">
        <f ca="1">INDEX(Analysis!J:J,MATCH($B67,Analysis!$B:$B,0))</f>
        <v>3.2564025585009757</v>
      </c>
      <c r="L67" s="174">
        <v>60</v>
      </c>
      <c r="M67" s="139">
        <f>'Measure Calculations'!$L$280</f>
        <v>15</v>
      </c>
      <c r="N67" s="140">
        <v>0</v>
      </c>
      <c r="O67" s="130">
        <v>35</v>
      </c>
      <c r="P67" s="130">
        <f>'Measure Calculations'!$H$280</f>
        <v>27</v>
      </c>
      <c r="Q67" s="130">
        <v>0</v>
      </c>
      <c r="R67" s="130">
        <v>0</v>
      </c>
      <c r="S67" s="162">
        <v>0</v>
      </c>
      <c r="T67" s="95">
        <v>1</v>
      </c>
      <c r="U67" s="95">
        <v>1</v>
      </c>
      <c r="V67" s="768">
        <f>'Measure Calculations'!$F$280</f>
        <v>265.85170999999997</v>
      </c>
      <c r="W67" s="769">
        <f>'Measure Calculations'!$G$280</f>
        <v>7.0489999999999997E-2</v>
      </c>
      <c r="X67" s="770">
        <v>0</v>
      </c>
      <c r="Y67" s="98"/>
      <c r="Z67" s="770">
        <v>0</v>
      </c>
      <c r="AA67" s="769">
        <v>0</v>
      </c>
      <c r="AB67" s="135">
        <v>0</v>
      </c>
      <c r="AC67" s="207"/>
    </row>
    <row r="68" spans="1:29" s="2" customFormat="1">
      <c r="A68" s="61"/>
      <c r="B68" s="41" t="str">
        <f t="shared" si="2"/>
        <v>C&amp;I_C&amp;I Prescriptive_0_Refrigerated LED Case Lighting 5- and 6-foot Doors_2017</v>
      </c>
      <c r="C68" s="41" t="b">
        <f>ISNUMBER(MATCH(B68,Analysis!B:B,0))</f>
        <v>1</v>
      </c>
      <c r="D68" s="41">
        <f t="shared" si="1"/>
        <v>62</v>
      </c>
      <c r="E68" s="41" t="b">
        <f>COUNTIF($B$7:B68,B68)=1</f>
        <v>1</v>
      </c>
      <c r="F68" s="142" t="s">
        <v>256</v>
      </c>
      <c r="G68" s="142" t="s">
        <v>255</v>
      </c>
      <c r="H68" s="142">
        <v>0</v>
      </c>
      <c r="I68" s="29" t="s">
        <v>363</v>
      </c>
      <c r="J68" s="26">
        <v>2017</v>
      </c>
      <c r="K68" s="143">
        <f ca="1">INDEX(Analysis!J:J,MATCH($B68,Analysis!$B:$B,0))</f>
        <v>1.859146959011289</v>
      </c>
      <c r="L68" s="174">
        <v>60</v>
      </c>
      <c r="M68" s="139">
        <f>'Measure Calculations'!$L$307</f>
        <v>10</v>
      </c>
      <c r="N68" s="140">
        <v>0</v>
      </c>
      <c r="O68" s="130">
        <v>60</v>
      </c>
      <c r="P68" s="130">
        <f>'Measure Calculations'!$H$307</f>
        <v>66</v>
      </c>
      <c r="Q68" s="130">
        <v>0</v>
      </c>
      <c r="R68" s="130">
        <v>0</v>
      </c>
      <c r="S68" s="162">
        <v>0</v>
      </c>
      <c r="T68" s="95">
        <v>1</v>
      </c>
      <c r="U68" s="95">
        <v>1</v>
      </c>
      <c r="V68" s="768">
        <f>'Measure Calculations'!$F$307</f>
        <v>527.35199999999986</v>
      </c>
      <c r="W68" s="769">
        <f>'Measure Calculations'!$G$307</f>
        <v>6.019999999999999E-2</v>
      </c>
      <c r="X68" s="770">
        <v>0</v>
      </c>
      <c r="Y68" s="98"/>
      <c r="Z68" s="770">
        <v>0</v>
      </c>
      <c r="AA68" s="769">
        <v>0</v>
      </c>
      <c r="AB68" s="135">
        <v>0</v>
      </c>
      <c r="AC68" s="207"/>
    </row>
    <row r="69" spans="1:29" s="2" customFormat="1">
      <c r="A69" s="61"/>
      <c r="B69" s="41" t="str">
        <f t="shared" si="2"/>
        <v>C&amp;I_C&amp;I Prescriptive_0_Integral Occupancy Control Stairwell fixtures (2-3 lamp T8)_2017</v>
      </c>
      <c r="C69" s="41" t="b">
        <f>ISNUMBER(MATCH(B69,Analysis!B:B,0))</f>
        <v>1</v>
      </c>
      <c r="D69" s="41">
        <f t="shared" si="1"/>
        <v>63</v>
      </c>
      <c r="E69" s="41" t="b">
        <f>COUNTIF($B$7:B69,B69)=1</f>
        <v>1</v>
      </c>
      <c r="F69" s="142" t="s">
        <v>256</v>
      </c>
      <c r="G69" s="142" t="s">
        <v>255</v>
      </c>
      <c r="H69" s="142">
        <v>0</v>
      </c>
      <c r="I69" s="29" t="s">
        <v>364</v>
      </c>
      <c r="J69" s="26">
        <v>2017</v>
      </c>
      <c r="K69" s="143">
        <f ca="1">INDEX(Analysis!J:J,MATCH($B69,Analysis!$B:$B,0))</f>
        <v>0.81184862896279875</v>
      </c>
      <c r="L69" s="174">
        <v>20</v>
      </c>
      <c r="M69" s="139">
        <f>'Measure Calculations'!$L$308</f>
        <v>14</v>
      </c>
      <c r="N69" s="140">
        <v>0</v>
      </c>
      <c r="O69" s="130">
        <v>30</v>
      </c>
      <c r="P69" s="130">
        <f>'Measure Calculations'!$H$308</f>
        <v>161.30000000000001</v>
      </c>
      <c r="Q69" s="130">
        <v>0</v>
      </c>
      <c r="R69" s="130">
        <v>0</v>
      </c>
      <c r="S69" s="162">
        <v>0</v>
      </c>
      <c r="T69" s="95">
        <v>1</v>
      </c>
      <c r="U69" s="95">
        <v>1</v>
      </c>
      <c r="V69" s="768">
        <f>'Measure Calculations'!$F$308</f>
        <v>453.42022800000001</v>
      </c>
      <c r="W69" s="769">
        <f>'Measure Calculations'!$G$308</f>
        <v>5.1760300000000002E-2</v>
      </c>
      <c r="X69" s="770">
        <v>0</v>
      </c>
      <c r="Y69" s="98"/>
      <c r="Z69" s="770">
        <v>0</v>
      </c>
      <c r="AA69" s="769">
        <v>0</v>
      </c>
      <c r="AB69" s="135">
        <v>0</v>
      </c>
      <c r="AC69" s="207"/>
    </row>
    <row r="70" spans="1:29" s="2" customFormat="1">
      <c r="A70" s="61"/>
      <c r="B70" s="41" t="str">
        <f t="shared" si="2"/>
        <v>C&amp;I_C&amp;I Prescriptive_0_Integral Occupancy Control Stairwell fixtures (20W-30W LED)_2017</v>
      </c>
      <c r="C70" s="41" t="b">
        <f>ISNUMBER(MATCH(B70,Analysis!B:B,0))</f>
        <v>1</v>
      </c>
      <c r="D70" s="41">
        <f t="shared" si="1"/>
        <v>64</v>
      </c>
      <c r="E70" s="41" t="b">
        <f>COUNTIF($B$7:B70,B70)=1</f>
        <v>1</v>
      </c>
      <c r="F70" s="142" t="s">
        <v>256</v>
      </c>
      <c r="G70" s="142" t="s">
        <v>255</v>
      </c>
      <c r="H70" s="142">
        <v>0</v>
      </c>
      <c r="I70" s="29" t="s">
        <v>365</v>
      </c>
      <c r="J70" s="26">
        <v>2017</v>
      </c>
      <c r="K70" s="143">
        <f ca="1">INDEX(Analysis!J:J,MATCH($B70,Analysis!$B:$B,0))</f>
        <v>0.84988420691027522</v>
      </c>
      <c r="L70" s="174">
        <v>20</v>
      </c>
      <c r="M70" s="139">
        <f>'Measure Calculations'!$L$309</f>
        <v>14</v>
      </c>
      <c r="N70" s="140">
        <v>0</v>
      </c>
      <c r="O70" s="130">
        <v>30</v>
      </c>
      <c r="P70" s="130">
        <f>'Measure Calculations'!$H$309</f>
        <v>161.30000000000001</v>
      </c>
      <c r="Q70" s="130">
        <v>0</v>
      </c>
      <c r="R70" s="130">
        <v>0</v>
      </c>
      <c r="S70" s="162">
        <v>0</v>
      </c>
      <c r="T70" s="95">
        <v>1</v>
      </c>
      <c r="U70" s="95">
        <v>1</v>
      </c>
      <c r="V70" s="768">
        <f>'Measure Calculations'!$F$309</f>
        <v>474.663228</v>
      </c>
      <c r="W70" s="769">
        <f>'Measure Calculations'!$G$309</f>
        <v>5.4185299999999999E-2</v>
      </c>
      <c r="X70" s="770">
        <v>0</v>
      </c>
      <c r="Y70" s="98"/>
      <c r="Z70" s="770">
        <v>0</v>
      </c>
      <c r="AA70" s="769">
        <v>0</v>
      </c>
      <c r="AB70" s="135">
        <v>0</v>
      </c>
      <c r="AC70" s="207"/>
    </row>
    <row r="71" spans="1:29" s="2" customFormat="1">
      <c r="A71" s="61"/>
      <c r="B71" s="41" t="str">
        <f t="shared" si="2"/>
        <v>C&amp;I_C&amp;I Prescriptive_0_LED Exterior Flood Lights (15W or less)_2017</v>
      </c>
      <c r="C71" s="41" t="b">
        <f>ISNUMBER(MATCH(B71,Analysis!B:B,0))</f>
        <v>1</v>
      </c>
      <c r="D71" s="41">
        <f t="shared" si="1"/>
        <v>65</v>
      </c>
      <c r="E71" s="41" t="b">
        <f>COUNTIF($B$7:B71,B71)=1</f>
        <v>1</v>
      </c>
      <c r="F71" s="142" t="s">
        <v>256</v>
      </c>
      <c r="G71" s="142" t="s">
        <v>255</v>
      </c>
      <c r="H71" s="142">
        <v>0</v>
      </c>
      <c r="I71" s="29" t="s">
        <v>366</v>
      </c>
      <c r="J71" s="26">
        <v>2017</v>
      </c>
      <c r="K71" s="143">
        <f ca="1">INDEX(Analysis!J:J,MATCH($B71,Analysis!$B:$B,0))</f>
        <v>1.6913844645056917</v>
      </c>
      <c r="L71" s="174">
        <v>120</v>
      </c>
      <c r="M71" s="139">
        <f>'Measure Calculations'!$L$292</f>
        <v>14</v>
      </c>
      <c r="N71" s="140">
        <v>0</v>
      </c>
      <c r="O71" s="130">
        <v>15</v>
      </c>
      <c r="P71" s="130">
        <f>'Measure Calculations'!$H$292</f>
        <v>35</v>
      </c>
      <c r="Q71" s="130">
        <v>0</v>
      </c>
      <c r="R71" s="130">
        <v>0</v>
      </c>
      <c r="S71" s="162">
        <v>0</v>
      </c>
      <c r="T71" s="95">
        <v>1</v>
      </c>
      <c r="U71" s="95">
        <v>1</v>
      </c>
      <c r="V71" s="768">
        <f>'Measure Calculations'!$F$292</f>
        <v>190.87699999999998</v>
      </c>
      <c r="W71" s="769">
        <f>'Measure Calculations'!$G$292</f>
        <v>4.2999999999999997E-2</v>
      </c>
      <c r="X71" s="770">
        <v>0</v>
      </c>
      <c r="Y71" s="98"/>
      <c r="Z71" s="770">
        <v>0</v>
      </c>
      <c r="AA71" s="769">
        <v>0</v>
      </c>
      <c r="AB71" s="135">
        <v>0</v>
      </c>
      <c r="AC71" s="207"/>
    </row>
    <row r="72" spans="1:29" s="2" customFormat="1">
      <c r="A72" s="61"/>
      <c r="B72" s="41" t="str">
        <f t="shared" si="2"/>
        <v>C&amp;I_C&amp;I Prescriptive_0_LED Exterior Flood Lights (16W to 35W)_2017</v>
      </c>
      <c r="C72" s="41" t="b">
        <f>ISNUMBER(MATCH(B72,Analysis!B:B,0))</f>
        <v>1</v>
      </c>
      <c r="D72" s="41">
        <f t="shared" ref="D72:D135" si="3">D71+1</f>
        <v>66</v>
      </c>
      <c r="E72" s="41" t="b">
        <f>COUNTIF($B$7:B72,B72)=1</f>
        <v>1</v>
      </c>
      <c r="F72" s="142" t="s">
        <v>256</v>
      </c>
      <c r="G72" s="142" t="s">
        <v>255</v>
      </c>
      <c r="H72" s="142">
        <v>0</v>
      </c>
      <c r="I72" s="29" t="s">
        <v>367</v>
      </c>
      <c r="J72" s="26">
        <v>2017</v>
      </c>
      <c r="K72" s="143">
        <f ca="1">INDEX(Analysis!J:J,MATCH($B72,Analysis!$B:$B,0))</f>
        <v>2.2867357955279948</v>
      </c>
      <c r="L72" s="174">
        <v>120</v>
      </c>
      <c r="M72" s="139">
        <f>'Measure Calculations'!$L$293</f>
        <v>14</v>
      </c>
      <c r="N72" s="140">
        <v>0</v>
      </c>
      <c r="O72" s="130">
        <v>25</v>
      </c>
      <c r="P72" s="130">
        <f>'Measure Calculations'!$H$293</f>
        <v>59</v>
      </c>
      <c r="Q72" s="130">
        <v>0</v>
      </c>
      <c r="R72" s="130">
        <v>0</v>
      </c>
      <c r="S72" s="162">
        <v>0</v>
      </c>
      <c r="T72" s="95">
        <v>1</v>
      </c>
      <c r="U72" s="95">
        <v>1</v>
      </c>
      <c r="V72" s="768">
        <f>'Measure Calculations'!$F$293</f>
        <v>435.02199999999999</v>
      </c>
      <c r="W72" s="769">
        <f>'Measure Calculations'!$G$293</f>
        <v>9.8000000000000004E-2</v>
      </c>
      <c r="X72" s="770">
        <v>0</v>
      </c>
      <c r="Y72" s="98"/>
      <c r="Z72" s="770">
        <v>0</v>
      </c>
      <c r="AA72" s="769">
        <v>0</v>
      </c>
      <c r="AB72" s="135">
        <v>0</v>
      </c>
      <c r="AC72" s="207"/>
    </row>
    <row r="73" spans="1:29" s="2" customFormat="1">
      <c r="A73" s="61"/>
      <c r="B73" s="41" t="str">
        <f t="shared" si="2"/>
        <v>C&amp;I_C&amp;I Prescriptive_0_LED Exterior Flood Lights (36W to 75W)_2017</v>
      </c>
      <c r="C73" s="41" t="b">
        <f>ISNUMBER(MATCH(B73,Analysis!B:B,0))</f>
        <v>1</v>
      </c>
      <c r="D73" s="41">
        <f t="shared" si="3"/>
        <v>67</v>
      </c>
      <c r="E73" s="41" t="b">
        <f>COUNTIF($B$7:B73,B73)=1</f>
        <v>1</v>
      </c>
      <c r="F73" s="142" t="s">
        <v>256</v>
      </c>
      <c r="G73" s="142" t="s">
        <v>255</v>
      </c>
      <c r="H73" s="142">
        <v>0</v>
      </c>
      <c r="I73" s="29" t="s">
        <v>368</v>
      </c>
      <c r="J73" s="26">
        <v>2017</v>
      </c>
      <c r="K73" s="143">
        <f ca="1">INDEX(Analysis!J:J,MATCH($B73,Analysis!$B:$B,0))</f>
        <v>2.1055538477430642</v>
      </c>
      <c r="L73" s="174">
        <v>120</v>
      </c>
      <c r="M73" s="139">
        <f>'Measure Calculations'!$L$294</f>
        <v>14</v>
      </c>
      <c r="N73" s="140">
        <v>0</v>
      </c>
      <c r="O73" s="130">
        <v>45</v>
      </c>
      <c r="P73" s="130">
        <f>'Measure Calculations'!$H$294</f>
        <v>85</v>
      </c>
      <c r="Q73" s="130">
        <v>0</v>
      </c>
      <c r="R73" s="130">
        <v>0</v>
      </c>
      <c r="S73" s="162">
        <v>0</v>
      </c>
      <c r="T73" s="95">
        <v>1</v>
      </c>
      <c r="U73" s="95">
        <v>1</v>
      </c>
      <c r="V73" s="768">
        <f>'Measure Calculations'!$F$294</f>
        <v>577.07000000000005</v>
      </c>
      <c r="W73" s="769">
        <f>'Measure Calculations'!$G$294</f>
        <v>0.13</v>
      </c>
      <c r="X73" s="770">
        <v>0</v>
      </c>
      <c r="Y73" s="98"/>
      <c r="Z73" s="770">
        <v>0</v>
      </c>
      <c r="AA73" s="769">
        <v>0</v>
      </c>
      <c r="AB73" s="135">
        <v>0</v>
      </c>
      <c r="AC73" s="207"/>
    </row>
    <row r="74" spans="1:29" s="2" customFormat="1">
      <c r="A74" s="61"/>
      <c r="B74" s="41" t="str">
        <f t="shared" si="2"/>
        <v>C&amp;I_C&amp;I Prescriptive_0_LED Outdoor Pole/Arm Mounted Parking Roadway (&lt;30W)_2017</v>
      </c>
      <c r="C74" s="41" t="b">
        <f>ISNUMBER(MATCH(B74,Analysis!B:B,0))</f>
        <v>1</v>
      </c>
      <c r="D74" s="41">
        <f t="shared" si="3"/>
        <v>68</v>
      </c>
      <c r="E74" s="41" t="b">
        <f>COUNTIF($B$7:B74,B74)=1</f>
        <v>1</v>
      </c>
      <c r="F74" s="142" t="s">
        <v>256</v>
      </c>
      <c r="G74" s="142" t="s">
        <v>255</v>
      </c>
      <c r="H74" s="142">
        <v>0</v>
      </c>
      <c r="I74" s="29" t="s">
        <v>369</v>
      </c>
      <c r="J74" s="26">
        <v>2017</v>
      </c>
      <c r="K74" s="143">
        <f ca="1">INDEX(Analysis!J:J,MATCH($B74,Analysis!$B:$B,0))</f>
        <v>0.83477785720174902</v>
      </c>
      <c r="L74" s="174">
        <v>10</v>
      </c>
      <c r="M74" s="139">
        <f>'Measure Calculations'!$L$295</f>
        <v>14</v>
      </c>
      <c r="N74" s="140">
        <v>0</v>
      </c>
      <c r="O74" s="130">
        <v>60</v>
      </c>
      <c r="P74" s="130">
        <f>'Measure Calculations'!$H$295</f>
        <v>190</v>
      </c>
      <c r="Q74" s="130">
        <v>0</v>
      </c>
      <c r="R74" s="130">
        <v>0</v>
      </c>
      <c r="S74" s="162">
        <v>0</v>
      </c>
      <c r="T74" s="95">
        <v>1</v>
      </c>
      <c r="U74" s="95">
        <v>1</v>
      </c>
      <c r="V74" s="768">
        <f>'Measure Calculations'!$F$295</f>
        <v>518.24709999999993</v>
      </c>
      <c r="W74" s="769">
        <f>'Measure Calculations'!$G$295</f>
        <v>0.10569999999999999</v>
      </c>
      <c r="X74" s="770">
        <v>0</v>
      </c>
      <c r="Y74" s="98"/>
      <c r="Z74" s="770">
        <v>0</v>
      </c>
      <c r="AA74" s="769">
        <v>0</v>
      </c>
      <c r="AB74" s="135">
        <v>0</v>
      </c>
      <c r="AC74" s="207"/>
    </row>
    <row r="75" spans="1:29" s="2" customFormat="1">
      <c r="A75" s="61"/>
      <c r="B75" s="41" t="str">
        <f t="shared" si="2"/>
        <v>C&amp;I_C&amp;I Prescriptive_0_LED Outdoor Pole/Arm Mounted Parking Roadway (30W to 75W)_2017</v>
      </c>
      <c r="C75" s="41" t="b">
        <f>ISNUMBER(MATCH(B75,Analysis!B:B,0))</f>
        <v>1</v>
      </c>
      <c r="D75" s="41">
        <f t="shared" si="3"/>
        <v>69</v>
      </c>
      <c r="E75" s="41" t="b">
        <f>COUNTIF($B$7:B75,B75)=1</f>
        <v>1</v>
      </c>
      <c r="F75" s="142" t="s">
        <v>256</v>
      </c>
      <c r="G75" s="142" t="s">
        <v>255</v>
      </c>
      <c r="H75" s="142">
        <v>0</v>
      </c>
      <c r="I75" s="29" t="s">
        <v>370</v>
      </c>
      <c r="J75" s="26">
        <v>2017</v>
      </c>
      <c r="K75" s="143">
        <f ca="1">INDEX(Analysis!J:J,MATCH($B75,Analysis!$B:$B,0))</f>
        <v>0.68178152584991869</v>
      </c>
      <c r="L75" s="174">
        <v>10</v>
      </c>
      <c r="M75" s="139">
        <f>'Measure Calculations'!$L$296</f>
        <v>14</v>
      </c>
      <c r="N75" s="140">
        <v>0</v>
      </c>
      <c r="O75" s="130">
        <v>100</v>
      </c>
      <c r="P75" s="130">
        <f>'Measure Calculations'!$H$296</f>
        <v>287</v>
      </c>
      <c r="Q75" s="130">
        <v>0</v>
      </c>
      <c r="R75" s="130">
        <v>0</v>
      </c>
      <c r="S75" s="162">
        <v>0</v>
      </c>
      <c r="T75" s="95">
        <v>1</v>
      </c>
      <c r="U75" s="95">
        <v>1</v>
      </c>
      <c r="V75" s="768">
        <f>'Measure Calculations'!$F$296</f>
        <v>639.35120000000006</v>
      </c>
      <c r="W75" s="769">
        <f>'Measure Calculations'!$G$296</f>
        <v>0.13040000000000002</v>
      </c>
      <c r="X75" s="770">
        <v>0</v>
      </c>
      <c r="Y75" s="98"/>
      <c r="Z75" s="770">
        <v>0</v>
      </c>
      <c r="AA75" s="769">
        <v>0</v>
      </c>
      <c r="AB75" s="135">
        <v>0</v>
      </c>
      <c r="AC75" s="207"/>
    </row>
    <row r="76" spans="1:29" s="2" customFormat="1">
      <c r="A76" s="61"/>
      <c r="B76" s="41" t="str">
        <f t="shared" si="2"/>
        <v>C&amp;I_C&amp;I Prescriptive_0_LED Outdoor Pole/Arm Mounted Parking Roadway (&gt;75W to 150W)_2017</v>
      </c>
      <c r="C76" s="41" t="b">
        <f>ISNUMBER(MATCH(B76,Analysis!B:B,0))</f>
        <v>1</v>
      </c>
      <c r="D76" s="41">
        <f t="shared" si="3"/>
        <v>70</v>
      </c>
      <c r="E76" s="41" t="b">
        <f>COUNTIF($B$7:B76,B76)=1</f>
        <v>1</v>
      </c>
      <c r="F76" s="142" t="s">
        <v>256</v>
      </c>
      <c r="G76" s="142" t="s">
        <v>255</v>
      </c>
      <c r="H76" s="142">
        <v>0</v>
      </c>
      <c r="I76" s="29" t="s">
        <v>371</v>
      </c>
      <c r="J76" s="26">
        <v>2017</v>
      </c>
      <c r="K76" s="143">
        <f ca="1">INDEX(Analysis!J:J,MATCH($B76,Analysis!$B:$B,0))</f>
        <v>0.93870521297776344</v>
      </c>
      <c r="L76" s="174">
        <v>10</v>
      </c>
      <c r="M76" s="139">
        <f>'Measure Calculations'!$L$297</f>
        <v>14</v>
      </c>
      <c r="N76" s="140">
        <v>0</v>
      </c>
      <c r="O76" s="130">
        <v>140</v>
      </c>
      <c r="P76" s="130">
        <f>'Measure Calculations'!$H$297</f>
        <v>391</v>
      </c>
      <c r="Q76" s="130">
        <v>0</v>
      </c>
      <c r="R76" s="130">
        <v>0</v>
      </c>
      <c r="S76" s="162">
        <v>0</v>
      </c>
      <c r="T76" s="95">
        <v>1</v>
      </c>
      <c r="U76" s="95">
        <v>1</v>
      </c>
      <c r="V76" s="768">
        <f>'Measure Calculations'!$F$297</f>
        <v>1199.2737999999997</v>
      </c>
      <c r="W76" s="769">
        <f>'Measure Calculations'!$G$297</f>
        <v>0.24459999999999996</v>
      </c>
      <c r="X76" s="770">
        <v>0</v>
      </c>
      <c r="Y76" s="98"/>
      <c r="Z76" s="770">
        <v>0</v>
      </c>
      <c r="AA76" s="769">
        <v>0</v>
      </c>
      <c r="AB76" s="135">
        <v>0</v>
      </c>
      <c r="AC76" s="207"/>
    </row>
    <row r="77" spans="1:29" s="2" customFormat="1">
      <c r="A77" s="61"/>
      <c r="B77" s="41" t="str">
        <f t="shared" si="2"/>
        <v>C&amp;I_C&amp;I Prescriptive_0_Split Package Heat Pump_2017</v>
      </c>
      <c r="C77" s="41" t="b">
        <f>ISNUMBER(MATCH(B77,Analysis!B:B,0))</f>
        <v>1</v>
      </c>
      <c r="D77" s="41">
        <f t="shared" si="3"/>
        <v>71</v>
      </c>
      <c r="E77" s="41" t="b">
        <f>COUNTIF($B$7:B77,B77)=1</f>
        <v>1</v>
      </c>
      <c r="F77" s="142" t="s">
        <v>256</v>
      </c>
      <c r="G77" s="142" t="s">
        <v>255</v>
      </c>
      <c r="H77" s="142">
        <v>0</v>
      </c>
      <c r="I77" s="29" t="s">
        <v>312</v>
      </c>
      <c r="J77" s="26">
        <v>2017</v>
      </c>
      <c r="K77" s="143">
        <f ca="1">INDEX(Analysis!J:J,MATCH($B77,Analysis!$B:$B,0))</f>
        <v>1.6492720838814652</v>
      </c>
      <c r="L77" s="174">
        <v>4</v>
      </c>
      <c r="M77" s="139">
        <v>15</v>
      </c>
      <c r="N77" s="140">
        <v>0</v>
      </c>
      <c r="O77" s="130">
        <v>250</v>
      </c>
      <c r="P77" s="130">
        <v>370</v>
      </c>
      <c r="Q77" s="130">
        <v>0</v>
      </c>
      <c r="R77" s="130">
        <v>0</v>
      </c>
      <c r="S77" s="162">
        <v>0</v>
      </c>
      <c r="T77" s="95">
        <v>1</v>
      </c>
      <c r="U77" s="95">
        <v>1</v>
      </c>
      <c r="V77" s="768">
        <v>1980.5518011400352</v>
      </c>
      <c r="W77" s="769">
        <v>0.30098901098901143</v>
      </c>
      <c r="X77" s="770">
        <v>0</v>
      </c>
      <c r="Y77" s="98"/>
      <c r="Z77" s="770">
        <v>0</v>
      </c>
      <c r="AA77" s="769">
        <v>0</v>
      </c>
      <c r="AB77" s="135">
        <v>0</v>
      </c>
      <c r="AC77" s="207"/>
    </row>
    <row r="78" spans="1:29" s="2" customFormat="1">
      <c r="A78" s="61"/>
      <c r="B78" s="41" t="str">
        <f t="shared" si="2"/>
        <v>C&amp;I_C&amp;I Prescriptive_0_Single System Heat Pump_2017</v>
      </c>
      <c r="C78" s="41" t="b">
        <f>ISNUMBER(MATCH(B78,Analysis!B:B,0))</f>
        <v>1</v>
      </c>
      <c r="D78" s="41">
        <f t="shared" si="3"/>
        <v>72</v>
      </c>
      <c r="E78" s="41" t="b">
        <f>COUNTIF($B$7:B78,B78)=1</f>
        <v>1</v>
      </c>
      <c r="F78" s="142" t="s">
        <v>256</v>
      </c>
      <c r="G78" s="142" t="s">
        <v>255</v>
      </c>
      <c r="H78" s="142">
        <v>0</v>
      </c>
      <c r="I78" s="29" t="s">
        <v>313</v>
      </c>
      <c r="J78" s="26">
        <v>2017</v>
      </c>
      <c r="K78" s="143">
        <f ca="1">INDEX(Analysis!J:J,MATCH($B78,Analysis!$B:$B,0))</f>
        <v>0.84317699716965933</v>
      </c>
      <c r="L78" s="174">
        <v>8</v>
      </c>
      <c r="M78" s="139">
        <v>15</v>
      </c>
      <c r="N78" s="140">
        <v>0</v>
      </c>
      <c r="O78" s="130">
        <v>250</v>
      </c>
      <c r="P78" s="130">
        <v>370</v>
      </c>
      <c r="Q78" s="130">
        <v>0</v>
      </c>
      <c r="R78" s="130">
        <v>0</v>
      </c>
      <c r="S78" s="162">
        <v>0</v>
      </c>
      <c r="T78" s="95">
        <v>1</v>
      </c>
      <c r="U78" s="95">
        <v>1</v>
      </c>
      <c r="V78" s="768">
        <v>906.72827172827022</v>
      </c>
      <c r="W78" s="769">
        <v>0.30098901098901143</v>
      </c>
      <c r="X78" s="770">
        <v>0</v>
      </c>
      <c r="Y78" s="98"/>
      <c r="Z78" s="770">
        <v>0</v>
      </c>
      <c r="AA78" s="769">
        <v>0</v>
      </c>
      <c r="AB78" s="135">
        <v>0</v>
      </c>
      <c r="AC78" s="207"/>
    </row>
    <row r="79" spans="1:29" s="2" customFormat="1">
      <c r="A79" s="61"/>
      <c r="B79" s="41" t="str">
        <f t="shared" si="2"/>
        <v>C&amp;I_C&amp;I Prescriptive_0_Geothermal Heat Pump_2017</v>
      </c>
      <c r="C79" s="41" t="b">
        <f>ISNUMBER(MATCH(B79,Analysis!B:B,0))</f>
        <v>1</v>
      </c>
      <c r="D79" s="41">
        <f t="shared" si="3"/>
        <v>73</v>
      </c>
      <c r="E79" s="41" t="b">
        <f>COUNTIF($B$7:B79,B79)=1</f>
        <v>1</v>
      </c>
      <c r="F79" s="142" t="s">
        <v>256</v>
      </c>
      <c r="G79" s="142" t="s">
        <v>255</v>
      </c>
      <c r="H79" s="142">
        <v>0</v>
      </c>
      <c r="I79" s="29" t="s">
        <v>314</v>
      </c>
      <c r="J79" s="26">
        <v>2017</v>
      </c>
      <c r="K79" s="143">
        <f ca="1">INDEX(Analysis!J:J,MATCH($B79,Analysis!$B:$B,0))</f>
        <v>1.6069281592030777</v>
      </c>
      <c r="L79" s="174">
        <v>4</v>
      </c>
      <c r="M79" s="139">
        <v>15</v>
      </c>
      <c r="N79" s="140">
        <v>0</v>
      </c>
      <c r="O79" s="130">
        <v>700</v>
      </c>
      <c r="P79" s="130">
        <v>4100</v>
      </c>
      <c r="Q79" s="130">
        <v>0</v>
      </c>
      <c r="R79" s="130">
        <v>0</v>
      </c>
      <c r="S79" s="162">
        <v>0</v>
      </c>
      <c r="T79" s="95">
        <v>1</v>
      </c>
      <c r="U79" s="95">
        <v>1</v>
      </c>
      <c r="V79" s="768">
        <v>22212.788976876138</v>
      </c>
      <c r="W79" s="769">
        <v>2.0962664680349605</v>
      </c>
      <c r="X79" s="770">
        <v>0</v>
      </c>
      <c r="Y79" s="98"/>
      <c r="Z79" s="770">
        <v>0</v>
      </c>
      <c r="AA79" s="769">
        <v>0</v>
      </c>
      <c r="AB79" s="135">
        <v>0</v>
      </c>
      <c r="AC79" s="207"/>
    </row>
    <row r="80" spans="1:29" s="2" customFormat="1">
      <c r="A80" s="61"/>
      <c r="B80" s="41" t="str">
        <f t="shared" si="2"/>
        <v>C&amp;I_C&amp;I Prescriptive_0_Heat Pump Water Heater_2017</v>
      </c>
      <c r="C80" s="41" t="b">
        <f>ISNUMBER(MATCH(B80,Analysis!B:B,0))</f>
        <v>1</v>
      </c>
      <c r="D80" s="41">
        <f t="shared" si="3"/>
        <v>74</v>
      </c>
      <c r="E80" s="41" t="b">
        <f>COUNTIF($B$7:B80,B80)=1</f>
        <v>1</v>
      </c>
      <c r="F80" s="142" t="s">
        <v>256</v>
      </c>
      <c r="G80" s="142" t="s">
        <v>255</v>
      </c>
      <c r="H80" s="142">
        <v>0</v>
      </c>
      <c r="I80" s="29" t="s">
        <v>260</v>
      </c>
      <c r="J80" s="26">
        <v>2017</v>
      </c>
      <c r="K80" s="143">
        <f ca="1">INDEX(Analysis!J:J,MATCH($B80,Analysis!$B:$B,0))</f>
        <v>0.60035540258891729</v>
      </c>
      <c r="L80" s="174">
        <v>8</v>
      </c>
      <c r="M80" s="139">
        <f>'Measure Calculations'!$B$136</f>
        <v>13</v>
      </c>
      <c r="N80" s="140">
        <v>0</v>
      </c>
      <c r="O80" s="130">
        <v>200</v>
      </c>
      <c r="P80" s="130">
        <f>'Measure Calculations'!$B$135</f>
        <v>784</v>
      </c>
      <c r="Q80" s="130">
        <v>0</v>
      </c>
      <c r="R80" s="130">
        <v>0</v>
      </c>
      <c r="S80" s="162">
        <v>0</v>
      </c>
      <c r="T80" s="95">
        <v>1</v>
      </c>
      <c r="U80" s="95">
        <v>1</v>
      </c>
      <c r="V80" s="768">
        <f>'Measure Calculations'!$B$134</f>
        <v>1783.22158201614</v>
      </c>
      <c r="W80" s="769">
        <f>'Measure Calculations'!$B$133</f>
        <v>8.4479506451613423E-2</v>
      </c>
      <c r="X80" s="770">
        <v>0</v>
      </c>
      <c r="Y80" s="98"/>
      <c r="Z80" s="770">
        <v>0</v>
      </c>
      <c r="AA80" s="769">
        <v>0</v>
      </c>
      <c r="AB80" s="135">
        <v>0</v>
      </c>
      <c r="AC80" s="207"/>
    </row>
    <row r="81" spans="1:29" s="2" customFormat="1">
      <c r="A81" s="61"/>
      <c r="B81" s="41" t="str">
        <f t="shared" si="2"/>
        <v>C&amp;I_C&amp;I Prescriptive_0_ODC Motor_2017</v>
      </c>
      <c r="C81" s="41" t="b">
        <f>ISNUMBER(MATCH(B81,Analysis!B:B,0))</f>
        <v>1</v>
      </c>
      <c r="D81" s="41">
        <f t="shared" si="3"/>
        <v>75</v>
      </c>
      <c r="E81" s="41" t="b">
        <f>COUNTIF($B$7:B81,B81)=1</f>
        <v>1</v>
      </c>
      <c r="F81" s="142" t="s">
        <v>256</v>
      </c>
      <c r="G81" s="142" t="s">
        <v>255</v>
      </c>
      <c r="H81" s="142">
        <v>0</v>
      </c>
      <c r="I81" s="29" t="s">
        <v>316</v>
      </c>
      <c r="J81" s="26">
        <v>2017</v>
      </c>
      <c r="K81" s="143">
        <f ca="1">INDEX(Analysis!J:J,MATCH($B81,Analysis!$B:$B,0))</f>
        <v>0.9939735637650422</v>
      </c>
      <c r="L81" s="174">
        <v>1</v>
      </c>
      <c r="M81" s="139">
        <v>15</v>
      </c>
      <c r="N81" s="140">
        <v>0</v>
      </c>
      <c r="O81" s="130">
        <v>50</v>
      </c>
      <c r="P81" s="130">
        <v>115</v>
      </c>
      <c r="Q81" s="130">
        <v>0</v>
      </c>
      <c r="R81" s="130">
        <v>0</v>
      </c>
      <c r="S81" s="162">
        <v>0</v>
      </c>
      <c r="T81" s="95">
        <v>1</v>
      </c>
      <c r="U81" s="95">
        <v>1</v>
      </c>
      <c r="V81" s="768">
        <v>353.7219425735546</v>
      </c>
      <c r="W81" s="769">
        <v>8.0391350584898769E-2</v>
      </c>
      <c r="X81" s="770">
        <v>0</v>
      </c>
      <c r="Y81" s="98"/>
      <c r="Z81" s="770">
        <v>0</v>
      </c>
      <c r="AA81" s="769">
        <v>0</v>
      </c>
      <c r="AB81" s="135">
        <v>0</v>
      </c>
      <c r="AC81" s="207"/>
    </row>
    <row r="82" spans="1:29" s="2" customFormat="1">
      <c r="A82" s="61"/>
      <c r="B82" s="41" t="str">
        <f t="shared" si="2"/>
        <v>C&amp;I_C&amp;I Prescriptive_0_TEFC Motor_2017</v>
      </c>
      <c r="C82" s="41" t="b">
        <f>ISNUMBER(MATCH(B82,Analysis!B:B,0))</f>
        <v>1</v>
      </c>
      <c r="D82" s="41">
        <f t="shared" si="3"/>
        <v>76</v>
      </c>
      <c r="E82" s="41" t="b">
        <f>COUNTIF($B$7:B82,B82)=1</f>
        <v>1</v>
      </c>
      <c r="F82" s="142" t="s">
        <v>256</v>
      </c>
      <c r="G82" s="142" t="s">
        <v>255</v>
      </c>
      <c r="H82" s="142">
        <v>0</v>
      </c>
      <c r="I82" s="29" t="s">
        <v>317</v>
      </c>
      <c r="J82" s="26">
        <v>2017</v>
      </c>
      <c r="K82" s="143">
        <f ca="1">INDEX(Analysis!J:J,MATCH($B82,Analysis!$B:$B,0))</f>
        <v>0.70029955628900409</v>
      </c>
      <c r="L82" s="174">
        <v>1</v>
      </c>
      <c r="M82" s="139">
        <v>15</v>
      </c>
      <c r="N82" s="140">
        <v>0</v>
      </c>
      <c r="O82" s="130">
        <v>50</v>
      </c>
      <c r="P82" s="130">
        <v>115</v>
      </c>
      <c r="Q82" s="130">
        <v>0</v>
      </c>
      <c r="R82" s="130">
        <v>0</v>
      </c>
      <c r="S82" s="162">
        <v>0</v>
      </c>
      <c r="T82" s="95">
        <v>1</v>
      </c>
      <c r="U82" s="95">
        <v>1</v>
      </c>
      <c r="V82" s="768">
        <v>249.21318681318502</v>
      </c>
      <c r="W82" s="769">
        <v>5.6639360639360231E-2</v>
      </c>
      <c r="X82" s="770">
        <v>0</v>
      </c>
      <c r="Y82" s="98"/>
      <c r="Z82" s="770">
        <v>0</v>
      </c>
      <c r="AA82" s="769">
        <v>0</v>
      </c>
      <c r="AB82" s="135">
        <v>0</v>
      </c>
      <c r="AC82" s="207"/>
    </row>
    <row r="83" spans="1:29" s="2" customFormat="1">
      <c r="A83" s="61"/>
      <c r="B83" s="41" t="str">
        <f t="shared" si="2"/>
        <v>Residential_Residential Lighting_0_LED_2018</v>
      </c>
      <c r="C83" s="41" t="b">
        <f>ISNUMBER(MATCH(B83,Analysis!B:B,0))</f>
        <v>1</v>
      </c>
      <c r="D83" s="41">
        <f t="shared" si="3"/>
        <v>77</v>
      </c>
      <c r="E83" s="41" t="b">
        <f>COUNTIF($B$7:B83,B83)=1</f>
        <v>1</v>
      </c>
      <c r="F83" s="142" t="s">
        <v>2</v>
      </c>
      <c r="G83" s="142" t="s">
        <v>249</v>
      </c>
      <c r="H83" s="142">
        <v>0</v>
      </c>
      <c r="I83" s="29" t="s">
        <v>216</v>
      </c>
      <c r="J83" s="26">
        <v>2018</v>
      </c>
      <c r="K83" s="143">
        <f ca="1">INDEX(Analysis!J:J,MATCH($B83,Analysis!$B:$B,0))</f>
        <v>1.0044353222597253</v>
      </c>
      <c r="L83" s="174">
        <v>4060</v>
      </c>
      <c r="M83" s="139">
        <f>'Measure Calculations'!$B$10</f>
        <v>10</v>
      </c>
      <c r="N83" s="247">
        <v>0</v>
      </c>
      <c r="O83" s="130">
        <v>5</v>
      </c>
      <c r="P83" s="130">
        <f>'Measure Calculations'!$B$9</f>
        <v>7.5</v>
      </c>
      <c r="Q83" s="130">
        <v>0</v>
      </c>
      <c r="R83" s="130">
        <v>0</v>
      </c>
      <c r="S83" s="162">
        <v>0</v>
      </c>
      <c r="T83" s="95">
        <v>1</v>
      </c>
      <c r="U83" s="95">
        <v>1</v>
      </c>
      <c r="V83" s="768">
        <f>'Measure Calculations'!$B$8</f>
        <v>32.466966839999998</v>
      </c>
      <c r="W83" s="769">
        <f>'Measure Calculations'!$B$7</f>
        <v>2.8499272199999995E-3</v>
      </c>
      <c r="X83" s="770">
        <v>0</v>
      </c>
      <c r="Y83" s="98"/>
      <c r="Z83" s="770">
        <v>0</v>
      </c>
      <c r="AA83" s="769">
        <v>0</v>
      </c>
      <c r="AB83" s="135">
        <v>0</v>
      </c>
      <c r="AC83" s="207"/>
    </row>
    <row r="84" spans="1:29" s="2" customFormat="1">
      <c r="A84" s="61"/>
      <c r="B84" s="41" t="str">
        <f t="shared" si="2"/>
        <v>Residential_Residential Lighting_0_ENERGY STAR Fixture_2018</v>
      </c>
      <c r="C84" s="41" t="b">
        <f>ISNUMBER(MATCH(B84,Analysis!B:B,0))</f>
        <v>1</v>
      </c>
      <c r="D84" s="41">
        <f t="shared" si="3"/>
        <v>78</v>
      </c>
      <c r="E84" s="41" t="b">
        <f>COUNTIF($B$7:B84,B84)=1</f>
        <v>1</v>
      </c>
      <c r="F84" s="142" t="s">
        <v>2</v>
      </c>
      <c r="G84" s="142" t="s">
        <v>249</v>
      </c>
      <c r="H84" s="142">
        <v>0</v>
      </c>
      <c r="I84" s="29" t="s">
        <v>257</v>
      </c>
      <c r="J84" s="26">
        <v>2018</v>
      </c>
      <c r="K84" s="143">
        <f ca="1">INDEX(Analysis!J:J,MATCH($B84,Analysis!$B:$B,0))</f>
        <v>1.0044353222597253</v>
      </c>
      <c r="L84" s="174">
        <v>500</v>
      </c>
      <c r="M84" s="139">
        <f>'Measure Calculations'!$C$10</f>
        <v>10</v>
      </c>
      <c r="N84" s="140">
        <v>0</v>
      </c>
      <c r="O84" s="130">
        <v>10</v>
      </c>
      <c r="P84" s="130">
        <f>'Measure Calculations'!$C$9</f>
        <v>15</v>
      </c>
      <c r="Q84" s="130">
        <v>0</v>
      </c>
      <c r="R84" s="130">
        <v>0</v>
      </c>
      <c r="S84" s="162">
        <v>0</v>
      </c>
      <c r="T84" s="95">
        <v>1</v>
      </c>
      <c r="U84" s="95">
        <v>1</v>
      </c>
      <c r="V84" s="768">
        <f>'Measure Calculations'!$C$8</f>
        <v>64.933933679999996</v>
      </c>
      <c r="W84" s="769">
        <f>'Measure Calculations'!$C$7</f>
        <v>5.699854439999999E-3</v>
      </c>
      <c r="X84" s="770">
        <v>0</v>
      </c>
      <c r="Y84" s="98"/>
      <c r="Z84" s="770">
        <v>0</v>
      </c>
      <c r="AA84" s="769">
        <v>0</v>
      </c>
      <c r="AB84" s="135">
        <v>0</v>
      </c>
      <c r="AC84" s="207"/>
    </row>
    <row r="85" spans="1:29" s="2" customFormat="1">
      <c r="A85" s="61"/>
      <c r="B85" s="41" t="str">
        <f t="shared" si="2"/>
        <v>Residential_Appliance Recycling_0_Refrigerator Recycle_2018</v>
      </c>
      <c r="C85" s="41" t="b">
        <f>ISNUMBER(MATCH(B85,Analysis!B:B,0))</f>
        <v>1</v>
      </c>
      <c r="D85" s="41">
        <f t="shared" si="3"/>
        <v>79</v>
      </c>
      <c r="E85" s="41" t="b">
        <f>COUNTIF($B$7:B85,B85)=1</f>
        <v>1</v>
      </c>
      <c r="F85" s="142" t="s">
        <v>2</v>
      </c>
      <c r="G85" s="142" t="s">
        <v>120</v>
      </c>
      <c r="H85" s="142">
        <v>0</v>
      </c>
      <c r="I85" s="29" t="s">
        <v>213</v>
      </c>
      <c r="J85" s="26">
        <v>2018</v>
      </c>
      <c r="K85" s="143">
        <f ca="1">INDEX(Analysis!J:J,MATCH($B85,Analysis!$B:$B,0))</f>
        <v>2.7877307312988782</v>
      </c>
      <c r="L85" s="174">
        <v>75</v>
      </c>
      <c r="M85" s="139">
        <v>8</v>
      </c>
      <c r="N85" s="140">
        <v>0</v>
      </c>
      <c r="O85" s="130">
        <v>75</v>
      </c>
      <c r="P85" s="130">
        <v>93</v>
      </c>
      <c r="Q85" s="130">
        <v>0</v>
      </c>
      <c r="R85" s="130">
        <v>0</v>
      </c>
      <c r="S85" s="162">
        <v>0</v>
      </c>
      <c r="T85" s="95">
        <v>1</v>
      </c>
      <c r="U85" s="95">
        <v>1</v>
      </c>
      <c r="V85" s="768">
        <v>1289</v>
      </c>
      <c r="W85" s="769">
        <v>0.14714611872146119</v>
      </c>
      <c r="X85" s="770">
        <v>0</v>
      </c>
      <c r="Y85" s="98"/>
      <c r="Z85" s="770">
        <v>0</v>
      </c>
      <c r="AA85" s="769">
        <v>0</v>
      </c>
      <c r="AB85" s="135">
        <v>0</v>
      </c>
      <c r="AC85" s="207"/>
    </row>
    <row r="86" spans="1:29" s="2" customFormat="1">
      <c r="A86" s="61"/>
      <c r="B86" s="41" t="str">
        <f t="shared" si="2"/>
        <v>Residential_Appliance Recycling_0_Freezer Recycle_2018</v>
      </c>
      <c r="C86" s="41" t="b">
        <f>ISNUMBER(MATCH(B86,Analysis!B:B,0))</f>
        <v>1</v>
      </c>
      <c r="D86" s="41">
        <f t="shared" si="3"/>
        <v>80</v>
      </c>
      <c r="E86" s="41" t="b">
        <f>COUNTIF($B$7:B86,B86)=1</f>
        <v>1</v>
      </c>
      <c r="F86" s="142" t="s">
        <v>2</v>
      </c>
      <c r="G86" s="142" t="s">
        <v>120</v>
      </c>
      <c r="H86" s="142">
        <v>0</v>
      </c>
      <c r="I86" s="29" t="s">
        <v>212</v>
      </c>
      <c r="J86" s="26">
        <v>2018</v>
      </c>
      <c r="K86" s="143">
        <f ca="1">INDEX(Analysis!J:J,MATCH($B86,Analysis!$B:$B,0))</f>
        <v>2.3897924422694028</v>
      </c>
      <c r="L86" s="174">
        <v>8</v>
      </c>
      <c r="M86" s="139">
        <v>8</v>
      </c>
      <c r="N86" s="140">
        <v>0</v>
      </c>
      <c r="O86" s="130">
        <v>75</v>
      </c>
      <c r="P86" s="130">
        <v>93</v>
      </c>
      <c r="Q86" s="130">
        <v>0</v>
      </c>
      <c r="R86" s="130">
        <v>0</v>
      </c>
      <c r="S86" s="162">
        <v>0</v>
      </c>
      <c r="T86" s="95">
        <v>1</v>
      </c>
      <c r="U86" s="95">
        <v>1</v>
      </c>
      <c r="V86" s="768">
        <v>1105</v>
      </c>
      <c r="W86" s="769">
        <v>0.12614155251141554</v>
      </c>
      <c r="X86" s="770">
        <v>0</v>
      </c>
      <c r="Y86" s="98"/>
      <c r="Z86" s="770">
        <v>0</v>
      </c>
      <c r="AA86" s="769">
        <v>0</v>
      </c>
      <c r="AB86" s="135">
        <v>0</v>
      </c>
      <c r="AC86" s="207"/>
    </row>
    <row r="87" spans="1:29" s="2" customFormat="1">
      <c r="A87" s="61"/>
      <c r="B87" s="41" t="str">
        <f t="shared" si="2"/>
        <v>Residential_High Efficiency HVAC_0_Heat Pump SEER ≥15, EER ≥12.5, HSPF ≥8.5_2018</v>
      </c>
      <c r="C87" s="41" t="b">
        <f>ISNUMBER(MATCH(B87,Analysis!B:B,0))</f>
        <v>1</v>
      </c>
      <c r="D87" s="41">
        <f t="shared" si="3"/>
        <v>81</v>
      </c>
      <c r="E87" s="41" t="b">
        <f>COUNTIF($B$7:B87,B87)=1</f>
        <v>1</v>
      </c>
      <c r="F87" s="142" t="s">
        <v>2</v>
      </c>
      <c r="G87" s="142" t="s">
        <v>250</v>
      </c>
      <c r="H87" s="142">
        <v>0</v>
      </c>
      <c r="I87" s="29" t="s">
        <v>522</v>
      </c>
      <c r="J87" s="26">
        <v>2018</v>
      </c>
      <c r="K87" s="143">
        <f ca="1">INDEX(Analysis!J:J,MATCH($B87,Analysis!$B:$B,0))</f>
        <v>0.70635174796812428</v>
      </c>
      <c r="L87" s="174">
        <v>20</v>
      </c>
      <c r="M87" s="139">
        <f>'Measure Calculations'!$B$73</f>
        <v>18</v>
      </c>
      <c r="N87" s="140">
        <v>0</v>
      </c>
      <c r="O87" s="130">
        <f>75*3</f>
        <v>225</v>
      </c>
      <c r="P87" s="130">
        <f>'Measure Calculations'!$B$71</f>
        <v>303</v>
      </c>
      <c r="Q87" s="130">
        <v>0</v>
      </c>
      <c r="R87" s="130">
        <v>0</v>
      </c>
      <c r="S87" s="162">
        <v>0</v>
      </c>
      <c r="T87" s="95">
        <v>1</v>
      </c>
      <c r="U87" s="95">
        <v>1</v>
      </c>
      <c r="V87" s="768">
        <f>'Measure Calculations'!$B$70</f>
        <v>478.80491904078809</v>
      </c>
      <c r="W87" s="769">
        <f>'Measure Calculations'!$B$69</f>
        <v>0.29321751817717606</v>
      </c>
      <c r="X87" s="770">
        <v>0</v>
      </c>
      <c r="Y87" s="98"/>
      <c r="Z87" s="770">
        <v>0</v>
      </c>
      <c r="AA87" s="769">
        <v>0</v>
      </c>
      <c r="AB87" s="135">
        <v>0</v>
      </c>
      <c r="AC87" s="207"/>
    </row>
    <row r="88" spans="1:29" s="2" customFormat="1">
      <c r="A88" s="61"/>
      <c r="B88" s="41" t="str">
        <f t="shared" si="2"/>
        <v>Residential_High Efficiency HVAC_0_Early Retirement Heat Pump SEER ≥15, EER ≥12.5, HSPF ≥8.5_2018</v>
      </c>
      <c r="C88" s="41" t="b">
        <f>ISNUMBER(MATCH(B88,Analysis!B:B,0))</f>
        <v>1</v>
      </c>
      <c r="D88" s="41">
        <f t="shared" si="3"/>
        <v>82</v>
      </c>
      <c r="E88" s="41" t="b">
        <f>COUNTIF($B$7:B88,B88)=1</f>
        <v>1</v>
      </c>
      <c r="F88" s="142" t="s">
        <v>2</v>
      </c>
      <c r="G88" s="142" t="s">
        <v>250</v>
      </c>
      <c r="H88" s="142">
        <v>0</v>
      </c>
      <c r="I88" s="29" t="s">
        <v>519</v>
      </c>
      <c r="J88" s="26">
        <v>2018</v>
      </c>
      <c r="K88" s="143" t="str">
        <f ca="1">INDEX(Analysis!J:J,MATCH($B88,Analysis!$B:$B,0))</f>
        <v>n/a</v>
      </c>
      <c r="L88" s="174">
        <v>0</v>
      </c>
      <c r="M88" s="139">
        <f>'Measure Calculations'!$D$73</f>
        <v>18</v>
      </c>
      <c r="N88" s="140">
        <f>'Measure Calculations'!$D$74</f>
        <v>6</v>
      </c>
      <c r="O88" s="130">
        <f>200*3</f>
        <v>600</v>
      </c>
      <c r="P88" s="130">
        <f>'Measure Calculations'!$D$71</f>
        <v>4446</v>
      </c>
      <c r="Q88" s="130">
        <v>0</v>
      </c>
      <c r="R88" s="130">
        <f>'Measure Calculations'!$D$72</f>
        <v>4554</v>
      </c>
      <c r="S88" s="162">
        <v>0</v>
      </c>
      <c r="T88" s="95">
        <v>1</v>
      </c>
      <c r="U88" s="95">
        <v>1</v>
      </c>
      <c r="V88" s="768">
        <f>'Measure Calculations'!$B$70</f>
        <v>478.80491904078809</v>
      </c>
      <c r="W88" s="769">
        <f>'Measure Calculations'!$B$69</f>
        <v>0.29321751817717606</v>
      </c>
      <c r="X88" s="770">
        <v>3288.776470588236</v>
      </c>
      <c r="Y88" s="769">
        <v>1.8826803069053712</v>
      </c>
      <c r="Z88" s="770">
        <f>'Measure Calculations'!$D$70</f>
        <v>3288.776470588236</v>
      </c>
      <c r="AA88" s="769">
        <f>'Measure Calculations'!$D$69</f>
        <v>1.8826803069053712</v>
      </c>
      <c r="AB88" s="135">
        <v>0</v>
      </c>
      <c r="AC88" s="207"/>
    </row>
    <row r="89" spans="1:29" s="2" customFormat="1">
      <c r="A89" s="61"/>
      <c r="B89" s="41" t="str">
        <f t="shared" si="2"/>
        <v>Residential_High Efficiency HVAC_0_Heat Pump SEER ≥15, EER ≥12.5, HSPF ≥8.5 Replace Electric Furnace_2018</v>
      </c>
      <c r="C89" s="41" t="b">
        <f>ISNUMBER(MATCH(B89,Analysis!B:B,0))</f>
        <v>1</v>
      </c>
      <c r="D89" s="41">
        <f t="shared" si="3"/>
        <v>83</v>
      </c>
      <c r="E89" s="41" t="b">
        <f>COUNTIF($B$7:B89,B89)=1</f>
        <v>1</v>
      </c>
      <c r="F89" s="142" t="s">
        <v>2</v>
      </c>
      <c r="G89" s="142" t="s">
        <v>250</v>
      </c>
      <c r="H89" s="142">
        <v>0</v>
      </c>
      <c r="I89" s="29" t="s">
        <v>520</v>
      </c>
      <c r="J89" s="26">
        <v>2018</v>
      </c>
      <c r="K89" s="143">
        <f ca="1">INDEX(Analysis!J:J,MATCH($B89,Analysis!$B:$B,0))</f>
        <v>1.4111488075287877</v>
      </c>
      <c r="L89" s="174">
        <v>6</v>
      </c>
      <c r="M89" s="139">
        <f>'Measure Calculations'!$B$86</f>
        <v>18</v>
      </c>
      <c r="N89" s="140">
        <v>0</v>
      </c>
      <c r="O89" s="130">
        <f>1500</f>
        <v>1500</v>
      </c>
      <c r="P89" s="130">
        <f>'Measure Calculations'!$D$72</f>
        <v>4554</v>
      </c>
      <c r="Q89" s="130">
        <v>0</v>
      </c>
      <c r="R89" s="130">
        <v>0</v>
      </c>
      <c r="S89" s="162">
        <v>0</v>
      </c>
      <c r="T89" s="95">
        <v>1</v>
      </c>
      <c r="U89" s="95">
        <v>1</v>
      </c>
      <c r="V89" s="768">
        <f>'Measure Calculations'!$B$85</f>
        <v>16099.081800931512</v>
      </c>
      <c r="W89" s="769">
        <f>'Measure Calculations'!$B$84</f>
        <v>6.4097015697774706</v>
      </c>
      <c r="X89" s="770">
        <v>0</v>
      </c>
      <c r="Y89" s="98"/>
      <c r="Z89" s="770">
        <v>0</v>
      </c>
      <c r="AA89" s="769">
        <v>0</v>
      </c>
      <c r="AB89" s="135">
        <v>0</v>
      </c>
      <c r="AC89" s="207"/>
    </row>
    <row r="90" spans="1:29" s="2" customFormat="1">
      <c r="A90" s="61"/>
      <c r="B90" s="41" t="str">
        <f t="shared" si="2"/>
        <v>Residential_High Efficiency HVAC_0_CAC SEER ≥15, EER ≥12.5_2018</v>
      </c>
      <c r="C90" s="41" t="b">
        <f>ISNUMBER(MATCH(B90,Analysis!B:B,0))</f>
        <v>1</v>
      </c>
      <c r="D90" s="41">
        <f t="shared" si="3"/>
        <v>84</v>
      </c>
      <c r="E90" s="41" t="b">
        <f>COUNTIF($B$7:B90,B90)=1</f>
        <v>1</v>
      </c>
      <c r="F90" s="142" t="s">
        <v>2</v>
      </c>
      <c r="G90" s="142" t="s">
        <v>250</v>
      </c>
      <c r="H90" s="142">
        <v>0</v>
      </c>
      <c r="I90" s="29" t="s">
        <v>521</v>
      </c>
      <c r="J90" s="26">
        <v>2018</v>
      </c>
      <c r="K90" s="143">
        <f ca="1">INDEX(Analysis!J:J,MATCH($B90,Analysis!$B:$B,0))</f>
        <v>1.1810203406559001</v>
      </c>
      <c r="L90" s="174">
        <v>75</v>
      </c>
      <c r="M90" s="139">
        <f>'Measure Calculations'!$B$57</f>
        <v>18</v>
      </c>
      <c r="N90" s="140">
        <v>0</v>
      </c>
      <c r="O90" s="130">
        <f>60*3</f>
        <v>180</v>
      </c>
      <c r="P90" s="130">
        <f>'Measure Calculations'!$B$56</f>
        <v>108</v>
      </c>
      <c r="Q90" s="130">
        <v>0</v>
      </c>
      <c r="R90" s="130">
        <v>0</v>
      </c>
      <c r="S90" s="162">
        <v>0</v>
      </c>
      <c r="T90" s="95">
        <v>1</v>
      </c>
      <c r="U90" s="95">
        <v>1</v>
      </c>
      <c r="V90" s="768">
        <f>'Measure Calculations'!$B$55</f>
        <v>218.95384615384629</v>
      </c>
      <c r="W90" s="769">
        <f>'Measure Calculations'!$B$54</f>
        <v>0.26705454545454549</v>
      </c>
      <c r="X90" s="770">
        <v>0</v>
      </c>
      <c r="Y90" s="98"/>
      <c r="Z90" s="770">
        <v>0</v>
      </c>
      <c r="AA90" s="769">
        <v>0</v>
      </c>
      <c r="AB90" s="135">
        <v>0</v>
      </c>
      <c r="AC90" s="207"/>
    </row>
    <row r="91" spans="1:29" s="2" customFormat="1">
      <c r="A91" s="61"/>
      <c r="B91" s="41" t="str">
        <f t="shared" si="2"/>
        <v>Residential_High Efficiency HVAC_0_Ductless Mini-Split AC SEER ≥19, EER ≥12.8_2018</v>
      </c>
      <c r="C91" s="41" t="b">
        <f>ISNUMBER(MATCH(B91,Analysis!B:B,0))</f>
        <v>1</v>
      </c>
      <c r="D91" s="41">
        <f t="shared" si="3"/>
        <v>85</v>
      </c>
      <c r="E91" s="41" t="b">
        <f>COUNTIF($B$7:B91,B91)=1</f>
        <v>1</v>
      </c>
      <c r="F91" s="142" t="s">
        <v>2</v>
      </c>
      <c r="G91" s="142" t="s">
        <v>250</v>
      </c>
      <c r="H91" s="142">
        <v>0</v>
      </c>
      <c r="I91" s="29" t="s">
        <v>516</v>
      </c>
      <c r="J91" s="26">
        <v>2018</v>
      </c>
      <c r="K91" s="143" t="str">
        <f ca="1">INDEX(Analysis!J:J,MATCH($B91,Analysis!$B:$B,0))</f>
        <v>n/a</v>
      </c>
      <c r="L91" s="174">
        <v>0</v>
      </c>
      <c r="M91" s="139">
        <f>'Measure Calculations'!$C$102</f>
        <v>18</v>
      </c>
      <c r="N91" s="140">
        <v>0</v>
      </c>
      <c r="O91" s="130">
        <f>50*3</f>
        <v>150</v>
      </c>
      <c r="P91" s="130">
        <f>'Measure Calculations'!$C$101</f>
        <v>1678.5</v>
      </c>
      <c r="Q91" s="130">
        <v>0</v>
      </c>
      <c r="R91" s="130">
        <v>0</v>
      </c>
      <c r="S91" s="162">
        <v>0</v>
      </c>
      <c r="T91" s="95">
        <v>1</v>
      </c>
      <c r="U91" s="95">
        <v>1</v>
      </c>
      <c r="V91" s="768">
        <f>'Measure Calculations'!$C$100</f>
        <v>772.46052631578959</v>
      </c>
      <c r="W91" s="769">
        <f>'Measure Calculations'!$C$99</f>
        <v>0.83827110389610371</v>
      </c>
      <c r="X91" s="770">
        <v>0</v>
      </c>
      <c r="Y91" s="98"/>
      <c r="Z91" s="770">
        <v>0</v>
      </c>
      <c r="AA91" s="769">
        <v>0</v>
      </c>
      <c r="AB91" s="135">
        <v>0</v>
      </c>
      <c r="AC91" s="207"/>
    </row>
    <row r="92" spans="1:29" s="2" customFormat="1">
      <c r="A92" s="61"/>
      <c r="B92" s="41" t="str">
        <f t="shared" si="2"/>
        <v>Residential_High Efficiency HVAC_0_Ductless Mini-Split HP SEER ≥19, EER ≥12.8, HSPF ≥10_2018</v>
      </c>
      <c r="C92" s="41" t="b">
        <f>ISNUMBER(MATCH(B92,Analysis!B:B,0))</f>
        <v>1</v>
      </c>
      <c r="D92" s="41">
        <f t="shared" si="3"/>
        <v>86</v>
      </c>
      <c r="E92" s="41" t="b">
        <f>COUNTIF($B$7:B92,B92)=1</f>
        <v>1</v>
      </c>
      <c r="F92" s="142" t="s">
        <v>2</v>
      </c>
      <c r="G92" s="142" t="s">
        <v>250</v>
      </c>
      <c r="H92" s="142">
        <v>0</v>
      </c>
      <c r="I92" s="29" t="s">
        <v>517</v>
      </c>
      <c r="J92" s="26">
        <v>2018</v>
      </c>
      <c r="K92" s="143">
        <f ca="1">INDEX(Analysis!J:J,MATCH($B92,Analysis!$B:$B,0))</f>
        <v>0.77841113468103273</v>
      </c>
      <c r="L92" s="174">
        <v>30</v>
      </c>
      <c r="M92" s="139">
        <f>'Measure Calculations'!$B$102</f>
        <v>18</v>
      </c>
      <c r="N92" s="140">
        <v>0</v>
      </c>
      <c r="O92" s="130">
        <f>50*3</f>
        <v>150</v>
      </c>
      <c r="P92" s="130">
        <f>'Measure Calculations'!$B$101</f>
        <v>1678.5</v>
      </c>
      <c r="Q92" s="130">
        <v>0</v>
      </c>
      <c r="R92" s="130">
        <v>0</v>
      </c>
      <c r="S92" s="162">
        <v>0</v>
      </c>
      <c r="T92" s="95">
        <v>1</v>
      </c>
      <c r="U92" s="95">
        <v>1</v>
      </c>
      <c r="V92" s="768">
        <f>'Measure Calculations'!$B$100</f>
        <v>3607.5399380804947</v>
      </c>
      <c r="W92" s="769">
        <f>'Measure Calculations'!$B$99</f>
        <v>0.83827110389610371</v>
      </c>
      <c r="X92" s="770">
        <v>0</v>
      </c>
      <c r="Y92" s="98"/>
      <c r="Z92" s="770">
        <v>0</v>
      </c>
      <c r="AA92" s="769">
        <v>0</v>
      </c>
      <c r="AB92" s="135">
        <v>0</v>
      </c>
      <c r="AC92" s="207"/>
    </row>
    <row r="93" spans="1:29" s="2" customFormat="1">
      <c r="A93" s="61"/>
      <c r="B93" s="41" t="str">
        <f t="shared" si="2"/>
        <v>Residential_High Efficiency HVAC_0_Heat Pump Water Heater_2018</v>
      </c>
      <c r="C93" s="41" t="b">
        <f>ISNUMBER(MATCH(B93,Analysis!B:B,0))</f>
        <v>1</v>
      </c>
      <c r="D93" s="41">
        <f t="shared" si="3"/>
        <v>87</v>
      </c>
      <c r="E93" s="41" t="b">
        <f>COUNTIF($B$7:B93,B93)=1</f>
        <v>1</v>
      </c>
      <c r="F93" s="142" t="s">
        <v>2</v>
      </c>
      <c r="G93" s="142" t="s">
        <v>250</v>
      </c>
      <c r="H93" s="142">
        <v>0</v>
      </c>
      <c r="I93" s="29" t="s">
        <v>260</v>
      </c>
      <c r="J93" s="26">
        <v>2018</v>
      </c>
      <c r="K93" s="143">
        <f ca="1">INDEX(Analysis!J:J,MATCH($B93,Analysis!$B:$B,0))</f>
        <v>0.60936073362775101</v>
      </c>
      <c r="L93" s="174">
        <v>10</v>
      </c>
      <c r="M93" s="139">
        <v>13</v>
      </c>
      <c r="N93" s="140">
        <v>0</v>
      </c>
      <c r="O93" s="130">
        <f>5*40</f>
        <v>200</v>
      </c>
      <c r="P93" s="130">
        <f>'Measure Calculations'!$B$135</f>
        <v>784</v>
      </c>
      <c r="Q93" s="130">
        <v>0</v>
      </c>
      <c r="R93" s="130">
        <v>0</v>
      </c>
      <c r="S93" s="162">
        <v>0</v>
      </c>
      <c r="T93" s="95">
        <v>1</v>
      </c>
      <c r="U93" s="95">
        <v>1</v>
      </c>
      <c r="V93" s="768">
        <f>'Measure Calculations'!$B$134</f>
        <v>1783.22158201614</v>
      </c>
      <c r="W93" s="769">
        <f>'Measure Calculations'!$B$133</f>
        <v>8.4479506451613423E-2</v>
      </c>
      <c r="X93" s="770">
        <v>0</v>
      </c>
      <c r="Y93" s="98"/>
      <c r="Z93" s="770">
        <v>0</v>
      </c>
      <c r="AA93" s="769">
        <v>0</v>
      </c>
      <c r="AB93" s="135">
        <v>0</v>
      </c>
      <c r="AC93" s="207"/>
    </row>
    <row r="94" spans="1:29" s="2" customFormat="1">
      <c r="A94" s="61"/>
      <c r="B94" s="41" t="str">
        <f t="shared" si="2"/>
        <v>Residential_High Efficiency HVAC_0_Geothermal EER ≥17.1, COP ≥3.6_2018</v>
      </c>
      <c r="C94" s="41" t="b">
        <f>ISNUMBER(MATCH(B94,Analysis!B:B,0))</f>
        <v>1</v>
      </c>
      <c r="D94" s="41">
        <f t="shared" si="3"/>
        <v>88</v>
      </c>
      <c r="E94" s="41" t="b">
        <f>COUNTIF($B$7:B94,B94)=1</f>
        <v>1</v>
      </c>
      <c r="F94" s="142" t="s">
        <v>2</v>
      </c>
      <c r="G94" s="142" t="s">
        <v>250</v>
      </c>
      <c r="H94" s="142">
        <v>0</v>
      </c>
      <c r="I94" s="499" t="s">
        <v>610</v>
      </c>
      <c r="J94" s="26">
        <v>2018</v>
      </c>
      <c r="K94" s="143" t="str">
        <f ca="1">INDEX(Analysis!J:J,MATCH($B94,Analysis!$B:$B,0))</f>
        <v>n/a</v>
      </c>
      <c r="L94" s="174">
        <v>0</v>
      </c>
      <c r="M94" s="139">
        <f>'Measure Calculations'!$B$115</f>
        <v>25</v>
      </c>
      <c r="N94" s="140">
        <v>0</v>
      </c>
      <c r="O94" s="130">
        <f>200*3</f>
        <v>600</v>
      </c>
      <c r="P94" s="130">
        <f>'Measure Calculations'!$B$113</f>
        <v>7728</v>
      </c>
      <c r="Q94" s="130">
        <v>0</v>
      </c>
      <c r="R94" s="130">
        <v>0</v>
      </c>
      <c r="S94" s="162">
        <v>0</v>
      </c>
      <c r="T94" s="95">
        <v>1</v>
      </c>
      <c r="U94" s="95">
        <v>1</v>
      </c>
      <c r="V94" s="768">
        <f>'Measure Calculations'!$B$112</f>
        <v>3953.4858985739597</v>
      </c>
      <c r="W94" s="769">
        <f>'Measure Calculations'!$B$111</f>
        <v>0.85102586975914363</v>
      </c>
      <c r="X94" s="770">
        <v>0</v>
      </c>
      <c r="Y94" s="98"/>
      <c r="Z94" s="770">
        <v>0</v>
      </c>
      <c r="AA94" s="769">
        <v>0</v>
      </c>
      <c r="AB94" s="135">
        <v>0</v>
      </c>
      <c r="AC94" s="207"/>
    </row>
    <row r="95" spans="1:29" s="2" customFormat="1">
      <c r="A95" s="61"/>
      <c r="B95" s="41" t="str">
        <f t="shared" si="2"/>
        <v>Residential_High Efficiency HVAC_0_Early Retirement Geothermal EER ≥17.1, COP ≥3.6_2018</v>
      </c>
      <c r="C95" s="41" t="b">
        <f>ISNUMBER(MATCH(B95,Analysis!B:B,0))</f>
        <v>1</v>
      </c>
      <c r="D95" s="41">
        <f t="shared" si="3"/>
        <v>89</v>
      </c>
      <c r="E95" s="41" t="b">
        <f>COUNTIF($B$7:B95,B95)=1</f>
        <v>1</v>
      </c>
      <c r="F95" s="142" t="s">
        <v>2</v>
      </c>
      <c r="G95" s="142" t="s">
        <v>250</v>
      </c>
      <c r="H95" s="142">
        <v>0</v>
      </c>
      <c r="I95" s="499" t="s">
        <v>609</v>
      </c>
      <c r="J95" s="26">
        <v>2018</v>
      </c>
      <c r="K95" s="143" t="str">
        <f ca="1">INDEX(Analysis!J:J,MATCH($B95,Analysis!$B:$B,0))</f>
        <v>n/a</v>
      </c>
      <c r="L95" s="174">
        <v>0</v>
      </c>
      <c r="M95" s="139">
        <f>'Measure Calculations'!$B$115</f>
        <v>25</v>
      </c>
      <c r="N95" s="140">
        <f>'Measure Calculations'!$C$115</f>
        <v>8</v>
      </c>
      <c r="O95" s="130">
        <f>300*3</f>
        <v>900</v>
      </c>
      <c r="P95" s="130">
        <f>'Measure Calculations'!$C$113</f>
        <v>11871</v>
      </c>
      <c r="Q95" s="130">
        <v>0</v>
      </c>
      <c r="R95" s="130">
        <f>'Measure Calculations'!$C$114</f>
        <v>4554</v>
      </c>
      <c r="S95" s="162">
        <v>0</v>
      </c>
      <c r="T95" s="95">
        <v>1</v>
      </c>
      <c r="U95" s="95">
        <v>1</v>
      </c>
      <c r="V95" s="768">
        <f>'Measure Calculations'!$B$112</f>
        <v>3953.4858985739597</v>
      </c>
      <c r="W95" s="769">
        <f>'Measure Calculations'!$B$111</f>
        <v>0.85102586975914363</v>
      </c>
      <c r="X95" s="770">
        <v>0</v>
      </c>
      <c r="Y95" s="98"/>
      <c r="Z95" s="770">
        <f>'Measure Calculations'!$C$112</f>
        <v>10190.917512040911</v>
      </c>
      <c r="AA95" s="769">
        <f>'Measure Calculations'!$C$111</f>
        <v>1.8947368421052631</v>
      </c>
      <c r="AB95" s="135">
        <v>0</v>
      </c>
      <c r="AC95" s="207"/>
    </row>
    <row r="96" spans="1:29" s="2" customFormat="1">
      <c r="A96" s="61"/>
      <c r="B96" s="41" t="str">
        <f t="shared" si="2"/>
        <v>Residential_Whole House Efficiency_0_Air Sealing (Electric Heat)_2018</v>
      </c>
      <c r="C96" s="41" t="b">
        <f>ISNUMBER(MATCH(B96,Analysis!B:B,0))</f>
        <v>1</v>
      </c>
      <c r="D96" s="41">
        <f t="shared" si="3"/>
        <v>90</v>
      </c>
      <c r="E96" s="41" t="b">
        <f>COUNTIF($B$7:B96,B96)=1</f>
        <v>1</v>
      </c>
      <c r="F96" s="142" t="s">
        <v>2</v>
      </c>
      <c r="G96" s="142" t="s">
        <v>219</v>
      </c>
      <c r="H96" s="142">
        <v>0</v>
      </c>
      <c r="I96" s="29" t="s">
        <v>263</v>
      </c>
      <c r="J96" s="26">
        <v>2018</v>
      </c>
      <c r="K96" s="143" t="str">
        <f ca="1">INDEX(Analysis!J:J,MATCH($B96,Analysis!$B:$B,0))</f>
        <v>n/a</v>
      </c>
      <c r="L96" s="174">
        <f>'Program Inputs'!$I$8*0.25</f>
        <v>7.5</v>
      </c>
      <c r="M96" s="139">
        <f>'Measure Calculations'!$B$27</f>
        <v>15</v>
      </c>
      <c r="N96" s="140">
        <v>0</v>
      </c>
      <c r="O96" s="130">
        <v>0</v>
      </c>
      <c r="P96" s="130">
        <v>0</v>
      </c>
      <c r="Q96" s="130">
        <v>0</v>
      </c>
      <c r="R96" s="130">
        <v>0</v>
      </c>
      <c r="S96" s="162">
        <v>0</v>
      </c>
      <c r="T96" s="95">
        <v>1</v>
      </c>
      <c r="U96" s="95">
        <v>1</v>
      </c>
      <c r="V96" s="768">
        <f>'Measure Calculations'!$B$25</f>
        <v>1337.7809950818801</v>
      </c>
      <c r="W96" s="769">
        <f>'Measure Calculations'!$B$24</f>
        <v>0.13194175032702399</v>
      </c>
      <c r="X96" s="770">
        <v>0</v>
      </c>
      <c r="Y96" s="98"/>
      <c r="Z96" s="770">
        <v>0</v>
      </c>
      <c r="AA96" s="769">
        <v>0</v>
      </c>
      <c r="AB96" s="135">
        <v>0</v>
      </c>
      <c r="AC96" s="207"/>
    </row>
    <row r="97" spans="1:29" s="2" customFormat="1">
      <c r="A97" s="61"/>
      <c r="B97" s="41" t="str">
        <f t="shared" si="2"/>
        <v>Residential_Whole House Efficiency_0_Air Sealing (Gas Heat)_2018</v>
      </c>
      <c r="C97" s="41" t="b">
        <f>ISNUMBER(MATCH(B97,Analysis!B:B,0))</f>
        <v>1</v>
      </c>
      <c r="D97" s="41">
        <f t="shared" si="3"/>
        <v>91</v>
      </c>
      <c r="E97" s="41" t="b">
        <f>COUNTIF($B$7:B97,B97)=1</f>
        <v>1</v>
      </c>
      <c r="F97" s="142" t="s">
        <v>2</v>
      </c>
      <c r="G97" s="142" t="s">
        <v>219</v>
      </c>
      <c r="H97" s="142">
        <v>0</v>
      </c>
      <c r="I97" s="29" t="s">
        <v>264</v>
      </c>
      <c r="J97" s="26">
        <v>2018</v>
      </c>
      <c r="K97" s="143" t="str">
        <f ca="1">INDEX(Analysis!J:J,MATCH($B97,Analysis!$B:$B,0))</f>
        <v>n/a</v>
      </c>
      <c r="L97" s="174">
        <f>'Program Inputs'!$I$8*0.75</f>
        <v>22.5</v>
      </c>
      <c r="M97" s="139">
        <f>'Measure Calculations'!$B$27</f>
        <v>15</v>
      </c>
      <c r="N97" s="140">
        <v>0</v>
      </c>
      <c r="O97" s="130">
        <v>0</v>
      </c>
      <c r="P97" s="130">
        <v>0</v>
      </c>
      <c r="Q97" s="130">
        <v>0</v>
      </c>
      <c r="R97" s="130">
        <v>0</v>
      </c>
      <c r="S97" s="162">
        <v>0</v>
      </c>
      <c r="T97" s="95">
        <v>1</v>
      </c>
      <c r="U97" s="95">
        <v>1</v>
      </c>
      <c r="V97" s="768">
        <f>'Measure Calculations'!$C$25</f>
        <v>108.66869158878504</v>
      </c>
      <c r="W97" s="769">
        <f>'Measure Calculations'!$C$24</f>
        <v>0</v>
      </c>
      <c r="X97" s="770">
        <v>0</v>
      </c>
      <c r="Y97" s="98"/>
      <c r="Z97" s="770">
        <v>0</v>
      </c>
      <c r="AA97" s="769">
        <v>0</v>
      </c>
      <c r="AB97" s="135">
        <v>0</v>
      </c>
      <c r="AC97" s="207"/>
    </row>
    <row r="98" spans="1:29" s="2" customFormat="1">
      <c r="A98" s="61"/>
      <c r="B98" s="41" t="str">
        <f t="shared" si="2"/>
        <v>Residential_Whole House Efficiency_0_Hot Water Pipe Insulation_2018</v>
      </c>
      <c r="C98" s="41" t="b">
        <f>ISNUMBER(MATCH(B98,Analysis!B:B,0))</f>
        <v>1</v>
      </c>
      <c r="D98" s="41">
        <f t="shared" si="3"/>
        <v>92</v>
      </c>
      <c r="E98" s="41" t="b">
        <f>COUNTIF($B$7:B98,B98)=1</f>
        <v>1</v>
      </c>
      <c r="F98" s="142" t="s">
        <v>2</v>
      </c>
      <c r="G98" s="142" t="s">
        <v>219</v>
      </c>
      <c r="H98" s="142">
        <v>0</v>
      </c>
      <c r="I98" s="29" t="s">
        <v>265</v>
      </c>
      <c r="J98" s="26">
        <v>2018</v>
      </c>
      <c r="K98" s="143" t="str">
        <f ca="1">INDEX(Analysis!J:J,MATCH($B98,Analysis!$B:$B,0))</f>
        <v>n/a</v>
      </c>
      <c r="L98" s="174">
        <f>'Program Inputs'!$I$8*0.85</f>
        <v>25.5</v>
      </c>
      <c r="M98" s="139">
        <v>15</v>
      </c>
      <c r="N98" s="140">
        <v>0</v>
      </c>
      <c r="O98" s="130">
        <v>0</v>
      </c>
      <c r="P98" s="130">
        <v>0</v>
      </c>
      <c r="Q98" s="130">
        <v>0</v>
      </c>
      <c r="R98" s="130">
        <v>0</v>
      </c>
      <c r="S98" s="162">
        <v>0</v>
      </c>
      <c r="T98" s="95">
        <v>1</v>
      </c>
      <c r="U98" s="95">
        <v>1</v>
      </c>
      <c r="V98" s="768">
        <v>123.19953120421916</v>
      </c>
      <c r="W98" s="769">
        <v>1.4063873425139173E-2</v>
      </c>
      <c r="X98" s="770">
        <v>0</v>
      </c>
      <c r="Y98" s="98"/>
      <c r="Z98" s="770">
        <v>0</v>
      </c>
      <c r="AA98" s="769">
        <v>0</v>
      </c>
      <c r="AB98" s="135">
        <v>0</v>
      </c>
      <c r="AC98" s="207"/>
    </row>
    <row r="99" spans="1:29" s="2" customFormat="1">
      <c r="A99" s="61"/>
      <c r="B99" s="41" t="str">
        <f t="shared" si="2"/>
        <v>Residential_Whole House Efficiency_0_Water Heater Tank Wrap_2018</v>
      </c>
      <c r="C99" s="41" t="b">
        <f>ISNUMBER(MATCH(B99,Analysis!B:B,0))</f>
        <v>1</v>
      </c>
      <c r="D99" s="41">
        <f t="shared" si="3"/>
        <v>93</v>
      </c>
      <c r="E99" s="41" t="b">
        <f>COUNTIF($B$7:B99,B99)=1</f>
        <v>1</v>
      </c>
      <c r="F99" s="142" t="s">
        <v>2</v>
      </c>
      <c r="G99" s="142" t="s">
        <v>219</v>
      </c>
      <c r="H99" s="142">
        <v>0</v>
      </c>
      <c r="I99" s="29" t="s">
        <v>266</v>
      </c>
      <c r="J99" s="26">
        <v>2018</v>
      </c>
      <c r="K99" s="143" t="str">
        <f ca="1">INDEX(Analysis!J:J,MATCH($B99,Analysis!$B:$B,0))</f>
        <v>n/a</v>
      </c>
      <c r="L99" s="174">
        <f>'Program Inputs'!$I$8*1</f>
        <v>30</v>
      </c>
      <c r="M99" s="139">
        <f>'Measure Calculations'!$B$154</f>
        <v>5</v>
      </c>
      <c r="N99" s="140">
        <v>0</v>
      </c>
      <c r="O99" s="130">
        <v>0</v>
      </c>
      <c r="P99" s="130">
        <v>0</v>
      </c>
      <c r="Q99" s="130">
        <v>0</v>
      </c>
      <c r="R99" s="130">
        <v>0</v>
      </c>
      <c r="S99" s="162">
        <v>0</v>
      </c>
      <c r="T99" s="95">
        <v>1</v>
      </c>
      <c r="U99" s="95">
        <v>1</v>
      </c>
      <c r="V99" s="768">
        <f>'Measure Calculations'!$B$152</f>
        <v>143</v>
      </c>
      <c r="W99" s="769">
        <f>'Measure Calculations'!$B$151</f>
        <v>1.6400000000000001E-2</v>
      </c>
      <c r="X99" s="770">
        <v>0</v>
      </c>
      <c r="Y99" s="98"/>
      <c r="Z99" s="770">
        <v>0</v>
      </c>
      <c r="AA99" s="769">
        <v>0</v>
      </c>
      <c r="AB99" s="135">
        <v>0</v>
      </c>
      <c r="AC99" s="207"/>
    </row>
    <row r="100" spans="1:29" s="2" customFormat="1">
      <c r="A100" s="61"/>
      <c r="B100" s="41" t="str">
        <f t="shared" si="2"/>
        <v>Residential_Whole House Efficiency_0_LED_2018</v>
      </c>
      <c r="C100" s="41" t="b">
        <f>ISNUMBER(MATCH(B100,Analysis!B:B,0))</f>
        <v>1</v>
      </c>
      <c r="D100" s="41">
        <f t="shared" si="3"/>
        <v>94</v>
      </c>
      <c r="E100" s="41" t="b">
        <f>COUNTIF($B$7:B100,B100)=1</f>
        <v>1</v>
      </c>
      <c r="F100" s="142" t="s">
        <v>2</v>
      </c>
      <c r="G100" s="142" t="s">
        <v>219</v>
      </c>
      <c r="H100" s="142">
        <v>0</v>
      </c>
      <c r="I100" s="29" t="s">
        <v>216</v>
      </c>
      <c r="J100" s="26">
        <v>2018</v>
      </c>
      <c r="K100" s="143" t="str">
        <f ca="1">INDEX(Analysis!J:J,MATCH($B100,Analysis!$B:$B,0))</f>
        <v>n/a</v>
      </c>
      <c r="L100" s="174">
        <f>'Program Inputs'!$I$8*5</f>
        <v>150</v>
      </c>
      <c r="M100" s="139">
        <f>'Measure Calculations'!$B$10</f>
        <v>10</v>
      </c>
      <c r="N100" s="247">
        <v>0</v>
      </c>
      <c r="O100" s="130">
        <v>0</v>
      </c>
      <c r="P100" s="130">
        <v>0</v>
      </c>
      <c r="Q100" s="130">
        <v>0</v>
      </c>
      <c r="R100" s="130">
        <v>0</v>
      </c>
      <c r="S100" s="162">
        <v>0</v>
      </c>
      <c r="T100" s="95">
        <v>1</v>
      </c>
      <c r="U100" s="95">
        <v>1</v>
      </c>
      <c r="V100" s="768">
        <f>'Measure Calculations'!$B$8</f>
        <v>32.466966839999998</v>
      </c>
      <c r="W100" s="769">
        <f>'Measure Calculations'!$B$7</f>
        <v>2.8499272199999995E-3</v>
      </c>
      <c r="X100" s="770">
        <v>0</v>
      </c>
      <c r="Y100" s="98"/>
      <c r="Z100" s="770">
        <v>0</v>
      </c>
      <c r="AA100" s="769">
        <v>0</v>
      </c>
      <c r="AB100" s="135">
        <v>0</v>
      </c>
      <c r="AC100" s="207"/>
    </row>
    <row r="101" spans="1:29" s="2" customFormat="1">
      <c r="A101" s="61"/>
      <c r="B101" s="41" t="str">
        <f t="shared" si="2"/>
        <v>Residential_Whole House Efficiency_0_Faucet Aerator_2018</v>
      </c>
      <c r="C101" s="41" t="b">
        <f>ISNUMBER(MATCH(B101,Analysis!B:B,0))</f>
        <v>1</v>
      </c>
      <c r="D101" s="41">
        <f t="shared" si="3"/>
        <v>95</v>
      </c>
      <c r="E101" s="41" t="b">
        <f>COUNTIF($B$7:B101,B101)=1</f>
        <v>1</v>
      </c>
      <c r="F101" s="142" t="s">
        <v>2</v>
      </c>
      <c r="G101" s="142" t="s">
        <v>219</v>
      </c>
      <c r="H101" s="142">
        <v>0</v>
      </c>
      <c r="I101" s="29" t="s">
        <v>525</v>
      </c>
      <c r="J101" s="26">
        <v>2018</v>
      </c>
      <c r="K101" s="143" t="str">
        <f ca="1">INDEX(Analysis!J:J,MATCH($B101,Analysis!$B:$B,0))</f>
        <v>n/a</v>
      </c>
      <c r="L101" s="174">
        <f>'Program Inputs'!$I$8*2</f>
        <v>60</v>
      </c>
      <c r="M101" s="139">
        <f>'Measure Calculations'!$B$45</f>
        <v>9</v>
      </c>
      <c r="N101" s="140">
        <v>0</v>
      </c>
      <c r="O101" s="130">
        <v>0</v>
      </c>
      <c r="P101" s="130">
        <v>0</v>
      </c>
      <c r="Q101" s="130">
        <v>0</v>
      </c>
      <c r="R101" s="130">
        <v>0</v>
      </c>
      <c r="S101" s="162">
        <v>0</v>
      </c>
      <c r="T101" s="95">
        <v>1</v>
      </c>
      <c r="U101" s="95">
        <v>1</v>
      </c>
      <c r="V101" s="768">
        <f>'Measure Calculations'!$B$43</f>
        <v>68.5987310821276</v>
      </c>
      <c r="W101" s="769">
        <f>'Measure Calculations'!$B$42</f>
        <v>2.9022540073207832E-2</v>
      </c>
      <c r="X101" s="770">
        <v>0</v>
      </c>
      <c r="Y101" s="98"/>
      <c r="Z101" s="770">
        <v>0</v>
      </c>
      <c r="AA101" s="769">
        <v>0</v>
      </c>
      <c r="AB101" s="135">
        <v>0</v>
      </c>
      <c r="AC101" s="207"/>
    </row>
    <row r="102" spans="1:29" s="2" customFormat="1">
      <c r="A102" s="61"/>
      <c r="B102" s="41" t="str">
        <f t="shared" si="2"/>
        <v>Residential_Whole House Efficiency_0_Low Flow Showerhead_2018</v>
      </c>
      <c r="C102" s="41" t="b">
        <f>ISNUMBER(MATCH(B102,Analysis!B:B,0))</f>
        <v>1</v>
      </c>
      <c r="D102" s="41">
        <f t="shared" si="3"/>
        <v>96</v>
      </c>
      <c r="E102" s="41" t="b">
        <f>COUNTIF($B$7:B102,B102)=1</f>
        <v>1</v>
      </c>
      <c r="F102" s="142" t="s">
        <v>2</v>
      </c>
      <c r="G102" s="142" t="s">
        <v>219</v>
      </c>
      <c r="H102" s="142">
        <v>0</v>
      </c>
      <c r="I102" s="29" t="s">
        <v>267</v>
      </c>
      <c r="J102" s="26">
        <v>2018</v>
      </c>
      <c r="K102" s="143" t="str">
        <f ca="1">INDEX(Analysis!J:J,MATCH($B102,Analysis!$B:$B,0))</f>
        <v>n/a</v>
      </c>
      <c r="L102" s="174">
        <f>'Program Inputs'!$I$8*2</f>
        <v>60</v>
      </c>
      <c r="M102" s="139">
        <f>'Measure Calculations'!$C$45</f>
        <v>10</v>
      </c>
      <c r="N102" s="140">
        <v>0</v>
      </c>
      <c r="O102" s="130">
        <v>0</v>
      </c>
      <c r="P102" s="130">
        <v>0</v>
      </c>
      <c r="Q102" s="130">
        <v>0</v>
      </c>
      <c r="R102" s="130">
        <v>0</v>
      </c>
      <c r="S102" s="162">
        <v>0</v>
      </c>
      <c r="T102" s="95">
        <v>1</v>
      </c>
      <c r="U102" s="95">
        <v>1</v>
      </c>
      <c r="V102" s="768">
        <f>'Measure Calculations'!$C$43</f>
        <v>97.904469348143664</v>
      </c>
      <c r="W102" s="769">
        <f>'Measure Calculations'!$C$42</f>
        <v>9.0123981717827612E-3</v>
      </c>
      <c r="X102" s="770">
        <v>0</v>
      </c>
      <c r="Y102" s="98"/>
      <c r="Z102" s="770">
        <v>0</v>
      </c>
      <c r="AA102" s="769">
        <v>0</v>
      </c>
      <c r="AB102" s="135">
        <v>0</v>
      </c>
      <c r="AC102" s="207"/>
    </row>
    <row r="103" spans="1:29" s="2" customFormat="1">
      <c r="A103" s="61"/>
      <c r="B103" s="41" t="str">
        <f t="shared" si="2"/>
        <v>Residential_Residential Audit_0_Residential Audit_2018</v>
      </c>
      <c r="C103" s="41" t="b">
        <f>ISNUMBER(MATCH(B103,Analysis!B:B,0))</f>
        <v>1</v>
      </c>
      <c r="D103" s="41">
        <f t="shared" si="3"/>
        <v>97</v>
      </c>
      <c r="E103" s="41" t="b">
        <f>COUNTIF($B$7:B103,B103)=1</f>
        <v>1</v>
      </c>
      <c r="F103" s="142" t="s">
        <v>2</v>
      </c>
      <c r="G103" s="142" t="s">
        <v>251</v>
      </c>
      <c r="H103" s="142">
        <v>0</v>
      </c>
      <c r="I103" s="29" t="s">
        <v>251</v>
      </c>
      <c r="J103" s="26">
        <v>2018</v>
      </c>
      <c r="K103" s="143" t="str">
        <f ca="1">INDEX(Analysis!J:J,MATCH($B103,Analysis!$B:$B,0))</f>
        <v>n/a</v>
      </c>
      <c r="L103" s="174">
        <f>'Program Inputs'!$I$9</f>
        <v>650</v>
      </c>
      <c r="M103" s="139">
        <v>1</v>
      </c>
      <c r="N103" s="140">
        <v>0</v>
      </c>
      <c r="O103" s="130">
        <v>0</v>
      </c>
      <c r="P103" s="130">
        <v>0</v>
      </c>
      <c r="Q103" s="130">
        <v>0</v>
      </c>
      <c r="R103" s="130">
        <v>0</v>
      </c>
      <c r="S103" s="162">
        <v>0</v>
      </c>
      <c r="T103" s="95">
        <v>1</v>
      </c>
      <c r="U103" s="95">
        <v>1</v>
      </c>
      <c r="V103" s="768">
        <v>0</v>
      </c>
      <c r="W103" s="769">
        <v>0</v>
      </c>
      <c r="X103" s="770">
        <v>0</v>
      </c>
      <c r="Y103" s="98"/>
      <c r="Z103" s="770">
        <v>0</v>
      </c>
      <c r="AA103" s="769">
        <v>0</v>
      </c>
      <c r="AB103" s="135">
        <v>0</v>
      </c>
      <c r="AC103" s="207"/>
    </row>
    <row r="104" spans="1:29" s="2" customFormat="1">
      <c r="A104" s="61"/>
      <c r="B104" s="41" t="str">
        <f t="shared" si="2"/>
        <v>Residential_Residential Audit_0_LED_2018</v>
      </c>
      <c r="C104" s="41" t="b">
        <f>ISNUMBER(MATCH(B104,Analysis!B:B,0))</f>
        <v>1</v>
      </c>
      <c r="D104" s="41">
        <f t="shared" si="3"/>
        <v>98</v>
      </c>
      <c r="E104" s="41" t="b">
        <f>COUNTIF($B$7:B104,B104)=1</f>
        <v>1</v>
      </c>
      <c r="F104" s="142" t="s">
        <v>2</v>
      </c>
      <c r="G104" s="142" t="s">
        <v>251</v>
      </c>
      <c r="H104" s="142">
        <v>0</v>
      </c>
      <c r="I104" s="29" t="s">
        <v>216</v>
      </c>
      <c r="J104" s="26">
        <v>2018</v>
      </c>
      <c r="K104" s="143" t="str">
        <f ca="1">INDEX(Analysis!J:J,MATCH($B104,Analysis!$B:$B,0))</f>
        <v>n/a</v>
      </c>
      <c r="L104" s="174">
        <f>'Program Inputs'!$I$9/2*4</f>
        <v>1300</v>
      </c>
      <c r="M104" s="139">
        <f>'Measure Calculations'!$B$10</f>
        <v>10</v>
      </c>
      <c r="N104" s="247">
        <v>0</v>
      </c>
      <c r="O104" s="130">
        <v>0</v>
      </c>
      <c r="P104" s="130">
        <v>0</v>
      </c>
      <c r="Q104" s="130">
        <v>0</v>
      </c>
      <c r="R104" s="130">
        <v>0</v>
      </c>
      <c r="S104" s="162">
        <v>0</v>
      </c>
      <c r="T104" s="95">
        <v>1</v>
      </c>
      <c r="U104" s="95">
        <v>1</v>
      </c>
      <c r="V104" s="768">
        <f>'Measure Calculations'!$B$8</f>
        <v>32.466966839999998</v>
      </c>
      <c r="W104" s="769">
        <f>'Measure Calculations'!$B$7</f>
        <v>2.8499272199999995E-3</v>
      </c>
      <c r="X104" s="770">
        <v>0</v>
      </c>
      <c r="Y104" s="98"/>
      <c r="Z104" s="770">
        <v>0</v>
      </c>
      <c r="AA104" s="769">
        <v>0</v>
      </c>
      <c r="AB104" s="135">
        <v>0</v>
      </c>
      <c r="AC104" s="207"/>
    </row>
    <row r="105" spans="1:29" s="2" customFormat="1">
      <c r="A105" s="61"/>
      <c r="B105" s="41" t="str">
        <f t="shared" si="2"/>
        <v>Residential_Residential Audit_0_Faucet Aerator_2018</v>
      </c>
      <c r="C105" s="41" t="b">
        <f>ISNUMBER(MATCH(B105,Analysis!B:B,0))</f>
        <v>1</v>
      </c>
      <c r="D105" s="41">
        <f t="shared" si="3"/>
        <v>99</v>
      </c>
      <c r="E105" s="41" t="b">
        <f>COUNTIF($B$7:B105,B105)=1</f>
        <v>1</v>
      </c>
      <c r="F105" s="142" t="s">
        <v>2</v>
      </c>
      <c r="G105" s="142" t="s">
        <v>251</v>
      </c>
      <c r="H105" s="142">
        <v>0</v>
      </c>
      <c r="I105" s="29" t="s">
        <v>525</v>
      </c>
      <c r="J105" s="26">
        <v>2018</v>
      </c>
      <c r="K105" s="143" t="str">
        <f ca="1">INDEX(Analysis!J:J,MATCH($B105,Analysis!$B:$B,0))</f>
        <v>n/a</v>
      </c>
      <c r="L105" s="174">
        <f>'Program Inputs'!$I$9/2</f>
        <v>325</v>
      </c>
      <c r="M105" s="139">
        <f>'Measure Calculations'!$B$45</f>
        <v>9</v>
      </c>
      <c r="N105" s="140">
        <v>0</v>
      </c>
      <c r="O105" s="130">
        <v>0</v>
      </c>
      <c r="P105" s="130">
        <v>0</v>
      </c>
      <c r="Q105" s="130">
        <v>0</v>
      </c>
      <c r="R105" s="130">
        <v>0</v>
      </c>
      <c r="S105" s="162">
        <v>0</v>
      </c>
      <c r="T105" s="95">
        <v>1</v>
      </c>
      <c r="U105" s="95">
        <v>1</v>
      </c>
      <c r="V105" s="768">
        <f>'Measure Calculations'!$B$43</f>
        <v>68.5987310821276</v>
      </c>
      <c r="W105" s="769">
        <f>'Measure Calculations'!$B$42</f>
        <v>2.9022540073207832E-2</v>
      </c>
      <c r="X105" s="770">
        <v>0</v>
      </c>
      <c r="Y105" s="98"/>
      <c r="Z105" s="770">
        <v>0</v>
      </c>
      <c r="AA105" s="769">
        <v>0</v>
      </c>
      <c r="AB105" s="135">
        <v>0</v>
      </c>
      <c r="AC105" s="207"/>
    </row>
    <row r="106" spans="1:29" s="2" customFormat="1">
      <c r="A106" s="61"/>
      <c r="B106" s="41" t="str">
        <f t="shared" si="2"/>
        <v>Residential_Residential Audit_0_Low Flow Showerhead_2018</v>
      </c>
      <c r="C106" s="41" t="b">
        <f>ISNUMBER(MATCH(B106,Analysis!B:B,0))</f>
        <v>1</v>
      </c>
      <c r="D106" s="41">
        <f t="shared" si="3"/>
        <v>100</v>
      </c>
      <c r="E106" s="41" t="b">
        <f>COUNTIF($B$7:B106,B106)=1</f>
        <v>1</v>
      </c>
      <c r="F106" s="142" t="s">
        <v>2</v>
      </c>
      <c r="G106" s="142" t="s">
        <v>251</v>
      </c>
      <c r="H106" s="142">
        <v>0</v>
      </c>
      <c r="I106" s="29" t="s">
        <v>267</v>
      </c>
      <c r="J106" s="26">
        <v>2018</v>
      </c>
      <c r="K106" s="143" t="str">
        <f ca="1">INDEX(Analysis!J:J,MATCH($B106,Analysis!$B:$B,0))</f>
        <v>n/a</v>
      </c>
      <c r="L106" s="174">
        <f>'Program Inputs'!$I$9/2</f>
        <v>325</v>
      </c>
      <c r="M106" s="139">
        <f>'Measure Calculations'!$C$45</f>
        <v>10</v>
      </c>
      <c r="N106" s="140">
        <v>0</v>
      </c>
      <c r="O106" s="130">
        <v>0</v>
      </c>
      <c r="P106" s="130">
        <v>0</v>
      </c>
      <c r="Q106" s="130">
        <v>0</v>
      </c>
      <c r="R106" s="130">
        <v>0</v>
      </c>
      <c r="S106" s="162">
        <v>0</v>
      </c>
      <c r="T106" s="95">
        <v>1</v>
      </c>
      <c r="U106" s="95">
        <v>1</v>
      </c>
      <c r="V106" s="768">
        <f>'Measure Calculations'!$C$43</f>
        <v>97.904469348143664</v>
      </c>
      <c r="W106" s="769">
        <f>'Measure Calculations'!$C$42</f>
        <v>9.0123981717827612E-3</v>
      </c>
      <c r="X106" s="770">
        <v>0</v>
      </c>
      <c r="Y106" s="98"/>
      <c r="Z106" s="770">
        <v>0</v>
      </c>
      <c r="AA106" s="769">
        <v>0</v>
      </c>
      <c r="AB106" s="135">
        <v>0</v>
      </c>
      <c r="AC106" s="207"/>
    </row>
    <row r="107" spans="1:29" s="2" customFormat="1">
      <c r="A107" s="61"/>
      <c r="B107" s="41" t="str">
        <f t="shared" si="2"/>
        <v>Residential_School-Based Education_0_School-Based Education_2018</v>
      </c>
      <c r="C107" s="41" t="b">
        <f>ISNUMBER(MATCH(B107,Analysis!B:B,0))</f>
        <v>1</v>
      </c>
      <c r="D107" s="41">
        <f t="shared" si="3"/>
        <v>101</v>
      </c>
      <c r="E107" s="41" t="b">
        <f>COUNTIF($B$7:B107,B107)=1</f>
        <v>1</v>
      </c>
      <c r="F107" s="142" t="s">
        <v>2</v>
      </c>
      <c r="G107" s="142" t="s">
        <v>252</v>
      </c>
      <c r="H107" s="142">
        <v>0</v>
      </c>
      <c r="I107" s="29" t="s">
        <v>252</v>
      </c>
      <c r="J107" s="26">
        <v>2018</v>
      </c>
      <c r="K107" s="143" t="str">
        <f ca="1">INDEX(Analysis!J:J,MATCH($B107,Analysis!$B:$B,0))</f>
        <v>n/a</v>
      </c>
      <c r="L107" s="174">
        <v>1200</v>
      </c>
      <c r="M107" s="139">
        <v>5</v>
      </c>
      <c r="N107" s="140">
        <v>0</v>
      </c>
      <c r="O107" s="130">
        <v>0</v>
      </c>
      <c r="P107" s="130">
        <v>0</v>
      </c>
      <c r="Q107" s="130">
        <v>0</v>
      </c>
      <c r="R107" s="130">
        <v>0</v>
      </c>
      <c r="S107" s="162">
        <v>0</v>
      </c>
      <c r="T107" s="95">
        <v>1</v>
      </c>
      <c r="U107" s="95">
        <v>1</v>
      </c>
      <c r="V107" s="768">
        <v>397</v>
      </c>
      <c r="W107" s="769">
        <v>0.04</v>
      </c>
      <c r="X107" s="770">
        <v>0</v>
      </c>
      <c r="Y107" s="98"/>
      <c r="Z107" s="770">
        <v>0</v>
      </c>
      <c r="AA107" s="769">
        <v>0</v>
      </c>
      <c r="AB107" s="135">
        <v>0</v>
      </c>
      <c r="AC107" s="207"/>
    </row>
    <row r="108" spans="1:29" s="2" customFormat="1">
      <c r="A108" s="61"/>
      <c r="B108" s="41" t="str">
        <f t="shared" si="2"/>
        <v>Residential_Weatherization_0_Air Sealing_2018</v>
      </c>
      <c r="C108" s="41" t="b">
        <f>ISNUMBER(MATCH(B108,Analysis!B:B,0))</f>
        <v>1</v>
      </c>
      <c r="D108" s="41">
        <f t="shared" si="3"/>
        <v>102</v>
      </c>
      <c r="E108" s="41" t="b">
        <f>COUNTIF($B$7:B108,B108)=1</f>
        <v>1</v>
      </c>
      <c r="F108" s="142" t="s">
        <v>2</v>
      </c>
      <c r="G108" s="142" t="s">
        <v>253</v>
      </c>
      <c r="H108" s="142">
        <v>0</v>
      </c>
      <c r="I108" s="29" t="s">
        <v>270</v>
      </c>
      <c r="J108" s="26">
        <v>2018</v>
      </c>
      <c r="K108" s="143" t="str">
        <f ca="1">INDEX(Analysis!J:J,MATCH($B108,Analysis!$B:$B,0))</f>
        <v>n/a</v>
      </c>
      <c r="L108" s="174">
        <f>ROUND('Program Inputs'!$I$11,0)</f>
        <v>30</v>
      </c>
      <c r="M108" s="139">
        <f>'Measure Calculations'!$B$27</f>
        <v>15</v>
      </c>
      <c r="N108" s="140">
        <v>0</v>
      </c>
      <c r="O108" s="130">
        <v>0</v>
      </c>
      <c r="P108" s="130">
        <v>0</v>
      </c>
      <c r="Q108" s="130">
        <v>0</v>
      </c>
      <c r="R108" s="130">
        <v>0</v>
      </c>
      <c r="S108" s="162">
        <v>0</v>
      </c>
      <c r="T108" s="95">
        <v>1</v>
      </c>
      <c r="U108" s="95">
        <v>1</v>
      </c>
      <c r="V108" s="768">
        <f>AVERAGE('Measure Calculations'!$B$25:$C$25)</f>
        <v>723.22484333533259</v>
      </c>
      <c r="W108" s="769">
        <f>AVERAGE('Measure Calculations'!$B$24:$C$24)</f>
        <v>0.13194175032702399</v>
      </c>
      <c r="X108" s="770">
        <v>0</v>
      </c>
      <c r="Y108" s="98"/>
      <c r="Z108" s="770">
        <v>0</v>
      </c>
      <c r="AA108" s="769">
        <v>0</v>
      </c>
      <c r="AB108" s="135">
        <v>0</v>
      </c>
      <c r="AC108" s="207"/>
    </row>
    <row r="109" spans="1:29" s="2" customFormat="1">
      <c r="A109" s="61"/>
      <c r="B109" s="41" t="str">
        <f t="shared" si="2"/>
        <v>Residential_Weatherization_0_Water Heater Tank Wrap_2018</v>
      </c>
      <c r="C109" s="41" t="b">
        <f>ISNUMBER(MATCH(B109,Analysis!B:B,0))</f>
        <v>1</v>
      </c>
      <c r="D109" s="41">
        <f t="shared" si="3"/>
        <v>103</v>
      </c>
      <c r="E109" s="41" t="b">
        <f>COUNTIF($B$7:B109,B109)=1</f>
        <v>1</v>
      </c>
      <c r="F109" s="142" t="s">
        <v>2</v>
      </c>
      <c r="G109" s="142" t="s">
        <v>253</v>
      </c>
      <c r="H109" s="142">
        <v>0</v>
      </c>
      <c r="I109" s="29" t="s">
        <v>266</v>
      </c>
      <c r="J109" s="26">
        <v>2018</v>
      </c>
      <c r="K109" s="143" t="str">
        <f ca="1">INDEX(Analysis!J:J,MATCH($B109,Analysis!$B:$B,0))</f>
        <v>n/a</v>
      </c>
      <c r="L109" s="174">
        <f>ROUND('Program Inputs'!$I$11*0.5,0)</f>
        <v>15</v>
      </c>
      <c r="M109" s="139">
        <f>'Measure Calculations'!$B$154</f>
        <v>5</v>
      </c>
      <c r="N109" s="140">
        <v>0</v>
      </c>
      <c r="O109" s="130">
        <v>0</v>
      </c>
      <c r="P109" s="130">
        <v>0</v>
      </c>
      <c r="Q109" s="130">
        <v>0</v>
      </c>
      <c r="R109" s="130">
        <v>0</v>
      </c>
      <c r="S109" s="162">
        <v>0</v>
      </c>
      <c r="T109" s="95">
        <v>1</v>
      </c>
      <c r="U109" s="95">
        <v>1</v>
      </c>
      <c r="V109" s="768">
        <f>'Measure Calculations'!$B$152</f>
        <v>143</v>
      </c>
      <c r="W109" s="769">
        <f>'Measure Calculations'!$B$151</f>
        <v>1.6400000000000001E-2</v>
      </c>
      <c r="X109" s="770">
        <v>0</v>
      </c>
      <c r="Y109" s="98"/>
      <c r="Z109" s="770">
        <v>0</v>
      </c>
      <c r="AA109" s="769">
        <v>0</v>
      </c>
      <c r="AB109" s="135">
        <v>0</v>
      </c>
      <c r="AC109" s="207"/>
    </row>
    <row r="110" spans="1:29" s="2" customFormat="1">
      <c r="A110" s="61"/>
      <c r="B110" s="41" t="str">
        <f t="shared" si="2"/>
        <v>Residential_Weatherization_0_Hot Water Pipe Insulation_2018</v>
      </c>
      <c r="C110" s="41" t="b">
        <f>ISNUMBER(MATCH(B110,Analysis!B:B,0))</f>
        <v>1</v>
      </c>
      <c r="D110" s="41">
        <f t="shared" si="3"/>
        <v>104</v>
      </c>
      <c r="E110" s="41" t="b">
        <f>COUNTIF($B$7:B110,B110)=1</f>
        <v>1</v>
      </c>
      <c r="F110" s="142" t="s">
        <v>2</v>
      </c>
      <c r="G110" s="142" t="s">
        <v>253</v>
      </c>
      <c r="H110" s="142">
        <v>0</v>
      </c>
      <c r="I110" s="29" t="s">
        <v>265</v>
      </c>
      <c r="J110" s="26">
        <v>2018</v>
      </c>
      <c r="K110" s="143" t="str">
        <f ca="1">INDEX(Analysis!J:J,MATCH($B110,Analysis!$B:$B,0))</f>
        <v>n/a</v>
      </c>
      <c r="L110" s="174">
        <f>ROUND('Program Inputs'!$I$11*0.5,0)</f>
        <v>15</v>
      </c>
      <c r="M110" s="139">
        <v>15</v>
      </c>
      <c r="N110" s="140">
        <v>0</v>
      </c>
      <c r="O110" s="130">
        <v>0</v>
      </c>
      <c r="P110" s="130">
        <v>0</v>
      </c>
      <c r="Q110" s="130">
        <v>0</v>
      </c>
      <c r="R110" s="130">
        <v>0</v>
      </c>
      <c r="S110" s="162">
        <v>0</v>
      </c>
      <c r="T110" s="95">
        <v>1</v>
      </c>
      <c r="U110" s="95">
        <v>1</v>
      </c>
      <c r="V110" s="768">
        <v>123.19953120421916</v>
      </c>
      <c r="W110" s="769">
        <v>1.4063873425139173E-2</v>
      </c>
      <c r="X110" s="770">
        <v>0</v>
      </c>
      <c r="Y110" s="98"/>
      <c r="Z110" s="770">
        <v>0</v>
      </c>
      <c r="AA110" s="769">
        <v>0</v>
      </c>
      <c r="AB110" s="135">
        <v>0</v>
      </c>
      <c r="AC110" s="207"/>
    </row>
    <row r="111" spans="1:29" s="2" customFormat="1">
      <c r="A111" s="61"/>
      <c r="B111" s="41" t="str">
        <f t="shared" si="2"/>
        <v>Residential_Weatherization_0_Water Heater Temperature Setback_2018</v>
      </c>
      <c r="C111" s="41" t="b">
        <f>ISNUMBER(MATCH(B111,Analysis!B:B,0))</f>
        <v>1</v>
      </c>
      <c r="D111" s="41">
        <f t="shared" si="3"/>
        <v>105</v>
      </c>
      <c r="E111" s="41" t="b">
        <f>COUNTIF($B$7:B111,B111)=1</f>
        <v>1</v>
      </c>
      <c r="F111" s="142" t="s">
        <v>2</v>
      </c>
      <c r="G111" s="142" t="s">
        <v>253</v>
      </c>
      <c r="H111" s="142">
        <v>0</v>
      </c>
      <c r="I111" s="29" t="s">
        <v>271</v>
      </c>
      <c r="J111" s="26">
        <v>2018</v>
      </c>
      <c r="K111" s="143" t="str">
        <f ca="1">INDEX(Analysis!J:J,MATCH($B111,Analysis!$B:$B,0))</f>
        <v>n/a</v>
      </c>
      <c r="L111" s="174">
        <f>ROUND('Program Inputs'!$I$11*0.5,0)</f>
        <v>15</v>
      </c>
      <c r="M111" s="139">
        <f>'Measure Calculations'!$B$147</f>
        <v>2</v>
      </c>
      <c r="N111" s="140">
        <v>0</v>
      </c>
      <c r="O111" s="130">
        <v>0</v>
      </c>
      <c r="P111" s="130">
        <v>0</v>
      </c>
      <c r="Q111" s="130">
        <v>0</v>
      </c>
      <c r="R111" s="130">
        <v>0</v>
      </c>
      <c r="S111" s="162">
        <v>0</v>
      </c>
      <c r="T111" s="95">
        <v>1</v>
      </c>
      <c r="U111" s="95">
        <v>1</v>
      </c>
      <c r="V111" s="768">
        <f>'Measure Calculations'!$B$145</f>
        <v>50.4380040433524</v>
      </c>
      <c r="W111" s="769">
        <f>'Measure Calculations'!$B$144</f>
        <v>5.7538220446443529E-3</v>
      </c>
      <c r="X111" s="770">
        <v>0</v>
      </c>
      <c r="Y111" s="98"/>
      <c r="Z111" s="770">
        <v>0</v>
      </c>
      <c r="AA111" s="769">
        <v>0</v>
      </c>
      <c r="AB111" s="135">
        <v>0</v>
      </c>
      <c r="AC111" s="207"/>
    </row>
    <row r="112" spans="1:29" s="2" customFormat="1">
      <c r="A112" s="61"/>
      <c r="B112" s="41" t="str">
        <f t="shared" si="2"/>
        <v>Residential_Weatherization_0_LED_2018</v>
      </c>
      <c r="C112" s="41" t="b">
        <f>ISNUMBER(MATCH(B112,Analysis!B:B,0))</f>
        <v>1</v>
      </c>
      <c r="D112" s="41">
        <f t="shared" si="3"/>
        <v>106</v>
      </c>
      <c r="E112" s="41" t="b">
        <f>COUNTIF($B$7:B112,B112)=1</f>
        <v>1</v>
      </c>
      <c r="F112" s="142" t="s">
        <v>2</v>
      </c>
      <c r="G112" s="142" t="s">
        <v>253</v>
      </c>
      <c r="H112" s="142">
        <v>0</v>
      </c>
      <c r="I112" s="29" t="s">
        <v>216</v>
      </c>
      <c r="J112" s="26">
        <v>2018</v>
      </c>
      <c r="K112" s="143" t="str">
        <f ca="1">INDEX(Analysis!J:J,MATCH($B112,Analysis!$B:$B,0))</f>
        <v>n/a</v>
      </c>
      <c r="L112" s="174">
        <f>ROUND('Program Inputs'!$I$11*4,0)</f>
        <v>120</v>
      </c>
      <c r="M112" s="139">
        <f>'Measure Calculations'!$B$10</f>
        <v>10</v>
      </c>
      <c r="N112" s="247">
        <v>0</v>
      </c>
      <c r="O112" s="130">
        <v>0</v>
      </c>
      <c r="P112" s="130">
        <v>0</v>
      </c>
      <c r="Q112" s="130">
        <v>0</v>
      </c>
      <c r="R112" s="130">
        <v>0</v>
      </c>
      <c r="S112" s="162">
        <v>0</v>
      </c>
      <c r="T112" s="95">
        <v>1</v>
      </c>
      <c r="U112" s="95">
        <v>1</v>
      </c>
      <c r="V112" s="768">
        <f>'Measure Calculations'!$B$8</f>
        <v>32.466966839999998</v>
      </c>
      <c r="W112" s="769">
        <f>'Measure Calculations'!$B$7</f>
        <v>2.8499272199999995E-3</v>
      </c>
      <c r="X112" s="770">
        <v>0</v>
      </c>
      <c r="Y112" s="98"/>
      <c r="Z112" s="770">
        <v>0</v>
      </c>
      <c r="AA112" s="769">
        <v>0</v>
      </c>
      <c r="AB112" s="135">
        <v>0</v>
      </c>
      <c r="AC112" s="207"/>
    </row>
    <row r="113" spans="1:29" s="2" customFormat="1">
      <c r="A113" s="61"/>
      <c r="B113" s="41" t="str">
        <f t="shared" si="2"/>
        <v>Residential_Weatherization_0_Faucet Aerator_2018</v>
      </c>
      <c r="C113" s="41" t="b">
        <f>ISNUMBER(MATCH(B113,Analysis!B:B,0))</f>
        <v>1</v>
      </c>
      <c r="D113" s="41">
        <f t="shared" si="3"/>
        <v>107</v>
      </c>
      <c r="E113" s="41" t="b">
        <f>COUNTIF($B$7:B113,B113)=1</f>
        <v>1</v>
      </c>
      <c r="F113" s="142" t="s">
        <v>2</v>
      </c>
      <c r="G113" s="142" t="s">
        <v>253</v>
      </c>
      <c r="H113" s="142">
        <v>0</v>
      </c>
      <c r="I113" s="29" t="s">
        <v>525</v>
      </c>
      <c r="J113" s="26">
        <v>2018</v>
      </c>
      <c r="K113" s="143" t="str">
        <f ca="1">INDEX(Analysis!J:J,MATCH($B113,Analysis!$B:$B,0))</f>
        <v>n/a</v>
      </c>
      <c r="L113" s="174">
        <f>ROUND('Program Inputs'!$I$11,0)</f>
        <v>30</v>
      </c>
      <c r="M113" s="139">
        <f>'Measure Calculations'!$B$45</f>
        <v>9</v>
      </c>
      <c r="N113" s="140">
        <v>0</v>
      </c>
      <c r="O113" s="130">
        <v>0</v>
      </c>
      <c r="P113" s="130">
        <v>0</v>
      </c>
      <c r="Q113" s="130">
        <v>0</v>
      </c>
      <c r="R113" s="130">
        <v>0</v>
      </c>
      <c r="S113" s="162">
        <v>0</v>
      </c>
      <c r="T113" s="95">
        <v>1</v>
      </c>
      <c r="U113" s="95">
        <v>1</v>
      </c>
      <c r="V113" s="768">
        <f>'Measure Calculations'!$B$43</f>
        <v>68.5987310821276</v>
      </c>
      <c r="W113" s="769">
        <f>'Measure Calculations'!$B$42</f>
        <v>2.9022540073207832E-2</v>
      </c>
      <c r="X113" s="770">
        <v>0</v>
      </c>
      <c r="Y113" s="98"/>
      <c r="Z113" s="770">
        <v>0</v>
      </c>
      <c r="AA113" s="769">
        <v>0</v>
      </c>
      <c r="AB113" s="135">
        <v>0</v>
      </c>
      <c r="AC113" s="207"/>
    </row>
    <row r="114" spans="1:29" s="2" customFormat="1">
      <c r="A114" s="61"/>
      <c r="B114" s="41" t="str">
        <f t="shared" si="2"/>
        <v>Residential_Weatherization_0_Low Flow Showerhead_2018</v>
      </c>
      <c r="C114" s="41" t="b">
        <f>ISNUMBER(MATCH(B114,Analysis!B:B,0))</f>
        <v>1</v>
      </c>
      <c r="D114" s="41">
        <f t="shared" si="3"/>
        <v>108</v>
      </c>
      <c r="E114" s="41" t="b">
        <f>COUNTIF($B$7:B114,B114)=1</f>
        <v>1</v>
      </c>
      <c r="F114" s="142" t="s">
        <v>2</v>
      </c>
      <c r="G114" s="142" t="s">
        <v>253</v>
      </c>
      <c r="H114" s="142">
        <v>0</v>
      </c>
      <c r="I114" s="29" t="s">
        <v>267</v>
      </c>
      <c r="J114" s="26">
        <v>2018</v>
      </c>
      <c r="K114" s="143" t="str">
        <f ca="1">INDEX(Analysis!J:J,MATCH($B114,Analysis!$B:$B,0))</f>
        <v>n/a</v>
      </c>
      <c r="L114" s="174">
        <f>ROUND('Program Inputs'!$I$11,0)</f>
        <v>30</v>
      </c>
      <c r="M114" s="139">
        <f>'Measure Calculations'!$C$45</f>
        <v>10</v>
      </c>
      <c r="N114" s="140">
        <v>0</v>
      </c>
      <c r="O114" s="130">
        <v>0</v>
      </c>
      <c r="P114" s="130">
        <v>0</v>
      </c>
      <c r="Q114" s="130">
        <v>0</v>
      </c>
      <c r="R114" s="130">
        <v>0</v>
      </c>
      <c r="S114" s="162">
        <v>0</v>
      </c>
      <c r="T114" s="95">
        <v>1</v>
      </c>
      <c r="U114" s="95">
        <v>1</v>
      </c>
      <c r="V114" s="768">
        <f>'Measure Calculations'!$C$43</f>
        <v>97.904469348143664</v>
      </c>
      <c r="W114" s="769">
        <f>'Measure Calculations'!$C$42</f>
        <v>9.0123981717827612E-3</v>
      </c>
      <c r="X114" s="770">
        <v>0</v>
      </c>
      <c r="Y114" s="98"/>
      <c r="Z114" s="770">
        <v>0</v>
      </c>
      <c r="AA114" s="769">
        <v>0</v>
      </c>
      <c r="AB114" s="135">
        <v>0</v>
      </c>
      <c r="AC114" s="207"/>
    </row>
    <row r="115" spans="1:29" s="2" customFormat="1">
      <c r="A115" s="61"/>
      <c r="B115" s="41" t="str">
        <f t="shared" si="2"/>
        <v>C&amp;I_C&amp;I Custom_0_C&amp;I Custom_2018</v>
      </c>
      <c r="C115" s="41" t="b">
        <f>ISNUMBER(MATCH(B115,Analysis!B:B,0))</f>
        <v>1</v>
      </c>
      <c r="D115" s="41">
        <f t="shared" si="3"/>
        <v>109</v>
      </c>
      <c r="E115" s="41" t="b">
        <f>COUNTIF($B$7:B115,B115)=1</f>
        <v>1</v>
      </c>
      <c r="F115" s="142" t="s">
        <v>256</v>
      </c>
      <c r="G115" s="142" t="s">
        <v>254</v>
      </c>
      <c r="H115" s="142">
        <v>0</v>
      </c>
      <c r="I115" s="29" t="s">
        <v>254</v>
      </c>
      <c r="J115" s="26">
        <v>2018</v>
      </c>
      <c r="K115" s="143">
        <f ca="1">INDEX(Analysis!J:J,MATCH($B115,Analysis!$B:$B,0))</f>
        <v>1.3661953032151433</v>
      </c>
      <c r="L115" s="174">
        <v>61</v>
      </c>
      <c r="M115" s="139">
        <v>15</v>
      </c>
      <c r="N115" s="140">
        <v>0</v>
      </c>
      <c r="O115" s="130">
        <v>3970</v>
      </c>
      <c r="P115" s="130">
        <v>7940.9</v>
      </c>
      <c r="Q115" s="130">
        <v>0</v>
      </c>
      <c r="R115" s="130">
        <v>0</v>
      </c>
      <c r="S115" s="162">
        <v>0</v>
      </c>
      <c r="T115" s="95">
        <v>1</v>
      </c>
      <c r="U115" s="95">
        <v>1</v>
      </c>
      <c r="V115" s="768">
        <f>1540273.74/47</f>
        <v>32771.781702127657</v>
      </c>
      <c r="W115" s="769">
        <f>373.149/47</f>
        <v>7.9393404255319151</v>
      </c>
      <c r="X115" s="770">
        <v>0</v>
      </c>
      <c r="Y115" s="98"/>
      <c r="Z115" s="770">
        <v>0</v>
      </c>
      <c r="AA115" s="769">
        <v>0</v>
      </c>
      <c r="AB115" s="135">
        <v>0</v>
      </c>
      <c r="AC115" s="207"/>
    </row>
    <row r="116" spans="1:29" s="2" customFormat="1">
      <c r="A116" s="61"/>
      <c r="B116" s="41" t="str">
        <f t="shared" si="2"/>
        <v>C&amp;I_C&amp;I Prescriptive_0_High Bay Fluorescent Fixture w/ HE Electronic Ballast (T5 2-3 lamp)_2018</v>
      </c>
      <c r="C116" s="41" t="b">
        <f>ISNUMBER(MATCH(B116,Analysis!B:B,0))</f>
        <v>1</v>
      </c>
      <c r="D116" s="41">
        <f t="shared" si="3"/>
        <v>110</v>
      </c>
      <c r="E116" s="41" t="b">
        <f>COUNTIF($B$7:B116,B116)=1</f>
        <v>1</v>
      </c>
      <c r="F116" s="142" t="s">
        <v>256</v>
      </c>
      <c r="G116" s="142" t="s">
        <v>255</v>
      </c>
      <c r="H116" s="142">
        <v>0</v>
      </c>
      <c r="I116" s="29" t="s">
        <v>353</v>
      </c>
      <c r="J116" s="26">
        <v>2018</v>
      </c>
      <c r="K116" s="143">
        <f ca="1">INDEX(Analysis!J:J,MATCH($B116,Analysis!$B:$B,0))</f>
        <v>1.5659394767475263</v>
      </c>
      <c r="L116" s="174">
        <v>45</v>
      </c>
      <c r="M116" s="139">
        <f>'Measure Calculations'!$L$256</f>
        <v>15</v>
      </c>
      <c r="N116" s="140">
        <v>0</v>
      </c>
      <c r="O116" s="130">
        <v>55</v>
      </c>
      <c r="P116" s="130">
        <f>'Measure Calculations'!$H$256</f>
        <v>100</v>
      </c>
      <c r="Q116" s="130">
        <v>0</v>
      </c>
      <c r="R116" s="130">
        <v>0</v>
      </c>
      <c r="S116" s="162">
        <v>0</v>
      </c>
      <c r="T116" s="95">
        <v>1</v>
      </c>
      <c r="U116" s="95">
        <v>1</v>
      </c>
      <c r="V116" s="768">
        <f>'Measure Calculations'!$F$256</f>
        <v>466.49450999999993</v>
      </c>
      <c r="W116" s="769">
        <f>'Measure Calculations'!$G$256</f>
        <v>0.12369000000000001</v>
      </c>
      <c r="X116" s="770">
        <v>0</v>
      </c>
      <c r="Y116" s="98"/>
      <c r="Z116" s="770">
        <v>0</v>
      </c>
      <c r="AA116" s="769">
        <v>0</v>
      </c>
      <c r="AB116" s="135">
        <v>0</v>
      </c>
      <c r="AC116" s="207"/>
    </row>
    <row r="117" spans="1:29" s="2" customFormat="1">
      <c r="A117" s="61"/>
      <c r="B117" s="41" t="str">
        <f t="shared" si="2"/>
        <v>C&amp;I_C&amp;I Prescriptive_0_High Bay Fluorescent Fixture w/ HE Electronic Ballast (T5 4-6 lamp)_2018</v>
      </c>
      <c r="C117" s="41" t="b">
        <f>ISNUMBER(MATCH(B117,Analysis!B:B,0))</f>
        <v>1</v>
      </c>
      <c r="D117" s="41">
        <f t="shared" si="3"/>
        <v>111</v>
      </c>
      <c r="E117" s="41" t="b">
        <f>COUNTIF($B$7:B117,B117)=1</f>
        <v>1</v>
      </c>
      <c r="F117" s="142" t="s">
        <v>256</v>
      </c>
      <c r="G117" s="142" t="s">
        <v>255</v>
      </c>
      <c r="H117" s="142">
        <v>0</v>
      </c>
      <c r="I117" s="29" t="s">
        <v>272</v>
      </c>
      <c r="J117" s="26">
        <v>2018</v>
      </c>
      <c r="K117" s="143">
        <f ca="1">INDEX(Analysis!J:J,MATCH($B117,Analysis!$B:$B,0))</f>
        <v>2.1687419850008745</v>
      </c>
      <c r="L117" s="174">
        <v>45</v>
      </c>
      <c r="M117" s="139">
        <f>'Measure Calculations'!$L$257</f>
        <v>15</v>
      </c>
      <c r="N117" s="140">
        <v>0</v>
      </c>
      <c r="O117" s="130">
        <v>75</v>
      </c>
      <c r="P117" s="130">
        <f>'Measure Calculations'!$H$257</f>
        <v>125</v>
      </c>
      <c r="Q117" s="130">
        <v>0</v>
      </c>
      <c r="R117" s="130">
        <v>0</v>
      </c>
      <c r="S117" s="162">
        <v>0</v>
      </c>
      <c r="T117" s="95">
        <v>1</v>
      </c>
      <c r="U117" s="95">
        <v>1</v>
      </c>
      <c r="V117" s="768">
        <f>'Measure Calculations'!$F$257</f>
        <v>807.58726999999988</v>
      </c>
      <c r="W117" s="769">
        <f>'Measure Calculations'!$G$257</f>
        <v>0.21413000000000001</v>
      </c>
      <c r="X117" s="770">
        <v>0</v>
      </c>
      <c r="Y117" s="98"/>
      <c r="Z117" s="770">
        <v>0</v>
      </c>
      <c r="AA117" s="769">
        <v>0</v>
      </c>
      <c r="AB117" s="135">
        <v>0</v>
      </c>
      <c r="AC117" s="207"/>
    </row>
    <row r="118" spans="1:29" s="2" customFormat="1">
      <c r="A118" s="61"/>
      <c r="B118" s="41" t="str">
        <f t="shared" si="2"/>
        <v>C&amp;I_C&amp;I Prescriptive_0_High Bay Fluorescent Fixture w/ HE Electronic Ballast (T5 8-lamp)_2018</v>
      </c>
      <c r="C118" s="41" t="b">
        <f>ISNUMBER(MATCH(B118,Analysis!B:B,0))</f>
        <v>1</v>
      </c>
      <c r="D118" s="41">
        <f t="shared" si="3"/>
        <v>112</v>
      </c>
      <c r="E118" s="41" t="b">
        <f>COUNTIF($B$7:B118,B118)=1</f>
        <v>1</v>
      </c>
      <c r="F118" s="142" t="s">
        <v>256</v>
      </c>
      <c r="G118" s="142" t="s">
        <v>255</v>
      </c>
      <c r="H118" s="142">
        <v>0</v>
      </c>
      <c r="I118" s="29" t="s">
        <v>273</v>
      </c>
      <c r="J118" s="26">
        <v>2018</v>
      </c>
      <c r="K118" s="143">
        <f ca="1">INDEX(Analysis!J:J,MATCH($B118,Analysis!$B:$B,0))</f>
        <v>5.1457107967101505</v>
      </c>
      <c r="L118" s="174">
        <v>45</v>
      </c>
      <c r="M118" s="139">
        <f>'Measure Calculations'!$L$258</f>
        <v>15</v>
      </c>
      <c r="N118" s="140">
        <v>0</v>
      </c>
      <c r="O118" s="130">
        <v>85</v>
      </c>
      <c r="P118" s="130">
        <f>'Measure Calculations'!$H$258</f>
        <v>125</v>
      </c>
      <c r="Q118" s="130">
        <v>0</v>
      </c>
      <c r="R118" s="130">
        <v>0</v>
      </c>
      <c r="S118" s="162">
        <v>0</v>
      </c>
      <c r="T118" s="95">
        <v>1</v>
      </c>
      <c r="U118" s="95">
        <v>1</v>
      </c>
      <c r="V118" s="768">
        <f>'Measure Calculations'!$F$258</f>
        <v>1916.1387399999999</v>
      </c>
      <c r="W118" s="769">
        <f>'Measure Calculations'!$G$258</f>
        <v>0.50806000000000007</v>
      </c>
      <c r="X118" s="770">
        <v>0</v>
      </c>
      <c r="Y118" s="98"/>
      <c r="Z118" s="770">
        <v>0</v>
      </c>
      <c r="AA118" s="769">
        <v>0</v>
      </c>
      <c r="AB118" s="135">
        <v>0</v>
      </c>
      <c r="AC118" s="207"/>
    </row>
    <row r="119" spans="1:29" s="2" customFormat="1">
      <c r="A119" s="61"/>
      <c r="B119" s="41" t="str">
        <f t="shared" si="2"/>
        <v>C&amp;I_C&amp;I Prescriptive_0_High Bay Fluorescent Fixture w/ HE Electronic Ballast (T5 10-lamp)_2018</v>
      </c>
      <c r="C119" s="41" t="b">
        <f>ISNUMBER(MATCH(B119,Analysis!B:B,0))</f>
        <v>1</v>
      </c>
      <c r="D119" s="41">
        <f t="shared" si="3"/>
        <v>113</v>
      </c>
      <c r="E119" s="41" t="b">
        <f>COUNTIF($B$7:B119,B119)=1</f>
        <v>1</v>
      </c>
      <c r="F119" s="142" t="s">
        <v>256</v>
      </c>
      <c r="G119" s="142" t="s">
        <v>255</v>
      </c>
      <c r="H119" s="142">
        <v>0</v>
      </c>
      <c r="I119" s="29" t="s">
        <v>274</v>
      </c>
      <c r="J119" s="26">
        <v>2018</v>
      </c>
      <c r="K119" s="143">
        <f ca="1">INDEX(Analysis!J:J,MATCH($B119,Analysis!$B:$B,0))</f>
        <v>5.5565594336202544</v>
      </c>
      <c r="L119" s="174">
        <v>45</v>
      </c>
      <c r="M119" s="139">
        <f>'Measure Calculations'!$L$259</f>
        <v>15</v>
      </c>
      <c r="N119" s="140">
        <v>0</v>
      </c>
      <c r="O119" s="130">
        <v>95</v>
      </c>
      <c r="P119" s="130">
        <f>'Measure Calculations'!$H$259</f>
        <v>150</v>
      </c>
      <c r="Q119" s="130">
        <v>0</v>
      </c>
      <c r="R119" s="130">
        <v>0</v>
      </c>
      <c r="S119" s="162">
        <v>0</v>
      </c>
      <c r="T119" s="95">
        <v>1</v>
      </c>
      <c r="U119" s="95">
        <v>1</v>
      </c>
      <c r="V119" s="768">
        <f>'Measure Calculations'!$F$259</f>
        <v>2482.9546499999997</v>
      </c>
      <c r="W119" s="769">
        <f>'Measure Calculations'!$G$259</f>
        <v>0.65834999999999999</v>
      </c>
      <c r="X119" s="770">
        <v>0</v>
      </c>
      <c r="Y119" s="98"/>
      <c r="Z119" s="770">
        <v>0</v>
      </c>
      <c r="AA119" s="769">
        <v>0</v>
      </c>
      <c r="AB119" s="135">
        <v>0</v>
      </c>
      <c r="AC119" s="207"/>
    </row>
    <row r="120" spans="1:29" s="2" customFormat="1">
      <c r="A120" s="61"/>
      <c r="B120" s="41" t="str">
        <f t="shared" si="2"/>
        <v>C&amp;I_C&amp;I Prescriptive_0_High Bay Fluorescent Fixture w/ HE Electronic Ballast (T8 4 lamp)_2018</v>
      </c>
      <c r="C120" s="41" t="b">
        <f>ISNUMBER(MATCH(B120,Analysis!B:B,0))</f>
        <v>1</v>
      </c>
      <c r="D120" s="41">
        <f t="shared" si="3"/>
        <v>114</v>
      </c>
      <c r="E120" s="41" t="b">
        <f>COUNTIF($B$7:B120,B120)=1</f>
        <v>1</v>
      </c>
      <c r="F120" s="142" t="s">
        <v>256</v>
      </c>
      <c r="G120" s="142" t="s">
        <v>255</v>
      </c>
      <c r="H120" s="142">
        <v>0</v>
      </c>
      <c r="I120" s="29" t="s">
        <v>354</v>
      </c>
      <c r="J120" s="26">
        <v>2018</v>
      </c>
      <c r="K120" s="143">
        <f ca="1">INDEX(Analysis!J:J,MATCH($B120,Analysis!$B:$B,0))</f>
        <v>0.81967670675343651</v>
      </c>
      <c r="L120" s="174">
        <v>80</v>
      </c>
      <c r="M120" s="139">
        <f>'Measure Calculations'!$L$260</f>
        <v>15</v>
      </c>
      <c r="N120" s="140">
        <v>0</v>
      </c>
      <c r="O120" s="130">
        <v>55</v>
      </c>
      <c r="P120" s="130">
        <f>'Measure Calculations'!$H$260</f>
        <v>200</v>
      </c>
      <c r="Q120" s="130">
        <v>0</v>
      </c>
      <c r="R120" s="130">
        <v>0</v>
      </c>
      <c r="S120" s="162">
        <v>0</v>
      </c>
      <c r="T120" s="95">
        <v>1</v>
      </c>
      <c r="U120" s="95">
        <v>1</v>
      </c>
      <c r="V120" s="768">
        <f>'Measure Calculations'!$F$260</f>
        <v>488.36457519999999</v>
      </c>
      <c r="W120" s="769">
        <f>'Measure Calculations'!$G$260</f>
        <v>0.12948880000000002</v>
      </c>
      <c r="X120" s="770">
        <v>0</v>
      </c>
      <c r="Y120" s="98"/>
      <c r="Z120" s="770">
        <v>0</v>
      </c>
      <c r="AA120" s="769">
        <v>0</v>
      </c>
      <c r="AB120" s="135">
        <v>0</v>
      </c>
      <c r="AC120" s="207"/>
    </row>
    <row r="121" spans="1:29" s="2" customFormat="1">
      <c r="A121" s="61"/>
      <c r="B121" s="41" t="str">
        <f t="shared" si="2"/>
        <v>C&amp;I_C&amp;I Prescriptive_0_High Bay Fluorescent Fixture w/ HE Electronic Ballast (T8 6-8 lamp)_2018</v>
      </c>
      <c r="C121" s="41" t="b">
        <f>ISNUMBER(MATCH(B121,Analysis!B:B,0))</f>
        <v>1</v>
      </c>
      <c r="D121" s="41">
        <f t="shared" si="3"/>
        <v>115</v>
      </c>
      <c r="E121" s="41" t="b">
        <f>COUNTIF($B$7:B121,B121)=1</f>
        <v>1</v>
      </c>
      <c r="F121" s="142" t="s">
        <v>256</v>
      </c>
      <c r="G121" s="142" t="s">
        <v>255</v>
      </c>
      <c r="H121" s="142">
        <v>0</v>
      </c>
      <c r="I121" s="29" t="s">
        <v>275</v>
      </c>
      <c r="J121" s="26">
        <v>2018</v>
      </c>
      <c r="K121" s="143">
        <f ca="1">INDEX(Analysis!J:J,MATCH($B121,Analysis!$B:$B,0))</f>
        <v>2.1480872994294375</v>
      </c>
      <c r="L121" s="174">
        <v>80</v>
      </c>
      <c r="M121" s="139">
        <f>'Measure Calculations'!$L$261</f>
        <v>15</v>
      </c>
      <c r="N121" s="140">
        <v>0</v>
      </c>
      <c r="O121" s="130">
        <v>75</v>
      </c>
      <c r="P121" s="130">
        <f>'Measure Calculations'!$H$261</f>
        <v>225</v>
      </c>
      <c r="Q121" s="130">
        <v>0</v>
      </c>
      <c r="R121" s="130">
        <v>0</v>
      </c>
      <c r="S121" s="162">
        <v>0</v>
      </c>
      <c r="T121" s="95">
        <v>1</v>
      </c>
      <c r="U121" s="95">
        <v>1</v>
      </c>
      <c r="V121" s="768">
        <f>'Measure Calculations'!$F$261</f>
        <v>1439.8127327999996</v>
      </c>
      <c r="W121" s="769">
        <f>'Measure Calculations'!$G$261</f>
        <v>0.38176319999999997</v>
      </c>
      <c r="X121" s="770">
        <v>0</v>
      </c>
      <c r="Y121" s="98"/>
      <c r="Z121" s="770">
        <v>0</v>
      </c>
      <c r="AA121" s="769">
        <v>0</v>
      </c>
      <c r="AB121" s="135">
        <v>0</v>
      </c>
      <c r="AC121" s="207"/>
    </row>
    <row r="122" spans="1:29" s="2" customFormat="1">
      <c r="A122" s="61"/>
      <c r="B122" s="41" t="str">
        <f t="shared" si="2"/>
        <v>C&amp;I_C&amp;I Prescriptive_0_High Bay Fluorescent Fixture w/ HE Electronic Ballast (T8 12-16 lamp)_2018</v>
      </c>
      <c r="C122" s="41" t="b">
        <f>ISNUMBER(MATCH(B122,Analysis!B:B,0))</f>
        <v>1</v>
      </c>
      <c r="D122" s="41">
        <f t="shared" si="3"/>
        <v>116</v>
      </c>
      <c r="E122" s="41" t="b">
        <f>COUNTIF($B$7:B122,B122)=1</f>
        <v>1</v>
      </c>
      <c r="F122" s="142" t="s">
        <v>256</v>
      </c>
      <c r="G122" s="142" t="s">
        <v>255</v>
      </c>
      <c r="H122" s="142">
        <v>0</v>
      </c>
      <c r="I122" s="29" t="s">
        <v>276</v>
      </c>
      <c r="J122" s="26">
        <v>2018</v>
      </c>
      <c r="K122" s="143">
        <f ca="1">INDEX(Analysis!J:J,MATCH($B122,Analysis!$B:$B,0))</f>
        <v>3.069645487838506</v>
      </c>
      <c r="L122" s="174">
        <v>80</v>
      </c>
      <c r="M122" s="139">
        <f>'Measure Calculations'!$L$262</f>
        <v>15</v>
      </c>
      <c r="N122" s="140">
        <v>0</v>
      </c>
      <c r="O122" s="130">
        <v>85</v>
      </c>
      <c r="P122" s="130">
        <f>'Measure Calculations'!$H$262</f>
        <v>250</v>
      </c>
      <c r="Q122" s="130">
        <v>0</v>
      </c>
      <c r="R122" s="130">
        <v>0</v>
      </c>
      <c r="S122" s="162">
        <v>0</v>
      </c>
      <c r="T122" s="95">
        <v>1</v>
      </c>
      <c r="U122" s="95">
        <v>1</v>
      </c>
      <c r="V122" s="768">
        <f>'Measure Calculations'!$F$262</f>
        <v>2286.1240632000004</v>
      </c>
      <c r="W122" s="769">
        <f>'Measure Calculations'!$G$262</f>
        <v>0.60616080000000006</v>
      </c>
      <c r="X122" s="770">
        <v>0</v>
      </c>
      <c r="Y122" s="98"/>
      <c r="Z122" s="770">
        <v>0</v>
      </c>
      <c r="AA122" s="769">
        <v>0</v>
      </c>
      <c r="AB122" s="135">
        <v>0</v>
      </c>
      <c r="AC122" s="207"/>
    </row>
    <row r="123" spans="1:29" s="2" customFormat="1">
      <c r="A123" s="61"/>
      <c r="B123" s="41" t="str">
        <f t="shared" si="2"/>
        <v>C&amp;I_C&amp;I Prescriptive_0_High Bay Fluorescent Fixture w/ HE Electronic Ballast (T8 18-20 lamp)_2018</v>
      </c>
      <c r="C123" s="41" t="b">
        <f>ISNUMBER(MATCH(B123,Analysis!B:B,0))</f>
        <v>1</v>
      </c>
      <c r="D123" s="41">
        <f t="shared" si="3"/>
        <v>117</v>
      </c>
      <c r="E123" s="41" t="b">
        <f>COUNTIF($B$7:B123,B123)=1</f>
        <v>1</v>
      </c>
      <c r="F123" s="142" t="s">
        <v>256</v>
      </c>
      <c r="G123" s="142" t="s">
        <v>255</v>
      </c>
      <c r="H123" s="142">
        <v>0</v>
      </c>
      <c r="I123" s="29" t="s">
        <v>355</v>
      </c>
      <c r="J123" s="26">
        <v>2018</v>
      </c>
      <c r="K123" s="143">
        <f ca="1">INDEX(Analysis!J:J,MATCH($B123,Analysis!$B:$B,0))</f>
        <v>3.8600913243593205</v>
      </c>
      <c r="L123" s="174">
        <v>80</v>
      </c>
      <c r="M123" s="139">
        <f>'Measure Calculations'!$L$263</f>
        <v>15</v>
      </c>
      <c r="N123" s="140">
        <v>0</v>
      </c>
      <c r="O123" s="130">
        <v>95</v>
      </c>
      <c r="P123" s="130">
        <f>'Measure Calculations'!$H$263</f>
        <v>250</v>
      </c>
      <c r="Q123" s="130">
        <v>0</v>
      </c>
      <c r="R123" s="130">
        <v>0</v>
      </c>
      <c r="S123" s="162">
        <v>0</v>
      </c>
      <c r="T123" s="95">
        <v>1</v>
      </c>
      <c r="U123" s="95">
        <v>1</v>
      </c>
      <c r="V123" s="768">
        <f>'Measure Calculations'!$F$263</f>
        <v>2874.8100383999995</v>
      </c>
      <c r="W123" s="769">
        <f>'Measure Calculations'!$G$263</f>
        <v>0.76224959999999997</v>
      </c>
      <c r="X123" s="770">
        <v>0</v>
      </c>
      <c r="Y123" s="98"/>
      <c r="Z123" s="770">
        <v>0</v>
      </c>
      <c r="AA123" s="769">
        <v>0</v>
      </c>
      <c r="AB123" s="135">
        <v>0</v>
      </c>
      <c r="AC123" s="207"/>
    </row>
    <row r="124" spans="1:29" s="2" customFormat="1">
      <c r="A124" s="61"/>
      <c r="B124" s="41" t="str">
        <f t="shared" si="2"/>
        <v>C&amp;I_C&amp;I Prescriptive_0_Low-Wattage T8 _2018</v>
      </c>
      <c r="C124" s="41" t="b">
        <f>ISNUMBER(MATCH(B124,Analysis!B:B,0))</f>
        <v>1</v>
      </c>
      <c r="D124" s="41">
        <f t="shared" si="3"/>
        <v>118</v>
      </c>
      <c r="E124" s="41" t="b">
        <f>COUNTIF($B$7:B124,B124)=1</f>
        <v>1</v>
      </c>
      <c r="F124" s="142" t="s">
        <v>256</v>
      </c>
      <c r="G124" s="142" t="s">
        <v>255</v>
      </c>
      <c r="H124" s="142">
        <v>0</v>
      </c>
      <c r="I124" s="29" t="s">
        <v>280</v>
      </c>
      <c r="J124" s="26">
        <v>2018</v>
      </c>
      <c r="K124" s="143">
        <f ca="1">INDEX(Analysis!J:J,MATCH($B124,Analysis!$B:$B,0))</f>
        <v>3.3304436956533063</v>
      </c>
      <c r="L124" s="174">
        <v>850</v>
      </c>
      <c r="M124" s="139">
        <f>'Measure Calculations'!$L$267</f>
        <v>8</v>
      </c>
      <c r="N124" s="140">
        <v>0</v>
      </c>
      <c r="O124" s="130">
        <v>0.5</v>
      </c>
      <c r="P124" s="130">
        <f>'Measure Calculations'!$H$267</f>
        <v>2</v>
      </c>
      <c r="Q124" s="130">
        <v>0</v>
      </c>
      <c r="R124" s="130">
        <v>0</v>
      </c>
      <c r="S124" s="162">
        <v>0</v>
      </c>
      <c r="T124" s="95">
        <v>1</v>
      </c>
      <c r="U124" s="95">
        <v>1</v>
      </c>
      <c r="V124" s="768">
        <f>'Measure Calculations'!$F$267</f>
        <v>30.096419999999998</v>
      </c>
      <c r="W124" s="769">
        <f>'Measure Calculations'!$G$267</f>
        <v>7.980000000000001E-3</v>
      </c>
      <c r="X124" s="770">
        <v>0</v>
      </c>
      <c r="Y124" s="98"/>
      <c r="Z124" s="770">
        <v>0</v>
      </c>
      <c r="AA124" s="769">
        <v>0</v>
      </c>
      <c r="AB124" s="135">
        <v>0</v>
      </c>
      <c r="AC124" s="207"/>
    </row>
    <row r="125" spans="1:29" s="2" customFormat="1">
      <c r="A125" s="61"/>
      <c r="B125" s="41" t="str">
        <f t="shared" si="2"/>
        <v>C&amp;I_C&amp;I Prescriptive_0_Energy Star LED Lamp (≤5W)_2018</v>
      </c>
      <c r="C125" s="41" t="b">
        <f>ISNUMBER(MATCH(B125,Analysis!B:B,0))</f>
        <v>1</v>
      </c>
      <c r="D125" s="41">
        <f t="shared" si="3"/>
        <v>119</v>
      </c>
      <c r="E125" s="41" t="b">
        <f>COUNTIF($B$7:B125,B125)=1</f>
        <v>1</v>
      </c>
      <c r="F125" s="142" t="s">
        <v>256</v>
      </c>
      <c r="G125" s="142" t="s">
        <v>255</v>
      </c>
      <c r="H125" s="142">
        <v>0</v>
      </c>
      <c r="I125" s="29" t="s">
        <v>288</v>
      </c>
      <c r="J125" s="26">
        <v>2018</v>
      </c>
      <c r="K125" s="143">
        <f ca="1">INDEX(Analysis!J:J,MATCH($B125,Analysis!$B:$B,0))</f>
        <v>1.973596264090848</v>
      </c>
      <c r="L125" s="174">
        <v>150</v>
      </c>
      <c r="M125" s="139">
        <f>'Measure Calculations'!$L$276</f>
        <v>8</v>
      </c>
      <c r="N125" s="140">
        <v>0</v>
      </c>
      <c r="O125" s="130">
        <v>5</v>
      </c>
      <c r="P125" s="130">
        <f>'Measure Calculations'!$H$276</f>
        <v>9</v>
      </c>
      <c r="Q125" s="130">
        <v>0</v>
      </c>
      <c r="R125" s="130">
        <v>0</v>
      </c>
      <c r="S125" s="162">
        <v>0</v>
      </c>
      <c r="T125" s="95">
        <v>1</v>
      </c>
      <c r="U125" s="95">
        <v>1</v>
      </c>
      <c r="V125" s="768">
        <f>'Measure Calculations'!$F$276</f>
        <v>80.25712</v>
      </c>
      <c r="W125" s="769">
        <f>'Measure Calculations'!$G$276</f>
        <v>2.128E-2</v>
      </c>
      <c r="X125" s="770">
        <v>0</v>
      </c>
      <c r="Y125" s="98"/>
      <c r="Z125" s="770">
        <v>0</v>
      </c>
      <c r="AA125" s="769">
        <v>0</v>
      </c>
      <c r="AB125" s="135">
        <v>0</v>
      </c>
      <c r="AC125" s="207"/>
    </row>
    <row r="126" spans="1:29" s="2" customFormat="1">
      <c r="A126" s="61"/>
      <c r="B126" s="41" t="str">
        <f t="shared" si="2"/>
        <v>C&amp;I_C&amp;I Prescriptive_0_Energy Star LED Lamp (6-10W)_2018</v>
      </c>
      <c r="C126" s="41" t="b">
        <f>ISNUMBER(MATCH(B126,Analysis!B:B,0))</f>
        <v>1</v>
      </c>
      <c r="D126" s="41">
        <f t="shared" si="3"/>
        <v>120</v>
      </c>
      <c r="E126" s="41" t="b">
        <f>COUNTIF($B$7:B126,B126)=1</f>
        <v>1</v>
      </c>
      <c r="F126" s="142" t="s">
        <v>256</v>
      </c>
      <c r="G126" s="142" t="s">
        <v>255</v>
      </c>
      <c r="H126" s="142">
        <v>0</v>
      </c>
      <c r="I126" s="29" t="s">
        <v>358</v>
      </c>
      <c r="J126" s="26">
        <v>2018</v>
      </c>
      <c r="K126" s="143">
        <f ca="1">INDEX(Analysis!J:J,MATCH($B126,Analysis!$B:$B,0))</f>
        <v>2.9603943961362722</v>
      </c>
      <c r="L126" s="174">
        <v>200</v>
      </c>
      <c r="M126" s="139">
        <f>'Measure Calculations'!$L$277</f>
        <v>8</v>
      </c>
      <c r="N126" s="140">
        <v>0</v>
      </c>
      <c r="O126" s="130">
        <v>8.5</v>
      </c>
      <c r="P126" s="130">
        <f>'Measure Calculations'!$H$277</f>
        <v>9</v>
      </c>
      <c r="Q126" s="130">
        <v>0</v>
      </c>
      <c r="R126" s="130">
        <v>0</v>
      </c>
      <c r="S126" s="162">
        <v>0</v>
      </c>
      <c r="T126" s="95">
        <v>1</v>
      </c>
      <c r="U126" s="95">
        <v>1</v>
      </c>
      <c r="V126" s="768">
        <f>'Measure Calculations'!$F$277</f>
        <v>120.38567999999999</v>
      </c>
      <c r="W126" s="769">
        <f>'Measure Calculations'!$G$277</f>
        <v>3.1920000000000004E-2</v>
      </c>
      <c r="X126" s="770">
        <v>0</v>
      </c>
      <c r="Y126" s="98"/>
      <c r="Z126" s="770">
        <v>0</v>
      </c>
      <c r="AA126" s="769">
        <v>0</v>
      </c>
      <c r="AB126" s="135">
        <v>0</v>
      </c>
      <c r="AC126" s="207"/>
    </row>
    <row r="127" spans="1:29" s="2" customFormat="1">
      <c r="A127" s="61"/>
      <c r="B127" s="41" t="str">
        <f t="shared" si="2"/>
        <v>C&amp;I_C&amp;I Prescriptive_0_Energy Star LED Lamp (11 to 20W)_2018</v>
      </c>
      <c r="C127" s="41" t="b">
        <f>ISNUMBER(MATCH(B127,Analysis!B:B,0))</f>
        <v>1</v>
      </c>
      <c r="D127" s="41">
        <f t="shared" si="3"/>
        <v>121</v>
      </c>
      <c r="E127" s="41" t="b">
        <f>COUNTIF($B$7:B127,B127)=1</f>
        <v>1</v>
      </c>
      <c r="F127" s="142" t="s">
        <v>256</v>
      </c>
      <c r="G127" s="142" t="s">
        <v>255</v>
      </c>
      <c r="H127" s="142">
        <v>0</v>
      </c>
      <c r="I127" s="29" t="s">
        <v>357</v>
      </c>
      <c r="J127" s="26">
        <v>2018</v>
      </c>
      <c r="K127" s="143">
        <f ca="1">INDEX(Analysis!J:J,MATCH($B127,Analysis!$B:$B,0))</f>
        <v>2.6366012590588674</v>
      </c>
      <c r="L127" s="174">
        <v>100</v>
      </c>
      <c r="M127" s="139">
        <f>'Measure Calculations'!$L$278</f>
        <v>8</v>
      </c>
      <c r="N127" s="140">
        <v>0</v>
      </c>
      <c r="O127" s="130">
        <v>12.5</v>
      </c>
      <c r="P127" s="130">
        <f>'Measure Calculations'!$H$278</f>
        <v>16</v>
      </c>
      <c r="Q127" s="130">
        <v>0</v>
      </c>
      <c r="R127" s="130">
        <v>0</v>
      </c>
      <c r="S127" s="162">
        <v>0</v>
      </c>
      <c r="T127" s="95">
        <v>1</v>
      </c>
      <c r="U127" s="95">
        <v>1</v>
      </c>
      <c r="V127" s="768">
        <f>'Measure Calculations'!$F$278</f>
        <v>190.61065999999997</v>
      </c>
      <c r="W127" s="769">
        <f>'Measure Calculations'!$G$278</f>
        <v>5.0540000000000002E-2</v>
      </c>
      <c r="X127" s="770">
        <v>0</v>
      </c>
      <c r="Y127" s="98"/>
      <c r="Z127" s="770">
        <v>0</v>
      </c>
      <c r="AA127" s="769">
        <v>0</v>
      </c>
      <c r="AB127" s="135">
        <v>0</v>
      </c>
      <c r="AC127" s="207"/>
    </row>
    <row r="128" spans="1:29" s="2" customFormat="1">
      <c r="A128" s="61"/>
      <c r="B128" s="41" t="str">
        <f t="shared" si="2"/>
        <v>C&amp;I_C&amp;I Prescriptive_0_Energy Star LED Lamp (&gt;20W)_2018</v>
      </c>
      <c r="C128" s="41" t="b">
        <f>ISNUMBER(MATCH(B128,Analysis!B:B,0))</f>
        <v>1</v>
      </c>
      <c r="D128" s="41">
        <f t="shared" si="3"/>
        <v>122</v>
      </c>
      <c r="E128" s="41" t="b">
        <f>COUNTIF($B$7:B128,B128)=1</f>
        <v>1</v>
      </c>
      <c r="F128" s="142" t="s">
        <v>256</v>
      </c>
      <c r="G128" s="142" t="s">
        <v>255</v>
      </c>
      <c r="H128" s="142">
        <v>0</v>
      </c>
      <c r="I128" s="29" t="s">
        <v>356</v>
      </c>
      <c r="J128" s="26">
        <v>2018</v>
      </c>
      <c r="K128" s="143">
        <f ca="1">INDEX(Analysis!J:J,MATCH($B128,Analysis!$B:$B,0))</f>
        <v>2.4221408695660411</v>
      </c>
      <c r="L128" s="174">
        <v>100</v>
      </c>
      <c r="M128" s="139">
        <f>'Measure Calculations'!$L$279</f>
        <v>8</v>
      </c>
      <c r="N128" s="140">
        <v>0</v>
      </c>
      <c r="O128" s="130">
        <v>15</v>
      </c>
      <c r="P128" s="130">
        <f>'Measure Calculations'!$H$279</f>
        <v>22</v>
      </c>
      <c r="Q128" s="130">
        <v>0</v>
      </c>
      <c r="R128" s="130">
        <v>0</v>
      </c>
      <c r="S128" s="162">
        <v>0</v>
      </c>
      <c r="T128" s="95">
        <v>1</v>
      </c>
      <c r="U128" s="95">
        <v>1</v>
      </c>
      <c r="V128" s="768">
        <f>'Measure Calculations'!$F$279</f>
        <v>240.77135999999999</v>
      </c>
      <c r="W128" s="769">
        <f>'Measure Calculations'!$G$279</f>
        <v>6.3840000000000008E-2</v>
      </c>
      <c r="X128" s="770">
        <v>0</v>
      </c>
      <c r="Y128" s="98"/>
      <c r="Z128" s="770">
        <v>0</v>
      </c>
      <c r="AA128" s="769">
        <v>0</v>
      </c>
      <c r="AB128" s="135">
        <v>0</v>
      </c>
      <c r="AC128" s="207"/>
    </row>
    <row r="129" spans="1:29" s="2" customFormat="1">
      <c r="A129" s="61"/>
      <c r="B129" s="41" t="str">
        <f t="shared" ref="B129:B186" si="4">F129&amp;"_"&amp;G129&amp;"_"&amp;H129&amp;"_"&amp;I129&amp;"_"&amp;J129</f>
        <v>C&amp;I_C&amp;I Prescriptive_0_High Performance T8 (1-2 Lamp)_2018</v>
      </c>
      <c r="C129" s="41" t="b">
        <f>ISNUMBER(MATCH(B129,Analysis!B:B,0))</f>
        <v>1</v>
      </c>
      <c r="D129" s="41">
        <f t="shared" si="3"/>
        <v>123</v>
      </c>
      <c r="E129" s="41" t="b">
        <f>COUNTIF($B$7:B129,B129)=1</f>
        <v>1</v>
      </c>
      <c r="F129" s="142" t="s">
        <v>256</v>
      </c>
      <c r="G129" s="142" t="s">
        <v>255</v>
      </c>
      <c r="H129" s="142">
        <v>0</v>
      </c>
      <c r="I129" s="29" t="s">
        <v>289</v>
      </c>
      <c r="J129" s="26">
        <v>2018</v>
      </c>
      <c r="K129" s="143">
        <f ca="1">INDEX(Analysis!J:J,MATCH($B129,Analysis!$B:$B,0))</f>
        <v>0.93544771609768573</v>
      </c>
      <c r="L129" s="174">
        <v>150</v>
      </c>
      <c r="M129" s="139">
        <f>'Measure Calculations'!$L$281</f>
        <v>15</v>
      </c>
      <c r="N129" s="140">
        <v>0</v>
      </c>
      <c r="O129" s="130">
        <v>9</v>
      </c>
      <c r="P129" s="130">
        <f>'Measure Calculations'!$H$281</f>
        <v>18</v>
      </c>
      <c r="Q129" s="130">
        <v>0</v>
      </c>
      <c r="R129" s="130">
        <v>0</v>
      </c>
      <c r="S129" s="162">
        <v>0</v>
      </c>
      <c r="T129" s="95">
        <v>1</v>
      </c>
      <c r="U129" s="95">
        <v>1</v>
      </c>
      <c r="V129" s="768">
        <f>'Measure Calculations'!$F$281</f>
        <v>50.160699999999999</v>
      </c>
      <c r="W129" s="769">
        <f>'Measure Calculations'!$G$281</f>
        <v>1.3300000000000001E-2</v>
      </c>
      <c r="X129" s="770">
        <v>0</v>
      </c>
      <c r="Y129" s="98"/>
      <c r="Z129" s="770">
        <v>0</v>
      </c>
      <c r="AA129" s="769">
        <v>0</v>
      </c>
      <c r="AB129" s="135">
        <v>0</v>
      </c>
      <c r="AC129" s="207"/>
    </row>
    <row r="130" spans="1:29" s="2" customFormat="1">
      <c r="A130" s="61"/>
      <c r="B130" s="41" t="str">
        <f t="shared" si="4"/>
        <v>C&amp;I_C&amp;I Prescriptive_0_High Performance T8 (3-4 Lamp)_2018</v>
      </c>
      <c r="C130" s="41" t="b">
        <f>ISNUMBER(MATCH(B130,Analysis!B:B,0))</f>
        <v>1</v>
      </c>
      <c r="D130" s="41">
        <f t="shared" si="3"/>
        <v>124</v>
      </c>
      <c r="E130" s="41" t="b">
        <f>COUNTIF($B$7:B130,B130)=1</f>
        <v>1</v>
      </c>
      <c r="F130" s="142" t="s">
        <v>256</v>
      </c>
      <c r="G130" s="142" t="s">
        <v>255</v>
      </c>
      <c r="H130" s="142">
        <v>0</v>
      </c>
      <c r="I130" s="29" t="s">
        <v>290</v>
      </c>
      <c r="J130" s="26">
        <v>2018</v>
      </c>
      <c r="K130" s="143">
        <f ca="1">INDEX(Analysis!J:J,MATCH($B130,Analysis!$B:$B,0))</f>
        <v>1.3909700821974282</v>
      </c>
      <c r="L130" s="174">
        <v>150</v>
      </c>
      <c r="M130" s="139">
        <f>'Measure Calculations'!$L$282</f>
        <v>15</v>
      </c>
      <c r="N130" s="140">
        <v>0</v>
      </c>
      <c r="O130" s="130">
        <v>12</v>
      </c>
      <c r="P130" s="130">
        <f>'Measure Calculations'!$H$282</f>
        <v>23</v>
      </c>
      <c r="Q130" s="130">
        <v>0</v>
      </c>
      <c r="R130" s="130">
        <v>0</v>
      </c>
      <c r="S130" s="162">
        <v>0</v>
      </c>
      <c r="T130" s="95">
        <v>1</v>
      </c>
      <c r="U130" s="95">
        <v>1</v>
      </c>
      <c r="V130" s="768">
        <f>'Measure Calculations'!$F$282</f>
        <v>95.305329999999984</v>
      </c>
      <c r="W130" s="769">
        <f>'Measure Calculations'!$G$282</f>
        <v>2.5270000000000001E-2</v>
      </c>
      <c r="X130" s="770">
        <v>0</v>
      </c>
      <c r="Y130" s="98"/>
      <c r="Z130" s="770">
        <v>0</v>
      </c>
      <c r="AA130" s="769">
        <v>0</v>
      </c>
      <c r="AB130" s="135">
        <v>0</v>
      </c>
      <c r="AC130" s="207"/>
    </row>
    <row r="131" spans="1:29" s="2" customFormat="1">
      <c r="A131" s="61"/>
      <c r="B131" s="41" t="str">
        <f t="shared" si="4"/>
        <v>C&amp;I_C&amp;I Prescriptive_0_LED Parking Garage/Canopy (&lt;30W)_2018</v>
      </c>
      <c r="C131" s="41" t="b">
        <f>ISNUMBER(MATCH(B131,Analysis!B:B,0))</f>
        <v>1</v>
      </c>
      <c r="D131" s="41">
        <f t="shared" si="3"/>
        <v>125</v>
      </c>
      <c r="E131" s="41" t="b">
        <f>COUNTIF($B$7:B131,B131)=1</f>
        <v>1</v>
      </c>
      <c r="F131" s="142" t="s">
        <v>256</v>
      </c>
      <c r="G131" s="142" t="s">
        <v>255</v>
      </c>
      <c r="H131" s="142">
        <v>0</v>
      </c>
      <c r="I131" s="29" t="s">
        <v>291</v>
      </c>
      <c r="J131" s="26">
        <v>2018</v>
      </c>
      <c r="K131" s="143">
        <f ca="1">INDEX(Analysis!J:J,MATCH($B131,Analysis!$B:$B,0))</f>
        <v>0.61759280461500787</v>
      </c>
      <c r="L131" s="174">
        <v>250</v>
      </c>
      <c r="M131" s="139">
        <f>'Measure Calculations'!$L$289</f>
        <v>8</v>
      </c>
      <c r="N131" s="140">
        <v>0</v>
      </c>
      <c r="O131" s="130">
        <v>60</v>
      </c>
      <c r="P131" s="130">
        <f>'Measure Calculations'!$H$289</f>
        <v>190</v>
      </c>
      <c r="Q131" s="130">
        <v>0</v>
      </c>
      <c r="R131" s="130">
        <v>0</v>
      </c>
      <c r="S131" s="162">
        <v>0</v>
      </c>
      <c r="T131" s="95">
        <v>1</v>
      </c>
      <c r="U131" s="95">
        <v>1</v>
      </c>
      <c r="V131" s="768">
        <f>'Measure Calculations'!$F$289</f>
        <v>530.19859899999994</v>
      </c>
      <c r="W131" s="769">
        <f>'Measure Calculations'!$G$289</f>
        <v>0.14058099999999998</v>
      </c>
      <c r="X131" s="770">
        <v>0</v>
      </c>
      <c r="Y131" s="98"/>
      <c r="Z131" s="770">
        <v>0</v>
      </c>
      <c r="AA131" s="769">
        <v>0</v>
      </c>
      <c r="AB131" s="135">
        <v>0</v>
      </c>
      <c r="AC131" s="207"/>
    </row>
    <row r="132" spans="1:29" s="2" customFormat="1">
      <c r="A132" s="61"/>
      <c r="B132" s="41" t="str">
        <f t="shared" si="4"/>
        <v>C&amp;I_C&amp;I Prescriptive_0_LED Parking Garage/Canopy (30-75W)_2018</v>
      </c>
      <c r="C132" s="41" t="b">
        <f>ISNUMBER(MATCH(B132,Analysis!B:B,0))</f>
        <v>1</v>
      </c>
      <c r="D132" s="41">
        <f t="shared" si="3"/>
        <v>126</v>
      </c>
      <c r="E132" s="41" t="b">
        <f>COUNTIF($B$7:B132,B132)=1</f>
        <v>1</v>
      </c>
      <c r="F132" s="142" t="s">
        <v>256</v>
      </c>
      <c r="G132" s="142" t="s">
        <v>255</v>
      </c>
      <c r="H132" s="142">
        <v>0</v>
      </c>
      <c r="I132" s="29" t="s">
        <v>292</v>
      </c>
      <c r="J132" s="26">
        <v>2018</v>
      </c>
      <c r="K132" s="143">
        <f ca="1">INDEX(Analysis!J:J,MATCH($B132,Analysis!$B:$B,0))</f>
        <v>0.50440169327896767</v>
      </c>
      <c r="L132" s="174">
        <v>100</v>
      </c>
      <c r="M132" s="139">
        <f>'Measure Calculations'!$L$290</f>
        <v>8</v>
      </c>
      <c r="N132" s="140">
        <v>0</v>
      </c>
      <c r="O132" s="130">
        <v>100</v>
      </c>
      <c r="P132" s="130">
        <f>'Measure Calculations'!$H$290</f>
        <v>287</v>
      </c>
      <c r="Q132" s="130">
        <v>0</v>
      </c>
      <c r="R132" s="130">
        <v>0</v>
      </c>
      <c r="S132" s="162">
        <v>0</v>
      </c>
      <c r="T132" s="95">
        <v>1</v>
      </c>
      <c r="U132" s="95">
        <v>1</v>
      </c>
      <c r="V132" s="768">
        <f>'Measure Calculations'!$F$290</f>
        <v>654.09552800000006</v>
      </c>
      <c r="W132" s="769">
        <f>'Measure Calculations'!$G$290</f>
        <v>0.17343200000000003</v>
      </c>
      <c r="X132" s="770">
        <v>0</v>
      </c>
      <c r="Y132" s="98"/>
      <c r="Z132" s="770">
        <v>0</v>
      </c>
      <c r="AA132" s="769">
        <v>0</v>
      </c>
      <c r="AB132" s="135">
        <v>0</v>
      </c>
      <c r="AC132" s="207"/>
    </row>
    <row r="133" spans="1:29" s="2" customFormat="1">
      <c r="A133" s="61"/>
      <c r="B133" s="41" t="str">
        <f t="shared" si="4"/>
        <v>C&amp;I_C&amp;I Prescriptive_0_LED Parking Garage/Canopy (≥75W)_2018</v>
      </c>
      <c r="C133" s="41" t="b">
        <f>ISNUMBER(MATCH(B133,Analysis!B:B,0))</f>
        <v>1</v>
      </c>
      <c r="D133" s="41">
        <f t="shared" si="3"/>
        <v>127</v>
      </c>
      <c r="E133" s="41" t="b">
        <f>COUNTIF($B$7:B133,B133)=1</f>
        <v>1</v>
      </c>
      <c r="F133" s="142" t="s">
        <v>256</v>
      </c>
      <c r="G133" s="142" t="s">
        <v>255</v>
      </c>
      <c r="H133" s="142">
        <v>0</v>
      </c>
      <c r="I133" s="29" t="s">
        <v>293</v>
      </c>
      <c r="J133" s="26">
        <v>2018</v>
      </c>
      <c r="K133" s="143">
        <f ca="1">INDEX(Analysis!J:J,MATCH($B133,Analysis!$B:$B,0))</f>
        <v>0.69448126850536962</v>
      </c>
      <c r="L133" s="174">
        <v>250</v>
      </c>
      <c r="M133" s="139">
        <f>'Measure Calculations'!$L$291</f>
        <v>8</v>
      </c>
      <c r="N133" s="140">
        <v>0</v>
      </c>
      <c r="O133" s="130">
        <v>140</v>
      </c>
      <c r="P133" s="130">
        <f>'Measure Calculations'!$H$291</f>
        <v>391</v>
      </c>
      <c r="Q133" s="130">
        <v>0</v>
      </c>
      <c r="R133" s="130">
        <v>0</v>
      </c>
      <c r="S133" s="162">
        <v>0</v>
      </c>
      <c r="T133" s="95">
        <v>1</v>
      </c>
      <c r="U133" s="95">
        <v>1</v>
      </c>
      <c r="V133" s="768">
        <f>'Measure Calculations'!$F$291</f>
        <v>1226.9307219999996</v>
      </c>
      <c r="W133" s="769">
        <f>'Measure Calculations'!$G$291</f>
        <v>0.32531799999999994</v>
      </c>
      <c r="X133" s="770">
        <v>0</v>
      </c>
      <c r="Y133" s="98"/>
      <c r="Z133" s="770">
        <v>0</v>
      </c>
      <c r="AA133" s="769">
        <v>0</v>
      </c>
      <c r="AB133" s="135">
        <v>0</v>
      </c>
      <c r="AC133" s="207"/>
    </row>
    <row r="134" spans="1:29" s="2" customFormat="1">
      <c r="A134" s="61"/>
      <c r="B134" s="41" t="str">
        <f t="shared" si="4"/>
        <v>C&amp;I_C&amp;I Prescriptive_0_LED Linear Replacement Lamp (≤4ft)_2018</v>
      </c>
      <c r="C134" s="41" t="b">
        <f>ISNUMBER(MATCH(B134,Analysis!B:B,0))</f>
        <v>1</v>
      </c>
      <c r="D134" s="41">
        <f t="shared" si="3"/>
        <v>128</v>
      </c>
      <c r="E134" s="41" t="b">
        <f>COUNTIF($B$7:B134,B134)=1</f>
        <v>1</v>
      </c>
      <c r="F134" s="142" t="s">
        <v>256</v>
      </c>
      <c r="G134" s="142" t="s">
        <v>255</v>
      </c>
      <c r="H134" s="142">
        <v>0</v>
      </c>
      <c r="I134" s="29" t="s">
        <v>299</v>
      </c>
      <c r="J134" s="26">
        <v>2018</v>
      </c>
      <c r="K134" s="143">
        <f ca="1">INDEX(Analysis!J:J,MATCH($B134,Analysis!$B:$B,0))</f>
        <v>0.80927870915884625</v>
      </c>
      <c r="L134" s="174">
        <v>4000</v>
      </c>
      <c r="M134" s="139">
        <f>'Measure Calculations'!$L$305</f>
        <v>10</v>
      </c>
      <c r="N134" s="140">
        <v>0</v>
      </c>
      <c r="O134" s="130">
        <v>6</v>
      </c>
      <c r="P134" s="130">
        <f>'Measure Calculations'!$H$305</f>
        <v>24</v>
      </c>
      <c r="Q134" s="130">
        <v>0</v>
      </c>
      <c r="R134" s="130">
        <v>0</v>
      </c>
      <c r="S134" s="162">
        <v>0</v>
      </c>
      <c r="T134" s="95">
        <v>1</v>
      </c>
      <c r="U134" s="95">
        <v>1</v>
      </c>
      <c r="V134" s="768">
        <f>'Measure Calculations'!$F$305</f>
        <v>74.739443000000009</v>
      </c>
      <c r="W134" s="769">
        <f>'Measure Calculations'!$G$305</f>
        <v>1.9817000000000005E-2</v>
      </c>
      <c r="X134" s="770">
        <v>0</v>
      </c>
      <c r="Y134" s="98"/>
      <c r="Z134" s="770">
        <v>0</v>
      </c>
      <c r="AA134" s="769">
        <v>0</v>
      </c>
      <c r="AB134" s="135">
        <v>0</v>
      </c>
      <c r="AC134" s="207"/>
    </row>
    <row r="135" spans="1:29" s="2" customFormat="1">
      <c r="A135" s="61"/>
      <c r="B135" s="41" t="str">
        <f t="shared" si="4"/>
        <v>C&amp;I_C&amp;I Prescriptive_0_LED Linear Replacement Lamp (5-8ft)_2018</v>
      </c>
      <c r="C135" s="41" t="b">
        <f>ISNUMBER(MATCH(B135,Analysis!B:B,0))</f>
        <v>1</v>
      </c>
      <c r="D135" s="41">
        <f t="shared" si="3"/>
        <v>129</v>
      </c>
      <c r="E135" s="41" t="b">
        <f>COUNTIF($B$7:B135,B135)=1</f>
        <v>1</v>
      </c>
      <c r="F135" s="142" t="s">
        <v>256</v>
      </c>
      <c r="G135" s="142" t="s">
        <v>255</v>
      </c>
      <c r="H135" s="142">
        <v>0</v>
      </c>
      <c r="I135" s="29" t="s">
        <v>300</v>
      </c>
      <c r="J135" s="26">
        <v>2018</v>
      </c>
      <c r="K135" s="143">
        <f ca="1">INDEX(Analysis!J:J,MATCH($B135,Analysis!$B:$B,0))</f>
        <v>1.1949081611741348</v>
      </c>
      <c r="L135" s="174">
        <v>350</v>
      </c>
      <c r="M135" s="139">
        <f>'Measure Calculations'!$L$306</f>
        <v>10</v>
      </c>
      <c r="N135" s="140">
        <v>0</v>
      </c>
      <c r="O135" s="130">
        <v>15</v>
      </c>
      <c r="P135" s="130">
        <f>'Measure Calculations'!$H$306</f>
        <v>36</v>
      </c>
      <c r="Q135" s="130">
        <v>0</v>
      </c>
      <c r="R135" s="130">
        <v>0</v>
      </c>
      <c r="S135" s="162">
        <v>0</v>
      </c>
      <c r="T135" s="95">
        <v>1</v>
      </c>
      <c r="U135" s="95">
        <v>1</v>
      </c>
      <c r="V135" s="768">
        <f>'Measure Calculations'!$F$306</f>
        <v>165.53030999999999</v>
      </c>
      <c r="W135" s="769">
        <f>'Measure Calculations'!$G$306</f>
        <v>4.3890000000000005E-2</v>
      </c>
      <c r="X135" s="770">
        <v>0</v>
      </c>
      <c r="Y135" s="98"/>
      <c r="Z135" s="770">
        <v>0</v>
      </c>
      <c r="AA135" s="769">
        <v>0</v>
      </c>
      <c r="AB135" s="135">
        <v>0</v>
      </c>
      <c r="AC135" s="207"/>
    </row>
    <row r="136" spans="1:29" s="2" customFormat="1">
      <c r="A136" s="61"/>
      <c r="B136" s="41" t="str">
        <f t="shared" si="4"/>
        <v>C&amp;I_C&amp;I Prescriptive_0_Ceiling Mount Occupancy_2018</v>
      </c>
      <c r="C136" s="41" t="b">
        <f>ISNUMBER(MATCH(B136,Analysis!B:B,0))</f>
        <v>1</v>
      </c>
      <c r="D136" s="41">
        <f t="shared" ref="D136:D199" si="5">D135+1</f>
        <v>130</v>
      </c>
      <c r="E136" s="41" t="b">
        <f>COUNTIF($B$7:B136,B136)=1</f>
        <v>1</v>
      </c>
      <c r="F136" s="142" t="s">
        <v>256</v>
      </c>
      <c r="G136" s="142" t="s">
        <v>255</v>
      </c>
      <c r="H136" s="142">
        <v>0</v>
      </c>
      <c r="I136" s="29" t="s">
        <v>307</v>
      </c>
      <c r="J136" s="26">
        <v>2018</v>
      </c>
      <c r="K136" s="143">
        <f ca="1">INDEX(Analysis!J:J,MATCH($B136,Analysis!$B:$B,0))</f>
        <v>2.0354126922959876</v>
      </c>
      <c r="L136" s="174">
        <v>30</v>
      </c>
      <c r="M136" s="139">
        <f>'Measure Calculations'!$B$252</f>
        <v>8</v>
      </c>
      <c r="N136" s="140">
        <v>0</v>
      </c>
      <c r="O136" s="130">
        <v>30</v>
      </c>
      <c r="P136" s="130">
        <f>'Measure Calculations'!$B$251</f>
        <v>102</v>
      </c>
      <c r="Q136" s="130">
        <v>0</v>
      </c>
      <c r="R136" s="130">
        <v>0</v>
      </c>
      <c r="S136" s="162">
        <v>0</v>
      </c>
      <c r="T136" s="95">
        <v>1</v>
      </c>
      <c r="U136" s="95">
        <v>1</v>
      </c>
      <c r="V136" s="768">
        <f>'Measure Calculations'!$B$249</f>
        <v>622.39396559999989</v>
      </c>
      <c r="W136" s="769">
        <f>'Measure Calculations'!$B$248</f>
        <v>0.68761000000000005</v>
      </c>
      <c r="X136" s="770">
        <v>0</v>
      </c>
      <c r="Y136" s="98"/>
      <c r="Z136" s="770">
        <v>0</v>
      </c>
      <c r="AA136" s="769">
        <v>0</v>
      </c>
      <c r="AB136" s="135">
        <v>0</v>
      </c>
      <c r="AC136" s="207"/>
    </row>
    <row r="137" spans="1:29" s="2" customFormat="1">
      <c r="A137" s="61"/>
      <c r="B137" s="41" t="str">
        <f t="shared" si="4"/>
        <v>C&amp;I_C&amp;I Prescriptive_0_Wall Mount Occupancy_2018</v>
      </c>
      <c r="C137" s="41" t="b">
        <f>ISNUMBER(MATCH(B137,Analysis!B:B,0))</f>
        <v>1</v>
      </c>
      <c r="D137" s="41">
        <f t="shared" si="5"/>
        <v>131</v>
      </c>
      <c r="E137" s="41" t="b">
        <f>COUNTIF($B$7:B137,B137)=1</f>
        <v>1</v>
      </c>
      <c r="F137" s="142" t="s">
        <v>256</v>
      </c>
      <c r="G137" s="142" t="s">
        <v>255</v>
      </c>
      <c r="H137" s="142">
        <v>0</v>
      </c>
      <c r="I137" s="29" t="s">
        <v>308</v>
      </c>
      <c r="J137" s="26">
        <v>2018</v>
      </c>
      <c r="K137" s="143">
        <f ca="1">INDEX(Analysis!J:J,MATCH($B137,Analysis!$B:$B,0))</f>
        <v>2.4015507588018421</v>
      </c>
      <c r="L137" s="174">
        <v>20</v>
      </c>
      <c r="M137" s="139">
        <f>'Measure Calculations'!$C$252</f>
        <v>8</v>
      </c>
      <c r="N137" s="140">
        <v>0</v>
      </c>
      <c r="O137" s="130">
        <v>12</v>
      </c>
      <c r="P137" s="130">
        <f>'Measure Calculations'!$C$251</f>
        <v>51</v>
      </c>
      <c r="Q137" s="130">
        <v>0</v>
      </c>
      <c r="R137" s="130">
        <v>0</v>
      </c>
      <c r="S137" s="162">
        <v>0</v>
      </c>
      <c r="T137" s="95">
        <v>1</v>
      </c>
      <c r="U137" s="95">
        <v>1</v>
      </c>
      <c r="V137" s="768">
        <f>'Measure Calculations'!$C$249</f>
        <v>367.17632399999997</v>
      </c>
      <c r="W137" s="769">
        <f>'Measure Calculations'!$C$248</f>
        <v>0.40565000000000001</v>
      </c>
      <c r="X137" s="770">
        <v>0</v>
      </c>
      <c r="Y137" s="98"/>
      <c r="Z137" s="770">
        <v>0</v>
      </c>
      <c r="AA137" s="769">
        <v>0</v>
      </c>
      <c r="AB137" s="135">
        <v>0</v>
      </c>
      <c r="AC137" s="207"/>
    </row>
    <row r="138" spans="1:29" s="2" customFormat="1">
      <c r="A138" s="61"/>
      <c r="B138" s="41" t="str">
        <f t="shared" si="4"/>
        <v>C&amp;I_C&amp;I Prescriptive_0_Fixture Mount Occupancy_2018</v>
      </c>
      <c r="C138" s="41" t="b">
        <f>ISNUMBER(MATCH(B138,Analysis!B:B,0))</f>
        <v>1</v>
      </c>
      <c r="D138" s="41">
        <f t="shared" si="5"/>
        <v>132</v>
      </c>
      <c r="E138" s="41" t="b">
        <f>COUNTIF($B$7:B138,B138)=1</f>
        <v>1</v>
      </c>
      <c r="F138" s="142" t="s">
        <v>256</v>
      </c>
      <c r="G138" s="142" t="s">
        <v>255</v>
      </c>
      <c r="H138" s="142">
        <v>0</v>
      </c>
      <c r="I138" s="29" t="s">
        <v>309</v>
      </c>
      <c r="J138" s="26">
        <v>2018</v>
      </c>
      <c r="K138" s="143">
        <f ca="1">INDEX(Analysis!J:J,MATCH($B138,Analysis!$B:$B,0))</f>
        <v>0.78568196599433016</v>
      </c>
      <c r="L138" s="174">
        <v>20</v>
      </c>
      <c r="M138" s="139">
        <f>'Measure Calculations'!$D$252</f>
        <v>8</v>
      </c>
      <c r="N138" s="140">
        <v>0</v>
      </c>
      <c r="O138" s="130">
        <v>12</v>
      </c>
      <c r="P138" s="130">
        <f>'Measure Calculations'!$D$251</f>
        <v>92</v>
      </c>
      <c r="Q138" s="130">
        <v>0</v>
      </c>
      <c r="R138" s="130">
        <v>0</v>
      </c>
      <c r="S138" s="162">
        <v>0</v>
      </c>
      <c r="T138" s="95">
        <v>1</v>
      </c>
      <c r="U138" s="95">
        <v>1</v>
      </c>
      <c r="V138" s="768">
        <f>'Measure Calculations'!$D$249</f>
        <v>216.69422399999996</v>
      </c>
      <c r="W138" s="769">
        <f>'Measure Calculations'!$D$248</f>
        <v>0.2394</v>
      </c>
      <c r="X138" s="770">
        <v>0</v>
      </c>
      <c r="Y138" s="98"/>
      <c r="Z138" s="770">
        <v>0</v>
      </c>
      <c r="AA138" s="769">
        <v>0</v>
      </c>
      <c r="AB138" s="135">
        <v>0</v>
      </c>
      <c r="AC138" s="207"/>
    </row>
    <row r="139" spans="1:29" s="2" customFormat="1">
      <c r="A139" s="61"/>
      <c r="B139" s="41" t="str">
        <f t="shared" si="4"/>
        <v>C&amp;I_C&amp;I Prescriptive_0_Exit Sign_2018</v>
      </c>
      <c r="C139" s="41" t="b">
        <f>ISNUMBER(MATCH(B139,Analysis!B:B,0))</f>
        <v>1</v>
      </c>
      <c r="D139" s="41">
        <f t="shared" si="5"/>
        <v>133</v>
      </c>
      <c r="E139" s="41" t="b">
        <f>COUNTIF($B$7:B139,B139)=1</f>
        <v>1</v>
      </c>
      <c r="F139" s="142" t="s">
        <v>256</v>
      </c>
      <c r="G139" s="142" t="s">
        <v>255</v>
      </c>
      <c r="H139" s="142">
        <v>0</v>
      </c>
      <c r="I139" s="29" t="s">
        <v>311</v>
      </c>
      <c r="J139" s="26">
        <v>2018</v>
      </c>
      <c r="K139" s="143">
        <f ca="1">INDEX(Analysis!J:J,MATCH($B139,Analysis!$B:$B,0))</f>
        <v>5.5825296769525927</v>
      </c>
      <c r="L139" s="174">
        <v>160</v>
      </c>
      <c r="M139" s="139">
        <f>'Measure Calculations'!$B$241</f>
        <v>16</v>
      </c>
      <c r="N139" s="140">
        <v>0</v>
      </c>
      <c r="O139" s="130">
        <v>6</v>
      </c>
      <c r="P139" s="130">
        <f>'Measure Calculations'!$B$240</f>
        <v>25</v>
      </c>
      <c r="Q139" s="130">
        <v>0</v>
      </c>
      <c r="R139" s="130">
        <v>0</v>
      </c>
      <c r="S139" s="162">
        <v>0</v>
      </c>
      <c r="T139" s="95">
        <v>1</v>
      </c>
      <c r="U139" s="95">
        <v>1</v>
      </c>
      <c r="V139" s="768">
        <f>'Measure Calculations'!$B$238</f>
        <v>435.54719999999992</v>
      </c>
      <c r="W139" s="769">
        <f>'Measure Calculations'!$B$237</f>
        <v>5.8520000000000003E-2</v>
      </c>
      <c r="X139" s="770">
        <v>0</v>
      </c>
      <c r="Y139" s="98"/>
      <c r="Z139" s="770">
        <v>0</v>
      </c>
      <c r="AA139" s="769">
        <v>0</v>
      </c>
      <c r="AB139" s="135">
        <v>0</v>
      </c>
      <c r="AC139" s="207"/>
    </row>
    <row r="140" spans="1:29" s="2" customFormat="1">
      <c r="A140" s="61"/>
      <c r="B140" s="41" t="str">
        <f t="shared" si="4"/>
        <v>C&amp;I_C&amp;I Prescriptive_0_LED wall mounted area lights (wallpacks) (&lt;30W)_2018</v>
      </c>
      <c r="C140" s="41" t="b">
        <f>ISNUMBER(MATCH(B140,Analysis!B:B,0))</f>
        <v>1</v>
      </c>
      <c r="D140" s="41">
        <f t="shared" si="5"/>
        <v>134</v>
      </c>
      <c r="E140" s="41" t="b">
        <f>COUNTIF($B$7:B140,B140)=1</f>
        <v>1</v>
      </c>
      <c r="F140" s="142" t="s">
        <v>256</v>
      </c>
      <c r="G140" s="142" t="s">
        <v>255</v>
      </c>
      <c r="H140" s="142">
        <v>0</v>
      </c>
      <c r="I140" s="29" t="s">
        <v>359</v>
      </c>
      <c r="J140" s="26">
        <v>2018</v>
      </c>
      <c r="K140" s="143">
        <f ca="1">INDEX(Analysis!J:J,MATCH($B140,Analysis!$B:$B,0))</f>
        <v>0.67810944807999007</v>
      </c>
      <c r="L140" s="174">
        <v>30</v>
      </c>
      <c r="M140" s="139">
        <f>'Measure Calculations'!$L$302</f>
        <v>10</v>
      </c>
      <c r="N140" s="140">
        <v>0</v>
      </c>
      <c r="O140" s="130">
        <v>35</v>
      </c>
      <c r="P140" s="130">
        <f>'Measure Calculations'!$H$302</f>
        <v>190</v>
      </c>
      <c r="Q140" s="130">
        <v>0</v>
      </c>
      <c r="R140" s="130">
        <v>0</v>
      </c>
      <c r="S140" s="162">
        <v>0</v>
      </c>
      <c r="T140" s="95">
        <v>1</v>
      </c>
      <c r="U140" s="95">
        <v>1</v>
      </c>
      <c r="V140" s="768">
        <f>'Measure Calculations'!$F$302</f>
        <v>514.81499999999994</v>
      </c>
      <c r="W140" s="769">
        <f>'Measure Calculations'!$G$302</f>
        <v>0.105</v>
      </c>
      <c r="X140" s="770">
        <v>0</v>
      </c>
      <c r="Y140" s="98"/>
      <c r="Z140" s="770">
        <v>0</v>
      </c>
      <c r="AA140" s="769">
        <v>0</v>
      </c>
      <c r="AB140" s="135">
        <v>0</v>
      </c>
      <c r="AC140" s="207"/>
    </row>
    <row r="141" spans="1:29" s="2" customFormat="1">
      <c r="A141" s="61"/>
      <c r="B141" s="41" t="str">
        <f t="shared" si="4"/>
        <v>C&amp;I_C&amp;I Prescriptive_0_LED wall mounted area lights (wallpacks) (30 to 75W)_2018</v>
      </c>
      <c r="C141" s="41" t="b">
        <f>ISNUMBER(MATCH(B141,Analysis!B:B,0))</f>
        <v>1</v>
      </c>
      <c r="D141" s="41">
        <f t="shared" si="5"/>
        <v>135</v>
      </c>
      <c r="E141" s="41" t="b">
        <f>COUNTIF($B$7:B141,B141)=1</f>
        <v>1</v>
      </c>
      <c r="F141" s="142" t="s">
        <v>256</v>
      </c>
      <c r="G141" s="142" t="s">
        <v>255</v>
      </c>
      <c r="H141" s="142">
        <v>0</v>
      </c>
      <c r="I141" s="29" t="s">
        <v>360</v>
      </c>
      <c r="J141" s="26">
        <v>2018</v>
      </c>
      <c r="K141" s="143">
        <f ca="1">INDEX(Analysis!J:J,MATCH($B141,Analysis!$B:$B,0))</f>
        <v>1.0688634074597487</v>
      </c>
      <c r="L141" s="174">
        <v>20</v>
      </c>
      <c r="M141" s="139">
        <f>'Measure Calculations'!$L$303</f>
        <v>10</v>
      </c>
      <c r="N141" s="140">
        <v>0</v>
      </c>
      <c r="O141" s="130">
        <v>75</v>
      </c>
      <c r="P141" s="130">
        <f>'Measure Calculations'!$H$303</f>
        <v>287</v>
      </c>
      <c r="Q141" s="130">
        <v>0</v>
      </c>
      <c r="R141" s="130">
        <v>0</v>
      </c>
      <c r="S141" s="162">
        <v>0</v>
      </c>
      <c r="T141" s="95">
        <v>1</v>
      </c>
      <c r="U141" s="95">
        <v>1</v>
      </c>
      <c r="V141" s="768">
        <f>'Measure Calculations'!$F$303</f>
        <v>1225.75</v>
      </c>
      <c r="W141" s="769">
        <f>'Measure Calculations'!$G$303</f>
        <v>0.25</v>
      </c>
      <c r="X141" s="770">
        <v>0</v>
      </c>
      <c r="Y141" s="98"/>
      <c r="Z141" s="770">
        <v>0</v>
      </c>
      <c r="AA141" s="769">
        <v>0</v>
      </c>
      <c r="AB141" s="135">
        <v>0</v>
      </c>
      <c r="AC141" s="207"/>
    </row>
    <row r="142" spans="1:29" s="2" customFormat="1">
      <c r="A142" s="61"/>
      <c r="B142" s="41" t="str">
        <f t="shared" si="4"/>
        <v>C&amp;I_C&amp;I Prescriptive_0_LED wall mounted area lights (wallpacks) (≥75W)_2018</v>
      </c>
      <c r="C142" s="41" t="b">
        <f>ISNUMBER(MATCH(B142,Analysis!B:B,0))</f>
        <v>1</v>
      </c>
      <c r="D142" s="41">
        <f t="shared" si="5"/>
        <v>136</v>
      </c>
      <c r="E142" s="41" t="b">
        <f>COUNTIF($B$7:B142,B142)=1</f>
        <v>1</v>
      </c>
      <c r="F142" s="142" t="s">
        <v>256</v>
      </c>
      <c r="G142" s="142" t="s">
        <v>255</v>
      </c>
      <c r="H142" s="142">
        <v>0</v>
      </c>
      <c r="I142" s="29" t="s">
        <v>361</v>
      </c>
      <c r="J142" s="26">
        <v>2018</v>
      </c>
      <c r="K142" s="143">
        <f ca="1">INDEX(Analysis!J:J,MATCH($B142,Analysis!$B:$B,0))</f>
        <v>0.7657326516377625</v>
      </c>
      <c r="L142" s="174">
        <v>10</v>
      </c>
      <c r="M142" s="139">
        <f>'Measure Calculations'!$L$304</f>
        <v>10</v>
      </c>
      <c r="N142" s="140">
        <v>0</v>
      </c>
      <c r="O142" s="130">
        <v>100</v>
      </c>
      <c r="P142" s="130">
        <f>'Measure Calculations'!$H$304</f>
        <v>391</v>
      </c>
      <c r="Q142" s="130">
        <v>0</v>
      </c>
      <c r="R142" s="130">
        <v>0</v>
      </c>
      <c r="S142" s="162">
        <v>0</v>
      </c>
      <c r="T142" s="95">
        <v>1</v>
      </c>
      <c r="U142" s="95">
        <v>1</v>
      </c>
      <c r="V142" s="768">
        <f>'Measure Calculations'!$F$304</f>
        <v>1196.3319999999999</v>
      </c>
      <c r="W142" s="769">
        <f>'Measure Calculations'!$G$304</f>
        <v>0.24399999999999999</v>
      </c>
      <c r="X142" s="770">
        <v>0</v>
      </c>
      <c r="Y142" s="98"/>
      <c r="Z142" s="770">
        <v>0</v>
      </c>
      <c r="AA142" s="769">
        <v>0</v>
      </c>
      <c r="AB142" s="135">
        <v>0</v>
      </c>
      <c r="AC142" s="207"/>
    </row>
    <row r="143" spans="1:29" s="2" customFormat="1">
      <c r="A143" s="61"/>
      <c r="B143" s="41" t="str">
        <f t="shared" si="4"/>
        <v>C&amp;I_C&amp;I Prescriptive_0_Energy Star LED downlights (new or retrofit) (50W or less)_2018</v>
      </c>
      <c r="C143" s="41" t="b">
        <f>ISNUMBER(MATCH(B143,Analysis!B:B,0))</f>
        <v>1</v>
      </c>
      <c r="D143" s="41">
        <f t="shared" si="5"/>
        <v>137</v>
      </c>
      <c r="E143" s="41" t="b">
        <f>COUNTIF($B$7:B143,B143)=1</f>
        <v>1</v>
      </c>
      <c r="F143" s="142" t="s">
        <v>256</v>
      </c>
      <c r="G143" s="142" t="s">
        <v>255</v>
      </c>
      <c r="H143" s="142">
        <v>0</v>
      </c>
      <c r="I143" s="29" t="s">
        <v>362</v>
      </c>
      <c r="J143" s="26">
        <v>2018</v>
      </c>
      <c r="K143" s="143">
        <f ca="1">INDEX(Analysis!J:J,MATCH($B143,Analysis!$B:$B,0))</f>
        <v>3.3052485968784899</v>
      </c>
      <c r="L143" s="174">
        <v>60</v>
      </c>
      <c r="M143" s="139">
        <f>'Measure Calculations'!$L$280</f>
        <v>15</v>
      </c>
      <c r="N143" s="140">
        <v>0</v>
      </c>
      <c r="O143" s="130">
        <v>35</v>
      </c>
      <c r="P143" s="130">
        <f>'Measure Calculations'!$H$280</f>
        <v>27</v>
      </c>
      <c r="Q143" s="130">
        <v>0</v>
      </c>
      <c r="R143" s="130">
        <v>0</v>
      </c>
      <c r="S143" s="162">
        <v>0</v>
      </c>
      <c r="T143" s="95">
        <v>1</v>
      </c>
      <c r="U143" s="95">
        <v>1</v>
      </c>
      <c r="V143" s="768">
        <f>'Measure Calculations'!$F$280</f>
        <v>265.85170999999997</v>
      </c>
      <c r="W143" s="769">
        <f>'Measure Calculations'!$G$280</f>
        <v>7.0489999999999997E-2</v>
      </c>
      <c r="X143" s="770">
        <v>0</v>
      </c>
      <c r="Y143" s="98"/>
      <c r="Z143" s="770">
        <v>0</v>
      </c>
      <c r="AA143" s="769">
        <v>0</v>
      </c>
      <c r="AB143" s="135">
        <v>0</v>
      </c>
      <c r="AC143" s="207"/>
    </row>
    <row r="144" spans="1:29" s="2" customFormat="1">
      <c r="A144" s="61"/>
      <c r="B144" s="41" t="str">
        <f t="shared" si="4"/>
        <v>C&amp;I_C&amp;I Prescriptive_0_Refrigerated LED Case Lighting 5- and 6-foot Doors_2018</v>
      </c>
      <c r="C144" s="41" t="b">
        <f>ISNUMBER(MATCH(B144,Analysis!B:B,0))</f>
        <v>1</v>
      </c>
      <c r="D144" s="41">
        <f t="shared" si="5"/>
        <v>138</v>
      </c>
      <c r="E144" s="41" t="b">
        <f>COUNTIF($B$7:B144,B144)=1</f>
        <v>1</v>
      </c>
      <c r="F144" s="142" t="s">
        <v>256</v>
      </c>
      <c r="G144" s="142" t="s">
        <v>255</v>
      </c>
      <c r="H144" s="142">
        <v>0</v>
      </c>
      <c r="I144" s="29" t="s">
        <v>363</v>
      </c>
      <c r="J144" s="26">
        <v>2018</v>
      </c>
      <c r="K144" s="143">
        <f ca="1">INDEX(Analysis!J:J,MATCH($B144,Analysis!$B:$B,0))</f>
        <v>1.8870341633964582</v>
      </c>
      <c r="L144" s="174">
        <v>60</v>
      </c>
      <c r="M144" s="139">
        <f>'Measure Calculations'!$L$307</f>
        <v>10</v>
      </c>
      <c r="N144" s="140">
        <v>0</v>
      </c>
      <c r="O144" s="130">
        <v>60</v>
      </c>
      <c r="P144" s="130">
        <f>'Measure Calculations'!$H$307</f>
        <v>66</v>
      </c>
      <c r="Q144" s="130">
        <v>0</v>
      </c>
      <c r="R144" s="130">
        <v>0</v>
      </c>
      <c r="S144" s="162">
        <v>0</v>
      </c>
      <c r="T144" s="95">
        <v>1</v>
      </c>
      <c r="U144" s="95">
        <v>1</v>
      </c>
      <c r="V144" s="768">
        <f>'Measure Calculations'!$F$307</f>
        <v>527.35199999999986</v>
      </c>
      <c r="W144" s="769">
        <f>'Measure Calculations'!$G$307</f>
        <v>6.019999999999999E-2</v>
      </c>
      <c r="X144" s="770">
        <v>0</v>
      </c>
      <c r="Y144" s="98"/>
      <c r="Z144" s="770">
        <v>0</v>
      </c>
      <c r="AA144" s="769">
        <v>0</v>
      </c>
      <c r="AB144" s="135">
        <v>0</v>
      </c>
      <c r="AC144" s="207"/>
    </row>
    <row r="145" spans="1:29" s="2" customFormat="1">
      <c r="A145" s="61"/>
      <c r="B145" s="41" t="str">
        <f t="shared" si="4"/>
        <v>C&amp;I_C&amp;I Prescriptive_0_Integral Occupancy Control Stairwell fixtures (2-3 lamp T8)_2018</v>
      </c>
      <c r="C145" s="41" t="b">
        <f>ISNUMBER(MATCH(B145,Analysis!B:B,0))</f>
        <v>1</v>
      </c>
      <c r="D145" s="41">
        <f t="shared" si="5"/>
        <v>139</v>
      </c>
      <c r="E145" s="41" t="b">
        <f>COUNTIF($B$7:B145,B145)=1</f>
        <v>1</v>
      </c>
      <c r="F145" s="142" t="s">
        <v>256</v>
      </c>
      <c r="G145" s="142" t="s">
        <v>255</v>
      </c>
      <c r="H145" s="142">
        <v>0</v>
      </c>
      <c r="I145" s="29" t="s">
        <v>364</v>
      </c>
      <c r="J145" s="26">
        <v>2018</v>
      </c>
      <c r="K145" s="143">
        <f ca="1">INDEX(Analysis!J:J,MATCH($B145,Analysis!$B:$B,0))</f>
        <v>0.82402635839724048</v>
      </c>
      <c r="L145" s="174">
        <v>20</v>
      </c>
      <c r="M145" s="139">
        <f>'Measure Calculations'!$L$308</f>
        <v>14</v>
      </c>
      <c r="N145" s="140">
        <v>0</v>
      </c>
      <c r="O145" s="130">
        <v>30</v>
      </c>
      <c r="P145" s="130">
        <f>'Measure Calculations'!$H$308</f>
        <v>161.30000000000001</v>
      </c>
      <c r="Q145" s="130">
        <v>0</v>
      </c>
      <c r="R145" s="130">
        <v>0</v>
      </c>
      <c r="S145" s="162">
        <v>0</v>
      </c>
      <c r="T145" s="95">
        <v>1</v>
      </c>
      <c r="U145" s="95">
        <v>1</v>
      </c>
      <c r="V145" s="768">
        <f>'Measure Calculations'!$F$308</f>
        <v>453.42022800000001</v>
      </c>
      <c r="W145" s="769">
        <f>'Measure Calculations'!$G$308</f>
        <v>5.1760300000000002E-2</v>
      </c>
      <c r="X145" s="770">
        <v>0</v>
      </c>
      <c r="Y145" s="98"/>
      <c r="Z145" s="770">
        <v>0</v>
      </c>
      <c r="AA145" s="769">
        <v>0</v>
      </c>
      <c r="AB145" s="135">
        <v>0</v>
      </c>
      <c r="AC145" s="207"/>
    </row>
    <row r="146" spans="1:29" s="2" customFormat="1">
      <c r="A146" s="61"/>
      <c r="B146" s="41" t="str">
        <f t="shared" si="4"/>
        <v>C&amp;I_C&amp;I Prescriptive_0_Integral Occupancy Control Stairwell fixtures (20W-30W LED)_2018</v>
      </c>
      <c r="C146" s="41" t="b">
        <f>ISNUMBER(MATCH(B146,Analysis!B:B,0))</f>
        <v>1</v>
      </c>
      <c r="D146" s="41">
        <f t="shared" si="5"/>
        <v>140</v>
      </c>
      <c r="E146" s="41" t="b">
        <f>COUNTIF($B$7:B146,B146)=1</f>
        <v>1</v>
      </c>
      <c r="F146" s="142" t="s">
        <v>256</v>
      </c>
      <c r="G146" s="142" t="s">
        <v>255</v>
      </c>
      <c r="H146" s="142">
        <v>0</v>
      </c>
      <c r="I146" s="29" t="s">
        <v>365</v>
      </c>
      <c r="J146" s="26">
        <v>2018</v>
      </c>
      <c r="K146" s="143">
        <f ca="1">INDEX(Analysis!J:J,MATCH($B146,Analysis!$B:$B,0))</f>
        <v>0.86263247001392951</v>
      </c>
      <c r="L146" s="174">
        <v>20</v>
      </c>
      <c r="M146" s="139">
        <f>'Measure Calculations'!$L$309</f>
        <v>14</v>
      </c>
      <c r="N146" s="140">
        <v>0</v>
      </c>
      <c r="O146" s="130">
        <v>30</v>
      </c>
      <c r="P146" s="130">
        <f>'Measure Calculations'!$H$309</f>
        <v>161.30000000000001</v>
      </c>
      <c r="Q146" s="130">
        <v>0</v>
      </c>
      <c r="R146" s="130">
        <v>0</v>
      </c>
      <c r="S146" s="162">
        <v>0</v>
      </c>
      <c r="T146" s="95">
        <v>1</v>
      </c>
      <c r="U146" s="95">
        <v>1</v>
      </c>
      <c r="V146" s="768">
        <f>'Measure Calculations'!$F$309</f>
        <v>474.663228</v>
      </c>
      <c r="W146" s="769">
        <f>'Measure Calculations'!$G$309</f>
        <v>5.4185299999999999E-2</v>
      </c>
      <c r="X146" s="770">
        <v>0</v>
      </c>
      <c r="Y146" s="98"/>
      <c r="Z146" s="770">
        <v>0</v>
      </c>
      <c r="AA146" s="769">
        <v>0</v>
      </c>
      <c r="AB146" s="135">
        <v>0</v>
      </c>
      <c r="AC146" s="207"/>
    </row>
    <row r="147" spans="1:29" s="2" customFormat="1">
      <c r="A147" s="61"/>
      <c r="B147" s="41" t="str">
        <f t="shared" si="4"/>
        <v>C&amp;I_C&amp;I Prescriptive_0_LED Exterior Flood Lights (15W or less)_2018</v>
      </c>
      <c r="C147" s="41" t="b">
        <f>ISNUMBER(MATCH(B147,Analysis!B:B,0))</f>
        <v>1</v>
      </c>
      <c r="D147" s="41">
        <f t="shared" si="5"/>
        <v>141</v>
      </c>
      <c r="E147" s="41" t="b">
        <f>COUNTIF($B$7:B147,B147)=1</f>
        <v>1</v>
      </c>
      <c r="F147" s="142" t="s">
        <v>256</v>
      </c>
      <c r="G147" s="142" t="s">
        <v>255</v>
      </c>
      <c r="H147" s="142">
        <v>0</v>
      </c>
      <c r="I147" s="29" t="s">
        <v>366</v>
      </c>
      <c r="J147" s="26">
        <v>2018</v>
      </c>
      <c r="K147" s="143">
        <f ca="1">INDEX(Analysis!J:J,MATCH($B147,Analysis!$B:$B,0))</f>
        <v>1.7167552314732768</v>
      </c>
      <c r="L147" s="174">
        <v>120</v>
      </c>
      <c r="M147" s="139">
        <f>'Measure Calculations'!$L$292</f>
        <v>14</v>
      </c>
      <c r="N147" s="140">
        <v>0</v>
      </c>
      <c r="O147" s="130">
        <v>15</v>
      </c>
      <c r="P147" s="130">
        <f>'Measure Calculations'!$H$292</f>
        <v>35</v>
      </c>
      <c r="Q147" s="130">
        <v>0</v>
      </c>
      <c r="R147" s="130">
        <v>0</v>
      </c>
      <c r="S147" s="162">
        <v>0</v>
      </c>
      <c r="T147" s="95">
        <v>1</v>
      </c>
      <c r="U147" s="95">
        <v>1</v>
      </c>
      <c r="V147" s="768">
        <f>'Measure Calculations'!$F$292</f>
        <v>190.87699999999998</v>
      </c>
      <c r="W147" s="769">
        <f>'Measure Calculations'!$G$292</f>
        <v>4.2999999999999997E-2</v>
      </c>
      <c r="X147" s="770">
        <v>0</v>
      </c>
      <c r="Y147" s="98"/>
      <c r="Z147" s="770">
        <v>0</v>
      </c>
      <c r="AA147" s="769">
        <v>0</v>
      </c>
      <c r="AB147" s="135">
        <v>0</v>
      </c>
      <c r="AC147" s="207"/>
    </row>
    <row r="148" spans="1:29" s="2" customFormat="1">
      <c r="A148" s="61"/>
      <c r="B148" s="41" t="str">
        <f t="shared" si="4"/>
        <v>C&amp;I_C&amp;I Prescriptive_0_LED Exterior Flood Lights (16W to 35W)_2018</v>
      </c>
      <c r="C148" s="41" t="b">
        <f>ISNUMBER(MATCH(B148,Analysis!B:B,0))</f>
        <v>1</v>
      </c>
      <c r="D148" s="41">
        <f t="shared" si="5"/>
        <v>142</v>
      </c>
      <c r="E148" s="41" t="b">
        <f>COUNTIF($B$7:B148,B148)=1</f>
        <v>1</v>
      </c>
      <c r="F148" s="142" t="s">
        <v>256</v>
      </c>
      <c r="G148" s="142" t="s">
        <v>255</v>
      </c>
      <c r="H148" s="142">
        <v>0</v>
      </c>
      <c r="I148" s="29" t="s">
        <v>367</v>
      </c>
      <c r="J148" s="26">
        <v>2018</v>
      </c>
      <c r="K148" s="143">
        <f ca="1">INDEX(Analysis!J:J,MATCH($B148,Analysis!$B:$B,0))</f>
        <v>2.3210368324609152</v>
      </c>
      <c r="L148" s="174">
        <v>120</v>
      </c>
      <c r="M148" s="139">
        <f>'Measure Calculations'!$L$293</f>
        <v>14</v>
      </c>
      <c r="N148" s="140">
        <v>0</v>
      </c>
      <c r="O148" s="130">
        <v>25</v>
      </c>
      <c r="P148" s="130">
        <f>'Measure Calculations'!$H$293</f>
        <v>59</v>
      </c>
      <c r="Q148" s="130">
        <v>0</v>
      </c>
      <c r="R148" s="130">
        <v>0</v>
      </c>
      <c r="S148" s="162">
        <v>0</v>
      </c>
      <c r="T148" s="95">
        <v>1</v>
      </c>
      <c r="U148" s="95">
        <v>1</v>
      </c>
      <c r="V148" s="768">
        <f>'Measure Calculations'!$F$293</f>
        <v>435.02199999999999</v>
      </c>
      <c r="W148" s="769">
        <f>'Measure Calculations'!$G$293</f>
        <v>9.8000000000000004E-2</v>
      </c>
      <c r="X148" s="770">
        <v>0</v>
      </c>
      <c r="Y148" s="98"/>
      <c r="Z148" s="770">
        <v>0</v>
      </c>
      <c r="AA148" s="769">
        <v>0</v>
      </c>
      <c r="AB148" s="135">
        <v>0</v>
      </c>
      <c r="AC148" s="207"/>
    </row>
    <row r="149" spans="1:29" s="2" customFormat="1">
      <c r="A149" s="61"/>
      <c r="B149" s="41" t="str">
        <f t="shared" si="4"/>
        <v>C&amp;I_C&amp;I Prescriptive_0_LED Exterior Flood Lights (36W to 75W)_2018</v>
      </c>
      <c r="C149" s="41" t="b">
        <f>ISNUMBER(MATCH(B149,Analysis!B:B,0))</f>
        <v>1</v>
      </c>
      <c r="D149" s="41">
        <f t="shared" si="5"/>
        <v>143</v>
      </c>
      <c r="E149" s="41" t="b">
        <f>COUNTIF($B$7:B149,B149)=1</f>
        <v>1</v>
      </c>
      <c r="F149" s="142" t="s">
        <v>256</v>
      </c>
      <c r="G149" s="142" t="s">
        <v>255</v>
      </c>
      <c r="H149" s="142">
        <v>0</v>
      </c>
      <c r="I149" s="29" t="s">
        <v>368</v>
      </c>
      <c r="J149" s="26">
        <v>2018</v>
      </c>
      <c r="K149" s="143">
        <f ca="1">INDEX(Analysis!J:J,MATCH($B149,Analysis!$B:$B,0))</f>
        <v>2.13713715545921</v>
      </c>
      <c r="L149" s="174">
        <v>120</v>
      </c>
      <c r="M149" s="139">
        <f>'Measure Calculations'!$L$294</f>
        <v>14</v>
      </c>
      <c r="N149" s="140">
        <v>0</v>
      </c>
      <c r="O149" s="130">
        <v>45</v>
      </c>
      <c r="P149" s="130">
        <f>'Measure Calculations'!$H$294</f>
        <v>85</v>
      </c>
      <c r="Q149" s="130">
        <v>0</v>
      </c>
      <c r="R149" s="130">
        <v>0</v>
      </c>
      <c r="S149" s="162">
        <v>0</v>
      </c>
      <c r="T149" s="95">
        <v>1</v>
      </c>
      <c r="U149" s="95">
        <v>1</v>
      </c>
      <c r="V149" s="768">
        <f>'Measure Calculations'!$F$294</f>
        <v>577.07000000000005</v>
      </c>
      <c r="W149" s="769">
        <f>'Measure Calculations'!$G$294</f>
        <v>0.13</v>
      </c>
      <c r="X149" s="770">
        <v>0</v>
      </c>
      <c r="Y149" s="98"/>
      <c r="Z149" s="770">
        <v>0</v>
      </c>
      <c r="AA149" s="769">
        <v>0</v>
      </c>
      <c r="AB149" s="135">
        <v>0</v>
      </c>
      <c r="AC149" s="207"/>
    </row>
    <row r="150" spans="1:29" s="2" customFormat="1">
      <c r="A150" s="61"/>
      <c r="B150" s="41" t="str">
        <f t="shared" si="4"/>
        <v>C&amp;I_C&amp;I Prescriptive_0_LED Outdoor Pole/Arm Mounted Parking Roadway (&lt;30W)_2018</v>
      </c>
      <c r="C150" s="41" t="b">
        <f>ISNUMBER(MATCH(B150,Analysis!B:B,0))</f>
        <v>1</v>
      </c>
      <c r="D150" s="41">
        <f t="shared" si="5"/>
        <v>144</v>
      </c>
      <c r="E150" s="41" t="b">
        <f>COUNTIF($B$7:B150,B150)=1</f>
        <v>1</v>
      </c>
      <c r="F150" s="142" t="s">
        <v>256</v>
      </c>
      <c r="G150" s="142" t="s">
        <v>255</v>
      </c>
      <c r="H150" s="142">
        <v>0</v>
      </c>
      <c r="I150" s="29" t="s">
        <v>369</v>
      </c>
      <c r="J150" s="26">
        <v>2018</v>
      </c>
      <c r="K150" s="143">
        <f ca="1">INDEX(Analysis!J:J,MATCH($B150,Analysis!$B:$B,0))</f>
        <v>0.84729952505977535</v>
      </c>
      <c r="L150" s="174">
        <v>10</v>
      </c>
      <c r="M150" s="139">
        <f>'Measure Calculations'!$L$295</f>
        <v>14</v>
      </c>
      <c r="N150" s="140">
        <v>0</v>
      </c>
      <c r="O150" s="130">
        <v>60</v>
      </c>
      <c r="P150" s="130">
        <f>'Measure Calculations'!$H$295</f>
        <v>190</v>
      </c>
      <c r="Q150" s="130">
        <v>0</v>
      </c>
      <c r="R150" s="130">
        <v>0</v>
      </c>
      <c r="S150" s="162">
        <v>0</v>
      </c>
      <c r="T150" s="95">
        <v>1</v>
      </c>
      <c r="U150" s="95">
        <v>1</v>
      </c>
      <c r="V150" s="768">
        <f>'Measure Calculations'!$F$295</f>
        <v>518.24709999999993</v>
      </c>
      <c r="W150" s="769">
        <f>'Measure Calculations'!$G$295</f>
        <v>0.10569999999999999</v>
      </c>
      <c r="X150" s="770">
        <v>0</v>
      </c>
      <c r="Y150" s="98"/>
      <c r="Z150" s="770">
        <v>0</v>
      </c>
      <c r="AA150" s="769">
        <v>0</v>
      </c>
      <c r="AB150" s="135">
        <v>0</v>
      </c>
      <c r="AC150" s="207"/>
    </row>
    <row r="151" spans="1:29" s="2" customFormat="1">
      <c r="A151" s="61"/>
      <c r="B151" s="41" t="str">
        <f t="shared" si="4"/>
        <v>C&amp;I_C&amp;I Prescriptive_0_LED Outdoor Pole/Arm Mounted Parking Roadway (30W to 75W)_2018</v>
      </c>
      <c r="C151" s="41" t="b">
        <f>ISNUMBER(MATCH(B151,Analysis!B:B,0))</f>
        <v>1</v>
      </c>
      <c r="D151" s="41">
        <f t="shared" si="5"/>
        <v>145</v>
      </c>
      <c r="E151" s="41" t="b">
        <f>COUNTIF($B$7:B151,B151)=1</f>
        <v>1</v>
      </c>
      <c r="F151" s="142" t="s">
        <v>256</v>
      </c>
      <c r="G151" s="142" t="s">
        <v>255</v>
      </c>
      <c r="H151" s="142">
        <v>0</v>
      </c>
      <c r="I151" s="29" t="s">
        <v>370</v>
      </c>
      <c r="J151" s="26">
        <v>2018</v>
      </c>
      <c r="K151" s="143">
        <f ca="1">INDEX(Analysis!J:J,MATCH($B151,Analysis!$B:$B,0))</f>
        <v>0.6920082487376672</v>
      </c>
      <c r="L151" s="174">
        <v>10</v>
      </c>
      <c r="M151" s="139">
        <f>'Measure Calculations'!$L$296</f>
        <v>14</v>
      </c>
      <c r="N151" s="140">
        <v>0</v>
      </c>
      <c r="O151" s="130">
        <v>100</v>
      </c>
      <c r="P151" s="130">
        <f>'Measure Calculations'!$H$296</f>
        <v>287</v>
      </c>
      <c r="Q151" s="130">
        <v>0</v>
      </c>
      <c r="R151" s="130">
        <v>0</v>
      </c>
      <c r="S151" s="162">
        <v>0</v>
      </c>
      <c r="T151" s="95">
        <v>1</v>
      </c>
      <c r="U151" s="95">
        <v>1</v>
      </c>
      <c r="V151" s="768">
        <f>'Measure Calculations'!$F$296</f>
        <v>639.35120000000006</v>
      </c>
      <c r="W151" s="769">
        <f>'Measure Calculations'!$G$296</f>
        <v>0.13040000000000002</v>
      </c>
      <c r="X151" s="770">
        <v>0</v>
      </c>
      <c r="Y151" s="98"/>
      <c r="Z151" s="770">
        <v>0</v>
      </c>
      <c r="AA151" s="769">
        <v>0</v>
      </c>
      <c r="AB151" s="135">
        <v>0</v>
      </c>
      <c r="AC151" s="207"/>
    </row>
    <row r="152" spans="1:29" s="2" customFormat="1">
      <c r="A152" s="61"/>
      <c r="B152" s="41" t="str">
        <f t="shared" si="4"/>
        <v>C&amp;I_C&amp;I Prescriptive_0_LED Outdoor Pole/Arm Mounted Parking Roadway (&gt;75W to 150W)_2018</v>
      </c>
      <c r="C152" s="41" t="b">
        <f>ISNUMBER(MATCH(B152,Analysis!B:B,0))</f>
        <v>1</v>
      </c>
      <c r="D152" s="41">
        <f t="shared" si="5"/>
        <v>146</v>
      </c>
      <c r="E152" s="41" t="b">
        <f>COUNTIF($B$7:B152,B152)=1</f>
        <v>1</v>
      </c>
      <c r="F152" s="142" t="s">
        <v>256</v>
      </c>
      <c r="G152" s="142" t="s">
        <v>255</v>
      </c>
      <c r="H152" s="142">
        <v>0</v>
      </c>
      <c r="I152" s="29" t="s">
        <v>371</v>
      </c>
      <c r="J152" s="26">
        <v>2018</v>
      </c>
      <c r="K152" s="143">
        <f ca="1">INDEX(Analysis!J:J,MATCH($B152,Analysis!$B:$B,0))</f>
        <v>0.95278579117242979</v>
      </c>
      <c r="L152" s="174">
        <v>10</v>
      </c>
      <c r="M152" s="139">
        <f>'Measure Calculations'!$L$297</f>
        <v>14</v>
      </c>
      <c r="N152" s="140">
        <v>0</v>
      </c>
      <c r="O152" s="130">
        <v>140</v>
      </c>
      <c r="P152" s="130">
        <f>'Measure Calculations'!$H$297</f>
        <v>391</v>
      </c>
      <c r="Q152" s="130">
        <v>0</v>
      </c>
      <c r="R152" s="130">
        <v>0</v>
      </c>
      <c r="S152" s="162">
        <v>0</v>
      </c>
      <c r="T152" s="95">
        <v>1</v>
      </c>
      <c r="U152" s="95">
        <v>1</v>
      </c>
      <c r="V152" s="768">
        <f>'Measure Calculations'!$F$297</f>
        <v>1199.2737999999997</v>
      </c>
      <c r="W152" s="769">
        <f>'Measure Calculations'!$G$297</f>
        <v>0.24459999999999996</v>
      </c>
      <c r="X152" s="770">
        <v>0</v>
      </c>
      <c r="Y152" s="98"/>
      <c r="Z152" s="770">
        <v>0</v>
      </c>
      <c r="AA152" s="769">
        <v>0</v>
      </c>
      <c r="AB152" s="135">
        <v>0</v>
      </c>
      <c r="AC152" s="207"/>
    </row>
    <row r="153" spans="1:29" s="2" customFormat="1">
      <c r="A153" s="61"/>
      <c r="B153" s="41" t="str">
        <f t="shared" si="4"/>
        <v>C&amp;I_C&amp;I Prescriptive_0_Split Package Heat Pump_2018</v>
      </c>
      <c r="C153" s="41" t="b">
        <f>ISNUMBER(MATCH(B153,Analysis!B:B,0))</f>
        <v>1</v>
      </c>
      <c r="D153" s="41">
        <f t="shared" si="5"/>
        <v>147</v>
      </c>
      <c r="E153" s="41" t="b">
        <f>COUNTIF($B$7:B153,B153)=1</f>
        <v>1</v>
      </c>
      <c r="F153" s="142" t="s">
        <v>256</v>
      </c>
      <c r="G153" s="142" t="s">
        <v>255</v>
      </c>
      <c r="H153" s="142">
        <v>0</v>
      </c>
      <c r="I153" s="29" t="s">
        <v>312</v>
      </c>
      <c r="J153" s="26">
        <v>2018</v>
      </c>
      <c r="K153" s="143">
        <f ca="1">INDEX(Analysis!J:J,MATCH($B153,Analysis!$B:$B,0))</f>
        <v>1.674011165139687</v>
      </c>
      <c r="L153" s="174">
        <v>4</v>
      </c>
      <c r="M153" s="139">
        <v>15</v>
      </c>
      <c r="N153" s="140">
        <v>0</v>
      </c>
      <c r="O153" s="130">
        <v>250</v>
      </c>
      <c r="P153" s="130">
        <v>370</v>
      </c>
      <c r="Q153" s="130">
        <v>0</v>
      </c>
      <c r="R153" s="130">
        <v>0</v>
      </c>
      <c r="S153" s="162">
        <v>0</v>
      </c>
      <c r="T153" s="95">
        <v>1</v>
      </c>
      <c r="U153" s="95">
        <v>1</v>
      </c>
      <c r="V153" s="768">
        <v>1980.5518011400352</v>
      </c>
      <c r="W153" s="769">
        <v>0.30098901098901143</v>
      </c>
      <c r="X153" s="770">
        <v>0</v>
      </c>
      <c r="Y153" s="98"/>
      <c r="Z153" s="770">
        <v>0</v>
      </c>
      <c r="AA153" s="769">
        <v>0</v>
      </c>
      <c r="AB153" s="135">
        <v>0</v>
      </c>
      <c r="AC153" s="207"/>
    </row>
    <row r="154" spans="1:29" s="2" customFormat="1">
      <c r="A154" s="61"/>
      <c r="B154" s="41" t="str">
        <f t="shared" si="4"/>
        <v>C&amp;I_C&amp;I Prescriptive_0_Single System Heat Pump_2018</v>
      </c>
      <c r="C154" s="41" t="b">
        <f>ISNUMBER(MATCH(B154,Analysis!B:B,0))</f>
        <v>1</v>
      </c>
      <c r="D154" s="41">
        <f t="shared" si="5"/>
        <v>148</v>
      </c>
      <c r="E154" s="41" t="b">
        <f>COUNTIF($B$7:B154,B154)=1</f>
        <v>1</v>
      </c>
      <c r="F154" s="142" t="s">
        <v>256</v>
      </c>
      <c r="G154" s="142" t="s">
        <v>255</v>
      </c>
      <c r="H154" s="142">
        <v>0</v>
      </c>
      <c r="I154" s="29" t="s">
        <v>313</v>
      </c>
      <c r="J154" s="26">
        <v>2018</v>
      </c>
      <c r="K154" s="143">
        <f ca="1">INDEX(Analysis!J:J,MATCH($B154,Analysis!$B:$B,0))</f>
        <v>0.85582465212720404</v>
      </c>
      <c r="L154" s="174">
        <v>8</v>
      </c>
      <c r="M154" s="139">
        <v>15</v>
      </c>
      <c r="N154" s="140">
        <v>0</v>
      </c>
      <c r="O154" s="130">
        <v>250</v>
      </c>
      <c r="P154" s="130">
        <v>370</v>
      </c>
      <c r="Q154" s="130">
        <v>0</v>
      </c>
      <c r="R154" s="130">
        <v>0</v>
      </c>
      <c r="S154" s="162">
        <v>0</v>
      </c>
      <c r="T154" s="95">
        <v>1</v>
      </c>
      <c r="U154" s="95">
        <v>1</v>
      </c>
      <c r="V154" s="768">
        <v>906.72827172827022</v>
      </c>
      <c r="W154" s="769">
        <v>0.30098901098901143</v>
      </c>
      <c r="X154" s="770">
        <v>0</v>
      </c>
      <c r="Y154" s="98"/>
      <c r="Z154" s="770">
        <v>0</v>
      </c>
      <c r="AA154" s="769">
        <v>0</v>
      </c>
      <c r="AB154" s="135">
        <v>0</v>
      </c>
      <c r="AC154" s="207"/>
    </row>
    <row r="155" spans="1:29" s="2" customFormat="1">
      <c r="A155" s="61"/>
      <c r="B155" s="41" t="str">
        <f t="shared" si="4"/>
        <v>C&amp;I_C&amp;I Prescriptive_0_Geothermal Heat Pump_2018</v>
      </c>
      <c r="C155" s="41" t="b">
        <f>ISNUMBER(MATCH(B155,Analysis!B:B,0))</f>
        <v>1</v>
      </c>
      <c r="D155" s="41">
        <f t="shared" si="5"/>
        <v>149</v>
      </c>
      <c r="E155" s="41" t="b">
        <f>COUNTIF($B$7:B155,B155)=1</f>
        <v>1</v>
      </c>
      <c r="F155" s="142" t="s">
        <v>256</v>
      </c>
      <c r="G155" s="142" t="s">
        <v>255</v>
      </c>
      <c r="H155" s="142">
        <v>0</v>
      </c>
      <c r="I155" s="29" t="s">
        <v>314</v>
      </c>
      <c r="J155" s="26">
        <v>2018</v>
      </c>
      <c r="K155" s="143">
        <f ca="1">INDEX(Analysis!J:J,MATCH($B155,Analysis!$B:$B,0))</f>
        <v>1.6310320815911239</v>
      </c>
      <c r="L155" s="174">
        <v>4</v>
      </c>
      <c r="M155" s="139">
        <v>15</v>
      </c>
      <c r="N155" s="140">
        <v>0</v>
      </c>
      <c r="O155" s="130">
        <v>700</v>
      </c>
      <c r="P155" s="130">
        <v>4100</v>
      </c>
      <c r="Q155" s="130">
        <v>0</v>
      </c>
      <c r="R155" s="130">
        <v>0</v>
      </c>
      <c r="S155" s="162">
        <v>0</v>
      </c>
      <c r="T155" s="95">
        <v>1</v>
      </c>
      <c r="U155" s="95">
        <v>1</v>
      </c>
      <c r="V155" s="768">
        <v>22212.788976876138</v>
      </c>
      <c r="W155" s="769">
        <v>2.0962664680349605</v>
      </c>
      <c r="X155" s="770">
        <v>0</v>
      </c>
      <c r="Y155" s="98"/>
      <c r="Z155" s="770">
        <v>0</v>
      </c>
      <c r="AA155" s="769">
        <v>0</v>
      </c>
      <c r="AB155" s="135">
        <v>0</v>
      </c>
      <c r="AC155" s="207"/>
    </row>
    <row r="156" spans="1:29" s="2" customFormat="1">
      <c r="A156" s="61"/>
      <c r="B156" s="41" t="str">
        <f t="shared" si="4"/>
        <v>C&amp;I_C&amp;I Prescriptive_0_Heat Pump Water Heater_2018</v>
      </c>
      <c r="C156" s="41" t="b">
        <f>ISNUMBER(MATCH(B156,Analysis!B:B,0))</f>
        <v>1</v>
      </c>
      <c r="D156" s="41">
        <f t="shared" si="5"/>
        <v>150</v>
      </c>
      <c r="E156" s="41" t="b">
        <f>COUNTIF($B$7:B156,B156)=1</f>
        <v>1</v>
      </c>
      <c r="F156" s="142" t="s">
        <v>256</v>
      </c>
      <c r="G156" s="142" t="s">
        <v>255</v>
      </c>
      <c r="H156" s="142">
        <v>0</v>
      </c>
      <c r="I156" s="29" t="s">
        <v>260</v>
      </c>
      <c r="J156" s="26">
        <v>2018</v>
      </c>
      <c r="K156" s="143">
        <f ca="1">INDEX(Analysis!J:J,MATCH($B156,Analysis!$B:$B,0))</f>
        <v>0.60936073362775101</v>
      </c>
      <c r="L156" s="174">
        <v>8</v>
      </c>
      <c r="M156" s="139">
        <v>13</v>
      </c>
      <c r="N156" s="140">
        <v>0</v>
      </c>
      <c r="O156" s="130">
        <v>200</v>
      </c>
      <c r="P156" s="130">
        <f>'Measure Calculations'!$B$135</f>
        <v>784</v>
      </c>
      <c r="Q156" s="130">
        <v>0</v>
      </c>
      <c r="R156" s="130">
        <v>0</v>
      </c>
      <c r="S156" s="162">
        <v>0</v>
      </c>
      <c r="T156" s="95">
        <v>1</v>
      </c>
      <c r="U156" s="95">
        <v>1</v>
      </c>
      <c r="V156" s="768">
        <f>'Measure Calculations'!$B$134</f>
        <v>1783.22158201614</v>
      </c>
      <c r="W156" s="769">
        <f>'Measure Calculations'!$B$133</f>
        <v>8.4479506451613423E-2</v>
      </c>
      <c r="X156" s="770">
        <v>0</v>
      </c>
      <c r="Y156" s="98"/>
      <c r="Z156" s="770">
        <v>0</v>
      </c>
      <c r="AA156" s="769">
        <v>0</v>
      </c>
      <c r="AB156" s="135">
        <v>0</v>
      </c>
      <c r="AC156" s="207"/>
    </row>
    <row r="157" spans="1:29" s="2" customFormat="1">
      <c r="A157" s="61"/>
      <c r="B157" s="41" t="str">
        <f t="shared" si="4"/>
        <v>C&amp;I_C&amp;I Prescriptive_0_ODC Motor_2018</v>
      </c>
      <c r="C157" s="41" t="b">
        <f>ISNUMBER(MATCH(B157,Analysis!B:B,0))</f>
        <v>1</v>
      </c>
      <c r="D157" s="41">
        <f t="shared" si="5"/>
        <v>151</v>
      </c>
      <c r="E157" s="41" t="b">
        <f>COUNTIF($B$7:B157,B157)=1</f>
        <v>1</v>
      </c>
      <c r="F157" s="142" t="s">
        <v>256</v>
      </c>
      <c r="G157" s="142" t="s">
        <v>255</v>
      </c>
      <c r="H157" s="142">
        <v>0</v>
      </c>
      <c r="I157" s="29" t="s">
        <v>316</v>
      </c>
      <c r="J157" s="26">
        <v>2018</v>
      </c>
      <c r="K157" s="143">
        <f ca="1">INDEX(Analysis!J:J,MATCH($B157,Analysis!$B:$B,0))</f>
        <v>1.0088831672215182</v>
      </c>
      <c r="L157" s="174">
        <v>1</v>
      </c>
      <c r="M157" s="139">
        <v>15</v>
      </c>
      <c r="N157" s="140">
        <v>0</v>
      </c>
      <c r="O157" s="130">
        <v>50</v>
      </c>
      <c r="P157" s="130">
        <v>115</v>
      </c>
      <c r="Q157" s="130">
        <v>0</v>
      </c>
      <c r="R157" s="130">
        <v>0</v>
      </c>
      <c r="S157" s="162">
        <v>0</v>
      </c>
      <c r="T157" s="95">
        <v>1</v>
      </c>
      <c r="U157" s="95">
        <v>1</v>
      </c>
      <c r="V157" s="768">
        <v>353.7219425735546</v>
      </c>
      <c r="W157" s="769">
        <v>8.0391350584898769E-2</v>
      </c>
      <c r="X157" s="770">
        <v>0</v>
      </c>
      <c r="Y157" s="98"/>
      <c r="Z157" s="770">
        <v>0</v>
      </c>
      <c r="AA157" s="769">
        <v>0</v>
      </c>
      <c r="AB157" s="135">
        <v>0</v>
      </c>
      <c r="AC157" s="207"/>
    </row>
    <row r="158" spans="1:29" s="2" customFormat="1">
      <c r="A158" s="61"/>
      <c r="B158" s="41" t="str">
        <f t="shared" si="4"/>
        <v>C&amp;I_C&amp;I Prescriptive_0_TEFC Motor_2018</v>
      </c>
      <c r="C158" s="41" t="b">
        <f>ISNUMBER(MATCH(B158,Analysis!B:B,0))</f>
        <v>1</v>
      </c>
      <c r="D158" s="41">
        <f t="shared" si="5"/>
        <v>152</v>
      </c>
      <c r="E158" s="41" t="b">
        <f>COUNTIF($B$7:B158,B158)=1</f>
        <v>1</v>
      </c>
      <c r="F158" s="142" t="s">
        <v>256</v>
      </c>
      <c r="G158" s="142" t="s">
        <v>255</v>
      </c>
      <c r="H158" s="142">
        <v>0</v>
      </c>
      <c r="I158" s="29" t="s">
        <v>317</v>
      </c>
      <c r="J158" s="26">
        <v>2018</v>
      </c>
      <c r="K158" s="143">
        <f ca="1">INDEX(Analysis!J:J,MATCH($B158,Analysis!$B:$B,0))</f>
        <v>0.71080404963333887</v>
      </c>
      <c r="L158" s="174">
        <v>1</v>
      </c>
      <c r="M158" s="139">
        <v>15</v>
      </c>
      <c r="N158" s="140">
        <v>0</v>
      </c>
      <c r="O158" s="130">
        <v>50</v>
      </c>
      <c r="P158" s="130">
        <v>115</v>
      </c>
      <c r="Q158" s="130">
        <v>0</v>
      </c>
      <c r="R158" s="130">
        <v>0</v>
      </c>
      <c r="S158" s="162">
        <v>0</v>
      </c>
      <c r="T158" s="95">
        <v>1</v>
      </c>
      <c r="U158" s="95">
        <v>1</v>
      </c>
      <c r="V158" s="768">
        <v>249.21318681318502</v>
      </c>
      <c r="W158" s="769">
        <v>5.6639360639360231E-2</v>
      </c>
      <c r="X158" s="770">
        <v>0</v>
      </c>
      <c r="Y158" s="98"/>
      <c r="Z158" s="770">
        <v>0</v>
      </c>
      <c r="AA158" s="769">
        <v>0</v>
      </c>
      <c r="AB158" s="135">
        <v>0</v>
      </c>
      <c r="AC158" s="207"/>
    </row>
    <row r="159" spans="1:29" s="2" customFormat="1">
      <c r="A159" s="61"/>
      <c r="B159" s="41" t="str">
        <f t="shared" si="4"/>
        <v>Residential_Residential Lighting_0_LED_2019</v>
      </c>
      <c r="C159" s="41" t="b">
        <f>ISNUMBER(MATCH(B159,Analysis!B:B,0))</f>
        <v>1</v>
      </c>
      <c r="D159" s="41">
        <f t="shared" si="5"/>
        <v>153</v>
      </c>
      <c r="E159" s="41" t="b">
        <f>COUNTIF($B$7:B159,B159)=1</f>
        <v>1</v>
      </c>
      <c r="F159" s="142" t="s">
        <v>2</v>
      </c>
      <c r="G159" s="142" t="s">
        <v>249</v>
      </c>
      <c r="H159" s="142">
        <v>0</v>
      </c>
      <c r="I159" s="29" t="s">
        <v>216</v>
      </c>
      <c r="J159" s="26">
        <v>2019</v>
      </c>
      <c r="K159" s="143">
        <f ca="1">INDEX(Analysis!J:J,MATCH($B159,Analysis!$B:$B,0))</f>
        <v>1.0195018520936212</v>
      </c>
      <c r="L159" s="174">
        <v>4120</v>
      </c>
      <c r="M159" s="139">
        <f>'Measure Calculations'!$B$10</f>
        <v>10</v>
      </c>
      <c r="N159" s="247">
        <v>0</v>
      </c>
      <c r="O159" s="130">
        <v>5</v>
      </c>
      <c r="P159" s="130">
        <f>'Measure Calculations'!$B$9</f>
        <v>7.5</v>
      </c>
      <c r="Q159" s="130">
        <v>0</v>
      </c>
      <c r="R159" s="130">
        <v>0</v>
      </c>
      <c r="S159" s="162">
        <v>0</v>
      </c>
      <c r="T159" s="95">
        <v>1</v>
      </c>
      <c r="U159" s="95">
        <v>1</v>
      </c>
      <c r="V159" s="768">
        <f>'Measure Calculations'!$B$8</f>
        <v>32.466966839999998</v>
      </c>
      <c r="W159" s="769">
        <f>'Measure Calculations'!$B$7</f>
        <v>2.8499272199999995E-3</v>
      </c>
      <c r="X159" s="770">
        <v>0</v>
      </c>
      <c r="Y159" s="98"/>
      <c r="Z159" s="770">
        <v>0</v>
      </c>
      <c r="AA159" s="769">
        <v>0</v>
      </c>
      <c r="AB159" s="135">
        <v>0</v>
      </c>
      <c r="AC159" s="207"/>
    </row>
    <row r="160" spans="1:29" s="2" customFormat="1">
      <c r="A160" s="61"/>
      <c r="B160" s="41" t="str">
        <f t="shared" si="4"/>
        <v>Residential_Residential Lighting_0_ENERGY STAR Fixture_2019</v>
      </c>
      <c r="C160" s="41" t="b">
        <f>ISNUMBER(MATCH(B160,Analysis!B:B,0))</f>
        <v>1</v>
      </c>
      <c r="D160" s="41">
        <f t="shared" si="5"/>
        <v>154</v>
      </c>
      <c r="E160" s="41" t="b">
        <f>COUNTIF($B$7:B160,B160)=1</f>
        <v>1</v>
      </c>
      <c r="F160" s="142" t="s">
        <v>2</v>
      </c>
      <c r="G160" s="142" t="s">
        <v>249</v>
      </c>
      <c r="H160" s="142">
        <v>0</v>
      </c>
      <c r="I160" s="29" t="s">
        <v>257</v>
      </c>
      <c r="J160" s="26">
        <v>2019</v>
      </c>
      <c r="K160" s="143">
        <f ca="1">INDEX(Analysis!J:J,MATCH($B160,Analysis!$B:$B,0))</f>
        <v>1.0195018520936212</v>
      </c>
      <c r="L160" s="174">
        <v>500</v>
      </c>
      <c r="M160" s="139">
        <f>'Measure Calculations'!$C$10</f>
        <v>10</v>
      </c>
      <c r="N160" s="140">
        <v>0</v>
      </c>
      <c r="O160" s="130">
        <v>10</v>
      </c>
      <c r="P160" s="130">
        <f>'Measure Calculations'!$C$9</f>
        <v>15</v>
      </c>
      <c r="Q160" s="130">
        <v>0</v>
      </c>
      <c r="R160" s="130">
        <v>0</v>
      </c>
      <c r="S160" s="162">
        <v>0</v>
      </c>
      <c r="T160" s="95">
        <v>1</v>
      </c>
      <c r="U160" s="95">
        <v>1</v>
      </c>
      <c r="V160" s="768">
        <f>'Measure Calculations'!$C$8</f>
        <v>64.933933679999996</v>
      </c>
      <c r="W160" s="769">
        <f>'Measure Calculations'!$C$7</f>
        <v>5.699854439999999E-3</v>
      </c>
      <c r="X160" s="770">
        <v>0</v>
      </c>
      <c r="Y160" s="98"/>
      <c r="Z160" s="770">
        <v>0</v>
      </c>
      <c r="AA160" s="769">
        <v>0</v>
      </c>
      <c r="AB160" s="135">
        <v>0</v>
      </c>
      <c r="AC160" s="207"/>
    </row>
    <row r="161" spans="1:29" s="2" customFormat="1">
      <c r="A161" s="61"/>
      <c r="B161" s="41" t="str">
        <f t="shared" si="4"/>
        <v>Residential_Appliance Recycling_0_Refrigerator Recycle_2019</v>
      </c>
      <c r="C161" s="41" t="b">
        <f>ISNUMBER(MATCH(B161,Analysis!B:B,0))</f>
        <v>1</v>
      </c>
      <c r="D161" s="41">
        <f t="shared" si="5"/>
        <v>155</v>
      </c>
      <c r="E161" s="41" t="b">
        <f>COUNTIF($B$7:B161,B161)=1</f>
        <v>1</v>
      </c>
      <c r="F161" s="142" t="s">
        <v>2</v>
      </c>
      <c r="G161" s="142" t="s">
        <v>120</v>
      </c>
      <c r="H161" s="142">
        <v>0</v>
      </c>
      <c r="I161" s="29" t="s">
        <v>213</v>
      </c>
      <c r="J161" s="26">
        <v>2019</v>
      </c>
      <c r="K161" s="143">
        <f ca="1">INDEX(Analysis!J:J,MATCH($B161,Analysis!$B:$B,0))</f>
        <v>2.8295466922683614</v>
      </c>
      <c r="L161" s="174">
        <v>75</v>
      </c>
      <c r="M161" s="139">
        <v>8</v>
      </c>
      <c r="N161" s="140">
        <v>0</v>
      </c>
      <c r="O161" s="130">
        <v>75</v>
      </c>
      <c r="P161" s="130">
        <v>93</v>
      </c>
      <c r="Q161" s="130">
        <v>0</v>
      </c>
      <c r="R161" s="130">
        <v>0</v>
      </c>
      <c r="S161" s="162">
        <v>0</v>
      </c>
      <c r="T161" s="95">
        <v>1</v>
      </c>
      <c r="U161" s="95">
        <v>1</v>
      </c>
      <c r="V161" s="768">
        <v>1289</v>
      </c>
      <c r="W161" s="769">
        <v>0.14714611872146119</v>
      </c>
      <c r="X161" s="770">
        <v>0</v>
      </c>
      <c r="Y161" s="98"/>
      <c r="Z161" s="770">
        <v>0</v>
      </c>
      <c r="AA161" s="769">
        <v>0</v>
      </c>
      <c r="AB161" s="135">
        <v>0</v>
      </c>
      <c r="AC161" s="207"/>
    </row>
    <row r="162" spans="1:29" s="2" customFormat="1">
      <c r="A162" s="61"/>
      <c r="B162" s="41" t="str">
        <f t="shared" si="4"/>
        <v>Residential_Appliance Recycling_0_Freezer Recycle_2019</v>
      </c>
      <c r="C162" s="41" t="b">
        <f>ISNUMBER(MATCH(B162,Analysis!B:B,0))</f>
        <v>1</v>
      </c>
      <c r="D162" s="41">
        <f t="shared" si="5"/>
        <v>156</v>
      </c>
      <c r="E162" s="41" t="b">
        <f>COUNTIF($B$7:B162,B162)=1</f>
        <v>1</v>
      </c>
      <c r="F162" s="142" t="s">
        <v>2</v>
      </c>
      <c r="G162" s="142" t="s">
        <v>120</v>
      </c>
      <c r="H162" s="142">
        <v>0</v>
      </c>
      <c r="I162" s="29" t="s">
        <v>212</v>
      </c>
      <c r="J162" s="26">
        <v>2019</v>
      </c>
      <c r="K162" s="143">
        <f ca="1">INDEX(Analysis!J:J,MATCH($B162,Analysis!$B:$B,0))</f>
        <v>2.4256393289034439</v>
      </c>
      <c r="L162" s="174">
        <v>8</v>
      </c>
      <c r="M162" s="139">
        <v>8</v>
      </c>
      <c r="N162" s="140">
        <v>0</v>
      </c>
      <c r="O162" s="130">
        <v>75</v>
      </c>
      <c r="P162" s="130">
        <v>93</v>
      </c>
      <c r="Q162" s="130">
        <v>0</v>
      </c>
      <c r="R162" s="130">
        <v>0</v>
      </c>
      <c r="S162" s="162">
        <v>0</v>
      </c>
      <c r="T162" s="95">
        <v>1</v>
      </c>
      <c r="U162" s="95">
        <v>1</v>
      </c>
      <c r="V162" s="768">
        <v>1105</v>
      </c>
      <c r="W162" s="769">
        <v>0.12614155251141554</v>
      </c>
      <c r="X162" s="770">
        <v>0</v>
      </c>
      <c r="Y162" s="98"/>
      <c r="Z162" s="770">
        <v>0</v>
      </c>
      <c r="AA162" s="769">
        <v>0</v>
      </c>
      <c r="AB162" s="135">
        <v>0</v>
      </c>
      <c r="AC162" s="207"/>
    </row>
    <row r="163" spans="1:29" s="2" customFormat="1">
      <c r="A163" s="61"/>
      <c r="B163" s="41" t="str">
        <f t="shared" si="4"/>
        <v>Residential_High Efficiency HVAC_0_Heat Pump SEER ≥15, EER ≥12.5, HSPF ≥8.5_2019</v>
      </c>
      <c r="C163" s="41" t="b">
        <f>ISNUMBER(MATCH(B163,Analysis!B:B,0))</f>
        <v>1</v>
      </c>
      <c r="D163" s="41">
        <f t="shared" si="5"/>
        <v>157</v>
      </c>
      <c r="E163" s="41" t="b">
        <f>COUNTIF($B$7:B163,B163)=1</f>
        <v>1</v>
      </c>
      <c r="F163" s="142" t="s">
        <v>2</v>
      </c>
      <c r="G163" s="142" t="s">
        <v>250</v>
      </c>
      <c r="H163" s="142">
        <v>0</v>
      </c>
      <c r="I163" s="29" t="s">
        <v>522</v>
      </c>
      <c r="J163" s="26">
        <v>2019</v>
      </c>
      <c r="K163" s="143">
        <f ca="1">INDEX(Analysis!J:J,MATCH($B163,Analysis!$B:$B,0))</f>
        <v>0.71597751168096746</v>
      </c>
      <c r="L163" s="174">
        <v>20</v>
      </c>
      <c r="M163" s="139">
        <f>'Measure Calculations'!$B$73</f>
        <v>18</v>
      </c>
      <c r="N163" s="140">
        <v>0</v>
      </c>
      <c r="O163" s="130">
        <f>75*3</f>
        <v>225</v>
      </c>
      <c r="P163" s="130">
        <f>'Measure Calculations'!$B$71</f>
        <v>303</v>
      </c>
      <c r="Q163" s="130">
        <v>0</v>
      </c>
      <c r="R163" s="130">
        <v>0</v>
      </c>
      <c r="S163" s="162">
        <v>0</v>
      </c>
      <c r="T163" s="95">
        <v>1</v>
      </c>
      <c r="U163" s="95">
        <v>1</v>
      </c>
      <c r="V163" s="768">
        <f>'Measure Calculations'!$B$70</f>
        <v>478.80491904078809</v>
      </c>
      <c r="W163" s="769">
        <f>'Measure Calculations'!$B$69</f>
        <v>0.29321751817717606</v>
      </c>
      <c r="X163" s="770">
        <v>0</v>
      </c>
      <c r="Y163" s="98"/>
      <c r="Z163" s="770">
        <v>0</v>
      </c>
      <c r="AA163" s="769">
        <v>0</v>
      </c>
      <c r="AB163" s="135">
        <v>0</v>
      </c>
      <c r="AC163" s="207"/>
    </row>
    <row r="164" spans="1:29" s="2" customFormat="1">
      <c r="A164" s="61"/>
      <c r="B164" s="41" t="str">
        <f t="shared" si="4"/>
        <v>Residential_High Efficiency HVAC_0_Early Retirement Heat Pump SEER ≥15, EER ≥12.5, HSPF ≥8.5_2019</v>
      </c>
      <c r="C164" s="41" t="b">
        <f>ISNUMBER(MATCH(B164,Analysis!B:B,0))</f>
        <v>1</v>
      </c>
      <c r="D164" s="41">
        <f t="shared" si="5"/>
        <v>158</v>
      </c>
      <c r="E164" s="41" t="b">
        <f>COUNTIF($B$7:B164,B164)=1</f>
        <v>1</v>
      </c>
      <c r="F164" s="142" t="s">
        <v>2</v>
      </c>
      <c r="G164" s="142" t="s">
        <v>250</v>
      </c>
      <c r="H164" s="142">
        <v>0</v>
      </c>
      <c r="I164" s="29" t="s">
        <v>519</v>
      </c>
      <c r="J164" s="26">
        <v>2019</v>
      </c>
      <c r="K164" s="143" t="str">
        <f ca="1">INDEX(Analysis!J:J,MATCH($B164,Analysis!$B:$B,0))</f>
        <v>n/a</v>
      </c>
      <c r="L164" s="174">
        <v>0</v>
      </c>
      <c r="M164" s="139">
        <f>'Measure Calculations'!$D$73</f>
        <v>18</v>
      </c>
      <c r="N164" s="140">
        <f>'Measure Calculations'!$D$74</f>
        <v>6</v>
      </c>
      <c r="O164" s="130">
        <f>200*3</f>
        <v>600</v>
      </c>
      <c r="P164" s="130">
        <f>'Measure Calculations'!$D$71</f>
        <v>4446</v>
      </c>
      <c r="Q164" s="130">
        <v>0</v>
      </c>
      <c r="R164" s="130">
        <f>'Measure Calculations'!$D$72</f>
        <v>4554</v>
      </c>
      <c r="S164" s="162">
        <v>0</v>
      </c>
      <c r="T164" s="95">
        <v>1</v>
      </c>
      <c r="U164" s="95">
        <v>1</v>
      </c>
      <c r="V164" s="768">
        <f>'Measure Calculations'!$B$70</f>
        <v>478.80491904078809</v>
      </c>
      <c r="W164" s="769">
        <f>'Measure Calculations'!$B$69</f>
        <v>0.29321751817717606</v>
      </c>
      <c r="X164" s="770">
        <v>0</v>
      </c>
      <c r="Y164" s="98"/>
      <c r="Z164" s="770">
        <f>'Measure Calculations'!$D$70</f>
        <v>3288.776470588236</v>
      </c>
      <c r="AA164" s="769">
        <f>'Measure Calculations'!$D$69</f>
        <v>1.8826803069053712</v>
      </c>
      <c r="AB164" s="135">
        <v>0</v>
      </c>
      <c r="AC164" s="207"/>
    </row>
    <row r="165" spans="1:29" s="2" customFormat="1">
      <c r="A165" s="61"/>
      <c r="B165" s="41" t="str">
        <f t="shared" si="4"/>
        <v>Residential_High Efficiency HVAC_0_Heat Pump SEER ≥15, EER ≥12.5, HSPF ≥8.5 Replace Electric Furnace_2019</v>
      </c>
      <c r="C165" s="41" t="b">
        <f>ISNUMBER(MATCH(B165,Analysis!B:B,0))</f>
        <v>1</v>
      </c>
      <c r="D165" s="41">
        <f t="shared" si="5"/>
        <v>159</v>
      </c>
      <c r="E165" s="41" t="b">
        <f>COUNTIF($B$7:B165,B165)=1</f>
        <v>1</v>
      </c>
      <c r="F165" s="142" t="s">
        <v>2</v>
      </c>
      <c r="G165" s="142" t="s">
        <v>250</v>
      </c>
      <c r="H165" s="142">
        <v>0</v>
      </c>
      <c r="I165" s="29" t="s">
        <v>520</v>
      </c>
      <c r="J165" s="26">
        <v>2019</v>
      </c>
      <c r="K165" s="143">
        <f ca="1">INDEX(Analysis!J:J,MATCH($B165,Analysis!$B:$B,0))</f>
        <v>1.4303791485366582</v>
      </c>
      <c r="L165" s="174">
        <v>6</v>
      </c>
      <c r="M165" s="139">
        <f>'Measure Calculations'!$B$86</f>
        <v>18</v>
      </c>
      <c r="N165" s="140">
        <v>0</v>
      </c>
      <c r="O165" s="130">
        <f>1500</f>
        <v>1500</v>
      </c>
      <c r="P165" s="130">
        <f>'Measure Calculations'!$D$72</f>
        <v>4554</v>
      </c>
      <c r="Q165" s="130">
        <v>0</v>
      </c>
      <c r="R165" s="130">
        <v>0</v>
      </c>
      <c r="S165" s="162">
        <v>0</v>
      </c>
      <c r="T165" s="95">
        <v>1</v>
      </c>
      <c r="U165" s="95">
        <v>1</v>
      </c>
      <c r="V165" s="768">
        <f>'Measure Calculations'!$B$85</f>
        <v>16099.081800931512</v>
      </c>
      <c r="W165" s="769">
        <f>'Measure Calculations'!$B$84</f>
        <v>6.4097015697774706</v>
      </c>
      <c r="X165" s="770">
        <v>0</v>
      </c>
      <c r="Y165" s="98"/>
      <c r="Z165" s="770">
        <v>0</v>
      </c>
      <c r="AA165" s="769">
        <v>0</v>
      </c>
      <c r="AB165" s="135">
        <v>0</v>
      </c>
      <c r="AC165" s="207"/>
    </row>
    <row r="166" spans="1:29" s="2" customFormat="1">
      <c r="A166" s="61"/>
      <c r="B166" s="41" t="str">
        <f t="shared" si="4"/>
        <v>Residential_High Efficiency HVAC_0_CAC SEER ≥15, EER ≥12.5_2019</v>
      </c>
      <c r="C166" s="41" t="b">
        <f>ISNUMBER(MATCH(B166,Analysis!B:B,0))</f>
        <v>1</v>
      </c>
      <c r="D166" s="41">
        <f t="shared" si="5"/>
        <v>160</v>
      </c>
      <c r="E166" s="41" t="b">
        <f>COUNTIF($B$7:B166,B166)=1</f>
        <v>1</v>
      </c>
      <c r="F166" s="142" t="s">
        <v>2</v>
      </c>
      <c r="G166" s="142" t="s">
        <v>250</v>
      </c>
      <c r="H166" s="142">
        <v>0</v>
      </c>
      <c r="I166" s="29" t="s">
        <v>521</v>
      </c>
      <c r="J166" s="26">
        <v>2019</v>
      </c>
      <c r="K166" s="143">
        <f ca="1">INDEX(Analysis!J:J,MATCH($B166,Analysis!$B:$B,0))</f>
        <v>1.1971146205552803</v>
      </c>
      <c r="L166" s="174">
        <v>100</v>
      </c>
      <c r="M166" s="139">
        <f>'Measure Calculations'!$B$57</f>
        <v>18</v>
      </c>
      <c r="N166" s="140">
        <v>0</v>
      </c>
      <c r="O166" s="130">
        <f>60*3</f>
        <v>180</v>
      </c>
      <c r="P166" s="130">
        <f>'Measure Calculations'!$B$56</f>
        <v>108</v>
      </c>
      <c r="Q166" s="130">
        <v>0</v>
      </c>
      <c r="R166" s="130">
        <v>0</v>
      </c>
      <c r="S166" s="162">
        <v>0</v>
      </c>
      <c r="T166" s="95">
        <v>1</v>
      </c>
      <c r="U166" s="95">
        <v>1</v>
      </c>
      <c r="V166" s="768">
        <f>'Measure Calculations'!$B$55</f>
        <v>218.95384615384629</v>
      </c>
      <c r="W166" s="769">
        <f>'Measure Calculations'!$B$54</f>
        <v>0.26705454545454549</v>
      </c>
      <c r="X166" s="770">
        <v>0</v>
      </c>
      <c r="Y166" s="98"/>
      <c r="Z166" s="770">
        <v>0</v>
      </c>
      <c r="AA166" s="769">
        <v>0</v>
      </c>
      <c r="AB166" s="135">
        <v>0</v>
      </c>
      <c r="AC166" s="207"/>
    </row>
    <row r="167" spans="1:29" s="2" customFormat="1">
      <c r="A167" s="61"/>
      <c r="B167" s="41" t="str">
        <f t="shared" si="4"/>
        <v>Residential_High Efficiency HVAC_0_Ductless Mini-Split AC SEER ≥19, EER ≥12.8_2019</v>
      </c>
      <c r="C167" s="41" t="b">
        <f>ISNUMBER(MATCH(B167,Analysis!B:B,0))</f>
        <v>1</v>
      </c>
      <c r="D167" s="41">
        <f t="shared" si="5"/>
        <v>161</v>
      </c>
      <c r="E167" s="41" t="b">
        <f>COUNTIF($B$7:B167,B167)=1</f>
        <v>1</v>
      </c>
      <c r="F167" s="142" t="s">
        <v>2</v>
      </c>
      <c r="G167" s="142" t="s">
        <v>250</v>
      </c>
      <c r="H167" s="142">
        <v>0</v>
      </c>
      <c r="I167" s="29" t="s">
        <v>516</v>
      </c>
      <c r="J167" s="26">
        <v>2019</v>
      </c>
      <c r="K167" s="143" t="str">
        <f ca="1">INDEX(Analysis!J:J,MATCH($B167,Analysis!$B:$B,0))</f>
        <v>n/a</v>
      </c>
      <c r="L167" s="174">
        <v>0</v>
      </c>
      <c r="M167" s="139">
        <f>'Measure Calculations'!$C$102</f>
        <v>18</v>
      </c>
      <c r="N167" s="140">
        <v>0</v>
      </c>
      <c r="O167" s="130">
        <f>50*3</f>
        <v>150</v>
      </c>
      <c r="P167" s="130">
        <f>'Measure Calculations'!$C$101</f>
        <v>1678.5</v>
      </c>
      <c r="Q167" s="130">
        <v>0</v>
      </c>
      <c r="R167" s="130">
        <v>0</v>
      </c>
      <c r="S167" s="162">
        <v>0</v>
      </c>
      <c r="T167" s="95">
        <v>1</v>
      </c>
      <c r="U167" s="95">
        <v>1</v>
      </c>
      <c r="V167" s="768">
        <f>'Measure Calculations'!$C$100</f>
        <v>772.46052631578959</v>
      </c>
      <c r="W167" s="769">
        <f>'Measure Calculations'!$C$99</f>
        <v>0.83827110389610371</v>
      </c>
      <c r="X167" s="770">
        <v>0</v>
      </c>
      <c r="Y167" s="98"/>
      <c r="Z167" s="770">
        <v>0</v>
      </c>
      <c r="AA167" s="769">
        <v>0</v>
      </c>
      <c r="AB167" s="135">
        <v>0</v>
      </c>
      <c r="AC167" s="207"/>
    </row>
    <row r="168" spans="1:29" s="2" customFormat="1">
      <c r="A168" s="61"/>
      <c r="B168" s="41" t="str">
        <f t="shared" si="4"/>
        <v>Residential_High Efficiency HVAC_0_Ductless Mini-Split HP SEER ≥19, EER ≥12.8, HSPF ≥10_2019</v>
      </c>
      <c r="C168" s="41" t="b">
        <f>ISNUMBER(MATCH(B168,Analysis!B:B,0))</f>
        <v>1</v>
      </c>
      <c r="D168" s="41">
        <f t="shared" si="5"/>
        <v>162</v>
      </c>
      <c r="E168" s="41" t="b">
        <f>COUNTIF($B$7:B168,B168)=1</f>
        <v>1</v>
      </c>
      <c r="F168" s="142" t="s">
        <v>2</v>
      </c>
      <c r="G168" s="142" t="s">
        <v>250</v>
      </c>
      <c r="H168" s="142">
        <v>0</v>
      </c>
      <c r="I168" s="29" t="s">
        <v>517</v>
      </c>
      <c r="J168" s="26">
        <v>2019</v>
      </c>
      <c r="K168" s="143">
        <f ca="1">INDEX(Analysis!J:J,MATCH($B168,Analysis!$B:$B,0))</f>
        <v>0.78901888312285318</v>
      </c>
      <c r="L168" s="174">
        <v>35</v>
      </c>
      <c r="M168" s="139">
        <f>'Measure Calculations'!$B$102</f>
        <v>18</v>
      </c>
      <c r="N168" s="140">
        <v>0</v>
      </c>
      <c r="O168" s="130">
        <f>50*3</f>
        <v>150</v>
      </c>
      <c r="P168" s="130">
        <f>'Measure Calculations'!$B$101</f>
        <v>1678.5</v>
      </c>
      <c r="Q168" s="130">
        <v>0</v>
      </c>
      <c r="R168" s="130">
        <v>0</v>
      </c>
      <c r="S168" s="162">
        <v>0</v>
      </c>
      <c r="T168" s="95">
        <v>1</v>
      </c>
      <c r="U168" s="95">
        <v>1</v>
      </c>
      <c r="V168" s="768">
        <f>'Measure Calculations'!$B$100</f>
        <v>3607.5399380804947</v>
      </c>
      <c r="W168" s="769">
        <f>'Measure Calculations'!$B$99</f>
        <v>0.83827110389610371</v>
      </c>
      <c r="X168" s="770">
        <v>0</v>
      </c>
      <c r="Y168" s="98"/>
      <c r="Z168" s="770">
        <v>0</v>
      </c>
      <c r="AA168" s="769">
        <v>0</v>
      </c>
      <c r="AB168" s="135">
        <v>0</v>
      </c>
      <c r="AC168" s="207"/>
    </row>
    <row r="169" spans="1:29" s="2" customFormat="1">
      <c r="A169" s="61"/>
      <c r="B169" s="41" t="str">
        <f t="shared" si="4"/>
        <v>Residential_High Efficiency HVAC_0_Heat Pump Water Heater_2019</v>
      </c>
      <c r="C169" s="41" t="b">
        <f>ISNUMBER(MATCH(B169,Analysis!B:B,0))</f>
        <v>1</v>
      </c>
      <c r="D169" s="41">
        <f t="shared" si="5"/>
        <v>163</v>
      </c>
      <c r="E169" s="41" t="b">
        <f>COUNTIF($B$7:B169,B169)=1</f>
        <v>1</v>
      </c>
      <c r="F169" s="142" t="s">
        <v>2</v>
      </c>
      <c r="G169" s="142" t="s">
        <v>250</v>
      </c>
      <c r="H169" s="142">
        <v>0</v>
      </c>
      <c r="I169" s="29" t="s">
        <v>260</v>
      </c>
      <c r="J169" s="26">
        <v>2019</v>
      </c>
      <c r="K169" s="143">
        <f ca="1">INDEX(Analysis!J:J,MATCH($B169,Analysis!$B:$B,0))</f>
        <v>0.6185011446321671</v>
      </c>
      <c r="L169" s="174">
        <v>10</v>
      </c>
      <c r="M169" s="139">
        <v>13</v>
      </c>
      <c r="N169" s="140">
        <v>0</v>
      </c>
      <c r="O169" s="130">
        <f>5*40</f>
        <v>200</v>
      </c>
      <c r="P169" s="130">
        <f>'Measure Calculations'!$B$135</f>
        <v>784</v>
      </c>
      <c r="Q169" s="130">
        <v>0</v>
      </c>
      <c r="R169" s="130">
        <v>0</v>
      </c>
      <c r="S169" s="162">
        <v>0</v>
      </c>
      <c r="T169" s="95">
        <v>1</v>
      </c>
      <c r="U169" s="95">
        <v>1</v>
      </c>
      <c r="V169" s="768">
        <f>'Measure Calculations'!$B$134</f>
        <v>1783.22158201614</v>
      </c>
      <c r="W169" s="769">
        <f>'Measure Calculations'!$B$133</f>
        <v>8.4479506451613423E-2</v>
      </c>
      <c r="X169" s="770">
        <v>0</v>
      </c>
      <c r="Y169" s="98"/>
      <c r="Z169" s="770">
        <v>0</v>
      </c>
      <c r="AA169" s="769">
        <v>0</v>
      </c>
      <c r="AB169" s="135">
        <v>0</v>
      </c>
      <c r="AC169" s="207"/>
    </row>
    <row r="170" spans="1:29" s="2" customFormat="1">
      <c r="A170" s="61"/>
      <c r="B170" s="41" t="str">
        <f t="shared" si="4"/>
        <v>Residential_High Efficiency HVAC_0_Geothermal EER ≥17.1, COP ≥3.6_2019</v>
      </c>
      <c r="C170" s="41" t="b">
        <f>ISNUMBER(MATCH(B170,Analysis!B:B,0))</f>
        <v>1</v>
      </c>
      <c r="D170" s="41">
        <f t="shared" si="5"/>
        <v>164</v>
      </c>
      <c r="E170" s="41" t="b">
        <f>COUNTIF($B$7:B170,B170)=1</f>
        <v>1</v>
      </c>
      <c r="F170" s="142" t="s">
        <v>2</v>
      </c>
      <c r="G170" s="142" t="s">
        <v>250</v>
      </c>
      <c r="H170" s="142">
        <v>0</v>
      </c>
      <c r="I170" s="499" t="s">
        <v>610</v>
      </c>
      <c r="J170" s="26">
        <v>2019</v>
      </c>
      <c r="K170" s="143" t="str">
        <f ca="1">INDEX(Analysis!J:J,MATCH($B170,Analysis!$B:$B,0))</f>
        <v>n/a</v>
      </c>
      <c r="L170" s="174">
        <v>0</v>
      </c>
      <c r="M170" s="139">
        <f>'Measure Calculations'!$B$115</f>
        <v>25</v>
      </c>
      <c r="N170" s="140">
        <v>0</v>
      </c>
      <c r="O170" s="130">
        <f>200*3</f>
        <v>600</v>
      </c>
      <c r="P170" s="130">
        <f>'Measure Calculations'!$B$113</f>
        <v>7728</v>
      </c>
      <c r="Q170" s="130">
        <v>0</v>
      </c>
      <c r="R170" s="130">
        <v>0</v>
      </c>
      <c r="S170" s="162">
        <v>0</v>
      </c>
      <c r="T170" s="95">
        <v>1</v>
      </c>
      <c r="U170" s="95">
        <v>1</v>
      </c>
      <c r="V170" s="768">
        <f>'Measure Calculations'!$B$112</f>
        <v>3953.4858985739597</v>
      </c>
      <c r="W170" s="769">
        <f>'Measure Calculations'!$B$111</f>
        <v>0.85102586975914363</v>
      </c>
      <c r="X170" s="770">
        <v>0</v>
      </c>
      <c r="Y170" s="98"/>
      <c r="Z170" s="770">
        <v>0</v>
      </c>
      <c r="AA170" s="769">
        <v>0</v>
      </c>
      <c r="AB170" s="135">
        <v>0</v>
      </c>
      <c r="AC170" s="207"/>
    </row>
    <row r="171" spans="1:29" s="2" customFormat="1">
      <c r="A171" s="61"/>
      <c r="B171" s="41" t="str">
        <f t="shared" si="4"/>
        <v>Residential_High Efficiency HVAC_0_Early Retirement Geothermal EER ≥17.1, COP ≥3.6_2019</v>
      </c>
      <c r="C171" s="41" t="b">
        <f>ISNUMBER(MATCH(B171,Analysis!B:B,0))</f>
        <v>1</v>
      </c>
      <c r="D171" s="41">
        <f t="shared" si="5"/>
        <v>165</v>
      </c>
      <c r="E171" s="41" t="b">
        <f>COUNTIF($B$7:B171,B171)=1</f>
        <v>1</v>
      </c>
      <c r="F171" s="142" t="s">
        <v>2</v>
      </c>
      <c r="G171" s="142" t="s">
        <v>250</v>
      </c>
      <c r="H171" s="142">
        <v>0</v>
      </c>
      <c r="I171" s="499" t="s">
        <v>609</v>
      </c>
      <c r="J171" s="26">
        <v>2019</v>
      </c>
      <c r="K171" s="143" t="str">
        <f ca="1">INDEX(Analysis!J:J,MATCH($B171,Analysis!$B:$B,0))</f>
        <v>n/a</v>
      </c>
      <c r="L171" s="174">
        <v>0</v>
      </c>
      <c r="M171" s="139">
        <f>'Measure Calculations'!$B$115</f>
        <v>25</v>
      </c>
      <c r="N171" s="140">
        <f>'Measure Calculations'!$C$115</f>
        <v>8</v>
      </c>
      <c r="O171" s="130">
        <f>300*3</f>
        <v>900</v>
      </c>
      <c r="P171" s="130">
        <f>'Measure Calculations'!$C$113</f>
        <v>11871</v>
      </c>
      <c r="Q171" s="130">
        <v>0</v>
      </c>
      <c r="R171" s="130">
        <f>'Measure Calculations'!$C$114</f>
        <v>4554</v>
      </c>
      <c r="S171" s="162">
        <v>0</v>
      </c>
      <c r="T171" s="95">
        <v>1</v>
      </c>
      <c r="U171" s="95">
        <v>1</v>
      </c>
      <c r="V171" s="768">
        <f>'Measure Calculations'!$B$112</f>
        <v>3953.4858985739597</v>
      </c>
      <c r="W171" s="769">
        <f>'Measure Calculations'!$B$111</f>
        <v>0.85102586975914363</v>
      </c>
      <c r="X171" s="770">
        <v>0</v>
      </c>
      <c r="Y171" s="98"/>
      <c r="Z171" s="770">
        <f>'Measure Calculations'!$C$112</f>
        <v>10190.917512040911</v>
      </c>
      <c r="AA171" s="769">
        <f>'Measure Calculations'!$C$111</f>
        <v>1.8947368421052631</v>
      </c>
      <c r="AB171" s="135">
        <v>0</v>
      </c>
      <c r="AC171" s="207"/>
    </row>
    <row r="172" spans="1:29" s="2" customFormat="1">
      <c r="A172" s="61"/>
      <c r="B172" s="41" t="str">
        <f t="shared" si="4"/>
        <v>Residential_Whole House Efficiency_0_Air Sealing (Electric Heat)_2019</v>
      </c>
      <c r="C172" s="41" t="b">
        <f>ISNUMBER(MATCH(B172,Analysis!B:B,0))</f>
        <v>1</v>
      </c>
      <c r="D172" s="41">
        <f t="shared" si="5"/>
        <v>166</v>
      </c>
      <c r="E172" s="41" t="b">
        <f>COUNTIF($B$7:B172,B172)=1</f>
        <v>1</v>
      </c>
      <c r="F172" s="142" t="s">
        <v>2</v>
      </c>
      <c r="G172" s="142" t="s">
        <v>219</v>
      </c>
      <c r="H172" s="142">
        <v>0</v>
      </c>
      <c r="I172" s="29" t="s">
        <v>263</v>
      </c>
      <c r="J172" s="26">
        <v>2019</v>
      </c>
      <c r="K172" s="143" t="str">
        <f ca="1">INDEX(Analysis!J:J,MATCH($B172,Analysis!$B:$B,0))</f>
        <v>n/a</v>
      </c>
      <c r="L172" s="174">
        <f>'Program Inputs'!$I$8*0.25</f>
        <v>7.5</v>
      </c>
      <c r="M172" s="139">
        <f>'Measure Calculations'!$B$27</f>
        <v>15</v>
      </c>
      <c r="N172" s="140">
        <v>0</v>
      </c>
      <c r="O172" s="130">
        <v>0</v>
      </c>
      <c r="P172" s="130">
        <v>0</v>
      </c>
      <c r="Q172" s="130">
        <v>0</v>
      </c>
      <c r="R172" s="130">
        <v>0</v>
      </c>
      <c r="S172" s="162">
        <v>0</v>
      </c>
      <c r="T172" s="95">
        <v>1</v>
      </c>
      <c r="U172" s="95">
        <v>1</v>
      </c>
      <c r="V172" s="768">
        <f>'Measure Calculations'!$B$25</f>
        <v>1337.7809950818801</v>
      </c>
      <c r="W172" s="769">
        <f>'Measure Calculations'!$B$24</f>
        <v>0.13194175032702399</v>
      </c>
      <c r="X172" s="770">
        <v>0</v>
      </c>
      <c r="Y172" s="98"/>
      <c r="Z172" s="770">
        <v>0</v>
      </c>
      <c r="AA172" s="769">
        <v>0</v>
      </c>
      <c r="AB172" s="135">
        <v>0</v>
      </c>
      <c r="AC172" s="207"/>
    </row>
    <row r="173" spans="1:29" s="2" customFormat="1">
      <c r="A173" s="61"/>
      <c r="B173" s="41" t="str">
        <f t="shared" si="4"/>
        <v>Residential_Whole House Efficiency_0_Air Sealing (Gas Heat)_2019</v>
      </c>
      <c r="C173" s="41" t="b">
        <f>ISNUMBER(MATCH(B173,Analysis!B:B,0))</f>
        <v>1</v>
      </c>
      <c r="D173" s="41">
        <f t="shared" si="5"/>
        <v>167</v>
      </c>
      <c r="E173" s="41" t="b">
        <f>COUNTIF($B$7:B173,B173)=1</f>
        <v>1</v>
      </c>
      <c r="F173" s="142" t="s">
        <v>2</v>
      </c>
      <c r="G173" s="142" t="s">
        <v>219</v>
      </c>
      <c r="H173" s="142">
        <v>0</v>
      </c>
      <c r="I173" s="29" t="s">
        <v>264</v>
      </c>
      <c r="J173" s="26">
        <v>2019</v>
      </c>
      <c r="K173" s="143" t="str">
        <f ca="1">INDEX(Analysis!J:J,MATCH($B173,Analysis!$B:$B,0))</f>
        <v>n/a</v>
      </c>
      <c r="L173" s="174">
        <f>'Program Inputs'!$I$8*0.75</f>
        <v>22.5</v>
      </c>
      <c r="M173" s="139">
        <f>'Measure Calculations'!$C$27</f>
        <v>15</v>
      </c>
      <c r="N173" s="140">
        <v>0</v>
      </c>
      <c r="O173" s="130">
        <v>0</v>
      </c>
      <c r="P173" s="130">
        <v>0</v>
      </c>
      <c r="Q173" s="130">
        <v>0</v>
      </c>
      <c r="R173" s="130">
        <v>0</v>
      </c>
      <c r="S173" s="162">
        <v>0</v>
      </c>
      <c r="T173" s="95">
        <v>1</v>
      </c>
      <c r="U173" s="95">
        <v>1</v>
      </c>
      <c r="V173" s="768">
        <f>'Measure Calculations'!$C$25</f>
        <v>108.66869158878504</v>
      </c>
      <c r="W173" s="769">
        <f>'Measure Calculations'!$C$24</f>
        <v>0</v>
      </c>
      <c r="X173" s="770">
        <v>0</v>
      </c>
      <c r="Y173" s="98"/>
      <c r="Z173" s="770">
        <v>0</v>
      </c>
      <c r="AA173" s="769">
        <v>0</v>
      </c>
      <c r="AB173" s="135">
        <v>0</v>
      </c>
      <c r="AC173" s="207"/>
    </row>
    <row r="174" spans="1:29" s="2" customFormat="1">
      <c r="A174" s="61"/>
      <c r="B174" s="41" t="str">
        <f t="shared" si="4"/>
        <v>Residential_Whole House Efficiency_0_Hot Water Pipe Insulation_2019</v>
      </c>
      <c r="C174" s="41" t="b">
        <f>ISNUMBER(MATCH(B174,Analysis!B:B,0))</f>
        <v>1</v>
      </c>
      <c r="D174" s="41">
        <f t="shared" si="5"/>
        <v>168</v>
      </c>
      <c r="E174" s="41" t="b">
        <f>COUNTIF($B$7:B174,B174)=1</f>
        <v>1</v>
      </c>
      <c r="F174" s="142" t="s">
        <v>2</v>
      </c>
      <c r="G174" s="142" t="s">
        <v>219</v>
      </c>
      <c r="H174" s="142">
        <v>0</v>
      </c>
      <c r="I174" s="29" t="s">
        <v>265</v>
      </c>
      <c r="J174" s="26">
        <v>2019</v>
      </c>
      <c r="K174" s="143" t="str">
        <f ca="1">INDEX(Analysis!J:J,MATCH($B174,Analysis!$B:$B,0))</f>
        <v>n/a</v>
      </c>
      <c r="L174" s="174">
        <f>'Program Inputs'!$I$8*0.85</f>
        <v>25.5</v>
      </c>
      <c r="M174" s="139">
        <v>15</v>
      </c>
      <c r="N174" s="140">
        <v>0</v>
      </c>
      <c r="O174" s="130">
        <v>0</v>
      </c>
      <c r="P174" s="130">
        <v>0</v>
      </c>
      <c r="Q174" s="130">
        <v>0</v>
      </c>
      <c r="R174" s="130">
        <v>0</v>
      </c>
      <c r="S174" s="162">
        <v>0</v>
      </c>
      <c r="T174" s="95">
        <v>1</v>
      </c>
      <c r="U174" s="95">
        <v>1</v>
      </c>
      <c r="V174" s="768">
        <v>123.19953120421916</v>
      </c>
      <c r="W174" s="769">
        <v>1.4063873425139173E-2</v>
      </c>
      <c r="X174" s="770">
        <v>0</v>
      </c>
      <c r="Y174" s="98"/>
      <c r="Z174" s="770">
        <v>0</v>
      </c>
      <c r="AA174" s="769">
        <v>0</v>
      </c>
      <c r="AB174" s="135">
        <v>0</v>
      </c>
      <c r="AC174" s="207"/>
    </row>
    <row r="175" spans="1:29" s="2" customFormat="1">
      <c r="A175" s="61"/>
      <c r="B175" s="41" t="str">
        <f t="shared" si="4"/>
        <v>Residential_Whole House Efficiency_0_Water Heater Tank Wrap_2019</v>
      </c>
      <c r="C175" s="41" t="b">
        <f>ISNUMBER(MATCH(B175,Analysis!B:B,0))</f>
        <v>1</v>
      </c>
      <c r="D175" s="41">
        <f t="shared" si="5"/>
        <v>169</v>
      </c>
      <c r="E175" s="41" t="b">
        <f>COUNTIF($B$7:B175,B175)=1</f>
        <v>1</v>
      </c>
      <c r="F175" s="142" t="s">
        <v>2</v>
      </c>
      <c r="G175" s="142" t="s">
        <v>219</v>
      </c>
      <c r="H175" s="142">
        <v>0</v>
      </c>
      <c r="I175" s="29" t="s">
        <v>266</v>
      </c>
      <c r="J175" s="26">
        <v>2019</v>
      </c>
      <c r="K175" s="143" t="str">
        <f ca="1">INDEX(Analysis!J:J,MATCH($B175,Analysis!$B:$B,0))</f>
        <v>n/a</v>
      </c>
      <c r="L175" s="174">
        <f>'Program Inputs'!$I$8*1</f>
        <v>30</v>
      </c>
      <c r="M175" s="139">
        <f>'Measure Calculations'!$B$154</f>
        <v>5</v>
      </c>
      <c r="N175" s="140">
        <v>0</v>
      </c>
      <c r="O175" s="130">
        <v>0</v>
      </c>
      <c r="P175" s="130">
        <v>0</v>
      </c>
      <c r="Q175" s="130">
        <v>0</v>
      </c>
      <c r="R175" s="130">
        <v>0</v>
      </c>
      <c r="S175" s="162">
        <v>0</v>
      </c>
      <c r="T175" s="95">
        <v>1</v>
      </c>
      <c r="U175" s="95">
        <v>1</v>
      </c>
      <c r="V175" s="768">
        <f>'Measure Calculations'!$B$152</f>
        <v>143</v>
      </c>
      <c r="W175" s="769">
        <f>'Measure Calculations'!$B$151</f>
        <v>1.6400000000000001E-2</v>
      </c>
      <c r="X175" s="770">
        <v>0</v>
      </c>
      <c r="Y175" s="98"/>
      <c r="Z175" s="770">
        <v>0</v>
      </c>
      <c r="AA175" s="769">
        <v>0</v>
      </c>
      <c r="AB175" s="135">
        <v>0</v>
      </c>
      <c r="AC175" s="207"/>
    </row>
    <row r="176" spans="1:29" s="2" customFormat="1">
      <c r="A176" s="61"/>
      <c r="B176" s="41" t="str">
        <f t="shared" si="4"/>
        <v>Residential_Whole House Efficiency_0_LED_2019</v>
      </c>
      <c r="C176" s="41" t="b">
        <f>ISNUMBER(MATCH(B176,Analysis!B:B,0))</f>
        <v>1</v>
      </c>
      <c r="D176" s="41">
        <f t="shared" si="5"/>
        <v>170</v>
      </c>
      <c r="E176" s="41" t="b">
        <f>COUNTIF($B$7:B176,B176)=1</f>
        <v>1</v>
      </c>
      <c r="F176" s="142" t="s">
        <v>2</v>
      </c>
      <c r="G176" s="142" t="s">
        <v>219</v>
      </c>
      <c r="H176" s="142">
        <v>0</v>
      </c>
      <c r="I176" s="29" t="s">
        <v>216</v>
      </c>
      <c r="J176" s="26">
        <v>2019</v>
      </c>
      <c r="K176" s="143" t="str">
        <f ca="1">INDEX(Analysis!J:J,MATCH($B176,Analysis!$B:$B,0))</f>
        <v>n/a</v>
      </c>
      <c r="L176" s="174">
        <f>'Program Inputs'!$I$8*5</f>
        <v>150</v>
      </c>
      <c r="M176" s="139">
        <f>'Measure Calculations'!$B$10</f>
        <v>10</v>
      </c>
      <c r="N176" s="247">
        <v>0</v>
      </c>
      <c r="O176" s="130">
        <v>0</v>
      </c>
      <c r="P176" s="130">
        <v>0</v>
      </c>
      <c r="Q176" s="130">
        <v>0</v>
      </c>
      <c r="R176" s="130">
        <v>0</v>
      </c>
      <c r="S176" s="162">
        <v>0</v>
      </c>
      <c r="T176" s="95">
        <v>1</v>
      </c>
      <c r="U176" s="95">
        <v>1</v>
      </c>
      <c r="V176" s="768">
        <f>'Measure Calculations'!$B$8</f>
        <v>32.466966839999998</v>
      </c>
      <c r="W176" s="769">
        <f>'Measure Calculations'!$B$7</f>
        <v>2.8499272199999995E-3</v>
      </c>
      <c r="X176" s="770">
        <v>0</v>
      </c>
      <c r="Y176" s="98"/>
      <c r="Z176" s="770">
        <v>0</v>
      </c>
      <c r="AA176" s="769">
        <v>0</v>
      </c>
      <c r="AB176" s="135">
        <v>0</v>
      </c>
      <c r="AC176" s="207"/>
    </row>
    <row r="177" spans="1:29" s="2" customFormat="1">
      <c r="A177" s="61"/>
      <c r="B177" s="41" t="str">
        <f t="shared" si="4"/>
        <v>Residential_Whole House Efficiency_0_Faucet Aerator_2019</v>
      </c>
      <c r="C177" s="41" t="b">
        <f>ISNUMBER(MATCH(B177,Analysis!B:B,0))</f>
        <v>1</v>
      </c>
      <c r="D177" s="41">
        <f t="shared" si="5"/>
        <v>171</v>
      </c>
      <c r="E177" s="41" t="b">
        <f>COUNTIF($B$7:B177,B177)=1</f>
        <v>1</v>
      </c>
      <c r="F177" s="142" t="s">
        <v>2</v>
      </c>
      <c r="G177" s="142" t="s">
        <v>219</v>
      </c>
      <c r="H177" s="142">
        <v>0</v>
      </c>
      <c r="I177" s="29" t="s">
        <v>525</v>
      </c>
      <c r="J177" s="26">
        <v>2019</v>
      </c>
      <c r="K177" s="143" t="str">
        <f ca="1">INDEX(Analysis!J:J,MATCH($B177,Analysis!$B:$B,0))</f>
        <v>n/a</v>
      </c>
      <c r="L177" s="174">
        <f>'Program Inputs'!$I$8*2</f>
        <v>60</v>
      </c>
      <c r="M177" s="139">
        <f>'Measure Calculations'!$B$45</f>
        <v>9</v>
      </c>
      <c r="N177" s="140">
        <v>0</v>
      </c>
      <c r="O177" s="130">
        <v>0</v>
      </c>
      <c r="P177" s="130">
        <v>0</v>
      </c>
      <c r="Q177" s="130">
        <v>0</v>
      </c>
      <c r="R177" s="130">
        <v>0</v>
      </c>
      <c r="S177" s="162">
        <v>0</v>
      </c>
      <c r="T177" s="95">
        <v>1</v>
      </c>
      <c r="U177" s="95">
        <v>1</v>
      </c>
      <c r="V177" s="768">
        <f>'Measure Calculations'!$B$43</f>
        <v>68.5987310821276</v>
      </c>
      <c r="W177" s="769">
        <f>'Measure Calculations'!$B$42</f>
        <v>2.9022540073207832E-2</v>
      </c>
      <c r="X177" s="770">
        <v>0</v>
      </c>
      <c r="Y177" s="98"/>
      <c r="Z177" s="770">
        <v>0</v>
      </c>
      <c r="AA177" s="769">
        <v>0</v>
      </c>
      <c r="AB177" s="135">
        <v>0</v>
      </c>
      <c r="AC177" s="207"/>
    </row>
    <row r="178" spans="1:29" s="2" customFormat="1">
      <c r="A178" s="61"/>
      <c r="B178" s="41" t="str">
        <f t="shared" si="4"/>
        <v>Residential_Whole House Efficiency_0_Low Flow Showerhead_2019</v>
      </c>
      <c r="C178" s="41" t="b">
        <f>ISNUMBER(MATCH(B178,Analysis!B:B,0))</f>
        <v>1</v>
      </c>
      <c r="D178" s="41">
        <f t="shared" si="5"/>
        <v>172</v>
      </c>
      <c r="E178" s="41" t="b">
        <f>COUNTIF($B$7:B178,B178)=1</f>
        <v>1</v>
      </c>
      <c r="F178" s="142" t="s">
        <v>2</v>
      </c>
      <c r="G178" s="142" t="s">
        <v>219</v>
      </c>
      <c r="H178" s="142">
        <v>0</v>
      </c>
      <c r="I178" s="29" t="s">
        <v>267</v>
      </c>
      <c r="J178" s="26">
        <v>2019</v>
      </c>
      <c r="K178" s="143" t="str">
        <f ca="1">INDEX(Analysis!J:J,MATCH($B178,Analysis!$B:$B,0))</f>
        <v>n/a</v>
      </c>
      <c r="L178" s="174">
        <f>'Program Inputs'!$I$8*2</f>
        <v>60</v>
      </c>
      <c r="M178" s="139">
        <f>'Measure Calculations'!$C$45</f>
        <v>10</v>
      </c>
      <c r="N178" s="140">
        <v>0</v>
      </c>
      <c r="O178" s="130">
        <v>0</v>
      </c>
      <c r="P178" s="130">
        <v>0</v>
      </c>
      <c r="Q178" s="130">
        <v>0</v>
      </c>
      <c r="R178" s="130">
        <v>0</v>
      </c>
      <c r="S178" s="162">
        <v>0</v>
      </c>
      <c r="T178" s="95">
        <v>1</v>
      </c>
      <c r="U178" s="95">
        <v>1</v>
      </c>
      <c r="V178" s="768">
        <f>'Measure Calculations'!$C$43</f>
        <v>97.904469348143664</v>
      </c>
      <c r="W178" s="769">
        <f>'Measure Calculations'!$C$42</f>
        <v>9.0123981717827612E-3</v>
      </c>
      <c r="X178" s="770">
        <v>0</v>
      </c>
      <c r="Y178" s="98"/>
      <c r="Z178" s="770">
        <v>0</v>
      </c>
      <c r="AA178" s="769">
        <v>0</v>
      </c>
      <c r="AB178" s="135">
        <v>0</v>
      </c>
      <c r="AC178" s="207"/>
    </row>
    <row r="179" spans="1:29" s="2" customFormat="1">
      <c r="A179" s="61"/>
      <c r="B179" s="41" t="str">
        <f t="shared" si="4"/>
        <v>Residential_Residential Audit_0_Residential Audit_2019</v>
      </c>
      <c r="C179" s="41" t="b">
        <f>ISNUMBER(MATCH(B179,Analysis!B:B,0))</f>
        <v>1</v>
      </c>
      <c r="D179" s="41">
        <f t="shared" si="5"/>
        <v>173</v>
      </c>
      <c r="E179" s="41" t="b">
        <f>COUNTIF($B$7:B179,B179)=1</f>
        <v>1</v>
      </c>
      <c r="F179" s="142" t="s">
        <v>2</v>
      </c>
      <c r="G179" s="142" t="s">
        <v>251</v>
      </c>
      <c r="H179" s="142">
        <v>0</v>
      </c>
      <c r="I179" s="29" t="s">
        <v>251</v>
      </c>
      <c r="J179" s="26">
        <v>2019</v>
      </c>
      <c r="K179" s="143" t="str">
        <f ca="1">INDEX(Analysis!J:J,MATCH($B179,Analysis!$B:$B,0))</f>
        <v>n/a</v>
      </c>
      <c r="L179" s="174">
        <f>'Program Inputs'!$I$9</f>
        <v>650</v>
      </c>
      <c r="M179" s="139">
        <v>1</v>
      </c>
      <c r="N179" s="140">
        <v>0</v>
      </c>
      <c r="O179" s="130">
        <v>0</v>
      </c>
      <c r="P179" s="130">
        <v>0</v>
      </c>
      <c r="Q179" s="130">
        <v>0</v>
      </c>
      <c r="R179" s="130">
        <v>0</v>
      </c>
      <c r="S179" s="162">
        <v>0</v>
      </c>
      <c r="T179" s="95">
        <v>1</v>
      </c>
      <c r="U179" s="95">
        <v>1</v>
      </c>
      <c r="V179" s="768">
        <v>0</v>
      </c>
      <c r="W179" s="769">
        <v>0</v>
      </c>
      <c r="X179" s="770">
        <v>0</v>
      </c>
      <c r="Y179" s="98"/>
      <c r="Z179" s="770">
        <v>0</v>
      </c>
      <c r="AA179" s="769">
        <v>0</v>
      </c>
      <c r="AB179" s="135">
        <v>0</v>
      </c>
      <c r="AC179" s="207"/>
    </row>
    <row r="180" spans="1:29" s="2" customFormat="1">
      <c r="A180" s="61"/>
      <c r="B180" s="41" t="str">
        <f t="shared" si="4"/>
        <v>Residential_Residential Audit_0_LED_2019</v>
      </c>
      <c r="C180" s="41" t="b">
        <f>ISNUMBER(MATCH(B180,Analysis!B:B,0))</f>
        <v>1</v>
      </c>
      <c r="D180" s="41">
        <f t="shared" si="5"/>
        <v>174</v>
      </c>
      <c r="E180" s="41" t="b">
        <f>COUNTIF($B$7:B180,B180)=1</f>
        <v>1</v>
      </c>
      <c r="F180" s="142" t="s">
        <v>2</v>
      </c>
      <c r="G180" s="142" t="s">
        <v>251</v>
      </c>
      <c r="H180" s="142">
        <v>0</v>
      </c>
      <c r="I180" s="29" t="s">
        <v>216</v>
      </c>
      <c r="J180" s="26">
        <v>2019</v>
      </c>
      <c r="K180" s="143" t="str">
        <f ca="1">INDEX(Analysis!J:J,MATCH($B180,Analysis!$B:$B,0))</f>
        <v>n/a</v>
      </c>
      <c r="L180" s="174">
        <f>'Program Inputs'!$I$9/2*4</f>
        <v>1300</v>
      </c>
      <c r="M180" s="139">
        <f>'Measure Calculations'!$B$10</f>
        <v>10</v>
      </c>
      <c r="N180" s="247">
        <v>0</v>
      </c>
      <c r="O180" s="130">
        <v>0</v>
      </c>
      <c r="P180" s="130">
        <v>0</v>
      </c>
      <c r="Q180" s="130">
        <v>0</v>
      </c>
      <c r="R180" s="130">
        <v>0</v>
      </c>
      <c r="S180" s="162">
        <v>0</v>
      </c>
      <c r="T180" s="95">
        <v>1</v>
      </c>
      <c r="U180" s="95">
        <v>1</v>
      </c>
      <c r="V180" s="768">
        <f>'Measure Calculations'!$B$8</f>
        <v>32.466966839999998</v>
      </c>
      <c r="W180" s="769">
        <f>'Measure Calculations'!$B$7</f>
        <v>2.8499272199999995E-3</v>
      </c>
      <c r="X180" s="770">
        <v>0</v>
      </c>
      <c r="Y180" s="98"/>
      <c r="Z180" s="770">
        <v>0</v>
      </c>
      <c r="AA180" s="769">
        <v>0</v>
      </c>
      <c r="AB180" s="135">
        <v>0</v>
      </c>
      <c r="AC180" s="207"/>
    </row>
    <row r="181" spans="1:29" s="2" customFormat="1">
      <c r="A181" s="61"/>
      <c r="B181" s="41" t="str">
        <f t="shared" si="4"/>
        <v>Residential_Residential Audit_0_Faucet Aerator_2019</v>
      </c>
      <c r="C181" s="41" t="b">
        <f>ISNUMBER(MATCH(B181,Analysis!B:B,0))</f>
        <v>1</v>
      </c>
      <c r="D181" s="41">
        <f t="shared" si="5"/>
        <v>175</v>
      </c>
      <c r="E181" s="41" t="b">
        <f>COUNTIF($B$7:B181,B181)=1</f>
        <v>1</v>
      </c>
      <c r="F181" s="142" t="s">
        <v>2</v>
      </c>
      <c r="G181" s="142" t="s">
        <v>251</v>
      </c>
      <c r="H181" s="142">
        <v>0</v>
      </c>
      <c r="I181" s="29" t="s">
        <v>525</v>
      </c>
      <c r="J181" s="26">
        <v>2019</v>
      </c>
      <c r="K181" s="143" t="str">
        <f ca="1">INDEX(Analysis!J:J,MATCH($B181,Analysis!$B:$B,0))</f>
        <v>n/a</v>
      </c>
      <c r="L181" s="174">
        <f>'Program Inputs'!$I$9/2</f>
        <v>325</v>
      </c>
      <c r="M181" s="139">
        <f>'Measure Calculations'!$B$45</f>
        <v>9</v>
      </c>
      <c r="N181" s="140">
        <v>0</v>
      </c>
      <c r="O181" s="130">
        <v>0</v>
      </c>
      <c r="P181" s="130">
        <v>0</v>
      </c>
      <c r="Q181" s="130">
        <v>0</v>
      </c>
      <c r="R181" s="130">
        <v>0</v>
      </c>
      <c r="S181" s="162">
        <v>0</v>
      </c>
      <c r="T181" s="95">
        <v>1</v>
      </c>
      <c r="U181" s="95">
        <v>1</v>
      </c>
      <c r="V181" s="768">
        <f>'Measure Calculations'!$B$43</f>
        <v>68.5987310821276</v>
      </c>
      <c r="W181" s="769">
        <f>'Measure Calculations'!$B$42</f>
        <v>2.9022540073207832E-2</v>
      </c>
      <c r="X181" s="770">
        <v>0</v>
      </c>
      <c r="Y181" s="98"/>
      <c r="Z181" s="770">
        <v>0</v>
      </c>
      <c r="AA181" s="769">
        <v>0</v>
      </c>
      <c r="AB181" s="135">
        <v>0</v>
      </c>
      <c r="AC181" s="207"/>
    </row>
    <row r="182" spans="1:29" s="2" customFormat="1">
      <c r="A182" s="61"/>
      <c r="B182" s="41" t="str">
        <f t="shared" si="4"/>
        <v>Residential_Residential Audit_0_Low Flow Showerhead_2019</v>
      </c>
      <c r="C182" s="41" t="b">
        <f>ISNUMBER(MATCH(B182,Analysis!B:B,0))</f>
        <v>1</v>
      </c>
      <c r="D182" s="41">
        <f t="shared" si="5"/>
        <v>176</v>
      </c>
      <c r="E182" s="41" t="b">
        <f>COUNTIF($B$7:B182,B182)=1</f>
        <v>1</v>
      </c>
      <c r="F182" s="142" t="s">
        <v>2</v>
      </c>
      <c r="G182" s="142" t="s">
        <v>251</v>
      </c>
      <c r="H182" s="142">
        <v>0</v>
      </c>
      <c r="I182" s="29" t="s">
        <v>267</v>
      </c>
      <c r="J182" s="26">
        <v>2019</v>
      </c>
      <c r="K182" s="143" t="str">
        <f ca="1">INDEX(Analysis!J:J,MATCH($B182,Analysis!$B:$B,0))</f>
        <v>n/a</v>
      </c>
      <c r="L182" s="174">
        <f>'Program Inputs'!$I$9/2</f>
        <v>325</v>
      </c>
      <c r="M182" s="139">
        <f>'Measure Calculations'!$C$45</f>
        <v>10</v>
      </c>
      <c r="N182" s="140">
        <v>0</v>
      </c>
      <c r="O182" s="130">
        <v>0</v>
      </c>
      <c r="P182" s="130">
        <v>0</v>
      </c>
      <c r="Q182" s="130">
        <v>0</v>
      </c>
      <c r="R182" s="130">
        <v>0</v>
      </c>
      <c r="S182" s="162">
        <v>0</v>
      </c>
      <c r="T182" s="95">
        <v>1</v>
      </c>
      <c r="U182" s="95">
        <v>1</v>
      </c>
      <c r="V182" s="768">
        <f>'Measure Calculations'!$C$43</f>
        <v>97.904469348143664</v>
      </c>
      <c r="W182" s="769">
        <f>'Measure Calculations'!$C$42</f>
        <v>9.0123981717827612E-3</v>
      </c>
      <c r="X182" s="770">
        <v>0</v>
      </c>
      <c r="Y182" s="98"/>
      <c r="Z182" s="770">
        <v>0</v>
      </c>
      <c r="AA182" s="769">
        <v>0</v>
      </c>
      <c r="AB182" s="135">
        <v>0</v>
      </c>
      <c r="AC182" s="207"/>
    </row>
    <row r="183" spans="1:29" s="2" customFormat="1">
      <c r="A183" s="61"/>
      <c r="B183" s="41" t="str">
        <f t="shared" si="4"/>
        <v>Residential_School-Based Education_0_School-Based Education_2019</v>
      </c>
      <c r="C183" s="41" t="b">
        <f>ISNUMBER(MATCH(B183,Analysis!B:B,0))</f>
        <v>1</v>
      </c>
      <c r="D183" s="41">
        <f t="shared" si="5"/>
        <v>177</v>
      </c>
      <c r="E183" s="41" t="b">
        <f>COUNTIF($B$7:B183,B183)=1</f>
        <v>1</v>
      </c>
      <c r="F183" s="142" t="s">
        <v>2</v>
      </c>
      <c r="G183" s="142" t="s">
        <v>252</v>
      </c>
      <c r="H183" s="142">
        <v>0</v>
      </c>
      <c r="I183" s="29" t="s">
        <v>252</v>
      </c>
      <c r="J183" s="26">
        <v>2019</v>
      </c>
      <c r="K183" s="143" t="str">
        <f ca="1">INDEX(Analysis!J:J,MATCH($B183,Analysis!$B:$B,0))</f>
        <v>n/a</v>
      </c>
      <c r="L183" s="174">
        <v>1200</v>
      </c>
      <c r="M183" s="139">
        <v>5</v>
      </c>
      <c r="N183" s="140">
        <v>0</v>
      </c>
      <c r="O183" s="130">
        <v>0</v>
      </c>
      <c r="P183" s="130">
        <v>0</v>
      </c>
      <c r="Q183" s="130">
        <v>0</v>
      </c>
      <c r="R183" s="130">
        <v>0</v>
      </c>
      <c r="S183" s="162">
        <v>0</v>
      </c>
      <c r="T183" s="95">
        <v>1</v>
      </c>
      <c r="U183" s="95">
        <v>1</v>
      </c>
      <c r="V183" s="768">
        <v>397</v>
      </c>
      <c r="W183" s="769">
        <v>0.04</v>
      </c>
      <c r="X183" s="770">
        <v>0</v>
      </c>
      <c r="Y183" s="98"/>
      <c r="Z183" s="770">
        <v>0</v>
      </c>
      <c r="AA183" s="769">
        <v>0</v>
      </c>
      <c r="AB183" s="135">
        <v>0</v>
      </c>
      <c r="AC183" s="207"/>
    </row>
    <row r="184" spans="1:29" s="2" customFormat="1">
      <c r="A184" s="61"/>
      <c r="B184" s="41" t="str">
        <f t="shared" si="4"/>
        <v>Residential_Weatherization_0_Air Sealing_2019</v>
      </c>
      <c r="C184" s="41" t="b">
        <f>ISNUMBER(MATCH(B184,Analysis!B:B,0))</f>
        <v>1</v>
      </c>
      <c r="D184" s="41">
        <f t="shared" si="5"/>
        <v>178</v>
      </c>
      <c r="E184" s="41" t="b">
        <f>COUNTIF($B$7:B184,B184)=1</f>
        <v>1</v>
      </c>
      <c r="F184" s="142" t="s">
        <v>2</v>
      </c>
      <c r="G184" s="142" t="s">
        <v>253</v>
      </c>
      <c r="H184" s="142">
        <v>0</v>
      </c>
      <c r="I184" s="29" t="s">
        <v>270</v>
      </c>
      <c r="J184" s="26">
        <v>2019</v>
      </c>
      <c r="K184" s="143" t="str">
        <f ca="1">INDEX(Analysis!J:J,MATCH($B184,Analysis!$B:$B,0))</f>
        <v>n/a</v>
      </c>
      <c r="L184" s="174">
        <f>ROUND('Program Inputs'!$I$11,0)</f>
        <v>30</v>
      </c>
      <c r="M184" s="139">
        <f>'Measure Calculations'!$B$27</f>
        <v>15</v>
      </c>
      <c r="N184" s="140">
        <v>0</v>
      </c>
      <c r="O184" s="130">
        <v>0</v>
      </c>
      <c r="P184" s="130">
        <v>0</v>
      </c>
      <c r="Q184" s="130">
        <v>0</v>
      </c>
      <c r="R184" s="130">
        <v>0</v>
      </c>
      <c r="S184" s="162">
        <v>0</v>
      </c>
      <c r="T184" s="95">
        <v>1</v>
      </c>
      <c r="U184" s="95">
        <v>1</v>
      </c>
      <c r="V184" s="768">
        <f>AVERAGE('Measure Calculations'!$B$25:$C$25)</f>
        <v>723.22484333533259</v>
      </c>
      <c r="W184" s="769">
        <f>AVERAGE('Measure Calculations'!$B$24:$C$24)</f>
        <v>0.13194175032702399</v>
      </c>
      <c r="X184" s="770">
        <v>0</v>
      </c>
      <c r="Y184" s="98"/>
      <c r="Z184" s="770">
        <v>0</v>
      </c>
      <c r="AA184" s="769">
        <v>0</v>
      </c>
      <c r="AB184" s="135">
        <v>0</v>
      </c>
      <c r="AC184" s="207"/>
    </row>
    <row r="185" spans="1:29" s="2" customFormat="1">
      <c r="A185" s="61"/>
      <c r="B185" s="41" t="str">
        <f t="shared" si="4"/>
        <v>Residential_Weatherization_0_Water Heater Tank Wrap_2019</v>
      </c>
      <c r="C185" s="41" t="b">
        <f>ISNUMBER(MATCH(B185,Analysis!B:B,0))</f>
        <v>1</v>
      </c>
      <c r="D185" s="41">
        <f t="shared" si="5"/>
        <v>179</v>
      </c>
      <c r="E185" s="41" t="b">
        <f>COUNTIF($B$7:B185,B185)=1</f>
        <v>1</v>
      </c>
      <c r="F185" s="142" t="s">
        <v>2</v>
      </c>
      <c r="G185" s="142" t="s">
        <v>253</v>
      </c>
      <c r="H185" s="142">
        <v>0</v>
      </c>
      <c r="I185" s="29" t="s">
        <v>266</v>
      </c>
      <c r="J185" s="26">
        <v>2019</v>
      </c>
      <c r="K185" s="143" t="str">
        <f ca="1">INDEX(Analysis!J:J,MATCH($B185,Analysis!$B:$B,0))</f>
        <v>n/a</v>
      </c>
      <c r="L185" s="174">
        <f>ROUND('Program Inputs'!$I$11*0.5,0)</f>
        <v>15</v>
      </c>
      <c r="M185" s="139">
        <f>'Measure Calculations'!$B$154</f>
        <v>5</v>
      </c>
      <c r="N185" s="140">
        <v>0</v>
      </c>
      <c r="O185" s="130">
        <v>0</v>
      </c>
      <c r="P185" s="130">
        <v>0</v>
      </c>
      <c r="Q185" s="130">
        <v>0</v>
      </c>
      <c r="R185" s="130">
        <v>0</v>
      </c>
      <c r="S185" s="162">
        <v>0</v>
      </c>
      <c r="T185" s="95">
        <v>1</v>
      </c>
      <c r="U185" s="95">
        <v>1</v>
      </c>
      <c r="V185" s="768">
        <f>'Measure Calculations'!$B$152</f>
        <v>143</v>
      </c>
      <c r="W185" s="769">
        <f>'Measure Calculations'!$B$151</f>
        <v>1.6400000000000001E-2</v>
      </c>
      <c r="X185" s="770">
        <v>0</v>
      </c>
      <c r="Y185" s="98"/>
      <c r="Z185" s="770">
        <v>0</v>
      </c>
      <c r="AA185" s="769">
        <v>0</v>
      </c>
      <c r="AB185" s="135">
        <v>0</v>
      </c>
      <c r="AC185" s="207"/>
    </row>
    <row r="186" spans="1:29" s="2" customFormat="1">
      <c r="A186" s="61"/>
      <c r="B186" s="41" t="str">
        <f t="shared" si="4"/>
        <v>Residential_Weatherization_0_Hot Water Pipe Insulation_2019</v>
      </c>
      <c r="C186" s="41" t="b">
        <f>ISNUMBER(MATCH(B186,Analysis!B:B,0))</f>
        <v>1</v>
      </c>
      <c r="D186" s="41">
        <f t="shared" si="5"/>
        <v>180</v>
      </c>
      <c r="E186" s="41" t="b">
        <f>COUNTIF($B$7:B186,B186)=1</f>
        <v>1</v>
      </c>
      <c r="F186" s="142" t="s">
        <v>2</v>
      </c>
      <c r="G186" s="142" t="s">
        <v>253</v>
      </c>
      <c r="H186" s="142">
        <v>0</v>
      </c>
      <c r="I186" s="29" t="s">
        <v>265</v>
      </c>
      <c r="J186" s="26">
        <v>2019</v>
      </c>
      <c r="K186" s="143" t="str">
        <f ca="1">INDEX(Analysis!J:J,MATCH($B186,Analysis!$B:$B,0))</f>
        <v>n/a</v>
      </c>
      <c r="L186" s="174">
        <f>ROUND('Program Inputs'!$I$11*0.5,0)</f>
        <v>15</v>
      </c>
      <c r="M186" s="139">
        <v>15</v>
      </c>
      <c r="N186" s="140">
        <v>0</v>
      </c>
      <c r="O186" s="130">
        <v>0</v>
      </c>
      <c r="P186" s="130">
        <v>0</v>
      </c>
      <c r="Q186" s="130">
        <v>0</v>
      </c>
      <c r="R186" s="130">
        <v>0</v>
      </c>
      <c r="S186" s="162">
        <v>0</v>
      </c>
      <c r="T186" s="95">
        <v>1</v>
      </c>
      <c r="U186" s="95">
        <v>1</v>
      </c>
      <c r="V186" s="768">
        <v>123.19953120421916</v>
      </c>
      <c r="W186" s="769">
        <v>1.4063873425139173E-2</v>
      </c>
      <c r="X186" s="770">
        <v>0</v>
      </c>
      <c r="Y186" s="98"/>
      <c r="Z186" s="770">
        <v>0</v>
      </c>
      <c r="AA186" s="769">
        <v>0</v>
      </c>
      <c r="AB186" s="135">
        <v>0</v>
      </c>
      <c r="AC186" s="207"/>
    </row>
    <row r="187" spans="1:29" s="2" customFormat="1">
      <c r="A187" s="61"/>
      <c r="B187" s="41" t="str">
        <f t="shared" ref="B187:B234" si="6">F187&amp;"_"&amp;G187&amp;"_"&amp;H187&amp;"_"&amp;I187&amp;"_"&amp;J187</f>
        <v>Residential_Weatherization_0_Water Heater Temperature Setback_2019</v>
      </c>
      <c r="C187" s="41" t="b">
        <f>ISNUMBER(MATCH(B187,Analysis!B:B,0))</f>
        <v>1</v>
      </c>
      <c r="D187" s="41">
        <f t="shared" si="5"/>
        <v>181</v>
      </c>
      <c r="E187" s="41" t="b">
        <f>COUNTIF($B$7:B187,B187)=1</f>
        <v>1</v>
      </c>
      <c r="F187" s="142" t="s">
        <v>2</v>
      </c>
      <c r="G187" s="142" t="s">
        <v>253</v>
      </c>
      <c r="H187" s="142">
        <v>0</v>
      </c>
      <c r="I187" s="29" t="s">
        <v>271</v>
      </c>
      <c r="J187" s="26">
        <v>2019</v>
      </c>
      <c r="K187" s="143" t="str">
        <f ca="1">INDEX(Analysis!J:J,MATCH($B187,Analysis!$B:$B,0))</f>
        <v>n/a</v>
      </c>
      <c r="L187" s="174">
        <f>ROUND('Program Inputs'!$I$11*0.5,0)</f>
        <v>15</v>
      </c>
      <c r="M187" s="139">
        <f>'Measure Calculations'!$B$147</f>
        <v>2</v>
      </c>
      <c r="N187" s="140">
        <v>0</v>
      </c>
      <c r="O187" s="130">
        <v>0</v>
      </c>
      <c r="P187" s="130">
        <v>0</v>
      </c>
      <c r="Q187" s="130">
        <v>0</v>
      </c>
      <c r="R187" s="130">
        <v>0</v>
      </c>
      <c r="S187" s="162">
        <v>0</v>
      </c>
      <c r="T187" s="95">
        <v>1</v>
      </c>
      <c r="U187" s="95">
        <v>1</v>
      </c>
      <c r="V187" s="768">
        <f>'Measure Calculations'!$B$145</f>
        <v>50.4380040433524</v>
      </c>
      <c r="W187" s="769">
        <f>'Measure Calculations'!$B$144</f>
        <v>5.7538220446443529E-3</v>
      </c>
      <c r="X187" s="770">
        <v>0</v>
      </c>
      <c r="Y187" s="98"/>
      <c r="Z187" s="770">
        <v>0</v>
      </c>
      <c r="AA187" s="769">
        <v>0</v>
      </c>
      <c r="AB187" s="135">
        <v>0</v>
      </c>
      <c r="AC187" s="207"/>
    </row>
    <row r="188" spans="1:29" s="2" customFormat="1">
      <c r="A188" s="61"/>
      <c r="B188" s="41" t="str">
        <f t="shared" si="6"/>
        <v>Residential_Weatherization_0_LED_2019</v>
      </c>
      <c r="C188" s="41" t="b">
        <f>ISNUMBER(MATCH(B188,Analysis!B:B,0))</f>
        <v>1</v>
      </c>
      <c r="D188" s="41">
        <f t="shared" si="5"/>
        <v>182</v>
      </c>
      <c r="E188" s="41" t="b">
        <f>COUNTIF($B$7:B188,B188)=1</f>
        <v>1</v>
      </c>
      <c r="F188" s="142" t="s">
        <v>2</v>
      </c>
      <c r="G188" s="142" t="s">
        <v>253</v>
      </c>
      <c r="H188" s="142">
        <v>0</v>
      </c>
      <c r="I188" s="29" t="s">
        <v>216</v>
      </c>
      <c r="J188" s="26">
        <v>2019</v>
      </c>
      <c r="K188" s="143" t="str">
        <f ca="1">INDEX(Analysis!J:J,MATCH($B188,Analysis!$B:$B,0))</f>
        <v>n/a</v>
      </c>
      <c r="L188" s="174">
        <f>ROUND('Program Inputs'!$I$11*4,0)</f>
        <v>120</v>
      </c>
      <c r="M188" s="139">
        <f>'Measure Calculations'!$B$10</f>
        <v>10</v>
      </c>
      <c r="N188" s="247">
        <v>0</v>
      </c>
      <c r="O188" s="130">
        <v>0</v>
      </c>
      <c r="P188" s="130">
        <v>0</v>
      </c>
      <c r="Q188" s="130">
        <v>0</v>
      </c>
      <c r="R188" s="130">
        <v>0</v>
      </c>
      <c r="S188" s="162">
        <v>0</v>
      </c>
      <c r="T188" s="95">
        <v>1</v>
      </c>
      <c r="U188" s="95">
        <v>1</v>
      </c>
      <c r="V188" s="768">
        <f>'Measure Calculations'!$B$8</f>
        <v>32.466966839999998</v>
      </c>
      <c r="W188" s="769">
        <f>'Measure Calculations'!$B$7</f>
        <v>2.8499272199999995E-3</v>
      </c>
      <c r="X188" s="770">
        <v>0</v>
      </c>
      <c r="Y188" s="98"/>
      <c r="Z188" s="770">
        <v>0</v>
      </c>
      <c r="AA188" s="769">
        <v>0</v>
      </c>
      <c r="AB188" s="135">
        <v>0</v>
      </c>
      <c r="AC188" s="207"/>
    </row>
    <row r="189" spans="1:29" s="2" customFormat="1">
      <c r="A189" s="61"/>
      <c r="B189" s="41" t="str">
        <f t="shared" si="6"/>
        <v>Residential_Weatherization_0_Faucet Aerator_2019</v>
      </c>
      <c r="C189" s="41" t="b">
        <f>ISNUMBER(MATCH(B189,Analysis!B:B,0))</f>
        <v>1</v>
      </c>
      <c r="D189" s="41">
        <f t="shared" si="5"/>
        <v>183</v>
      </c>
      <c r="E189" s="41" t="b">
        <f>COUNTIF($B$7:B189,B189)=1</f>
        <v>1</v>
      </c>
      <c r="F189" s="142" t="s">
        <v>2</v>
      </c>
      <c r="G189" s="142" t="s">
        <v>253</v>
      </c>
      <c r="H189" s="142">
        <v>0</v>
      </c>
      <c r="I189" s="29" t="s">
        <v>525</v>
      </c>
      <c r="J189" s="26">
        <v>2019</v>
      </c>
      <c r="K189" s="143" t="str">
        <f ca="1">INDEX(Analysis!J:J,MATCH($B189,Analysis!$B:$B,0))</f>
        <v>n/a</v>
      </c>
      <c r="L189" s="174">
        <f>ROUND('Program Inputs'!$I$11,0)</f>
        <v>30</v>
      </c>
      <c r="M189" s="139">
        <f>'Measure Calculations'!$B$45</f>
        <v>9</v>
      </c>
      <c r="N189" s="140">
        <v>0</v>
      </c>
      <c r="O189" s="130">
        <v>0</v>
      </c>
      <c r="P189" s="130">
        <v>0</v>
      </c>
      <c r="Q189" s="130">
        <v>0</v>
      </c>
      <c r="R189" s="130">
        <v>0</v>
      </c>
      <c r="S189" s="162">
        <v>0</v>
      </c>
      <c r="T189" s="95">
        <v>1</v>
      </c>
      <c r="U189" s="95">
        <v>1</v>
      </c>
      <c r="V189" s="768">
        <f>'Measure Calculations'!$B$43</f>
        <v>68.5987310821276</v>
      </c>
      <c r="W189" s="769">
        <f>'Measure Calculations'!$B$42</f>
        <v>2.9022540073207832E-2</v>
      </c>
      <c r="X189" s="770">
        <v>0</v>
      </c>
      <c r="Y189" s="98"/>
      <c r="Z189" s="770">
        <v>0</v>
      </c>
      <c r="AA189" s="769">
        <v>0</v>
      </c>
      <c r="AB189" s="135">
        <v>0</v>
      </c>
      <c r="AC189" s="207"/>
    </row>
    <row r="190" spans="1:29" s="2" customFormat="1">
      <c r="A190" s="61"/>
      <c r="B190" s="41" t="str">
        <f t="shared" si="6"/>
        <v>Residential_Weatherization_0_Low Flow Showerhead_2019</v>
      </c>
      <c r="C190" s="41" t="b">
        <f>ISNUMBER(MATCH(B190,Analysis!B:B,0))</f>
        <v>1</v>
      </c>
      <c r="D190" s="41">
        <f t="shared" si="5"/>
        <v>184</v>
      </c>
      <c r="E190" s="41" t="b">
        <f>COUNTIF($B$7:B190,B190)=1</f>
        <v>1</v>
      </c>
      <c r="F190" s="142" t="s">
        <v>2</v>
      </c>
      <c r="G190" s="142" t="s">
        <v>253</v>
      </c>
      <c r="H190" s="142">
        <v>0</v>
      </c>
      <c r="I190" s="29" t="s">
        <v>267</v>
      </c>
      <c r="J190" s="26">
        <v>2019</v>
      </c>
      <c r="K190" s="143" t="str">
        <f ca="1">INDEX(Analysis!J:J,MATCH($B190,Analysis!$B:$B,0))</f>
        <v>n/a</v>
      </c>
      <c r="L190" s="174">
        <f>ROUND('Program Inputs'!$I$11,0)</f>
        <v>30</v>
      </c>
      <c r="M190" s="139">
        <f>'Measure Calculations'!$C$45</f>
        <v>10</v>
      </c>
      <c r="N190" s="140">
        <v>0</v>
      </c>
      <c r="O190" s="130">
        <v>0</v>
      </c>
      <c r="P190" s="130">
        <v>0</v>
      </c>
      <c r="Q190" s="130">
        <v>0</v>
      </c>
      <c r="R190" s="130">
        <v>0</v>
      </c>
      <c r="S190" s="162">
        <v>0</v>
      </c>
      <c r="T190" s="95">
        <v>1</v>
      </c>
      <c r="U190" s="95">
        <v>1</v>
      </c>
      <c r="V190" s="768">
        <f>'Measure Calculations'!$C$43</f>
        <v>97.904469348143664</v>
      </c>
      <c r="W190" s="769">
        <f>'Measure Calculations'!$C$42</f>
        <v>9.0123981717827612E-3</v>
      </c>
      <c r="X190" s="770">
        <v>0</v>
      </c>
      <c r="Y190" s="98"/>
      <c r="Z190" s="770">
        <v>0</v>
      </c>
      <c r="AA190" s="769">
        <v>0</v>
      </c>
      <c r="AB190" s="135">
        <v>0</v>
      </c>
      <c r="AC190" s="207"/>
    </row>
    <row r="191" spans="1:29" s="2" customFormat="1">
      <c r="A191" s="61"/>
      <c r="B191" s="41" t="str">
        <f t="shared" si="6"/>
        <v>C&amp;I_C&amp;I Custom_0_C&amp;I Custom_2019</v>
      </c>
      <c r="C191" s="41" t="b">
        <f>ISNUMBER(MATCH(B191,Analysis!B:B,0))</f>
        <v>1</v>
      </c>
      <c r="D191" s="41">
        <f t="shared" si="5"/>
        <v>185</v>
      </c>
      <c r="E191" s="41" t="b">
        <f>COUNTIF($B$7:B191,B191)=1</f>
        <v>1</v>
      </c>
      <c r="F191" s="142" t="s">
        <v>256</v>
      </c>
      <c r="G191" s="142" t="s">
        <v>254</v>
      </c>
      <c r="H191" s="142">
        <v>0</v>
      </c>
      <c r="I191" s="29" t="s">
        <v>254</v>
      </c>
      <c r="J191" s="26">
        <v>2019</v>
      </c>
      <c r="K191" s="143">
        <f ca="1">INDEX(Analysis!J:J,MATCH($B191,Analysis!$B:$B,0))</f>
        <v>1.3866882327633698</v>
      </c>
      <c r="L191" s="174">
        <v>62</v>
      </c>
      <c r="M191" s="139">
        <v>15</v>
      </c>
      <c r="N191" s="140">
        <v>0</v>
      </c>
      <c r="O191" s="130">
        <v>3970</v>
      </c>
      <c r="P191" s="130">
        <v>7940.9</v>
      </c>
      <c r="Q191" s="130">
        <v>0</v>
      </c>
      <c r="R191" s="130">
        <v>0</v>
      </c>
      <c r="S191" s="162">
        <v>0</v>
      </c>
      <c r="T191" s="95">
        <v>1</v>
      </c>
      <c r="U191" s="95">
        <v>1</v>
      </c>
      <c r="V191" s="768">
        <f>1540273.74/47</f>
        <v>32771.781702127657</v>
      </c>
      <c r="W191" s="769">
        <f>373.149/47</f>
        <v>7.9393404255319151</v>
      </c>
      <c r="X191" s="770">
        <v>0</v>
      </c>
      <c r="Y191" s="98"/>
      <c r="Z191" s="770">
        <v>0</v>
      </c>
      <c r="AA191" s="769">
        <v>0</v>
      </c>
      <c r="AB191" s="135">
        <v>0</v>
      </c>
      <c r="AC191" s="207"/>
    </row>
    <row r="192" spans="1:29" s="2" customFormat="1">
      <c r="A192" s="61"/>
      <c r="B192" s="41" t="str">
        <f t="shared" si="6"/>
        <v>C&amp;I_C&amp;I Prescriptive_0_High Bay Fluorescent Fixture w/ HE Electronic Ballast (T5 2-3 lamp)_2019</v>
      </c>
      <c r="C192" s="41" t="b">
        <f>ISNUMBER(MATCH(B192,Analysis!B:B,0))</f>
        <v>1</v>
      </c>
      <c r="D192" s="41">
        <f t="shared" si="5"/>
        <v>186</v>
      </c>
      <c r="E192" s="41" t="b">
        <f>COUNTIF($B$7:B192,B192)=1</f>
        <v>1</v>
      </c>
      <c r="F192" s="142" t="s">
        <v>256</v>
      </c>
      <c r="G192" s="142" t="s">
        <v>255</v>
      </c>
      <c r="H192" s="142">
        <v>0</v>
      </c>
      <c r="I192" s="29" t="s">
        <v>353</v>
      </c>
      <c r="J192" s="26">
        <v>2019</v>
      </c>
      <c r="K192" s="143">
        <f ca="1">INDEX(Analysis!J:J,MATCH($B192,Analysis!$B:$B,0))</f>
        <v>1.5894285688987388</v>
      </c>
      <c r="L192" s="174">
        <v>45</v>
      </c>
      <c r="M192" s="139">
        <f>'Measure Calculations'!$L$256</f>
        <v>15</v>
      </c>
      <c r="N192" s="140">
        <v>0</v>
      </c>
      <c r="O192" s="130">
        <v>55</v>
      </c>
      <c r="P192" s="130">
        <f>'Measure Calculations'!$H$256</f>
        <v>100</v>
      </c>
      <c r="Q192" s="130">
        <v>0</v>
      </c>
      <c r="R192" s="130">
        <v>0</v>
      </c>
      <c r="S192" s="162">
        <v>0</v>
      </c>
      <c r="T192" s="95">
        <v>1</v>
      </c>
      <c r="U192" s="95">
        <v>1</v>
      </c>
      <c r="V192" s="768">
        <f>'Measure Calculations'!$F$256</f>
        <v>466.49450999999993</v>
      </c>
      <c r="W192" s="769">
        <f>'Measure Calculations'!$G$256</f>
        <v>0.12369000000000001</v>
      </c>
      <c r="X192" s="770">
        <v>0</v>
      </c>
      <c r="Y192" s="98"/>
      <c r="Z192" s="770">
        <v>0</v>
      </c>
      <c r="AA192" s="769">
        <v>0</v>
      </c>
      <c r="AB192" s="135">
        <v>0</v>
      </c>
      <c r="AC192" s="207"/>
    </row>
    <row r="193" spans="1:29" s="2" customFormat="1">
      <c r="A193" s="61"/>
      <c r="B193" s="41" t="str">
        <f t="shared" si="6"/>
        <v>C&amp;I_C&amp;I Prescriptive_0_High Bay Fluorescent Fixture w/ HE Electronic Ballast (T5 4-6 lamp)_2019</v>
      </c>
      <c r="C193" s="41" t="b">
        <f>ISNUMBER(MATCH(B193,Analysis!B:B,0))</f>
        <v>1</v>
      </c>
      <c r="D193" s="41">
        <f t="shared" si="5"/>
        <v>187</v>
      </c>
      <c r="E193" s="41" t="b">
        <f>COUNTIF($B$7:B193,B193)=1</f>
        <v>1</v>
      </c>
      <c r="F193" s="142" t="s">
        <v>256</v>
      </c>
      <c r="G193" s="142" t="s">
        <v>255</v>
      </c>
      <c r="H193" s="142">
        <v>0</v>
      </c>
      <c r="I193" s="29" t="s">
        <v>272</v>
      </c>
      <c r="J193" s="26">
        <v>2019</v>
      </c>
      <c r="K193" s="143">
        <f ca="1">INDEX(Analysis!J:J,MATCH($B193,Analysis!$B:$B,0))</f>
        <v>2.2012731147758884</v>
      </c>
      <c r="L193" s="174">
        <v>45</v>
      </c>
      <c r="M193" s="139">
        <f>'Measure Calculations'!$L$257</f>
        <v>15</v>
      </c>
      <c r="N193" s="140">
        <v>0</v>
      </c>
      <c r="O193" s="130">
        <v>75</v>
      </c>
      <c r="P193" s="130">
        <f>'Measure Calculations'!$H$257</f>
        <v>125</v>
      </c>
      <c r="Q193" s="130">
        <v>0</v>
      </c>
      <c r="R193" s="130">
        <v>0</v>
      </c>
      <c r="S193" s="162">
        <v>0</v>
      </c>
      <c r="T193" s="95">
        <v>1</v>
      </c>
      <c r="U193" s="95">
        <v>1</v>
      </c>
      <c r="V193" s="768">
        <f>'Measure Calculations'!$F$257</f>
        <v>807.58726999999988</v>
      </c>
      <c r="W193" s="769">
        <f>'Measure Calculations'!$G$257</f>
        <v>0.21413000000000001</v>
      </c>
      <c r="X193" s="770">
        <v>0</v>
      </c>
      <c r="Y193" s="98"/>
      <c r="Z193" s="770">
        <v>0</v>
      </c>
      <c r="AA193" s="769">
        <v>0</v>
      </c>
      <c r="AB193" s="135">
        <v>0</v>
      </c>
      <c r="AC193" s="207"/>
    </row>
    <row r="194" spans="1:29" s="2" customFormat="1">
      <c r="A194" s="61"/>
      <c r="B194" s="41" t="str">
        <f t="shared" si="6"/>
        <v>C&amp;I_C&amp;I Prescriptive_0_High Bay Fluorescent Fixture w/ HE Electronic Ballast (T5 8-lamp)_2019</v>
      </c>
      <c r="C194" s="41" t="b">
        <f>ISNUMBER(MATCH(B194,Analysis!B:B,0))</f>
        <v>1</v>
      </c>
      <c r="D194" s="41">
        <f t="shared" si="5"/>
        <v>188</v>
      </c>
      <c r="E194" s="41" t="b">
        <f>COUNTIF($B$7:B194,B194)=1</f>
        <v>1</v>
      </c>
      <c r="F194" s="142" t="s">
        <v>256</v>
      </c>
      <c r="G194" s="142" t="s">
        <v>255</v>
      </c>
      <c r="H194" s="142">
        <v>0</v>
      </c>
      <c r="I194" s="29" t="s">
        <v>273</v>
      </c>
      <c r="J194" s="26">
        <v>2019</v>
      </c>
      <c r="K194" s="143">
        <f ca="1">INDEX(Analysis!J:J,MATCH($B194,Analysis!$B:$B,0))</f>
        <v>5.2228964586608022</v>
      </c>
      <c r="L194" s="174">
        <v>45</v>
      </c>
      <c r="M194" s="139">
        <f>'Measure Calculations'!$L$258</f>
        <v>15</v>
      </c>
      <c r="N194" s="140">
        <v>0</v>
      </c>
      <c r="O194" s="130">
        <v>85</v>
      </c>
      <c r="P194" s="130">
        <f>'Measure Calculations'!$H$258</f>
        <v>125</v>
      </c>
      <c r="Q194" s="130">
        <v>0</v>
      </c>
      <c r="R194" s="130">
        <v>0</v>
      </c>
      <c r="S194" s="162">
        <v>0</v>
      </c>
      <c r="T194" s="95">
        <v>1</v>
      </c>
      <c r="U194" s="95">
        <v>1</v>
      </c>
      <c r="V194" s="768">
        <f>'Measure Calculations'!$F$258</f>
        <v>1916.1387399999999</v>
      </c>
      <c r="W194" s="769">
        <f>'Measure Calculations'!$G$258</f>
        <v>0.50806000000000007</v>
      </c>
      <c r="X194" s="770">
        <v>0</v>
      </c>
      <c r="Y194" s="98"/>
      <c r="Z194" s="770">
        <v>0</v>
      </c>
      <c r="AA194" s="769">
        <v>0</v>
      </c>
      <c r="AB194" s="135">
        <v>0</v>
      </c>
      <c r="AC194" s="207"/>
    </row>
    <row r="195" spans="1:29" s="2" customFormat="1">
      <c r="A195" s="61"/>
      <c r="B195" s="41" t="str">
        <f t="shared" si="6"/>
        <v>C&amp;I_C&amp;I Prescriptive_0_High Bay Fluorescent Fixture w/ HE Electronic Ballast (T5 10-lamp)_2019</v>
      </c>
      <c r="C195" s="41" t="b">
        <f>ISNUMBER(MATCH(B195,Analysis!B:B,0))</f>
        <v>1</v>
      </c>
      <c r="D195" s="41">
        <f t="shared" si="5"/>
        <v>189</v>
      </c>
      <c r="E195" s="41" t="b">
        <f>COUNTIF($B$7:B195,B195)=1</f>
        <v>1</v>
      </c>
      <c r="F195" s="142" t="s">
        <v>256</v>
      </c>
      <c r="G195" s="142" t="s">
        <v>255</v>
      </c>
      <c r="H195" s="142">
        <v>0</v>
      </c>
      <c r="I195" s="29" t="s">
        <v>274</v>
      </c>
      <c r="J195" s="26">
        <v>2019</v>
      </c>
      <c r="K195" s="143">
        <f ca="1">INDEX(Analysis!J:J,MATCH($B195,Analysis!$B:$B,0))</f>
        <v>5.6399078251245562</v>
      </c>
      <c r="L195" s="174">
        <v>45</v>
      </c>
      <c r="M195" s="139">
        <f>'Measure Calculations'!$L$259</f>
        <v>15</v>
      </c>
      <c r="N195" s="140">
        <v>0</v>
      </c>
      <c r="O195" s="130">
        <v>95</v>
      </c>
      <c r="P195" s="130">
        <f>'Measure Calculations'!$H$259</f>
        <v>150</v>
      </c>
      <c r="Q195" s="130">
        <v>0</v>
      </c>
      <c r="R195" s="130">
        <v>0</v>
      </c>
      <c r="S195" s="162">
        <v>0</v>
      </c>
      <c r="T195" s="95">
        <v>1</v>
      </c>
      <c r="U195" s="95">
        <v>1</v>
      </c>
      <c r="V195" s="768">
        <f>'Measure Calculations'!$F$259</f>
        <v>2482.9546499999997</v>
      </c>
      <c r="W195" s="769">
        <f>'Measure Calculations'!$G$259</f>
        <v>0.65834999999999999</v>
      </c>
      <c r="X195" s="770">
        <v>0</v>
      </c>
      <c r="Y195" s="98"/>
      <c r="Z195" s="770">
        <v>0</v>
      </c>
      <c r="AA195" s="769">
        <v>0</v>
      </c>
      <c r="AB195" s="135">
        <v>0</v>
      </c>
      <c r="AC195" s="207"/>
    </row>
    <row r="196" spans="1:29" s="2" customFormat="1">
      <c r="A196" s="61"/>
      <c r="B196" s="41" t="str">
        <f t="shared" si="6"/>
        <v>C&amp;I_C&amp;I Prescriptive_0_High Bay Fluorescent Fixture w/ HE Electronic Ballast (T8 4 lamp)_2019</v>
      </c>
      <c r="C196" s="41" t="b">
        <f>ISNUMBER(MATCH(B196,Analysis!B:B,0))</f>
        <v>1</v>
      </c>
      <c r="D196" s="41">
        <f t="shared" si="5"/>
        <v>190</v>
      </c>
      <c r="E196" s="41" t="b">
        <f>COUNTIF($B$7:B196,B196)=1</f>
        <v>1</v>
      </c>
      <c r="F196" s="142" t="s">
        <v>256</v>
      </c>
      <c r="G196" s="142" t="s">
        <v>255</v>
      </c>
      <c r="H196" s="142">
        <v>0</v>
      </c>
      <c r="I196" s="29" t="s">
        <v>354</v>
      </c>
      <c r="J196" s="26">
        <v>2019</v>
      </c>
      <c r="K196" s="143">
        <f ca="1">INDEX(Analysis!J:J,MATCH($B196,Analysis!$B:$B,0))</f>
        <v>0.83197185735473778</v>
      </c>
      <c r="L196" s="174">
        <v>80</v>
      </c>
      <c r="M196" s="139">
        <f>'Measure Calculations'!$L$260</f>
        <v>15</v>
      </c>
      <c r="N196" s="140">
        <v>0</v>
      </c>
      <c r="O196" s="130">
        <v>55</v>
      </c>
      <c r="P196" s="130">
        <f>'Measure Calculations'!$H$260</f>
        <v>200</v>
      </c>
      <c r="Q196" s="130">
        <v>0</v>
      </c>
      <c r="R196" s="130">
        <v>0</v>
      </c>
      <c r="S196" s="162">
        <v>0</v>
      </c>
      <c r="T196" s="95">
        <v>1</v>
      </c>
      <c r="U196" s="95">
        <v>1</v>
      </c>
      <c r="V196" s="768">
        <f>'Measure Calculations'!$F$260</f>
        <v>488.36457519999999</v>
      </c>
      <c r="W196" s="769">
        <f>'Measure Calculations'!$G$260</f>
        <v>0.12948880000000002</v>
      </c>
      <c r="X196" s="770">
        <v>0</v>
      </c>
      <c r="Y196" s="98"/>
      <c r="Z196" s="770">
        <v>0</v>
      </c>
      <c r="AA196" s="769">
        <v>0</v>
      </c>
      <c r="AB196" s="135">
        <v>0</v>
      </c>
      <c r="AC196" s="207"/>
    </row>
    <row r="197" spans="1:29" s="2" customFormat="1">
      <c r="A197" s="61"/>
      <c r="B197" s="41" t="str">
        <f t="shared" si="6"/>
        <v>C&amp;I_C&amp;I Prescriptive_0_High Bay Fluorescent Fixture w/ HE Electronic Ballast (T8 6-8 lamp)_2019</v>
      </c>
      <c r="C197" s="41" t="b">
        <f>ISNUMBER(MATCH(B197,Analysis!B:B,0))</f>
        <v>1</v>
      </c>
      <c r="D197" s="41">
        <f t="shared" si="5"/>
        <v>191</v>
      </c>
      <c r="E197" s="41" t="b">
        <f>COUNTIF($B$7:B197,B197)=1</f>
        <v>1</v>
      </c>
      <c r="F197" s="142" t="s">
        <v>256</v>
      </c>
      <c r="G197" s="142" t="s">
        <v>255</v>
      </c>
      <c r="H197" s="142">
        <v>0</v>
      </c>
      <c r="I197" s="29" t="s">
        <v>275</v>
      </c>
      <c r="J197" s="26">
        <v>2019</v>
      </c>
      <c r="K197" s="143">
        <f ca="1">INDEX(Analysis!J:J,MATCH($B197,Analysis!$B:$B,0))</f>
        <v>2.1803086089208787</v>
      </c>
      <c r="L197" s="174">
        <v>80</v>
      </c>
      <c r="M197" s="139">
        <f>'Measure Calculations'!$L$261</f>
        <v>15</v>
      </c>
      <c r="N197" s="140">
        <v>0</v>
      </c>
      <c r="O197" s="130">
        <v>75</v>
      </c>
      <c r="P197" s="130">
        <f>'Measure Calculations'!$H$261</f>
        <v>225</v>
      </c>
      <c r="Q197" s="130">
        <v>0</v>
      </c>
      <c r="R197" s="130">
        <v>0</v>
      </c>
      <c r="S197" s="162">
        <v>0</v>
      </c>
      <c r="T197" s="95">
        <v>1</v>
      </c>
      <c r="U197" s="95">
        <v>1</v>
      </c>
      <c r="V197" s="768">
        <f>'Measure Calculations'!$F$261</f>
        <v>1439.8127327999996</v>
      </c>
      <c r="W197" s="769">
        <f>'Measure Calculations'!$G$261</f>
        <v>0.38176319999999997</v>
      </c>
      <c r="X197" s="770">
        <v>0</v>
      </c>
      <c r="Y197" s="98"/>
      <c r="Z197" s="770">
        <v>0</v>
      </c>
      <c r="AA197" s="769">
        <v>0</v>
      </c>
      <c r="AB197" s="135">
        <v>0</v>
      </c>
      <c r="AC197" s="207"/>
    </row>
    <row r="198" spans="1:29" s="2" customFormat="1">
      <c r="A198" s="61"/>
      <c r="B198" s="41" t="str">
        <f t="shared" si="6"/>
        <v>C&amp;I_C&amp;I Prescriptive_0_High Bay Fluorescent Fixture w/ HE Electronic Ballast (T8 12-16 lamp)_2019</v>
      </c>
      <c r="C198" s="41" t="b">
        <f>ISNUMBER(MATCH(B198,Analysis!B:B,0))</f>
        <v>1</v>
      </c>
      <c r="D198" s="41">
        <f t="shared" si="5"/>
        <v>192</v>
      </c>
      <c r="E198" s="41" t="b">
        <f>COUNTIF($B$7:B198,B198)=1</f>
        <v>1</v>
      </c>
      <c r="F198" s="142" t="s">
        <v>256</v>
      </c>
      <c r="G198" s="142" t="s">
        <v>255</v>
      </c>
      <c r="H198" s="142">
        <v>0</v>
      </c>
      <c r="I198" s="29" t="s">
        <v>276</v>
      </c>
      <c r="J198" s="26">
        <v>2019</v>
      </c>
      <c r="K198" s="143">
        <f ca="1">INDEX(Analysis!J:J,MATCH($B198,Analysis!$B:$B,0))</f>
        <v>3.1156901701560833</v>
      </c>
      <c r="L198" s="174">
        <v>80</v>
      </c>
      <c r="M198" s="139">
        <f>'Measure Calculations'!$L$262</f>
        <v>15</v>
      </c>
      <c r="N198" s="140">
        <v>0</v>
      </c>
      <c r="O198" s="130">
        <v>85</v>
      </c>
      <c r="P198" s="130">
        <f>'Measure Calculations'!$H$262</f>
        <v>250</v>
      </c>
      <c r="Q198" s="130">
        <v>0</v>
      </c>
      <c r="R198" s="130">
        <v>0</v>
      </c>
      <c r="S198" s="162">
        <v>0</v>
      </c>
      <c r="T198" s="95">
        <v>1</v>
      </c>
      <c r="U198" s="95">
        <v>1</v>
      </c>
      <c r="V198" s="768">
        <f>'Measure Calculations'!$F$262</f>
        <v>2286.1240632000004</v>
      </c>
      <c r="W198" s="769">
        <f>'Measure Calculations'!$G$262</f>
        <v>0.60616080000000006</v>
      </c>
      <c r="X198" s="770">
        <v>0</v>
      </c>
      <c r="Y198" s="98"/>
      <c r="Z198" s="770">
        <v>0</v>
      </c>
      <c r="AA198" s="769">
        <v>0</v>
      </c>
      <c r="AB198" s="135">
        <v>0</v>
      </c>
      <c r="AC198" s="207"/>
    </row>
    <row r="199" spans="1:29" s="2" customFormat="1">
      <c r="A199" s="61"/>
      <c r="B199" s="41" t="str">
        <f t="shared" si="6"/>
        <v>C&amp;I_C&amp;I Prescriptive_0_High Bay Fluorescent Fixture w/ HE Electronic Ballast (T8 18-20 lamp)_2019</v>
      </c>
      <c r="C199" s="41" t="b">
        <f>ISNUMBER(MATCH(B199,Analysis!B:B,0))</f>
        <v>1</v>
      </c>
      <c r="D199" s="41">
        <f t="shared" si="5"/>
        <v>193</v>
      </c>
      <c r="E199" s="41" t="b">
        <f>COUNTIF($B$7:B199,B199)=1</f>
        <v>1</v>
      </c>
      <c r="F199" s="142" t="s">
        <v>256</v>
      </c>
      <c r="G199" s="142" t="s">
        <v>255</v>
      </c>
      <c r="H199" s="142">
        <v>0</v>
      </c>
      <c r="I199" s="29" t="s">
        <v>355</v>
      </c>
      <c r="J199" s="26">
        <v>2019</v>
      </c>
      <c r="K199" s="143">
        <f ca="1">INDEX(Analysis!J:J,MATCH($B199,Analysis!$B:$B,0))</f>
        <v>3.9179926942247101</v>
      </c>
      <c r="L199" s="174">
        <v>80</v>
      </c>
      <c r="M199" s="139">
        <f>'Measure Calculations'!$L$263</f>
        <v>15</v>
      </c>
      <c r="N199" s="140">
        <v>0</v>
      </c>
      <c r="O199" s="130">
        <v>95</v>
      </c>
      <c r="P199" s="130">
        <f>'Measure Calculations'!$H$263</f>
        <v>250</v>
      </c>
      <c r="Q199" s="130">
        <v>0</v>
      </c>
      <c r="R199" s="130">
        <v>0</v>
      </c>
      <c r="S199" s="162">
        <v>0</v>
      </c>
      <c r="T199" s="95">
        <v>1</v>
      </c>
      <c r="U199" s="95">
        <v>1</v>
      </c>
      <c r="V199" s="768">
        <f>'Measure Calculations'!$F$263</f>
        <v>2874.8100383999995</v>
      </c>
      <c r="W199" s="769">
        <f>'Measure Calculations'!$G$263</f>
        <v>0.76224959999999997</v>
      </c>
      <c r="X199" s="770">
        <v>0</v>
      </c>
      <c r="Y199" s="98"/>
      <c r="Z199" s="770">
        <v>0</v>
      </c>
      <c r="AA199" s="769">
        <v>0</v>
      </c>
      <c r="AB199" s="135">
        <v>0</v>
      </c>
      <c r="AC199" s="207"/>
    </row>
    <row r="200" spans="1:29" s="2" customFormat="1">
      <c r="A200" s="61"/>
      <c r="B200" s="41" t="str">
        <f t="shared" si="6"/>
        <v>C&amp;I_C&amp;I Prescriptive_0_Low-Wattage T8 _2019</v>
      </c>
      <c r="C200" s="41" t="b">
        <f>ISNUMBER(MATCH(B200,Analysis!B:B,0))</f>
        <v>1</v>
      </c>
      <c r="D200" s="41">
        <f t="shared" ref="D200:D234" si="7">D199+1</f>
        <v>194</v>
      </c>
      <c r="E200" s="41" t="b">
        <f>COUNTIF($B$7:B200,B200)=1</f>
        <v>1</v>
      </c>
      <c r="F200" s="142" t="s">
        <v>256</v>
      </c>
      <c r="G200" s="142" t="s">
        <v>255</v>
      </c>
      <c r="H200" s="142">
        <v>0</v>
      </c>
      <c r="I200" s="29" t="s">
        <v>280</v>
      </c>
      <c r="J200" s="26">
        <v>2019</v>
      </c>
      <c r="K200" s="143">
        <f ca="1">INDEX(Analysis!J:J,MATCH($B200,Analysis!$B:$B,0))</f>
        <v>3.380400351088106</v>
      </c>
      <c r="L200" s="174">
        <v>850</v>
      </c>
      <c r="M200" s="139">
        <f>'Measure Calculations'!$L$267</f>
        <v>8</v>
      </c>
      <c r="N200" s="140">
        <v>0</v>
      </c>
      <c r="O200" s="130">
        <v>0.5</v>
      </c>
      <c r="P200" s="130">
        <f>'Measure Calculations'!$H$267</f>
        <v>2</v>
      </c>
      <c r="Q200" s="130">
        <v>0</v>
      </c>
      <c r="R200" s="130">
        <v>0</v>
      </c>
      <c r="S200" s="162">
        <v>0</v>
      </c>
      <c r="T200" s="95">
        <v>1</v>
      </c>
      <c r="U200" s="95">
        <v>1</v>
      </c>
      <c r="V200" s="768">
        <f>'Measure Calculations'!$F$267</f>
        <v>30.096419999999998</v>
      </c>
      <c r="W200" s="769">
        <f>'Measure Calculations'!$G$267</f>
        <v>7.980000000000001E-3</v>
      </c>
      <c r="X200" s="770">
        <v>0</v>
      </c>
      <c r="Y200" s="98"/>
      <c r="Z200" s="770">
        <v>0</v>
      </c>
      <c r="AA200" s="769">
        <v>0</v>
      </c>
      <c r="AB200" s="135">
        <v>0</v>
      </c>
      <c r="AC200" s="207"/>
    </row>
    <row r="201" spans="1:29" s="2" customFormat="1">
      <c r="A201" s="61"/>
      <c r="B201" s="41" t="str">
        <f t="shared" si="6"/>
        <v>C&amp;I_C&amp;I Prescriptive_0_Energy Star LED Lamp (≤5W)_2019</v>
      </c>
      <c r="C201" s="41" t="b">
        <f>ISNUMBER(MATCH(B201,Analysis!B:B,0))</f>
        <v>1</v>
      </c>
      <c r="D201" s="41">
        <f t="shared" si="7"/>
        <v>195</v>
      </c>
      <c r="E201" s="41" t="b">
        <f>COUNTIF($B$7:B201,B201)=1</f>
        <v>1</v>
      </c>
      <c r="F201" s="142" t="s">
        <v>256</v>
      </c>
      <c r="G201" s="142" t="s">
        <v>255</v>
      </c>
      <c r="H201" s="142">
        <v>0</v>
      </c>
      <c r="I201" s="29" t="s">
        <v>288</v>
      </c>
      <c r="J201" s="26">
        <v>2019</v>
      </c>
      <c r="K201" s="143">
        <f ca="1">INDEX(Analysis!J:J,MATCH($B201,Analysis!$B:$B,0))</f>
        <v>2.0032002080522107</v>
      </c>
      <c r="L201" s="174">
        <v>150</v>
      </c>
      <c r="M201" s="139">
        <f>'Measure Calculations'!$L$276</f>
        <v>8</v>
      </c>
      <c r="N201" s="140">
        <v>0</v>
      </c>
      <c r="O201" s="130">
        <v>5</v>
      </c>
      <c r="P201" s="130">
        <f>'Measure Calculations'!$H$276</f>
        <v>9</v>
      </c>
      <c r="Q201" s="130">
        <v>0</v>
      </c>
      <c r="R201" s="130">
        <v>0</v>
      </c>
      <c r="S201" s="162">
        <v>0</v>
      </c>
      <c r="T201" s="95">
        <v>1</v>
      </c>
      <c r="U201" s="95">
        <v>1</v>
      </c>
      <c r="V201" s="768">
        <f>'Measure Calculations'!$F$276</f>
        <v>80.25712</v>
      </c>
      <c r="W201" s="769">
        <f>'Measure Calculations'!$G$276</f>
        <v>2.128E-2</v>
      </c>
      <c r="X201" s="770">
        <v>0</v>
      </c>
      <c r="Y201" s="98"/>
      <c r="Z201" s="770">
        <v>0</v>
      </c>
      <c r="AA201" s="769">
        <v>0</v>
      </c>
      <c r="AB201" s="135">
        <v>0</v>
      </c>
      <c r="AC201" s="207"/>
    </row>
    <row r="202" spans="1:29" s="2" customFormat="1">
      <c r="A202" s="61"/>
      <c r="B202" s="41" t="str">
        <f t="shared" si="6"/>
        <v>C&amp;I_C&amp;I Prescriptive_0_Energy Star LED Lamp (6-10W)_2019</v>
      </c>
      <c r="C202" s="41" t="b">
        <f>ISNUMBER(MATCH(B202,Analysis!B:B,0))</f>
        <v>1</v>
      </c>
      <c r="D202" s="41">
        <f t="shared" si="7"/>
        <v>196</v>
      </c>
      <c r="E202" s="41" t="b">
        <f>COUNTIF($B$7:B202,B202)=1</f>
        <v>1</v>
      </c>
      <c r="F202" s="142" t="s">
        <v>256</v>
      </c>
      <c r="G202" s="142" t="s">
        <v>255</v>
      </c>
      <c r="H202" s="142">
        <v>0</v>
      </c>
      <c r="I202" s="29" t="s">
        <v>358</v>
      </c>
      <c r="J202" s="26">
        <v>2019</v>
      </c>
      <c r="K202" s="143">
        <f ca="1">INDEX(Analysis!J:J,MATCH($B202,Analysis!$B:$B,0))</f>
        <v>3.0048003120783164</v>
      </c>
      <c r="L202" s="174">
        <v>200</v>
      </c>
      <c r="M202" s="139">
        <f>'Measure Calculations'!$L$277</f>
        <v>8</v>
      </c>
      <c r="N202" s="140">
        <v>0</v>
      </c>
      <c r="O202" s="130">
        <v>8.5</v>
      </c>
      <c r="P202" s="130">
        <f>'Measure Calculations'!$H$277</f>
        <v>9</v>
      </c>
      <c r="Q202" s="130">
        <v>0</v>
      </c>
      <c r="R202" s="130">
        <v>0</v>
      </c>
      <c r="S202" s="162">
        <v>0</v>
      </c>
      <c r="T202" s="95">
        <v>1</v>
      </c>
      <c r="U202" s="95">
        <v>1</v>
      </c>
      <c r="V202" s="768">
        <f>'Measure Calculations'!$F$277</f>
        <v>120.38567999999999</v>
      </c>
      <c r="W202" s="769">
        <f>'Measure Calculations'!$G$277</f>
        <v>3.1920000000000004E-2</v>
      </c>
      <c r="X202" s="770">
        <v>0</v>
      </c>
      <c r="Y202" s="98"/>
      <c r="Z202" s="770">
        <v>0</v>
      </c>
      <c r="AA202" s="769">
        <v>0</v>
      </c>
      <c r="AB202" s="135">
        <v>0</v>
      </c>
      <c r="AC202" s="207"/>
    </row>
    <row r="203" spans="1:29" s="2" customFormat="1">
      <c r="A203" s="61"/>
      <c r="B203" s="41" t="str">
        <f t="shared" si="6"/>
        <v>C&amp;I_C&amp;I Prescriptive_0_Energy Star LED Lamp (11 to 20W)_2019</v>
      </c>
      <c r="C203" s="41" t="b">
        <f>ISNUMBER(MATCH(B203,Analysis!B:B,0))</f>
        <v>1</v>
      </c>
      <c r="D203" s="41">
        <f t="shared" si="7"/>
        <v>197</v>
      </c>
      <c r="E203" s="41" t="b">
        <f>COUNTIF($B$7:B203,B203)=1</f>
        <v>1</v>
      </c>
      <c r="F203" s="142" t="s">
        <v>256</v>
      </c>
      <c r="G203" s="142" t="s">
        <v>255</v>
      </c>
      <c r="H203" s="142">
        <v>0</v>
      </c>
      <c r="I203" s="29" t="s">
        <v>357</v>
      </c>
      <c r="J203" s="26">
        <v>2019</v>
      </c>
      <c r="K203" s="143">
        <f ca="1">INDEX(Analysis!J:J,MATCH($B203,Analysis!$B:$B,0))</f>
        <v>2.6761502779447501</v>
      </c>
      <c r="L203" s="174">
        <v>100</v>
      </c>
      <c r="M203" s="139">
        <f>'Measure Calculations'!$L$278</f>
        <v>8</v>
      </c>
      <c r="N203" s="140">
        <v>0</v>
      </c>
      <c r="O203" s="130">
        <v>12.5</v>
      </c>
      <c r="P203" s="130">
        <f>'Measure Calculations'!$H$278</f>
        <v>16</v>
      </c>
      <c r="Q203" s="130">
        <v>0</v>
      </c>
      <c r="R203" s="130">
        <v>0</v>
      </c>
      <c r="S203" s="162">
        <v>0</v>
      </c>
      <c r="T203" s="95">
        <v>1</v>
      </c>
      <c r="U203" s="95">
        <v>1</v>
      </c>
      <c r="V203" s="768">
        <f>'Measure Calculations'!$F$278</f>
        <v>190.61065999999997</v>
      </c>
      <c r="W203" s="769">
        <f>'Measure Calculations'!$G$278</f>
        <v>5.0540000000000002E-2</v>
      </c>
      <c r="X203" s="770">
        <v>0</v>
      </c>
      <c r="Y203" s="98"/>
      <c r="Z203" s="770">
        <v>0</v>
      </c>
      <c r="AA203" s="769">
        <v>0</v>
      </c>
      <c r="AB203" s="135">
        <v>0</v>
      </c>
      <c r="AC203" s="207"/>
    </row>
    <row r="204" spans="1:29" s="2" customFormat="1">
      <c r="A204" s="61"/>
      <c r="B204" s="41" t="str">
        <f t="shared" si="6"/>
        <v>C&amp;I_C&amp;I Prescriptive_0_Energy Star LED Lamp (&gt;20W)_2019</v>
      </c>
      <c r="C204" s="41" t="b">
        <f>ISNUMBER(MATCH(B204,Analysis!B:B,0))</f>
        <v>1</v>
      </c>
      <c r="D204" s="41">
        <f t="shared" si="7"/>
        <v>198</v>
      </c>
      <c r="E204" s="41" t="b">
        <f>COUNTIF($B$7:B204,B204)=1</f>
        <v>1</v>
      </c>
      <c r="F204" s="142" t="s">
        <v>256</v>
      </c>
      <c r="G204" s="142" t="s">
        <v>255</v>
      </c>
      <c r="H204" s="142">
        <v>0</v>
      </c>
      <c r="I204" s="29" t="s">
        <v>356</v>
      </c>
      <c r="J204" s="26">
        <v>2019</v>
      </c>
      <c r="K204" s="143">
        <f ca="1">INDEX(Analysis!J:J,MATCH($B204,Analysis!$B:$B,0))</f>
        <v>2.4584729826095315</v>
      </c>
      <c r="L204" s="174">
        <v>100</v>
      </c>
      <c r="M204" s="139">
        <f>'Measure Calculations'!$L$279</f>
        <v>8</v>
      </c>
      <c r="N204" s="140">
        <v>0</v>
      </c>
      <c r="O204" s="130">
        <v>15</v>
      </c>
      <c r="P204" s="130">
        <f>'Measure Calculations'!$H$279</f>
        <v>22</v>
      </c>
      <c r="Q204" s="130">
        <v>0</v>
      </c>
      <c r="R204" s="130">
        <v>0</v>
      </c>
      <c r="S204" s="162">
        <v>0</v>
      </c>
      <c r="T204" s="95">
        <v>1</v>
      </c>
      <c r="U204" s="95">
        <v>1</v>
      </c>
      <c r="V204" s="768">
        <f>'Measure Calculations'!$F$279</f>
        <v>240.77135999999999</v>
      </c>
      <c r="W204" s="769">
        <f>'Measure Calculations'!$G$279</f>
        <v>6.3840000000000008E-2</v>
      </c>
      <c r="X204" s="770">
        <v>0</v>
      </c>
      <c r="Y204" s="98"/>
      <c r="Z204" s="770">
        <v>0</v>
      </c>
      <c r="AA204" s="769">
        <v>0</v>
      </c>
      <c r="AB204" s="135">
        <v>0</v>
      </c>
      <c r="AC204" s="207"/>
    </row>
    <row r="205" spans="1:29" s="2" customFormat="1">
      <c r="A205" s="61"/>
      <c r="B205" s="41" t="str">
        <f t="shared" si="6"/>
        <v>C&amp;I_C&amp;I Prescriptive_0_High Performance T8 (1-2 Lamp)_2019</v>
      </c>
      <c r="C205" s="41" t="b">
        <f>ISNUMBER(MATCH(B205,Analysis!B:B,0))</f>
        <v>1</v>
      </c>
      <c r="D205" s="41">
        <f t="shared" si="7"/>
        <v>199</v>
      </c>
      <c r="E205" s="41" t="b">
        <f>COUNTIF($B$7:B205,B205)=1</f>
        <v>1</v>
      </c>
      <c r="F205" s="142" t="s">
        <v>256</v>
      </c>
      <c r="G205" s="142" t="s">
        <v>255</v>
      </c>
      <c r="H205" s="142">
        <v>0</v>
      </c>
      <c r="I205" s="29" t="s">
        <v>289</v>
      </c>
      <c r="J205" s="26">
        <v>2019</v>
      </c>
      <c r="K205" s="143">
        <f ca="1">INDEX(Analysis!J:J,MATCH($B205,Analysis!$B:$B,0))</f>
        <v>0.94947943183915107</v>
      </c>
      <c r="L205" s="174">
        <v>150</v>
      </c>
      <c r="M205" s="139">
        <f>'Measure Calculations'!$L$281</f>
        <v>15</v>
      </c>
      <c r="N205" s="140">
        <v>0</v>
      </c>
      <c r="O205" s="130">
        <v>9</v>
      </c>
      <c r="P205" s="130">
        <f>'Measure Calculations'!$H$281</f>
        <v>18</v>
      </c>
      <c r="Q205" s="130">
        <v>0</v>
      </c>
      <c r="R205" s="130">
        <v>0</v>
      </c>
      <c r="S205" s="162">
        <v>0</v>
      </c>
      <c r="T205" s="95">
        <v>1</v>
      </c>
      <c r="U205" s="95">
        <v>1</v>
      </c>
      <c r="V205" s="768">
        <f>'Measure Calculations'!$F$281</f>
        <v>50.160699999999999</v>
      </c>
      <c r="W205" s="769">
        <f>'Measure Calculations'!$G$281</f>
        <v>1.3300000000000001E-2</v>
      </c>
      <c r="X205" s="770">
        <v>0</v>
      </c>
      <c r="Y205" s="98"/>
      <c r="Z205" s="770">
        <v>0</v>
      </c>
      <c r="AA205" s="769">
        <v>0</v>
      </c>
      <c r="AB205" s="135">
        <v>0</v>
      </c>
      <c r="AC205" s="207"/>
    </row>
    <row r="206" spans="1:29" s="2" customFormat="1">
      <c r="A206" s="61"/>
      <c r="B206" s="41" t="str">
        <f t="shared" si="6"/>
        <v>C&amp;I_C&amp;I Prescriptive_0_High Performance T8 (3-4 Lamp)_2019</v>
      </c>
      <c r="C206" s="41" t="b">
        <f>ISNUMBER(MATCH(B206,Analysis!B:B,0))</f>
        <v>1</v>
      </c>
      <c r="D206" s="41">
        <f t="shared" si="7"/>
        <v>200</v>
      </c>
      <c r="E206" s="41" t="b">
        <f>COUNTIF($B$7:B206,B206)=1</f>
        <v>1</v>
      </c>
      <c r="F206" s="142" t="s">
        <v>256</v>
      </c>
      <c r="G206" s="142" t="s">
        <v>255</v>
      </c>
      <c r="H206" s="142">
        <v>0</v>
      </c>
      <c r="I206" s="29" t="s">
        <v>290</v>
      </c>
      <c r="J206" s="26">
        <v>2019</v>
      </c>
      <c r="K206" s="143">
        <f ca="1">INDEX(Analysis!J:J,MATCH($B206,Analysis!$B:$B,0))</f>
        <v>1.41183463343039</v>
      </c>
      <c r="L206" s="174">
        <v>150</v>
      </c>
      <c r="M206" s="139">
        <f>'Measure Calculations'!$L$282</f>
        <v>15</v>
      </c>
      <c r="N206" s="140">
        <v>0</v>
      </c>
      <c r="O206" s="130">
        <v>12</v>
      </c>
      <c r="P206" s="130">
        <f>'Measure Calculations'!$H$282</f>
        <v>23</v>
      </c>
      <c r="Q206" s="130">
        <v>0</v>
      </c>
      <c r="R206" s="130">
        <v>0</v>
      </c>
      <c r="S206" s="162">
        <v>0</v>
      </c>
      <c r="T206" s="95">
        <v>1</v>
      </c>
      <c r="U206" s="95">
        <v>1</v>
      </c>
      <c r="V206" s="768">
        <f>'Measure Calculations'!$F$282</f>
        <v>95.305329999999984</v>
      </c>
      <c r="W206" s="769">
        <f>'Measure Calculations'!$G$282</f>
        <v>2.5270000000000001E-2</v>
      </c>
      <c r="X206" s="770">
        <v>0</v>
      </c>
      <c r="Y206" s="98"/>
      <c r="Z206" s="770">
        <v>0</v>
      </c>
      <c r="AA206" s="769">
        <v>0</v>
      </c>
      <c r="AB206" s="135">
        <v>0</v>
      </c>
      <c r="AC206" s="207"/>
    </row>
    <row r="207" spans="1:29" s="2" customFormat="1">
      <c r="A207" s="61"/>
      <c r="B207" s="41" t="str">
        <f t="shared" si="6"/>
        <v>C&amp;I_C&amp;I Prescriptive_0_LED Parking Garage/Canopy (&lt;30W)_2019</v>
      </c>
      <c r="C207" s="41" t="b">
        <f>ISNUMBER(MATCH(B207,Analysis!B:B,0))</f>
        <v>1</v>
      </c>
      <c r="D207" s="41">
        <f t="shared" si="7"/>
        <v>201</v>
      </c>
      <c r="E207" s="41" t="b">
        <f>COUNTIF($B$7:B207,B207)=1</f>
        <v>1</v>
      </c>
      <c r="F207" s="142" t="s">
        <v>256</v>
      </c>
      <c r="G207" s="142" t="s">
        <v>255</v>
      </c>
      <c r="H207" s="142">
        <v>0</v>
      </c>
      <c r="I207" s="29" t="s">
        <v>291</v>
      </c>
      <c r="J207" s="26">
        <v>2019</v>
      </c>
      <c r="K207" s="143">
        <f ca="1">INDEX(Analysis!J:J,MATCH($B207,Analysis!$B:$B,0))</f>
        <v>0.62685669668423305</v>
      </c>
      <c r="L207" s="174">
        <v>250</v>
      </c>
      <c r="M207" s="139">
        <f>'Measure Calculations'!$L$289</f>
        <v>8</v>
      </c>
      <c r="N207" s="140">
        <v>0</v>
      </c>
      <c r="O207" s="130">
        <v>60</v>
      </c>
      <c r="P207" s="130">
        <f>'Measure Calculations'!$H$289</f>
        <v>190</v>
      </c>
      <c r="Q207" s="130">
        <v>0</v>
      </c>
      <c r="R207" s="130">
        <v>0</v>
      </c>
      <c r="S207" s="162">
        <v>0</v>
      </c>
      <c r="T207" s="95">
        <v>1</v>
      </c>
      <c r="U207" s="95">
        <v>1</v>
      </c>
      <c r="V207" s="768">
        <f>'Measure Calculations'!$F$289</f>
        <v>530.19859899999994</v>
      </c>
      <c r="W207" s="769">
        <f>'Measure Calculations'!$G$289</f>
        <v>0.14058099999999998</v>
      </c>
      <c r="X207" s="770">
        <v>0</v>
      </c>
      <c r="Y207" s="98"/>
      <c r="Z207" s="770">
        <v>0</v>
      </c>
      <c r="AA207" s="769">
        <v>0</v>
      </c>
      <c r="AB207" s="135">
        <v>0</v>
      </c>
      <c r="AC207" s="207"/>
    </row>
    <row r="208" spans="1:29" s="2" customFormat="1">
      <c r="A208" s="61"/>
      <c r="B208" s="41" t="str">
        <f t="shared" si="6"/>
        <v>C&amp;I_C&amp;I Prescriptive_0_LED Parking Garage/Canopy (30-75W)_2019</v>
      </c>
      <c r="C208" s="41" t="b">
        <f>ISNUMBER(MATCH(B208,Analysis!B:B,0))</f>
        <v>1</v>
      </c>
      <c r="D208" s="41">
        <f t="shared" si="7"/>
        <v>202</v>
      </c>
      <c r="E208" s="41" t="b">
        <f>COUNTIF($B$7:B208,B208)=1</f>
        <v>1</v>
      </c>
      <c r="F208" s="142" t="s">
        <v>256</v>
      </c>
      <c r="G208" s="142" t="s">
        <v>255</v>
      </c>
      <c r="H208" s="142">
        <v>0</v>
      </c>
      <c r="I208" s="29" t="s">
        <v>292</v>
      </c>
      <c r="J208" s="26">
        <v>2019</v>
      </c>
      <c r="K208" s="143">
        <f ca="1">INDEX(Analysis!J:J,MATCH($B208,Analysis!$B:$B,0))</f>
        <v>0.51196771867815227</v>
      </c>
      <c r="L208" s="174">
        <v>100</v>
      </c>
      <c r="M208" s="139">
        <f>'Measure Calculations'!$L$290</f>
        <v>8</v>
      </c>
      <c r="N208" s="140">
        <v>0</v>
      </c>
      <c r="O208" s="130">
        <v>100</v>
      </c>
      <c r="P208" s="130">
        <f>'Measure Calculations'!$H$290</f>
        <v>287</v>
      </c>
      <c r="Q208" s="130">
        <v>0</v>
      </c>
      <c r="R208" s="130">
        <v>0</v>
      </c>
      <c r="S208" s="162">
        <v>0</v>
      </c>
      <c r="T208" s="95">
        <v>1</v>
      </c>
      <c r="U208" s="95">
        <v>1</v>
      </c>
      <c r="V208" s="768">
        <f>'Measure Calculations'!$F$290</f>
        <v>654.09552800000006</v>
      </c>
      <c r="W208" s="769">
        <f>'Measure Calculations'!$G$290</f>
        <v>0.17343200000000003</v>
      </c>
      <c r="X208" s="770">
        <v>0</v>
      </c>
      <c r="Y208" s="98"/>
      <c r="Z208" s="770">
        <v>0</v>
      </c>
      <c r="AA208" s="769">
        <v>0</v>
      </c>
      <c r="AB208" s="135">
        <v>0</v>
      </c>
      <c r="AC208" s="207"/>
    </row>
    <row r="209" spans="1:29" s="2" customFormat="1">
      <c r="A209" s="61"/>
      <c r="B209" s="41" t="str">
        <f t="shared" si="6"/>
        <v>C&amp;I_C&amp;I Prescriptive_0_LED Parking Garage/Canopy (≥75W)_2019</v>
      </c>
      <c r="C209" s="41" t="b">
        <f>ISNUMBER(MATCH(B209,Analysis!B:B,0))</f>
        <v>1</v>
      </c>
      <c r="D209" s="41">
        <f t="shared" si="7"/>
        <v>203</v>
      </c>
      <c r="E209" s="41" t="b">
        <f>COUNTIF($B$7:B209,B209)=1</f>
        <v>1</v>
      </c>
      <c r="F209" s="142" t="s">
        <v>256</v>
      </c>
      <c r="G209" s="142" t="s">
        <v>255</v>
      </c>
      <c r="H209" s="142">
        <v>0</v>
      </c>
      <c r="I209" s="29" t="s">
        <v>293</v>
      </c>
      <c r="J209" s="26">
        <v>2019</v>
      </c>
      <c r="K209" s="143">
        <f ca="1">INDEX(Analysis!J:J,MATCH($B209,Analysis!$B:$B,0))</f>
        <v>0.70489848753295015</v>
      </c>
      <c r="L209" s="174">
        <v>250</v>
      </c>
      <c r="M209" s="139">
        <f>'Measure Calculations'!$L$291</f>
        <v>8</v>
      </c>
      <c r="N209" s="140">
        <v>0</v>
      </c>
      <c r="O209" s="130">
        <v>140</v>
      </c>
      <c r="P209" s="130">
        <f>'Measure Calculations'!$H$291</f>
        <v>391</v>
      </c>
      <c r="Q209" s="130">
        <v>0</v>
      </c>
      <c r="R209" s="130">
        <v>0</v>
      </c>
      <c r="S209" s="162">
        <v>0</v>
      </c>
      <c r="T209" s="95">
        <v>1</v>
      </c>
      <c r="U209" s="95">
        <v>1</v>
      </c>
      <c r="V209" s="768">
        <f>'Measure Calculations'!$F$291</f>
        <v>1226.9307219999996</v>
      </c>
      <c r="W209" s="769">
        <f>'Measure Calculations'!$G$291</f>
        <v>0.32531799999999994</v>
      </c>
      <c r="X209" s="770">
        <v>0</v>
      </c>
      <c r="Y209" s="98"/>
      <c r="Z209" s="770">
        <v>0</v>
      </c>
      <c r="AA209" s="769">
        <v>0</v>
      </c>
      <c r="AB209" s="135">
        <v>0</v>
      </c>
      <c r="AC209" s="207"/>
    </row>
    <row r="210" spans="1:29" s="2" customFormat="1">
      <c r="A210" s="61"/>
      <c r="B210" s="41" t="str">
        <f t="shared" si="6"/>
        <v>C&amp;I_C&amp;I Prescriptive_0_LED Linear Replacement Lamp (≤4ft)_2019</v>
      </c>
      <c r="C210" s="41" t="b">
        <f>ISNUMBER(MATCH(B210,Analysis!B:B,0))</f>
        <v>1</v>
      </c>
      <c r="D210" s="41">
        <f t="shared" si="7"/>
        <v>204</v>
      </c>
      <c r="E210" s="41" t="b">
        <f>COUNTIF($B$7:B210,B210)=1</f>
        <v>1</v>
      </c>
      <c r="F210" s="142" t="s">
        <v>256</v>
      </c>
      <c r="G210" s="142" t="s">
        <v>255</v>
      </c>
      <c r="H210" s="142">
        <v>0</v>
      </c>
      <c r="I210" s="29" t="s">
        <v>299</v>
      </c>
      <c r="J210" s="26">
        <v>2019</v>
      </c>
      <c r="K210" s="143">
        <f ca="1">INDEX(Analysis!J:J,MATCH($B210,Analysis!$B:$B,0))</f>
        <v>0.82141788979622887</v>
      </c>
      <c r="L210" s="174">
        <v>4000</v>
      </c>
      <c r="M210" s="139">
        <f>'Measure Calculations'!$L$305</f>
        <v>10</v>
      </c>
      <c r="N210" s="140">
        <v>0</v>
      </c>
      <c r="O210" s="130">
        <v>6</v>
      </c>
      <c r="P210" s="130">
        <f>'Measure Calculations'!$H$305</f>
        <v>24</v>
      </c>
      <c r="Q210" s="130">
        <v>0</v>
      </c>
      <c r="R210" s="130">
        <v>0</v>
      </c>
      <c r="S210" s="162">
        <v>0</v>
      </c>
      <c r="T210" s="95">
        <v>1</v>
      </c>
      <c r="U210" s="95">
        <v>1</v>
      </c>
      <c r="V210" s="768">
        <f>'Measure Calculations'!$F$305</f>
        <v>74.739443000000009</v>
      </c>
      <c r="W210" s="769">
        <f>'Measure Calculations'!$G$305</f>
        <v>1.9817000000000005E-2</v>
      </c>
      <c r="X210" s="770">
        <v>0</v>
      </c>
      <c r="Y210" s="98"/>
      <c r="Z210" s="770">
        <v>0</v>
      </c>
      <c r="AA210" s="769">
        <v>0</v>
      </c>
      <c r="AB210" s="135">
        <v>0</v>
      </c>
      <c r="AC210" s="207"/>
    </row>
    <row r="211" spans="1:29" s="2" customFormat="1">
      <c r="A211" s="61"/>
      <c r="B211" s="41" t="str">
        <f t="shared" si="6"/>
        <v>C&amp;I_C&amp;I Prescriptive_0_LED Linear Replacement Lamp (5-8ft)_2019</v>
      </c>
      <c r="C211" s="41" t="b">
        <f>ISNUMBER(MATCH(B211,Analysis!B:B,0))</f>
        <v>1</v>
      </c>
      <c r="D211" s="41">
        <f t="shared" si="7"/>
        <v>205</v>
      </c>
      <c r="E211" s="41" t="b">
        <f>COUNTIF($B$7:B211,B211)=1</f>
        <v>1</v>
      </c>
      <c r="F211" s="142" t="s">
        <v>256</v>
      </c>
      <c r="G211" s="142" t="s">
        <v>255</v>
      </c>
      <c r="H211" s="142">
        <v>0</v>
      </c>
      <c r="I211" s="29" t="s">
        <v>300</v>
      </c>
      <c r="J211" s="26">
        <v>2019</v>
      </c>
      <c r="K211" s="143">
        <f ca="1">INDEX(Analysis!J:J,MATCH($B211,Analysis!$B:$B,0))</f>
        <v>1.2128317835917468</v>
      </c>
      <c r="L211" s="174">
        <v>350</v>
      </c>
      <c r="M211" s="139">
        <f>'Measure Calculations'!$L$306</f>
        <v>10</v>
      </c>
      <c r="N211" s="140">
        <v>0</v>
      </c>
      <c r="O211" s="130">
        <v>15</v>
      </c>
      <c r="P211" s="130">
        <f>'Measure Calculations'!$H$306</f>
        <v>36</v>
      </c>
      <c r="Q211" s="130">
        <v>0</v>
      </c>
      <c r="R211" s="130">
        <v>0</v>
      </c>
      <c r="S211" s="162">
        <v>0</v>
      </c>
      <c r="T211" s="95">
        <v>1</v>
      </c>
      <c r="U211" s="95">
        <v>1</v>
      </c>
      <c r="V211" s="768">
        <f>'Measure Calculations'!$F$306</f>
        <v>165.53030999999999</v>
      </c>
      <c r="W211" s="769">
        <f>'Measure Calculations'!$G$306</f>
        <v>4.3890000000000005E-2</v>
      </c>
      <c r="X211" s="770">
        <v>0</v>
      </c>
      <c r="Y211" s="98"/>
      <c r="Z211" s="770">
        <v>0</v>
      </c>
      <c r="AA211" s="769">
        <v>0</v>
      </c>
      <c r="AB211" s="135">
        <v>0</v>
      </c>
      <c r="AC211" s="207"/>
    </row>
    <row r="212" spans="1:29" s="2" customFormat="1">
      <c r="A212" s="61"/>
      <c r="B212" s="41" t="str">
        <f t="shared" si="6"/>
        <v>C&amp;I_C&amp;I Prescriptive_0_Ceiling Mount Occupancy_2019</v>
      </c>
      <c r="C212" s="41" t="b">
        <f>ISNUMBER(MATCH(B212,Analysis!B:B,0))</f>
        <v>1</v>
      </c>
      <c r="D212" s="41">
        <f t="shared" si="7"/>
        <v>206</v>
      </c>
      <c r="E212" s="41" t="b">
        <f>COUNTIF($B$7:B212,B212)=1</f>
        <v>1</v>
      </c>
      <c r="F212" s="142" t="s">
        <v>256</v>
      </c>
      <c r="G212" s="142" t="s">
        <v>255</v>
      </c>
      <c r="H212" s="142">
        <v>0</v>
      </c>
      <c r="I212" s="29" t="s">
        <v>307</v>
      </c>
      <c r="J212" s="26">
        <v>2019</v>
      </c>
      <c r="K212" s="143">
        <f ca="1">INDEX(Analysis!J:J,MATCH($B212,Analysis!$B:$B,0))</f>
        <v>2.0659438826804273</v>
      </c>
      <c r="L212" s="174">
        <v>30</v>
      </c>
      <c r="M212" s="139">
        <f>'Measure Calculations'!$B$252</f>
        <v>8</v>
      </c>
      <c r="N212" s="140">
        <v>0</v>
      </c>
      <c r="O212" s="130">
        <v>30</v>
      </c>
      <c r="P212" s="130">
        <f>'Measure Calculations'!$B$251</f>
        <v>102</v>
      </c>
      <c r="Q212" s="130">
        <v>0</v>
      </c>
      <c r="R212" s="130">
        <v>0</v>
      </c>
      <c r="S212" s="162">
        <v>0</v>
      </c>
      <c r="T212" s="95">
        <v>1</v>
      </c>
      <c r="U212" s="95">
        <v>1</v>
      </c>
      <c r="V212" s="768">
        <f>'Measure Calculations'!$B$249</f>
        <v>622.39396559999989</v>
      </c>
      <c r="W212" s="769">
        <f>'Measure Calculations'!$B$248</f>
        <v>0.68761000000000005</v>
      </c>
      <c r="X212" s="770">
        <v>0</v>
      </c>
      <c r="Y212" s="98"/>
      <c r="Z212" s="770">
        <v>0</v>
      </c>
      <c r="AA212" s="769">
        <v>0</v>
      </c>
      <c r="AB212" s="135">
        <v>0</v>
      </c>
      <c r="AC212" s="207"/>
    </row>
    <row r="213" spans="1:29" s="2" customFormat="1">
      <c r="A213" s="61"/>
      <c r="B213" s="41" t="str">
        <f t="shared" si="6"/>
        <v>C&amp;I_C&amp;I Prescriptive_0_Wall Mount Occupancy_2019</v>
      </c>
      <c r="C213" s="41" t="b">
        <f>ISNUMBER(MATCH(B213,Analysis!B:B,0))</f>
        <v>1</v>
      </c>
      <c r="D213" s="41">
        <f t="shared" si="7"/>
        <v>207</v>
      </c>
      <c r="E213" s="41" t="b">
        <f>COUNTIF($B$7:B213,B213)=1</f>
        <v>1</v>
      </c>
      <c r="F213" s="142" t="s">
        <v>256</v>
      </c>
      <c r="G213" s="142" t="s">
        <v>255</v>
      </c>
      <c r="H213" s="142">
        <v>0</v>
      </c>
      <c r="I213" s="29" t="s">
        <v>308</v>
      </c>
      <c r="J213" s="26">
        <v>2019</v>
      </c>
      <c r="K213" s="143">
        <f ca="1">INDEX(Analysis!J:J,MATCH($B213,Analysis!$B:$B,0))</f>
        <v>2.4375740201838694</v>
      </c>
      <c r="L213" s="174">
        <v>20</v>
      </c>
      <c r="M213" s="139">
        <f>'Measure Calculations'!$C$252</f>
        <v>8</v>
      </c>
      <c r="N213" s="140">
        <v>0</v>
      </c>
      <c r="O213" s="130">
        <v>12</v>
      </c>
      <c r="P213" s="130">
        <f>'Measure Calculations'!$C$251</f>
        <v>51</v>
      </c>
      <c r="Q213" s="130">
        <v>0</v>
      </c>
      <c r="R213" s="130">
        <v>0</v>
      </c>
      <c r="S213" s="162">
        <v>0</v>
      </c>
      <c r="T213" s="95">
        <v>1</v>
      </c>
      <c r="U213" s="95">
        <v>1</v>
      </c>
      <c r="V213" s="768">
        <f>'Measure Calculations'!$C$249</f>
        <v>367.17632399999997</v>
      </c>
      <c r="W213" s="769">
        <f>'Measure Calculations'!$C$248</f>
        <v>0.40565000000000001</v>
      </c>
      <c r="X213" s="770">
        <v>0</v>
      </c>
      <c r="Y213" s="98"/>
      <c r="Z213" s="770">
        <v>0</v>
      </c>
      <c r="AA213" s="769">
        <v>0</v>
      </c>
      <c r="AB213" s="135">
        <v>0</v>
      </c>
      <c r="AC213" s="207"/>
    </row>
    <row r="214" spans="1:29" s="2" customFormat="1">
      <c r="A214" s="61"/>
      <c r="B214" s="41" t="str">
        <f t="shared" si="6"/>
        <v>C&amp;I_C&amp;I Prescriptive_0_Fixture Mount Occupancy_2019</v>
      </c>
      <c r="C214" s="41" t="b">
        <f>ISNUMBER(MATCH(B214,Analysis!B:B,0))</f>
        <v>1</v>
      </c>
      <c r="D214" s="41">
        <f t="shared" si="7"/>
        <v>208</v>
      </c>
      <c r="E214" s="41" t="b">
        <f>COUNTIF($B$7:B214,B214)=1</f>
        <v>1</v>
      </c>
      <c r="F214" s="142" t="s">
        <v>256</v>
      </c>
      <c r="G214" s="142" t="s">
        <v>255</v>
      </c>
      <c r="H214" s="142">
        <v>0</v>
      </c>
      <c r="I214" s="29" t="s">
        <v>309</v>
      </c>
      <c r="J214" s="26">
        <v>2019</v>
      </c>
      <c r="K214" s="143">
        <f ca="1">INDEX(Analysis!J:J,MATCH($B214,Analysis!$B:$B,0))</f>
        <v>0.79746719548424516</v>
      </c>
      <c r="L214" s="174">
        <v>20</v>
      </c>
      <c r="M214" s="139">
        <f>'Measure Calculations'!$D$252</f>
        <v>8</v>
      </c>
      <c r="N214" s="140">
        <v>0</v>
      </c>
      <c r="O214" s="130">
        <v>12</v>
      </c>
      <c r="P214" s="130">
        <f>'Measure Calculations'!$D$251</f>
        <v>92</v>
      </c>
      <c r="Q214" s="130">
        <v>0</v>
      </c>
      <c r="R214" s="130">
        <v>0</v>
      </c>
      <c r="S214" s="162">
        <v>0</v>
      </c>
      <c r="T214" s="95">
        <v>1</v>
      </c>
      <c r="U214" s="95">
        <v>1</v>
      </c>
      <c r="V214" s="768">
        <f>'Measure Calculations'!$D$249</f>
        <v>216.69422399999996</v>
      </c>
      <c r="W214" s="769">
        <f>'Measure Calculations'!$D$248</f>
        <v>0.2394</v>
      </c>
      <c r="X214" s="770">
        <v>0</v>
      </c>
      <c r="Y214" s="98"/>
      <c r="Z214" s="770">
        <v>0</v>
      </c>
      <c r="AA214" s="769">
        <v>0</v>
      </c>
      <c r="AB214" s="135">
        <v>0</v>
      </c>
      <c r="AC214" s="207"/>
    </row>
    <row r="215" spans="1:29" s="2" customFormat="1">
      <c r="A215" s="61"/>
      <c r="B215" s="41" t="str">
        <f t="shared" si="6"/>
        <v>C&amp;I_C&amp;I Prescriptive_0_Exit Sign_2019</v>
      </c>
      <c r="C215" s="41" t="b">
        <f>ISNUMBER(MATCH(B215,Analysis!B:B,0))</f>
        <v>1</v>
      </c>
      <c r="D215" s="41">
        <f t="shared" si="7"/>
        <v>209</v>
      </c>
      <c r="E215" s="41" t="b">
        <f>COUNTIF($B$7:B215,B215)=1</f>
        <v>1</v>
      </c>
      <c r="F215" s="142" t="s">
        <v>256</v>
      </c>
      <c r="G215" s="142" t="s">
        <v>255</v>
      </c>
      <c r="H215" s="142">
        <v>0</v>
      </c>
      <c r="I215" s="29" t="s">
        <v>311</v>
      </c>
      <c r="J215" s="26">
        <v>2019</v>
      </c>
      <c r="K215" s="143">
        <f ca="1">INDEX(Analysis!J:J,MATCH($B215,Analysis!$B:$B,0))</f>
        <v>5.6633223899082559</v>
      </c>
      <c r="L215" s="174">
        <v>160</v>
      </c>
      <c r="M215" s="139">
        <f>'Measure Calculations'!$B$241</f>
        <v>16</v>
      </c>
      <c r="N215" s="140">
        <v>0</v>
      </c>
      <c r="O215" s="130">
        <v>6</v>
      </c>
      <c r="P215" s="130">
        <f>'Measure Calculations'!$B$240</f>
        <v>25</v>
      </c>
      <c r="Q215" s="130">
        <v>0</v>
      </c>
      <c r="R215" s="130">
        <v>0</v>
      </c>
      <c r="S215" s="162">
        <v>0</v>
      </c>
      <c r="T215" s="95">
        <v>1</v>
      </c>
      <c r="U215" s="95">
        <v>1</v>
      </c>
      <c r="V215" s="768">
        <f>'Measure Calculations'!$B$238</f>
        <v>435.54719999999992</v>
      </c>
      <c r="W215" s="769">
        <f>'Measure Calculations'!$B$237</f>
        <v>5.8520000000000003E-2</v>
      </c>
      <c r="X215" s="770">
        <v>0</v>
      </c>
      <c r="Y215" s="98"/>
      <c r="Z215" s="770">
        <v>0</v>
      </c>
      <c r="AA215" s="769">
        <v>0</v>
      </c>
      <c r="AB215" s="135">
        <v>0</v>
      </c>
      <c r="AC215" s="207"/>
    </row>
    <row r="216" spans="1:29" s="2" customFormat="1">
      <c r="A216" s="61"/>
      <c r="B216" s="41" t="str">
        <f t="shared" si="6"/>
        <v>C&amp;I_C&amp;I Prescriptive_0_LED wall mounted area lights (wallpacks) (&lt;30W)_2019</v>
      </c>
      <c r="C216" s="41" t="b">
        <f>ISNUMBER(MATCH(B216,Analysis!B:B,0))</f>
        <v>1</v>
      </c>
      <c r="D216" s="41">
        <f t="shared" si="7"/>
        <v>210</v>
      </c>
      <c r="E216" s="41" t="b">
        <f>COUNTIF($B$7:B216,B216)=1</f>
        <v>1</v>
      </c>
      <c r="F216" s="142" t="s">
        <v>256</v>
      </c>
      <c r="G216" s="142" t="s">
        <v>255</v>
      </c>
      <c r="H216" s="142">
        <v>0</v>
      </c>
      <c r="I216" s="29" t="s">
        <v>359</v>
      </c>
      <c r="J216" s="26">
        <v>2019</v>
      </c>
      <c r="K216" s="143">
        <f ca="1">INDEX(Analysis!J:J,MATCH($B216,Analysis!$B:$B,0))</f>
        <v>0.68828108980118974</v>
      </c>
      <c r="L216" s="174">
        <v>30</v>
      </c>
      <c r="M216" s="139">
        <f>'Measure Calculations'!$L$302</f>
        <v>10</v>
      </c>
      <c r="N216" s="140">
        <v>0</v>
      </c>
      <c r="O216" s="130">
        <v>35</v>
      </c>
      <c r="P216" s="130">
        <f>'Measure Calculations'!$H$302</f>
        <v>190</v>
      </c>
      <c r="Q216" s="130">
        <v>0</v>
      </c>
      <c r="R216" s="130">
        <v>0</v>
      </c>
      <c r="S216" s="162">
        <v>0</v>
      </c>
      <c r="T216" s="95">
        <v>1</v>
      </c>
      <c r="U216" s="95">
        <v>1</v>
      </c>
      <c r="V216" s="768">
        <f>'Measure Calculations'!$F$302</f>
        <v>514.81499999999994</v>
      </c>
      <c r="W216" s="769">
        <f>'Measure Calculations'!$G$302</f>
        <v>0.105</v>
      </c>
      <c r="X216" s="770">
        <v>0</v>
      </c>
      <c r="Y216" s="98"/>
      <c r="Z216" s="770">
        <v>0</v>
      </c>
      <c r="AA216" s="769">
        <v>0</v>
      </c>
      <c r="AB216" s="135">
        <v>0</v>
      </c>
      <c r="AC216" s="207"/>
    </row>
    <row r="217" spans="1:29" s="2" customFormat="1">
      <c r="A217" s="61"/>
      <c r="B217" s="41" t="str">
        <f t="shared" si="6"/>
        <v>C&amp;I_C&amp;I Prescriptive_0_LED wall mounted area lights (wallpacks) (30 to 75W)_2019</v>
      </c>
      <c r="C217" s="41" t="b">
        <f>ISNUMBER(MATCH(B217,Analysis!B:B,0))</f>
        <v>1</v>
      </c>
      <c r="D217" s="41">
        <f t="shared" si="7"/>
        <v>211</v>
      </c>
      <c r="E217" s="41" t="b">
        <f>COUNTIF($B$7:B217,B217)=1</f>
        <v>1</v>
      </c>
      <c r="F217" s="142" t="s">
        <v>256</v>
      </c>
      <c r="G217" s="142" t="s">
        <v>255</v>
      </c>
      <c r="H217" s="142">
        <v>0</v>
      </c>
      <c r="I217" s="29" t="s">
        <v>360</v>
      </c>
      <c r="J217" s="26">
        <v>2019</v>
      </c>
      <c r="K217" s="143">
        <f ca="1">INDEX(Analysis!J:J,MATCH($B217,Analysis!$B:$B,0))</f>
        <v>1.0848963585716447</v>
      </c>
      <c r="L217" s="174">
        <v>20</v>
      </c>
      <c r="M217" s="139">
        <f>'Measure Calculations'!$L$303</f>
        <v>10</v>
      </c>
      <c r="N217" s="140">
        <v>0</v>
      </c>
      <c r="O217" s="130">
        <v>75</v>
      </c>
      <c r="P217" s="130">
        <f>'Measure Calculations'!$H$303</f>
        <v>287</v>
      </c>
      <c r="Q217" s="130">
        <v>0</v>
      </c>
      <c r="R217" s="130">
        <v>0</v>
      </c>
      <c r="S217" s="162">
        <v>0</v>
      </c>
      <c r="T217" s="95">
        <v>1</v>
      </c>
      <c r="U217" s="95">
        <v>1</v>
      </c>
      <c r="V217" s="768">
        <f>'Measure Calculations'!$F$303</f>
        <v>1225.75</v>
      </c>
      <c r="W217" s="769">
        <f>'Measure Calculations'!$G$303</f>
        <v>0.25</v>
      </c>
      <c r="X217" s="770">
        <v>0</v>
      </c>
      <c r="Y217" s="98"/>
      <c r="Z217" s="770">
        <v>0</v>
      </c>
      <c r="AA217" s="769">
        <v>0</v>
      </c>
      <c r="AB217" s="135">
        <v>0</v>
      </c>
      <c r="AC217" s="207"/>
    </row>
    <row r="218" spans="1:29" s="2" customFormat="1">
      <c r="A218" s="61"/>
      <c r="B218" s="41" t="str">
        <f t="shared" si="6"/>
        <v>C&amp;I_C&amp;I Prescriptive_0_LED wall mounted area lights (wallpacks) (≥75W)_2019</v>
      </c>
      <c r="C218" s="41" t="b">
        <f>ISNUMBER(MATCH(B218,Analysis!B:B,0))</f>
        <v>1</v>
      </c>
      <c r="D218" s="41">
        <f t="shared" si="7"/>
        <v>212</v>
      </c>
      <c r="E218" s="41" t="b">
        <f>COUNTIF($B$7:B218,B218)=1</f>
        <v>1</v>
      </c>
      <c r="F218" s="142" t="s">
        <v>256</v>
      </c>
      <c r="G218" s="142" t="s">
        <v>255</v>
      </c>
      <c r="H218" s="142">
        <v>0</v>
      </c>
      <c r="I218" s="29" t="s">
        <v>361</v>
      </c>
      <c r="J218" s="26">
        <v>2019</v>
      </c>
      <c r="K218" s="143">
        <f ca="1">INDEX(Analysis!J:J,MATCH($B218,Analysis!$B:$B,0))</f>
        <v>0.77721864141232888</v>
      </c>
      <c r="L218" s="174">
        <v>10</v>
      </c>
      <c r="M218" s="139">
        <f>'Measure Calculations'!$L$304</f>
        <v>10</v>
      </c>
      <c r="N218" s="140">
        <v>0</v>
      </c>
      <c r="O218" s="130">
        <v>100</v>
      </c>
      <c r="P218" s="130">
        <f>'Measure Calculations'!$H$304</f>
        <v>391</v>
      </c>
      <c r="Q218" s="130">
        <v>0</v>
      </c>
      <c r="R218" s="130">
        <v>0</v>
      </c>
      <c r="S218" s="162">
        <v>0</v>
      </c>
      <c r="T218" s="95">
        <v>1</v>
      </c>
      <c r="U218" s="95">
        <v>1</v>
      </c>
      <c r="V218" s="768">
        <f>'Measure Calculations'!$F$304</f>
        <v>1196.3319999999999</v>
      </c>
      <c r="W218" s="769">
        <f>'Measure Calculations'!$G$304</f>
        <v>0.24399999999999999</v>
      </c>
      <c r="X218" s="770">
        <v>0</v>
      </c>
      <c r="Y218" s="98"/>
      <c r="Z218" s="770">
        <v>0</v>
      </c>
      <c r="AA218" s="769">
        <v>0</v>
      </c>
      <c r="AB218" s="135">
        <v>0</v>
      </c>
      <c r="AC218" s="207"/>
    </row>
    <row r="219" spans="1:29" s="2" customFormat="1">
      <c r="A219" s="61"/>
      <c r="B219" s="41" t="str">
        <f t="shared" si="6"/>
        <v>C&amp;I_C&amp;I Prescriptive_0_Energy Star LED downlights (new or retrofit) (50W or less)_2019</v>
      </c>
      <c r="C219" s="41" t="b">
        <f>ISNUMBER(MATCH(B219,Analysis!B:B,0))</f>
        <v>1</v>
      </c>
      <c r="D219" s="41">
        <f t="shared" si="7"/>
        <v>213</v>
      </c>
      <c r="E219" s="41" t="b">
        <f>COUNTIF($B$7:B219,B219)=1</f>
        <v>1</v>
      </c>
      <c r="F219" s="142" t="s">
        <v>256</v>
      </c>
      <c r="G219" s="142" t="s">
        <v>255</v>
      </c>
      <c r="H219" s="142">
        <v>0</v>
      </c>
      <c r="I219" s="29" t="s">
        <v>362</v>
      </c>
      <c r="J219" s="26">
        <v>2019</v>
      </c>
      <c r="K219" s="143">
        <f ca="1">INDEX(Analysis!J:J,MATCH($B219,Analysis!$B:$B,0))</f>
        <v>3.3548273258316672</v>
      </c>
      <c r="L219" s="174">
        <v>60</v>
      </c>
      <c r="M219" s="139">
        <f>'Measure Calculations'!$L$280</f>
        <v>15</v>
      </c>
      <c r="N219" s="140">
        <v>0</v>
      </c>
      <c r="O219" s="130">
        <v>35</v>
      </c>
      <c r="P219" s="130">
        <f>'Measure Calculations'!$H$280</f>
        <v>27</v>
      </c>
      <c r="Q219" s="130">
        <v>0</v>
      </c>
      <c r="R219" s="130">
        <v>0</v>
      </c>
      <c r="S219" s="162">
        <v>0</v>
      </c>
      <c r="T219" s="95">
        <v>1</v>
      </c>
      <c r="U219" s="95">
        <v>1</v>
      </c>
      <c r="V219" s="768">
        <f>'Measure Calculations'!$F$280</f>
        <v>265.85170999999997</v>
      </c>
      <c r="W219" s="769">
        <f>'Measure Calculations'!$G$280</f>
        <v>7.0489999999999997E-2</v>
      </c>
      <c r="X219" s="770">
        <v>0</v>
      </c>
      <c r="Y219" s="98"/>
      <c r="Z219" s="770">
        <v>0</v>
      </c>
      <c r="AA219" s="769">
        <v>0</v>
      </c>
      <c r="AB219" s="135">
        <v>0</v>
      </c>
      <c r="AC219" s="207"/>
    </row>
    <row r="220" spans="1:29" s="2" customFormat="1">
      <c r="A220" s="61"/>
      <c r="B220" s="41" t="str">
        <f t="shared" si="6"/>
        <v>C&amp;I_C&amp;I Prescriptive_0_Refrigerated LED Case Lighting 5- and 6-foot Doors_2019</v>
      </c>
      <c r="C220" s="41" t="b">
        <f>ISNUMBER(MATCH(B220,Analysis!B:B,0))</f>
        <v>1</v>
      </c>
      <c r="D220" s="41">
        <f t="shared" si="7"/>
        <v>214</v>
      </c>
      <c r="E220" s="41" t="b">
        <f>COUNTIF($B$7:B220,B220)=1</f>
        <v>1</v>
      </c>
      <c r="F220" s="142" t="s">
        <v>256</v>
      </c>
      <c r="G220" s="142" t="s">
        <v>255</v>
      </c>
      <c r="H220" s="142">
        <v>0</v>
      </c>
      <c r="I220" s="29" t="s">
        <v>363</v>
      </c>
      <c r="J220" s="26">
        <v>2019</v>
      </c>
      <c r="K220" s="143">
        <f ca="1">INDEX(Analysis!J:J,MATCH($B220,Analysis!$B:$B,0))</f>
        <v>1.9153396758474051</v>
      </c>
      <c r="L220" s="174">
        <v>60</v>
      </c>
      <c r="M220" s="139">
        <f>'Measure Calculations'!$L$307</f>
        <v>10</v>
      </c>
      <c r="N220" s="140">
        <v>0</v>
      </c>
      <c r="O220" s="130">
        <v>60</v>
      </c>
      <c r="P220" s="130">
        <f>'Measure Calculations'!$H$307</f>
        <v>66</v>
      </c>
      <c r="Q220" s="130">
        <v>0</v>
      </c>
      <c r="R220" s="130">
        <v>0</v>
      </c>
      <c r="S220" s="162">
        <v>0</v>
      </c>
      <c r="T220" s="95">
        <v>1</v>
      </c>
      <c r="U220" s="95">
        <v>1</v>
      </c>
      <c r="V220" s="768">
        <f>'Measure Calculations'!$F$307</f>
        <v>527.35199999999986</v>
      </c>
      <c r="W220" s="769">
        <f>'Measure Calculations'!$G$307</f>
        <v>6.019999999999999E-2</v>
      </c>
      <c r="X220" s="770">
        <v>0</v>
      </c>
      <c r="Y220" s="98"/>
      <c r="Z220" s="770">
        <v>0</v>
      </c>
      <c r="AA220" s="769">
        <v>0</v>
      </c>
      <c r="AB220" s="135">
        <v>0</v>
      </c>
      <c r="AC220" s="207"/>
    </row>
    <row r="221" spans="1:29" s="2" customFormat="1">
      <c r="A221" s="61"/>
      <c r="B221" s="41" t="str">
        <f t="shared" si="6"/>
        <v>C&amp;I_C&amp;I Prescriptive_0_Integral Occupancy Control Stairwell fixtures (2-3 lamp T8)_2019</v>
      </c>
      <c r="C221" s="41" t="b">
        <f>ISNUMBER(MATCH(B221,Analysis!B:B,0))</f>
        <v>1</v>
      </c>
      <c r="D221" s="41">
        <f t="shared" si="7"/>
        <v>215</v>
      </c>
      <c r="E221" s="41" t="b">
        <f>COUNTIF($B$7:B221,B221)=1</f>
        <v>1</v>
      </c>
      <c r="F221" s="142" t="s">
        <v>256</v>
      </c>
      <c r="G221" s="142" t="s">
        <v>255</v>
      </c>
      <c r="H221" s="142">
        <v>0</v>
      </c>
      <c r="I221" s="29" t="s">
        <v>364</v>
      </c>
      <c r="J221" s="26">
        <v>2019</v>
      </c>
      <c r="K221" s="143">
        <f ca="1">INDEX(Analysis!J:J,MATCH($B221,Analysis!$B:$B,0))</f>
        <v>0.83638675377319904</v>
      </c>
      <c r="L221" s="174">
        <v>20</v>
      </c>
      <c r="M221" s="139">
        <f>'Measure Calculations'!$L$308</f>
        <v>14</v>
      </c>
      <c r="N221" s="140">
        <v>0</v>
      </c>
      <c r="O221" s="130">
        <v>30</v>
      </c>
      <c r="P221" s="130">
        <f>'Measure Calculations'!$H$308</f>
        <v>161.30000000000001</v>
      </c>
      <c r="Q221" s="130">
        <v>0</v>
      </c>
      <c r="R221" s="130">
        <v>0</v>
      </c>
      <c r="S221" s="162">
        <v>0</v>
      </c>
      <c r="T221" s="95">
        <v>1</v>
      </c>
      <c r="U221" s="95">
        <v>1</v>
      </c>
      <c r="V221" s="768">
        <f>'Measure Calculations'!$F$308</f>
        <v>453.42022800000001</v>
      </c>
      <c r="W221" s="769">
        <f>'Measure Calculations'!$G$308</f>
        <v>5.1760300000000002E-2</v>
      </c>
      <c r="X221" s="770">
        <v>0</v>
      </c>
      <c r="Y221" s="98"/>
      <c r="Z221" s="770">
        <v>0</v>
      </c>
      <c r="AA221" s="769">
        <v>0</v>
      </c>
      <c r="AB221" s="135">
        <v>0</v>
      </c>
      <c r="AC221" s="207"/>
    </row>
    <row r="222" spans="1:29" s="2" customFormat="1">
      <c r="A222" s="61"/>
      <c r="B222" s="41" t="str">
        <f t="shared" si="6"/>
        <v>C&amp;I_C&amp;I Prescriptive_0_Integral Occupancy Control Stairwell fixtures (20W-30W LED)_2019</v>
      </c>
      <c r="C222" s="41" t="b">
        <f>ISNUMBER(MATCH(B222,Analysis!B:B,0))</f>
        <v>1</v>
      </c>
      <c r="D222" s="41">
        <f t="shared" si="7"/>
        <v>216</v>
      </c>
      <c r="E222" s="41" t="b">
        <f>COUNTIF($B$7:B222,B222)=1</f>
        <v>1</v>
      </c>
      <c r="F222" s="142" t="s">
        <v>256</v>
      </c>
      <c r="G222" s="142" t="s">
        <v>255</v>
      </c>
      <c r="H222" s="142">
        <v>0</v>
      </c>
      <c r="I222" s="29" t="s">
        <v>365</v>
      </c>
      <c r="J222" s="26">
        <v>2019</v>
      </c>
      <c r="K222" s="143">
        <f ca="1">INDEX(Analysis!J:J,MATCH($B222,Analysis!$B:$B,0))</f>
        <v>0.87557195706413837</v>
      </c>
      <c r="L222" s="174">
        <v>20</v>
      </c>
      <c r="M222" s="139">
        <f>'Measure Calculations'!$L$309</f>
        <v>14</v>
      </c>
      <c r="N222" s="140">
        <v>0</v>
      </c>
      <c r="O222" s="130">
        <v>30</v>
      </c>
      <c r="P222" s="130">
        <f>'Measure Calculations'!$H$309</f>
        <v>161.30000000000001</v>
      </c>
      <c r="Q222" s="130">
        <v>0</v>
      </c>
      <c r="R222" s="130">
        <v>0</v>
      </c>
      <c r="S222" s="162">
        <v>0</v>
      </c>
      <c r="T222" s="95">
        <v>1</v>
      </c>
      <c r="U222" s="95">
        <v>1</v>
      </c>
      <c r="V222" s="768">
        <f>'Measure Calculations'!$F$309</f>
        <v>474.663228</v>
      </c>
      <c r="W222" s="769">
        <f>'Measure Calculations'!$G$309</f>
        <v>5.4185299999999999E-2</v>
      </c>
      <c r="X222" s="770">
        <v>0</v>
      </c>
      <c r="Y222" s="98"/>
      <c r="Z222" s="770">
        <v>0</v>
      </c>
      <c r="AA222" s="769">
        <v>0</v>
      </c>
      <c r="AB222" s="135">
        <v>0</v>
      </c>
      <c r="AC222" s="207"/>
    </row>
    <row r="223" spans="1:29" s="2" customFormat="1">
      <c r="A223" s="61"/>
      <c r="B223" s="41" t="str">
        <f t="shared" si="6"/>
        <v>C&amp;I_C&amp;I Prescriptive_0_LED Exterior Flood Lights (15W or less)_2019</v>
      </c>
      <c r="C223" s="41" t="b">
        <f>ISNUMBER(MATCH(B223,Analysis!B:B,0))</f>
        <v>1</v>
      </c>
      <c r="D223" s="41">
        <f t="shared" si="7"/>
        <v>217</v>
      </c>
      <c r="E223" s="41" t="b">
        <f>COUNTIF($B$7:B223,B223)=1</f>
        <v>1</v>
      </c>
      <c r="F223" s="142" t="s">
        <v>256</v>
      </c>
      <c r="G223" s="142" t="s">
        <v>255</v>
      </c>
      <c r="H223" s="142">
        <v>0</v>
      </c>
      <c r="I223" s="29" t="s">
        <v>366</v>
      </c>
      <c r="J223" s="26">
        <v>2019</v>
      </c>
      <c r="K223" s="143">
        <f ca="1">INDEX(Analysis!J:J,MATCH($B223,Analysis!$B:$B,0))</f>
        <v>1.7425065599453757</v>
      </c>
      <c r="L223" s="174">
        <v>120</v>
      </c>
      <c r="M223" s="139">
        <f>'Measure Calculations'!$L$292</f>
        <v>14</v>
      </c>
      <c r="N223" s="140">
        <v>0</v>
      </c>
      <c r="O223" s="130">
        <v>15</v>
      </c>
      <c r="P223" s="130">
        <f>'Measure Calculations'!$H$292</f>
        <v>35</v>
      </c>
      <c r="Q223" s="130">
        <v>0</v>
      </c>
      <c r="R223" s="130">
        <v>0</v>
      </c>
      <c r="S223" s="162">
        <v>0</v>
      </c>
      <c r="T223" s="95">
        <v>1</v>
      </c>
      <c r="U223" s="95">
        <v>1</v>
      </c>
      <c r="V223" s="768">
        <f>'Measure Calculations'!$F$292</f>
        <v>190.87699999999998</v>
      </c>
      <c r="W223" s="769">
        <f>'Measure Calculations'!$G$292</f>
        <v>4.2999999999999997E-2</v>
      </c>
      <c r="X223" s="770">
        <v>0</v>
      </c>
      <c r="Y223" s="98"/>
      <c r="Z223" s="770">
        <v>0</v>
      </c>
      <c r="AA223" s="769">
        <v>0</v>
      </c>
      <c r="AB223" s="135">
        <v>0</v>
      </c>
      <c r="AC223" s="207"/>
    </row>
    <row r="224" spans="1:29" s="2" customFormat="1">
      <c r="A224" s="61"/>
      <c r="B224" s="41" t="str">
        <f t="shared" si="6"/>
        <v>C&amp;I_C&amp;I Prescriptive_0_LED Exterior Flood Lights (16W to 35W)_2019</v>
      </c>
      <c r="C224" s="41" t="b">
        <f>ISNUMBER(MATCH(B224,Analysis!B:B,0))</f>
        <v>1</v>
      </c>
      <c r="D224" s="41">
        <f t="shared" si="7"/>
        <v>218</v>
      </c>
      <c r="E224" s="41" t="b">
        <f>COUNTIF($B$7:B224,B224)=1</f>
        <v>1</v>
      </c>
      <c r="F224" s="142" t="s">
        <v>256</v>
      </c>
      <c r="G224" s="142" t="s">
        <v>255</v>
      </c>
      <c r="H224" s="142">
        <v>0</v>
      </c>
      <c r="I224" s="29" t="s">
        <v>367</v>
      </c>
      <c r="J224" s="26">
        <v>2019</v>
      </c>
      <c r="K224" s="143">
        <f ca="1">INDEX(Analysis!J:J,MATCH($B224,Analysis!$B:$B,0))</f>
        <v>2.3558523849478283</v>
      </c>
      <c r="L224" s="174">
        <v>120</v>
      </c>
      <c r="M224" s="139">
        <f>'Measure Calculations'!$L$293</f>
        <v>14</v>
      </c>
      <c r="N224" s="140">
        <v>0</v>
      </c>
      <c r="O224" s="130">
        <v>25</v>
      </c>
      <c r="P224" s="130">
        <f>'Measure Calculations'!$H$293</f>
        <v>59</v>
      </c>
      <c r="Q224" s="130">
        <v>0</v>
      </c>
      <c r="R224" s="130">
        <v>0</v>
      </c>
      <c r="S224" s="162">
        <v>0</v>
      </c>
      <c r="T224" s="95">
        <v>1</v>
      </c>
      <c r="U224" s="95">
        <v>1</v>
      </c>
      <c r="V224" s="768">
        <f>'Measure Calculations'!$F$293</f>
        <v>435.02199999999999</v>
      </c>
      <c r="W224" s="769">
        <f>'Measure Calculations'!$G$293</f>
        <v>9.8000000000000004E-2</v>
      </c>
      <c r="X224" s="770">
        <v>0</v>
      </c>
      <c r="Y224" s="98"/>
      <c r="Z224" s="770">
        <v>0</v>
      </c>
      <c r="AA224" s="769">
        <v>0</v>
      </c>
      <c r="AB224" s="135">
        <v>0</v>
      </c>
      <c r="AC224" s="207"/>
    </row>
    <row r="225" spans="1:29" s="2" customFormat="1">
      <c r="A225" s="61"/>
      <c r="B225" s="41" t="str">
        <f t="shared" si="6"/>
        <v>C&amp;I_C&amp;I Prescriptive_0_LED Exterior Flood Lights (36W to 75W)_2019</v>
      </c>
      <c r="C225" s="41" t="b">
        <f>ISNUMBER(MATCH(B225,Analysis!B:B,0))</f>
        <v>1</v>
      </c>
      <c r="D225" s="41">
        <f t="shared" si="7"/>
        <v>219</v>
      </c>
      <c r="E225" s="41" t="b">
        <f>COUNTIF($B$7:B225,B225)=1</f>
        <v>1</v>
      </c>
      <c r="F225" s="142" t="s">
        <v>256</v>
      </c>
      <c r="G225" s="142" t="s">
        <v>255</v>
      </c>
      <c r="H225" s="142">
        <v>0</v>
      </c>
      <c r="I225" s="29" t="s">
        <v>368</v>
      </c>
      <c r="J225" s="26">
        <v>2019</v>
      </c>
      <c r="K225" s="143">
        <f ca="1">INDEX(Analysis!J:J,MATCH($B225,Analysis!$B:$B,0))</f>
        <v>2.1691942127910981</v>
      </c>
      <c r="L225" s="174">
        <v>120</v>
      </c>
      <c r="M225" s="139">
        <f>'Measure Calculations'!$L$294</f>
        <v>14</v>
      </c>
      <c r="N225" s="140">
        <v>0</v>
      </c>
      <c r="O225" s="130">
        <v>45</v>
      </c>
      <c r="P225" s="130">
        <f>'Measure Calculations'!$H$294</f>
        <v>85</v>
      </c>
      <c r="Q225" s="130">
        <v>0</v>
      </c>
      <c r="R225" s="130">
        <v>0</v>
      </c>
      <c r="S225" s="162">
        <v>0</v>
      </c>
      <c r="T225" s="95">
        <v>1</v>
      </c>
      <c r="U225" s="95">
        <v>1</v>
      </c>
      <c r="V225" s="768">
        <f>'Measure Calculations'!$F$294</f>
        <v>577.07000000000005</v>
      </c>
      <c r="W225" s="769">
        <f>'Measure Calculations'!$G$294</f>
        <v>0.13</v>
      </c>
      <c r="X225" s="770">
        <v>0</v>
      </c>
      <c r="Y225" s="98"/>
      <c r="Z225" s="770">
        <v>0</v>
      </c>
      <c r="AA225" s="769">
        <v>0</v>
      </c>
      <c r="AB225" s="135">
        <v>0</v>
      </c>
      <c r="AC225" s="207"/>
    </row>
    <row r="226" spans="1:29" s="2" customFormat="1">
      <c r="A226" s="61"/>
      <c r="B226" s="41" t="str">
        <f t="shared" si="6"/>
        <v>C&amp;I_C&amp;I Prescriptive_0_LED Outdoor Pole/Arm Mounted Parking Roadway (&lt;30W)_2019</v>
      </c>
      <c r="C226" s="41" t="b">
        <f>ISNUMBER(MATCH(B226,Analysis!B:B,0))</f>
        <v>1</v>
      </c>
      <c r="D226" s="41">
        <f t="shared" si="7"/>
        <v>220</v>
      </c>
      <c r="E226" s="41" t="b">
        <f>COUNTIF($B$7:B226,B226)=1</f>
        <v>1</v>
      </c>
      <c r="F226" s="142" t="s">
        <v>256</v>
      </c>
      <c r="G226" s="142" t="s">
        <v>255</v>
      </c>
      <c r="H226" s="142">
        <v>0</v>
      </c>
      <c r="I226" s="29" t="s">
        <v>369</v>
      </c>
      <c r="J226" s="26">
        <v>2019</v>
      </c>
      <c r="K226" s="143">
        <f ca="1">INDEX(Analysis!J:J,MATCH($B226,Analysis!$B:$B,0))</f>
        <v>0.86000901793567186</v>
      </c>
      <c r="L226" s="174">
        <v>10</v>
      </c>
      <c r="M226" s="139">
        <f>'Measure Calculations'!$L$295</f>
        <v>14</v>
      </c>
      <c r="N226" s="140">
        <v>0</v>
      </c>
      <c r="O226" s="130">
        <v>60</v>
      </c>
      <c r="P226" s="130">
        <f>'Measure Calculations'!$H$295</f>
        <v>190</v>
      </c>
      <c r="Q226" s="130">
        <v>0</v>
      </c>
      <c r="R226" s="130">
        <v>0</v>
      </c>
      <c r="S226" s="162">
        <v>0</v>
      </c>
      <c r="T226" s="95">
        <v>1</v>
      </c>
      <c r="U226" s="95">
        <v>1</v>
      </c>
      <c r="V226" s="768">
        <f>'Measure Calculations'!$F$295</f>
        <v>518.24709999999993</v>
      </c>
      <c r="W226" s="769">
        <f>'Measure Calculations'!$G$295</f>
        <v>0.10569999999999999</v>
      </c>
      <c r="X226" s="770">
        <v>0</v>
      </c>
      <c r="Y226" s="98"/>
      <c r="Z226" s="770">
        <v>0</v>
      </c>
      <c r="AA226" s="769">
        <v>0</v>
      </c>
      <c r="AB226" s="135">
        <v>0</v>
      </c>
      <c r="AC226" s="207"/>
    </row>
    <row r="227" spans="1:29" s="2" customFormat="1">
      <c r="A227" s="61"/>
      <c r="B227" s="41" t="str">
        <f t="shared" si="6"/>
        <v>C&amp;I_C&amp;I Prescriptive_0_LED Outdoor Pole/Arm Mounted Parking Roadway (30W to 75W)_2019</v>
      </c>
      <c r="C227" s="41" t="b">
        <f>ISNUMBER(MATCH(B227,Analysis!B:B,0))</f>
        <v>1</v>
      </c>
      <c r="D227" s="41">
        <f t="shared" si="7"/>
        <v>221</v>
      </c>
      <c r="E227" s="41" t="b">
        <f>COUNTIF($B$7:B227,B227)=1</f>
        <v>1</v>
      </c>
      <c r="F227" s="142" t="s">
        <v>256</v>
      </c>
      <c r="G227" s="142" t="s">
        <v>255</v>
      </c>
      <c r="H227" s="142">
        <v>0</v>
      </c>
      <c r="I227" s="29" t="s">
        <v>370</v>
      </c>
      <c r="J227" s="26">
        <v>2019</v>
      </c>
      <c r="K227" s="143">
        <f ca="1">INDEX(Analysis!J:J,MATCH($B227,Analysis!$B:$B,0))</f>
        <v>0.7023883724687322</v>
      </c>
      <c r="L227" s="174">
        <v>10</v>
      </c>
      <c r="M227" s="139">
        <f>'Measure Calculations'!$L$296</f>
        <v>14</v>
      </c>
      <c r="N227" s="140">
        <v>0</v>
      </c>
      <c r="O227" s="130">
        <v>100</v>
      </c>
      <c r="P227" s="130">
        <f>'Measure Calculations'!$H$296</f>
        <v>287</v>
      </c>
      <c r="Q227" s="130">
        <v>0</v>
      </c>
      <c r="R227" s="130">
        <v>0</v>
      </c>
      <c r="S227" s="162">
        <v>0</v>
      </c>
      <c r="T227" s="95">
        <v>1</v>
      </c>
      <c r="U227" s="95">
        <v>1</v>
      </c>
      <c r="V227" s="768">
        <f>'Measure Calculations'!$F$296</f>
        <v>639.35120000000006</v>
      </c>
      <c r="W227" s="769">
        <f>'Measure Calculations'!$G$296</f>
        <v>0.13040000000000002</v>
      </c>
      <c r="X227" s="770">
        <v>0</v>
      </c>
      <c r="Y227" s="98"/>
      <c r="Z227" s="770">
        <v>0</v>
      </c>
      <c r="AA227" s="769">
        <v>0</v>
      </c>
      <c r="AB227" s="135">
        <v>0</v>
      </c>
      <c r="AC227" s="207"/>
    </row>
    <row r="228" spans="1:29" s="2" customFormat="1">
      <c r="A228" s="61"/>
      <c r="B228" s="41" t="str">
        <f t="shared" si="6"/>
        <v>C&amp;I_C&amp;I Prescriptive_0_LED Outdoor Pole/Arm Mounted Parking Roadway (&gt;75W to 150W)_2019</v>
      </c>
      <c r="C228" s="41" t="b">
        <f>ISNUMBER(MATCH(B228,Analysis!B:B,0))</f>
        <v>1</v>
      </c>
      <c r="D228" s="41">
        <f t="shared" si="7"/>
        <v>222</v>
      </c>
      <c r="E228" s="41" t="b">
        <f>COUNTIF($B$7:B228,B228)=1</f>
        <v>1</v>
      </c>
      <c r="F228" s="142" t="s">
        <v>256</v>
      </c>
      <c r="G228" s="142" t="s">
        <v>255</v>
      </c>
      <c r="H228" s="142">
        <v>0</v>
      </c>
      <c r="I228" s="29" t="s">
        <v>371</v>
      </c>
      <c r="J228" s="26">
        <v>2019</v>
      </c>
      <c r="K228" s="143">
        <f ca="1">INDEX(Analysis!J:J,MATCH($B228,Analysis!$B:$B,0))</f>
        <v>0.96707757804001615</v>
      </c>
      <c r="L228" s="174">
        <v>10</v>
      </c>
      <c r="M228" s="139">
        <f>'Measure Calculations'!$L$297</f>
        <v>14</v>
      </c>
      <c r="N228" s="140">
        <v>0</v>
      </c>
      <c r="O228" s="130">
        <v>140</v>
      </c>
      <c r="P228" s="130">
        <f>'Measure Calculations'!$H$297</f>
        <v>391</v>
      </c>
      <c r="Q228" s="130">
        <v>0</v>
      </c>
      <c r="R228" s="130">
        <v>0</v>
      </c>
      <c r="S228" s="162">
        <v>0</v>
      </c>
      <c r="T228" s="95">
        <v>1</v>
      </c>
      <c r="U228" s="95">
        <v>1</v>
      </c>
      <c r="V228" s="768">
        <f>'Measure Calculations'!$F$297</f>
        <v>1199.2737999999997</v>
      </c>
      <c r="W228" s="769">
        <f>'Measure Calculations'!$G$297</f>
        <v>0.24459999999999996</v>
      </c>
      <c r="X228" s="770">
        <v>0</v>
      </c>
      <c r="Y228" s="98"/>
      <c r="Z228" s="770">
        <v>0</v>
      </c>
      <c r="AA228" s="769">
        <v>0</v>
      </c>
      <c r="AB228" s="135">
        <v>0</v>
      </c>
      <c r="AC228" s="207"/>
    </row>
    <row r="229" spans="1:29" s="2" customFormat="1">
      <c r="A229" s="61"/>
      <c r="B229" s="41" t="str">
        <f t="shared" si="6"/>
        <v>C&amp;I_C&amp;I Prescriptive_0_Split Package Heat Pump_2019</v>
      </c>
      <c r="C229" s="41" t="b">
        <f>ISNUMBER(MATCH(B229,Analysis!B:B,0))</f>
        <v>1</v>
      </c>
      <c r="D229" s="41">
        <f t="shared" si="7"/>
        <v>223</v>
      </c>
      <c r="E229" s="41" t="b">
        <f>COUNTIF($B$7:B229,B229)=1</f>
        <v>1</v>
      </c>
      <c r="F229" s="142" t="s">
        <v>256</v>
      </c>
      <c r="G229" s="142" t="s">
        <v>255</v>
      </c>
      <c r="H229" s="142">
        <v>0</v>
      </c>
      <c r="I229" s="29" t="s">
        <v>312</v>
      </c>
      <c r="J229" s="26">
        <v>2019</v>
      </c>
      <c r="K229" s="143">
        <f ca="1">INDEX(Analysis!J:J,MATCH($B229,Analysis!$B:$B,0))</f>
        <v>1.6991213326167822</v>
      </c>
      <c r="L229" s="174">
        <v>4</v>
      </c>
      <c r="M229" s="139">
        <v>15</v>
      </c>
      <c r="N229" s="140">
        <v>0</v>
      </c>
      <c r="O229" s="130">
        <v>250</v>
      </c>
      <c r="P229" s="130">
        <v>370</v>
      </c>
      <c r="Q229" s="130">
        <v>0</v>
      </c>
      <c r="R229" s="130">
        <v>0</v>
      </c>
      <c r="S229" s="162">
        <v>0</v>
      </c>
      <c r="T229" s="95">
        <v>1</v>
      </c>
      <c r="U229" s="95">
        <v>1</v>
      </c>
      <c r="V229" s="768">
        <v>1980.5518011400352</v>
      </c>
      <c r="W229" s="769">
        <v>0.30098901098901143</v>
      </c>
      <c r="X229" s="770">
        <v>0</v>
      </c>
      <c r="Y229" s="98"/>
      <c r="Z229" s="770">
        <v>0</v>
      </c>
      <c r="AA229" s="769">
        <v>0</v>
      </c>
      <c r="AB229" s="135">
        <v>0</v>
      </c>
      <c r="AC229" s="207"/>
    </row>
    <row r="230" spans="1:29" s="2" customFormat="1">
      <c r="A230" s="61"/>
      <c r="B230" s="41" t="str">
        <f t="shared" si="6"/>
        <v>C&amp;I_C&amp;I Prescriptive_0_Single System Heat Pump_2019</v>
      </c>
      <c r="C230" s="41" t="b">
        <f>ISNUMBER(MATCH(B230,Analysis!B:B,0))</f>
        <v>1</v>
      </c>
      <c r="D230" s="41">
        <f t="shared" si="7"/>
        <v>224</v>
      </c>
      <c r="E230" s="41" t="b">
        <f>COUNTIF($B$7:B230,B230)=1</f>
        <v>1</v>
      </c>
      <c r="F230" s="142" t="s">
        <v>256</v>
      </c>
      <c r="G230" s="142" t="s">
        <v>255</v>
      </c>
      <c r="H230" s="142">
        <v>0</v>
      </c>
      <c r="I230" s="29" t="s">
        <v>313</v>
      </c>
      <c r="J230" s="26">
        <v>2019</v>
      </c>
      <c r="K230" s="143">
        <f ca="1">INDEX(Analysis!J:J,MATCH($B230,Analysis!$B:$B,0))</f>
        <v>0.86866202190911213</v>
      </c>
      <c r="L230" s="174">
        <v>8</v>
      </c>
      <c r="M230" s="139">
        <v>15</v>
      </c>
      <c r="N230" s="140">
        <v>0</v>
      </c>
      <c r="O230" s="130">
        <v>250</v>
      </c>
      <c r="P230" s="130">
        <v>370</v>
      </c>
      <c r="Q230" s="130">
        <v>0</v>
      </c>
      <c r="R230" s="130">
        <v>0</v>
      </c>
      <c r="S230" s="162">
        <v>0</v>
      </c>
      <c r="T230" s="95">
        <v>1</v>
      </c>
      <c r="U230" s="95">
        <v>1</v>
      </c>
      <c r="V230" s="768">
        <v>906.72827172827022</v>
      </c>
      <c r="W230" s="769">
        <v>0.30098901098901143</v>
      </c>
      <c r="X230" s="770">
        <v>0</v>
      </c>
      <c r="Y230" s="98"/>
      <c r="Z230" s="770">
        <v>0</v>
      </c>
      <c r="AA230" s="769">
        <v>0</v>
      </c>
      <c r="AB230" s="135">
        <v>0</v>
      </c>
      <c r="AC230" s="207"/>
    </row>
    <row r="231" spans="1:29" s="2" customFormat="1">
      <c r="A231" s="61"/>
      <c r="B231" s="41" t="str">
        <f t="shared" si="6"/>
        <v>C&amp;I_C&amp;I Prescriptive_0_Geothermal Heat Pump_2019</v>
      </c>
      <c r="C231" s="41" t="b">
        <f>ISNUMBER(MATCH(B231,Analysis!B:B,0))</f>
        <v>1</v>
      </c>
      <c r="D231" s="41">
        <f t="shared" si="7"/>
        <v>225</v>
      </c>
      <c r="E231" s="41" t="b">
        <f>COUNTIF($B$7:B231,B231)=1</f>
        <v>1</v>
      </c>
      <c r="F231" s="142" t="s">
        <v>256</v>
      </c>
      <c r="G231" s="142" t="s">
        <v>255</v>
      </c>
      <c r="H231" s="142">
        <v>0</v>
      </c>
      <c r="I231" s="29" t="s">
        <v>314</v>
      </c>
      <c r="J231" s="26">
        <v>2019</v>
      </c>
      <c r="K231" s="143">
        <f ca="1">INDEX(Analysis!J:J,MATCH($B231,Analysis!$B:$B,0))</f>
        <v>1.6554975628149902</v>
      </c>
      <c r="L231" s="174">
        <v>4</v>
      </c>
      <c r="M231" s="139">
        <v>15</v>
      </c>
      <c r="N231" s="140">
        <v>0</v>
      </c>
      <c r="O231" s="130">
        <v>700</v>
      </c>
      <c r="P231" s="130">
        <v>4100</v>
      </c>
      <c r="Q231" s="130">
        <v>0</v>
      </c>
      <c r="R231" s="130">
        <v>0</v>
      </c>
      <c r="S231" s="162">
        <v>0</v>
      </c>
      <c r="T231" s="95">
        <v>1</v>
      </c>
      <c r="U231" s="95">
        <v>1</v>
      </c>
      <c r="V231" s="768">
        <v>22212.788976876138</v>
      </c>
      <c r="W231" s="769">
        <v>2.0962664680349605</v>
      </c>
      <c r="X231" s="770">
        <v>0</v>
      </c>
      <c r="Y231" s="98"/>
      <c r="Z231" s="770">
        <v>0</v>
      </c>
      <c r="AA231" s="769">
        <v>0</v>
      </c>
      <c r="AB231" s="135">
        <v>0</v>
      </c>
      <c r="AC231" s="207"/>
    </row>
    <row r="232" spans="1:29" s="2" customFormat="1">
      <c r="A232" s="61"/>
      <c r="B232" s="41" t="str">
        <f t="shared" si="6"/>
        <v>C&amp;I_C&amp;I Prescriptive_0_Heat Pump Water Heater_2019</v>
      </c>
      <c r="C232" s="41" t="b">
        <f>ISNUMBER(MATCH(B232,Analysis!B:B,0))</f>
        <v>1</v>
      </c>
      <c r="D232" s="41">
        <f t="shared" si="7"/>
        <v>226</v>
      </c>
      <c r="E232" s="41" t="b">
        <f>COUNTIF($B$7:B232,B232)=1</f>
        <v>1</v>
      </c>
      <c r="F232" s="142" t="s">
        <v>256</v>
      </c>
      <c r="G232" s="142" t="s">
        <v>255</v>
      </c>
      <c r="H232" s="142">
        <v>0</v>
      </c>
      <c r="I232" s="29" t="s">
        <v>260</v>
      </c>
      <c r="J232" s="26">
        <v>2019</v>
      </c>
      <c r="K232" s="143">
        <f ca="1">INDEX(Analysis!J:J,MATCH($B232,Analysis!$B:$B,0))</f>
        <v>0.61850114463216721</v>
      </c>
      <c r="L232" s="174">
        <v>8</v>
      </c>
      <c r="M232" s="139">
        <v>13</v>
      </c>
      <c r="N232" s="140">
        <v>0</v>
      </c>
      <c r="O232" s="130">
        <v>200</v>
      </c>
      <c r="P232" s="130">
        <f>'Measure Calculations'!$B$135</f>
        <v>784</v>
      </c>
      <c r="Q232" s="130">
        <v>0</v>
      </c>
      <c r="R232" s="130">
        <v>0</v>
      </c>
      <c r="S232" s="162">
        <v>0</v>
      </c>
      <c r="T232" s="95">
        <v>1</v>
      </c>
      <c r="U232" s="95">
        <v>1</v>
      </c>
      <c r="V232" s="768">
        <f>'Measure Calculations'!$B$134</f>
        <v>1783.22158201614</v>
      </c>
      <c r="W232" s="769">
        <f>'Measure Calculations'!$B$133</f>
        <v>8.4479506451613423E-2</v>
      </c>
      <c r="X232" s="770">
        <v>0</v>
      </c>
      <c r="Y232" s="98"/>
      <c r="Z232" s="770">
        <v>0</v>
      </c>
      <c r="AA232" s="769">
        <v>0</v>
      </c>
      <c r="AB232" s="135">
        <v>0</v>
      </c>
      <c r="AC232" s="207"/>
    </row>
    <row r="233" spans="1:29" s="2" customFormat="1">
      <c r="A233" s="61"/>
      <c r="B233" s="41" t="str">
        <f t="shared" si="6"/>
        <v>C&amp;I_C&amp;I Prescriptive_0_ODC Motor_2019</v>
      </c>
      <c r="C233" s="41" t="b">
        <f>ISNUMBER(MATCH(B233,Analysis!B:B,0))</f>
        <v>1</v>
      </c>
      <c r="D233" s="41">
        <f t="shared" si="7"/>
        <v>227</v>
      </c>
      <c r="E233" s="41" t="b">
        <f>COUNTIF($B$7:B233,B233)=1</f>
        <v>1</v>
      </c>
      <c r="F233" s="142" t="s">
        <v>256</v>
      </c>
      <c r="G233" s="142" t="s">
        <v>255</v>
      </c>
      <c r="H233" s="142">
        <v>0</v>
      </c>
      <c r="I233" s="29" t="s">
        <v>316</v>
      </c>
      <c r="J233" s="26">
        <v>2019</v>
      </c>
      <c r="K233" s="143">
        <f ca="1">INDEX(Analysis!J:J,MATCH($B233,Analysis!$B:$B,0))</f>
        <v>1.0240164147298407</v>
      </c>
      <c r="L233" s="174">
        <v>1</v>
      </c>
      <c r="M233" s="139">
        <v>15</v>
      </c>
      <c r="N233" s="140">
        <v>0</v>
      </c>
      <c r="O233" s="130">
        <v>50</v>
      </c>
      <c r="P233" s="130">
        <v>115</v>
      </c>
      <c r="Q233" s="130">
        <v>0</v>
      </c>
      <c r="R233" s="130">
        <v>0</v>
      </c>
      <c r="S233" s="162">
        <v>0</v>
      </c>
      <c r="T233" s="95">
        <v>1</v>
      </c>
      <c r="U233" s="95">
        <v>1</v>
      </c>
      <c r="V233" s="768">
        <v>353.7219425735546</v>
      </c>
      <c r="W233" s="769">
        <v>8.0391350584898769E-2</v>
      </c>
      <c r="X233" s="770">
        <v>0</v>
      </c>
      <c r="Y233" s="98"/>
      <c r="Z233" s="770">
        <v>0</v>
      </c>
      <c r="AA233" s="769">
        <v>0</v>
      </c>
      <c r="AB233" s="135">
        <v>0</v>
      </c>
      <c r="AC233" s="207"/>
    </row>
    <row r="234" spans="1:29" s="2" customFormat="1">
      <c r="A234" s="61"/>
      <c r="B234" s="41" t="str">
        <f t="shared" si="6"/>
        <v>C&amp;I_C&amp;I Prescriptive_0_TEFC Motor_2019</v>
      </c>
      <c r="C234" s="41" t="b">
        <f>ISNUMBER(MATCH(B234,Analysis!B:B,0))</f>
        <v>1</v>
      </c>
      <c r="D234" s="41">
        <f t="shared" si="7"/>
        <v>228</v>
      </c>
      <c r="E234" s="41" t="b">
        <f>COUNTIF($B$7:B234,B234)=1</f>
        <v>1</v>
      </c>
      <c r="F234" s="142" t="s">
        <v>256</v>
      </c>
      <c r="G234" s="142" t="s">
        <v>255</v>
      </c>
      <c r="H234" s="142">
        <v>0</v>
      </c>
      <c r="I234" s="29" t="s">
        <v>317</v>
      </c>
      <c r="J234" s="26">
        <v>2019</v>
      </c>
      <c r="K234" s="143">
        <f ca="1">INDEX(Analysis!J:J,MATCH($B234,Analysis!$B:$B,0))</f>
        <v>0.72146611037783881</v>
      </c>
      <c r="L234" s="174">
        <v>1</v>
      </c>
      <c r="M234" s="139">
        <v>15</v>
      </c>
      <c r="N234" s="140">
        <v>0</v>
      </c>
      <c r="O234" s="130">
        <v>50</v>
      </c>
      <c r="P234" s="130">
        <v>115</v>
      </c>
      <c r="Q234" s="130">
        <v>0</v>
      </c>
      <c r="R234" s="130">
        <v>0</v>
      </c>
      <c r="S234" s="162">
        <v>0</v>
      </c>
      <c r="T234" s="95">
        <v>1</v>
      </c>
      <c r="U234" s="95">
        <v>1</v>
      </c>
      <c r="V234" s="768">
        <v>249.21318681318502</v>
      </c>
      <c r="W234" s="769">
        <v>5.6639360639360231E-2</v>
      </c>
      <c r="X234" s="770">
        <v>0</v>
      </c>
      <c r="Y234" s="98"/>
      <c r="Z234" s="770">
        <v>0</v>
      </c>
      <c r="AA234" s="769">
        <v>0</v>
      </c>
      <c r="AB234" s="135">
        <v>0</v>
      </c>
      <c r="AC234" s="207"/>
    </row>
    <row r="240" spans="1:29">
      <c r="P240" s="460"/>
      <c r="R240" s="460"/>
    </row>
    <row r="241" spans="18:18">
      <c r="R241" s="461"/>
    </row>
    <row r="242" spans="18:18">
      <c r="R242" s="462"/>
    </row>
  </sheetData>
  <autoFilter ref="F6:K234"/>
  <mergeCells count="3">
    <mergeCell ref="M4:U5"/>
    <mergeCell ref="Y4:AB4"/>
    <mergeCell ref="V4:X4"/>
  </mergeCells>
  <conditionalFormatting sqref="K183:K191 K107:K115 K31:K39 K41:K43 K117:K119 K193:K195 K45:K46 K121:K122 K197:K198 K48:K51 K124:K127 K200:K203 K7:K26 K53:K102 K129:K178 K205:K234">
    <cfRule type="cellIs" dxfId="66" priority="81" operator="lessThan">
      <formula>1</formula>
    </cfRule>
    <cfRule type="expression" dxfId="65" priority="82">
      <formula>AND(ISNUMBER(K7),K7&gt;=1)</formula>
    </cfRule>
  </conditionalFormatting>
  <conditionalFormatting sqref="K27:K30">
    <cfRule type="cellIs" dxfId="64" priority="73" operator="lessThan">
      <formula>1</formula>
    </cfRule>
    <cfRule type="expression" dxfId="63" priority="74">
      <formula>AND(ISNUMBER(K27),K27&gt;=1)</formula>
    </cfRule>
  </conditionalFormatting>
  <conditionalFormatting sqref="K103:K106">
    <cfRule type="cellIs" dxfId="62" priority="69" operator="lessThan">
      <formula>1</formula>
    </cfRule>
    <cfRule type="expression" dxfId="61" priority="70">
      <formula>AND(ISNUMBER(K103),K103&gt;=1)</formula>
    </cfRule>
  </conditionalFormatting>
  <conditionalFormatting sqref="K179:K182">
    <cfRule type="cellIs" dxfId="60" priority="65" operator="lessThan">
      <formula>1</formula>
    </cfRule>
    <cfRule type="expression" dxfId="59" priority="66">
      <formula>AND(ISNUMBER(K179),K179&gt;=1)</formula>
    </cfRule>
  </conditionalFormatting>
  <conditionalFormatting sqref="K40">
    <cfRule type="cellIs" dxfId="58" priority="61" operator="lessThan">
      <formula>1</formula>
    </cfRule>
    <cfRule type="expression" dxfId="57" priority="62">
      <formula>AND(ISNUMBER(K40),K40&gt;=1)</formula>
    </cfRule>
  </conditionalFormatting>
  <conditionalFormatting sqref="K116">
    <cfRule type="cellIs" dxfId="56" priority="57" operator="lessThan">
      <formula>1</formula>
    </cfRule>
    <cfRule type="expression" dxfId="55" priority="58">
      <formula>AND(ISNUMBER(K116),K116&gt;=1)</formula>
    </cfRule>
  </conditionalFormatting>
  <conditionalFormatting sqref="K192">
    <cfRule type="cellIs" dxfId="54" priority="53" operator="lessThan">
      <formula>1</formula>
    </cfRule>
    <cfRule type="expression" dxfId="53" priority="54">
      <formula>AND(ISNUMBER(K192),K192&gt;=1)</formula>
    </cfRule>
  </conditionalFormatting>
  <conditionalFormatting sqref="K44">
    <cfRule type="cellIs" dxfId="52" priority="49" operator="lessThan">
      <formula>1</formula>
    </cfRule>
    <cfRule type="expression" dxfId="51" priority="50">
      <formula>AND(ISNUMBER(K44),K44&gt;=1)</formula>
    </cfRule>
  </conditionalFormatting>
  <conditionalFormatting sqref="K120">
    <cfRule type="cellIs" dxfId="50" priority="45" operator="lessThan">
      <formula>1</formula>
    </cfRule>
    <cfRule type="expression" dxfId="49" priority="46">
      <formula>AND(ISNUMBER(K120),K120&gt;=1)</formula>
    </cfRule>
  </conditionalFormatting>
  <conditionalFormatting sqref="K196">
    <cfRule type="cellIs" dxfId="48" priority="41" operator="lessThan">
      <formula>1</formula>
    </cfRule>
    <cfRule type="expression" dxfId="47" priority="42">
      <formula>AND(ISNUMBER(K196),K196&gt;=1)</formula>
    </cfRule>
  </conditionalFormatting>
  <conditionalFormatting sqref="K47">
    <cfRule type="cellIs" dxfId="46" priority="37" operator="lessThan">
      <formula>1</formula>
    </cfRule>
    <cfRule type="expression" dxfId="45" priority="38">
      <formula>AND(ISNUMBER(K47),K47&gt;=1)</formula>
    </cfRule>
  </conditionalFormatting>
  <conditionalFormatting sqref="K123">
    <cfRule type="cellIs" dxfId="44" priority="33" operator="lessThan">
      <formula>1</formula>
    </cfRule>
    <cfRule type="expression" dxfId="43" priority="34">
      <formula>AND(ISNUMBER(K123),K123&gt;=1)</formula>
    </cfRule>
  </conditionalFormatting>
  <conditionalFormatting sqref="K199">
    <cfRule type="cellIs" dxfId="42" priority="29" operator="lessThan">
      <formula>1</formula>
    </cfRule>
    <cfRule type="expression" dxfId="41" priority="30">
      <formula>AND(ISNUMBER(K199),K199&gt;=1)</formula>
    </cfRule>
  </conditionalFormatting>
  <conditionalFormatting sqref="K52">
    <cfRule type="cellIs" dxfId="40" priority="25" operator="lessThan">
      <formula>1</formula>
    </cfRule>
    <cfRule type="expression" dxfId="39" priority="26">
      <formula>AND(ISNUMBER(K52),K52&gt;=1)</formula>
    </cfRule>
  </conditionalFormatting>
  <conditionalFormatting sqref="K128">
    <cfRule type="cellIs" dxfId="38" priority="21" operator="lessThan">
      <formula>1</formula>
    </cfRule>
    <cfRule type="expression" dxfId="37" priority="22">
      <formula>AND(ISNUMBER(K128),K128&gt;=1)</formula>
    </cfRule>
  </conditionalFormatting>
  <conditionalFormatting sqref="K204">
    <cfRule type="cellIs" dxfId="36" priority="17" operator="lessThan">
      <formula>1</formula>
    </cfRule>
    <cfRule type="expression" dxfId="35" priority="18">
      <formula>AND(ISNUMBER(K204),K204&gt;=1)</formula>
    </cfRule>
  </conditionalFormatting>
  <pageMargins left="0.25" right="0.25" top="0.5" bottom="0.5" header="0.3" footer="0.3"/>
  <pageSetup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1"/>
  </sheetPr>
  <dimension ref="A1:BL67"/>
  <sheetViews>
    <sheetView showGridLines="0" zoomScaleNormal="100" workbookViewId="0">
      <selection activeCell="F34" sqref="F34"/>
    </sheetView>
  </sheetViews>
  <sheetFormatPr defaultColWidth="33.85546875" defaultRowHeight="15"/>
  <cols>
    <col min="1" max="1" width="17" style="12" bestFit="1" customWidth="1"/>
    <col min="2" max="2" width="13.5703125" style="12" customWidth="1"/>
    <col min="3" max="3" width="38.28515625" style="12" bestFit="1" customWidth="1"/>
    <col min="4" max="4" width="17.42578125" style="12" bestFit="1" customWidth="1"/>
    <col min="5" max="5" width="46" style="12" bestFit="1" customWidth="1"/>
    <col min="6" max="6" width="14.85546875" style="13" bestFit="1" customWidth="1"/>
    <col min="7" max="7" width="13" style="13" bestFit="1" customWidth="1"/>
    <col min="8" max="8" width="10.42578125" style="13" bestFit="1" customWidth="1"/>
    <col min="9" max="9" width="10.5703125" style="13" bestFit="1" customWidth="1"/>
    <col min="10" max="10" width="11.5703125" style="13" bestFit="1" customWidth="1"/>
    <col min="11" max="12" width="10" style="13" bestFit="1" customWidth="1"/>
    <col min="13" max="14" width="10.42578125" style="12" bestFit="1" customWidth="1"/>
    <col min="15" max="15" width="9.5703125" style="12" bestFit="1" customWidth="1"/>
    <col min="16" max="20" width="9.28515625" style="12" bestFit="1" customWidth="1"/>
    <col min="21" max="23" width="8.7109375" style="12" bestFit="1" customWidth="1"/>
    <col min="24" max="33" width="9.28515625" style="12" bestFit="1" customWidth="1"/>
    <col min="34" max="34" width="8.7109375" style="12" bestFit="1" customWidth="1"/>
    <col min="35" max="43" width="9.28515625" style="12" bestFit="1" customWidth="1"/>
    <col min="44" max="44" width="8.7109375" style="12" bestFit="1" customWidth="1"/>
    <col min="45" max="47" width="9.28515625" style="12" bestFit="1" customWidth="1"/>
    <col min="48" max="48" width="8.42578125" style="12" bestFit="1" customWidth="1"/>
    <col min="49" max="49" width="9" style="12" bestFit="1" customWidth="1"/>
    <col min="50" max="64" width="8.7109375" style="12" bestFit="1" customWidth="1"/>
    <col min="65" max="16384" width="33.85546875" style="12"/>
  </cols>
  <sheetData>
    <row r="1" spans="1:31">
      <c r="A1" s="17" t="str">
        <f ca="1">IFERROR(VALUE(MID(CELL("filename",$A$1),FIND("]",CELL("filename",$A$1))+1,255)),MID(CELL("filename",$A$1),FIND("]",CELL("filename",$A$1))+1,255))</f>
        <v>General Inputs</v>
      </c>
      <c r="B1" s="17"/>
    </row>
    <row r="2" spans="1:31">
      <c r="A2" s="20" t="str">
        <f>HYPERLINK("#'Contents'!a1","Return to Contents")</f>
        <v>Return to Contents</v>
      </c>
      <c r="B2" s="20"/>
    </row>
    <row r="4" spans="1:31">
      <c r="B4" s="821" t="s">
        <v>45</v>
      </c>
      <c r="C4" s="822"/>
      <c r="D4" s="18" t="s">
        <v>46</v>
      </c>
      <c r="E4" s="18" t="s">
        <v>33</v>
      </c>
      <c r="G4" s="77"/>
      <c r="H4" s="78"/>
      <c r="I4" s="78"/>
      <c r="J4" s="78"/>
      <c r="K4" s="78"/>
      <c r="L4" s="78"/>
      <c r="M4" s="78"/>
      <c r="N4" s="78"/>
      <c r="O4" s="78"/>
      <c r="P4" s="78"/>
      <c r="Q4" s="78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80"/>
    </row>
    <row r="5" spans="1:31">
      <c r="B5" s="818" t="s">
        <v>112</v>
      </c>
      <c r="C5" s="49" t="s">
        <v>101</v>
      </c>
      <c r="D5" s="34">
        <v>2017</v>
      </c>
      <c r="E5" s="38"/>
      <c r="G5" s="81"/>
      <c r="H5" s="72"/>
      <c r="I5" s="72"/>
      <c r="J5" s="72"/>
      <c r="K5" s="72"/>
      <c r="L5" s="72"/>
      <c r="M5" s="72"/>
      <c r="N5" s="72"/>
      <c r="O5" s="72"/>
      <c r="P5" s="72"/>
      <c r="Q5" s="72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82"/>
    </row>
    <row r="6" spans="1:31">
      <c r="B6" s="819"/>
      <c r="C6" s="37" t="s">
        <v>102</v>
      </c>
      <c r="D6" s="34">
        <v>2050</v>
      </c>
      <c r="E6" s="38"/>
      <c r="G6" s="81"/>
      <c r="H6" s="72"/>
      <c r="I6" s="72"/>
      <c r="J6" s="72"/>
      <c r="K6" s="72"/>
      <c r="L6" s="72"/>
      <c r="M6" s="72"/>
      <c r="N6" s="72"/>
      <c r="O6" s="72"/>
      <c r="P6" s="72"/>
      <c r="Q6" s="72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82"/>
    </row>
    <row r="7" spans="1:31">
      <c r="B7" s="819"/>
      <c r="C7" s="37" t="s">
        <v>100</v>
      </c>
      <c r="D7" s="34">
        <v>2017</v>
      </c>
      <c r="E7" s="38"/>
      <c r="F7" s="14"/>
      <c r="G7" s="81"/>
      <c r="H7" s="72"/>
      <c r="I7" s="72"/>
      <c r="J7" s="72"/>
      <c r="K7" s="72"/>
      <c r="L7" s="72"/>
      <c r="M7" s="72"/>
      <c r="N7" s="72"/>
      <c r="O7" s="72"/>
      <c r="P7" s="72"/>
      <c r="Q7" s="72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82"/>
    </row>
    <row r="8" spans="1:31">
      <c r="B8" s="820"/>
      <c r="C8" s="37" t="s">
        <v>103</v>
      </c>
      <c r="D8" s="34">
        <v>2019</v>
      </c>
      <c r="E8" s="38"/>
      <c r="F8" s="14"/>
      <c r="G8" s="81"/>
      <c r="H8" s="72"/>
      <c r="I8" s="72"/>
      <c r="J8" s="72"/>
      <c r="K8" s="72"/>
      <c r="L8" s="72"/>
      <c r="M8" s="72"/>
      <c r="N8" s="72"/>
      <c r="O8" s="72"/>
      <c r="P8" s="72"/>
      <c r="Q8" s="72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82"/>
    </row>
    <row r="9" spans="1:31">
      <c r="C9" s="42"/>
      <c r="D9" s="43"/>
      <c r="E9" s="42"/>
      <c r="G9" s="81"/>
      <c r="H9" s="72"/>
      <c r="I9" s="72"/>
      <c r="J9" s="72"/>
      <c r="K9" s="72"/>
      <c r="L9" s="72"/>
      <c r="M9" s="72"/>
      <c r="N9" s="72"/>
      <c r="O9" s="72"/>
      <c r="P9" s="72"/>
      <c r="Q9" s="72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82"/>
    </row>
    <row r="10" spans="1:31" ht="14.45" customHeight="1">
      <c r="B10" s="823" t="s">
        <v>122</v>
      </c>
      <c r="C10" s="37" t="s">
        <v>13</v>
      </c>
      <c r="D10" s="35">
        <v>8.8400000000000006E-2</v>
      </c>
      <c r="E10" s="39"/>
      <c r="G10" s="81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82"/>
    </row>
    <row r="11" spans="1:31">
      <c r="B11" s="824"/>
      <c r="C11" s="37" t="s">
        <v>14</v>
      </c>
      <c r="D11" s="35">
        <v>8.8400000000000006E-2</v>
      </c>
      <c r="E11" s="39"/>
      <c r="G11" s="81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82"/>
    </row>
    <row r="12" spans="1:31">
      <c r="B12" s="824"/>
      <c r="C12" s="37" t="s">
        <v>15</v>
      </c>
      <c r="D12" s="35">
        <v>8.8400000000000006E-2</v>
      </c>
      <c r="E12" s="39"/>
      <c r="G12" s="81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4"/>
      <c r="Y12" s="73"/>
      <c r="Z12" s="73"/>
      <c r="AA12" s="73"/>
      <c r="AB12" s="73"/>
      <c r="AC12" s="73"/>
      <c r="AD12" s="73"/>
      <c r="AE12" s="82"/>
    </row>
    <row r="13" spans="1:31">
      <c r="B13" s="824"/>
      <c r="C13" s="37" t="s">
        <v>16</v>
      </c>
      <c r="D13" s="35">
        <v>8.8400000000000006E-2</v>
      </c>
      <c r="E13" s="39"/>
      <c r="G13" s="81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4"/>
      <c r="Y13" s="73"/>
      <c r="Z13" s="73"/>
      <c r="AA13" s="73"/>
      <c r="AB13" s="73"/>
      <c r="AC13" s="73"/>
      <c r="AD13" s="73"/>
      <c r="AE13" s="82"/>
    </row>
    <row r="14" spans="1:31">
      <c r="B14" s="824"/>
      <c r="C14" s="37" t="s">
        <v>17</v>
      </c>
      <c r="D14" s="35">
        <v>8.8400000000000006E-2</v>
      </c>
      <c r="E14" s="39"/>
      <c r="G14" s="81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6"/>
      <c r="Z14" s="76"/>
      <c r="AA14" s="76"/>
      <c r="AB14" s="76"/>
      <c r="AC14" s="76"/>
      <c r="AD14" s="76"/>
      <c r="AE14" s="83"/>
    </row>
    <row r="15" spans="1:31">
      <c r="B15" s="825"/>
      <c r="C15" s="37" t="s">
        <v>121</v>
      </c>
      <c r="D15" s="35">
        <v>1.4999999999999999E-2</v>
      </c>
      <c r="E15" s="39"/>
      <c r="F15" s="14"/>
      <c r="G15" s="81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5"/>
      <c r="S15" s="75"/>
      <c r="T15" s="75"/>
      <c r="U15" s="75"/>
      <c r="V15" s="75"/>
      <c r="W15" s="75"/>
      <c r="X15" s="73"/>
      <c r="Y15" s="73"/>
      <c r="Z15" s="73"/>
      <c r="AA15" s="73"/>
      <c r="AB15" s="73"/>
      <c r="AC15" s="73"/>
      <c r="AD15" s="73"/>
      <c r="AE15" s="82"/>
    </row>
    <row r="16" spans="1:31">
      <c r="B16" s="46"/>
      <c r="C16" s="43"/>
      <c r="D16" s="47"/>
      <c r="E16" s="42"/>
      <c r="F16" s="48"/>
      <c r="G16" s="81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5"/>
      <c r="S16" s="75"/>
      <c r="T16" s="75"/>
      <c r="U16" s="75"/>
      <c r="V16" s="75"/>
      <c r="W16" s="75"/>
      <c r="X16" s="74"/>
      <c r="Y16" s="73"/>
      <c r="Z16" s="73"/>
      <c r="AA16" s="73"/>
      <c r="AB16" s="73"/>
      <c r="AC16" s="73"/>
      <c r="AD16" s="73"/>
      <c r="AE16" s="82"/>
    </row>
    <row r="17" spans="2:64">
      <c r="B17" s="818" t="s">
        <v>111</v>
      </c>
      <c r="C17" s="37" t="s">
        <v>118</v>
      </c>
      <c r="D17" s="68">
        <f>104.7%-1</f>
        <v>4.6999999999999931E-2</v>
      </c>
      <c r="E17" s="39"/>
      <c r="F17" s="65"/>
      <c r="G17" s="81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5"/>
      <c r="S17" s="75"/>
      <c r="T17" s="75"/>
      <c r="U17" s="75"/>
      <c r="V17" s="75"/>
      <c r="W17" s="75"/>
      <c r="X17" s="74"/>
      <c r="Y17" s="73"/>
      <c r="Z17" s="73"/>
      <c r="AA17" s="73"/>
      <c r="AB17" s="73"/>
      <c r="AC17" s="73"/>
      <c r="AD17" s="73"/>
      <c r="AE17" s="82"/>
    </row>
    <row r="18" spans="2:64">
      <c r="B18" s="819"/>
      <c r="C18" s="37" t="s">
        <v>119</v>
      </c>
      <c r="D18" s="68">
        <f>104.7%-1</f>
        <v>4.6999999999999931E-2</v>
      </c>
      <c r="E18" s="39"/>
      <c r="F18" s="65"/>
      <c r="G18" s="84"/>
      <c r="H18" s="85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7"/>
    </row>
    <row r="19" spans="2:64">
      <c r="B19" s="819"/>
      <c r="C19" s="37" t="s">
        <v>20</v>
      </c>
      <c r="D19" s="68">
        <v>0</v>
      </c>
      <c r="E19" s="39"/>
      <c r="F19" s="65"/>
      <c r="G19" s="65"/>
      <c r="H19" s="65"/>
      <c r="I19" s="65"/>
      <c r="J19" s="12"/>
      <c r="K19" s="12"/>
      <c r="L19" s="12"/>
      <c r="AL19" s="152"/>
      <c r="AM19" s="12" t="s">
        <v>174</v>
      </c>
    </row>
    <row r="20" spans="2:64">
      <c r="B20" s="819"/>
      <c r="C20" s="37" t="s">
        <v>11</v>
      </c>
      <c r="D20" s="36">
        <v>0</v>
      </c>
      <c r="E20" s="39"/>
      <c r="F20" s="65"/>
      <c r="G20" s="65"/>
      <c r="H20" s="65"/>
      <c r="I20" s="65"/>
      <c r="J20" s="12"/>
      <c r="K20" s="12"/>
      <c r="L20" s="12"/>
    </row>
    <row r="21" spans="2:64">
      <c r="B21" s="819"/>
      <c r="C21" s="37" t="s">
        <v>21</v>
      </c>
      <c r="D21" s="36">
        <v>0</v>
      </c>
      <c r="E21" s="39"/>
      <c r="F21" s="14"/>
      <c r="G21" s="67"/>
      <c r="H21" s="170"/>
      <c r="I21" s="12"/>
      <c r="J21" s="12"/>
      <c r="K21" s="12"/>
      <c r="L21" s="12"/>
    </row>
    <row r="22" spans="2:64">
      <c r="B22" s="820"/>
      <c r="C22" s="37" t="s">
        <v>22</v>
      </c>
      <c r="D22" s="36">
        <v>0</v>
      </c>
      <c r="E22" s="39"/>
      <c r="F22" s="14"/>
      <c r="G22" s="14"/>
      <c r="H22" s="12"/>
      <c r="I22" s="67"/>
      <c r="J22" s="171"/>
      <c r="K22" s="171"/>
      <c r="L22" s="170"/>
    </row>
    <row r="23" spans="2:64">
      <c r="B23" s="158"/>
      <c r="C23" s="159"/>
      <c r="D23"/>
      <c r="E23" s="160"/>
      <c r="F23" s="14"/>
      <c r="G23" s="164"/>
      <c r="H23" s="12"/>
      <c r="I23" s="12"/>
      <c r="J23" s="67"/>
      <c r="K23" s="170"/>
      <c r="L23" s="12"/>
    </row>
    <row r="24" spans="2:64" ht="14.45" hidden="1" customHeight="1">
      <c r="B24" s="823" t="s">
        <v>184</v>
      </c>
      <c r="C24" s="37" t="s">
        <v>48</v>
      </c>
      <c r="D24" s="36" t="s">
        <v>58</v>
      </c>
      <c r="E24" s="160"/>
      <c r="L24" s="12"/>
    </row>
    <row r="25" spans="2:64" hidden="1">
      <c r="B25" s="824"/>
      <c r="C25" s="37" t="s">
        <v>77</v>
      </c>
      <c r="D25" s="36" t="s">
        <v>85</v>
      </c>
      <c r="E25" s="160"/>
      <c r="L25" s="12"/>
    </row>
    <row r="26" spans="2:64" hidden="1">
      <c r="B26" s="824"/>
      <c r="C26" s="37" t="s">
        <v>90</v>
      </c>
      <c r="D26" s="36" t="s">
        <v>91</v>
      </c>
      <c r="E26" s="160"/>
      <c r="F26" s="14"/>
      <c r="G26" s="14"/>
      <c r="H26" s="12"/>
      <c r="I26" s="12"/>
      <c r="J26" s="12"/>
      <c r="K26" s="12"/>
      <c r="L26" s="12"/>
    </row>
    <row r="27" spans="2:64" hidden="1">
      <c r="B27" s="825"/>
      <c r="C27" s="37" t="str">
        <f>INDEX('EPA Emissions Factors'!G:G,MATCH(D24&amp;"_"&amp;D25&amp;"_"&amp;D26,'EPA Emissions Factors'!B:B,0))</f>
        <v>lb CO2/MWh</v>
      </c>
      <c r="D27" s="161">
        <f>INDEX('EPA Emissions Factors'!H:H,MATCH(D24&amp;"_"&amp;D25&amp;"_"&amp;D26,'EPA Emissions Factors'!B:B,0))</f>
        <v>-1081.1099999999999</v>
      </c>
      <c r="E27" s="160"/>
      <c r="F27" s="67"/>
      <c r="G27" s="166"/>
      <c r="H27" s="165"/>
      <c r="I27" s="165"/>
      <c r="J27" s="167"/>
      <c r="K27" s="12"/>
      <c r="L27" s="12"/>
    </row>
    <row r="28" spans="2:64">
      <c r="B28"/>
      <c r="C28" s="5"/>
      <c r="F28" s="67"/>
      <c r="G28" s="166"/>
      <c r="H28" s="165"/>
      <c r="I28" s="165"/>
      <c r="J28" s="167"/>
      <c r="K28" s="12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3"/>
      <c r="AC28" s="13"/>
    </row>
    <row r="29" spans="2:64">
      <c r="B29" s="46"/>
      <c r="E29" s="153" t="s">
        <v>176</v>
      </c>
      <c r="F29" s="6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4"/>
      <c r="AC29" s="14"/>
    </row>
    <row r="30" spans="2:64">
      <c r="B30" s="46"/>
      <c r="C30" s="5"/>
      <c r="F30" s="6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4"/>
      <c r="AC30" s="14"/>
    </row>
    <row r="31" spans="2:64">
      <c r="C31"/>
      <c r="D31"/>
      <c r="E31" s="32" t="s">
        <v>44</v>
      </c>
      <c r="F31" s="32">
        <f>BaseYear</f>
        <v>2017</v>
      </c>
      <c r="G31" s="32">
        <f t="shared" ref="G31:V31" si="0">F31+1</f>
        <v>2018</v>
      </c>
      <c r="H31" s="32">
        <f t="shared" si="0"/>
        <v>2019</v>
      </c>
      <c r="I31" s="32">
        <f t="shared" si="0"/>
        <v>2020</v>
      </c>
      <c r="J31" s="32">
        <f t="shared" si="0"/>
        <v>2021</v>
      </c>
      <c r="K31" s="32">
        <f t="shared" si="0"/>
        <v>2022</v>
      </c>
      <c r="L31" s="32">
        <f t="shared" si="0"/>
        <v>2023</v>
      </c>
      <c r="M31" s="32">
        <f t="shared" si="0"/>
        <v>2024</v>
      </c>
      <c r="N31" s="32">
        <f t="shared" si="0"/>
        <v>2025</v>
      </c>
      <c r="O31" s="32">
        <f t="shared" si="0"/>
        <v>2026</v>
      </c>
      <c r="P31" s="32">
        <f t="shared" si="0"/>
        <v>2027</v>
      </c>
      <c r="Q31" s="32">
        <f t="shared" si="0"/>
        <v>2028</v>
      </c>
      <c r="R31" s="32">
        <f t="shared" si="0"/>
        <v>2029</v>
      </c>
      <c r="S31" s="32">
        <f t="shared" si="0"/>
        <v>2030</v>
      </c>
      <c r="T31" s="32">
        <f t="shared" si="0"/>
        <v>2031</v>
      </c>
      <c r="U31" s="32">
        <f t="shared" si="0"/>
        <v>2032</v>
      </c>
      <c r="V31" s="32">
        <f t="shared" si="0"/>
        <v>2033</v>
      </c>
      <c r="W31" s="32">
        <f t="shared" ref="W31:AN31" si="1">V31+1</f>
        <v>2034</v>
      </c>
      <c r="X31" s="32">
        <f t="shared" si="1"/>
        <v>2035</v>
      </c>
      <c r="Y31" s="32">
        <f t="shared" si="1"/>
        <v>2036</v>
      </c>
      <c r="Z31" s="32">
        <f t="shared" si="1"/>
        <v>2037</v>
      </c>
      <c r="AA31" s="32">
        <f t="shared" si="1"/>
        <v>2038</v>
      </c>
      <c r="AB31" s="32">
        <f t="shared" si="1"/>
        <v>2039</v>
      </c>
      <c r="AC31" s="32">
        <f t="shared" si="1"/>
        <v>2040</v>
      </c>
      <c r="AD31" s="32">
        <f t="shared" si="1"/>
        <v>2041</v>
      </c>
      <c r="AE31" s="32">
        <f t="shared" si="1"/>
        <v>2042</v>
      </c>
      <c r="AF31" s="32">
        <f t="shared" si="1"/>
        <v>2043</v>
      </c>
      <c r="AG31" s="32">
        <f t="shared" si="1"/>
        <v>2044</v>
      </c>
      <c r="AH31" s="32">
        <f t="shared" si="1"/>
        <v>2045</v>
      </c>
      <c r="AI31" s="32">
        <f t="shared" si="1"/>
        <v>2046</v>
      </c>
      <c r="AJ31" s="32">
        <f t="shared" si="1"/>
        <v>2047</v>
      </c>
      <c r="AK31" s="32">
        <f t="shared" si="1"/>
        <v>2048</v>
      </c>
      <c r="AL31" s="32">
        <f t="shared" si="1"/>
        <v>2049</v>
      </c>
      <c r="AM31" s="32">
        <f t="shared" si="1"/>
        <v>2050</v>
      </c>
      <c r="AN31" s="32">
        <f t="shared" si="1"/>
        <v>2051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</row>
    <row r="32" spans="2:64">
      <c r="C32"/>
      <c r="D32"/>
      <c r="E32" s="64" t="s">
        <v>198</v>
      </c>
      <c r="F32" s="789">
        <v>2.75E-2</v>
      </c>
      <c r="G32" s="33">
        <f t="shared" ref="G32:V32" si="2">+F32*(1+EscalationRate)</f>
        <v>2.7912499999999996E-2</v>
      </c>
      <c r="H32" s="33">
        <f t="shared" si="2"/>
        <v>2.8331187499999994E-2</v>
      </c>
      <c r="I32" s="33">
        <f t="shared" si="2"/>
        <v>2.875615531249999E-2</v>
      </c>
      <c r="J32" s="33">
        <f t="shared" si="2"/>
        <v>2.9187497642187487E-2</v>
      </c>
      <c r="K32" s="33">
        <f t="shared" si="2"/>
        <v>2.9625310106820298E-2</v>
      </c>
      <c r="L32" s="33">
        <f t="shared" si="2"/>
        <v>3.0069689758422599E-2</v>
      </c>
      <c r="M32" s="33">
        <f t="shared" si="2"/>
        <v>3.0520735104798934E-2</v>
      </c>
      <c r="N32" s="33">
        <f t="shared" si="2"/>
        <v>3.0978546131370913E-2</v>
      </c>
      <c r="O32" s="33">
        <f t="shared" si="2"/>
        <v>3.1443224323341477E-2</v>
      </c>
      <c r="P32" s="33">
        <f t="shared" si="2"/>
        <v>3.1914872688191598E-2</v>
      </c>
      <c r="Q32" s="33">
        <f t="shared" si="2"/>
        <v>3.2393595778514465E-2</v>
      </c>
      <c r="R32" s="33">
        <f t="shared" si="2"/>
        <v>3.2879499715192176E-2</v>
      </c>
      <c r="S32" s="33">
        <f t="shared" si="2"/>
        <v>3.3372692210920055E-2</v>
      </c>
      <c r="T32" s="33">
        <f t="shared" si="2"/>
        <v>3.3873282594083849E-2</v>
      </c>
      <c r="U32" s="33">
        <f t="shared" si="2"/>
        <v>3.4381381832995106E-2</v>
      </c>
      <c r="V32" s="33">
        <f t="shared" si="2"/>
        <v>3.4897102560490029E-2</v>
      </c>
      <c r="W32" s="152">
        <f t="shared" ref="W32:W34" si="3">V32</f>
        <v>3.4897102560490029E-2</v>
      </c>
      <c r="X32" s="152">
        <f t="shared" ref="X32:X34" si="4">W32</f>
        <v>3.4897102560490029E-2</v>
      </c>
      <c r="Y32" s="152">
        <f t="shared" ref="Y32:Y34" si="5">X32</f>
        <v>3.4897102560490029E-2</v>
      </c>
      <c r="Z32" s="152">
        <f t="shared" ref="Z32:Z35" si="6">Y32</f>
        <v>3.4897102560490029E-2</v>
      </c>
      <c r="AA32" s="152">
        <f t="shared" ref="AA32:AA35" si="7">Z32</f>
        <v>3.4897102560490029E-2</v>
      </c>
      <c r="AB32" s="152">
        <f t="shared" ref="AB32:AB35" si="8">AA32</f>
        <v>3.4897102560490029E-2</v>
      </c>
      <c r="AC32" s="152">
        <f t="shared" ref="AC32:AC35" si="9">AB32</f>
        <v>3.4897102560490029E-2</v>
      </c>
      <c r="AD32" s="152">
        <f t="shared" ref="AD32:AD35" si="10">AC32</f>
        <v>3.4897102560490029E-2</v>
      </c>
      <c r="AE32" s="152">
        <f t="shared" ref="AE32:AE35" si="11">AD32</f>
        <v>3.4897102560490029E-2</v>
      </c>
      <c r="AF32" s="152">
        <f t="shared" ref="AF32:AF35" si="12">AE32</f>
        <v>3.4897102560490029E-2</v>
      </c>
      <c r="AG32" s="152">
        <f t="shared" ref="AG32:AG35" si="13">AF32</f>
        <v>3.4897102560490029E-2</v>
      </c>
      <c r="AH32" s="152">
        <f t="shared" ref="AH32:AH35" si="14">AG32</f>
        <v>3.4897102560490029E-2</v>
      </c>
      <c r="AI32" s="152">
        <f t="shared" ref="AI32:AI35" si="15">AH32</f>
        <v>3.4897102560490029E-2</v>
      </c>
      <c r="AJ32" s="152">
        <f t="shared" ref="AJ32:AJ35" si="16">AI32</f>
        <v>3.4897102560490029E-2</v>
      </c>
      <c r="AK32" s="152">
        <f t="shared" ref="AK32:AK35" si="17">AJ32</f>
        <v>3.4897102560490029E-2</v>
      </c>
      <c r="AL32" s="152">
        <f t="shared" ref="AL32:AN35" si="18">AK32</f>
        <v>3.4897102560490029E-2</v>
      </c>
      <c r="AM32" s="152">
        <f t="shared" si="18"/>
        <v>3.4897102560490029E-2</v>
      </c>
      <c r="AN32" s="152">
        <f t="shared" si="18"/>
        <v>3.4897102560490029E-2</v>
      </c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</row>
    <row r="33" spans="2:64">
      <c r="C33"/>
      <c r="D33"/>
      <c r="E33" s="64" t="s">
        <v>199</v>
      </c>
      <c r="F33" s="33">
        <v>19.78</v>
      </c>
      <c r="G33" s="33">
        <f t="shared" ref="G33:V33" si="19">+F33*(1+EscalationRate)</f>
        <v>20.076699999999999</v>
      </c>
      <c r="H33" s="33">
        <f t="shared" si="19"/>
        <v>20.377850499999997</v>
      </c>
      <c r="I33" s="33">
        <f t="shared" si="19"/>
        <v>20.683518257499994</v>
      </c>
      <c r="J33" s="33">
        <f t="shared" si="19"/>
        <v>20.993771031362492</v>
      </c>
      <c r="K33" s="33">
        <f t="shared" si="19"/>
        <v>21.308677596832926</v>
      </c>
      <c r="L33" s="33">
        <f t="shared" si="19"/>
        <v>21.628307760785418</v>
      </c>
      <c r="M33" s="33">
        <f t="shared" si="19"/>
        <v>21.952732377197197</v>
      </c>
      <c r="N33" s="33">
        <f t="shared" si="19"/>
        <v>22.282023362855153</v>
      </c>
      <c r="O33" s="33">
        <f t="shared" si="19"/>
        <v>22.616253713297979</v>
      </c>
      <c r="P33" s="33">
        <f t="shared" si="19"/>
        <v>22.955497518997447</v>
      </c>
      <c r="Q33" s="33">
        <f t="shared" si="19"/>
        <v>23.299829981782405</v>
      </c>
      <c r="R33" s="33">
        <f t="shared" si="19"/>
        <v>23.649327431509139</v>
      </c>
      <c r="S33" s="33">
        <f t="shared" si="19"/>
        <v>24.004067342981774</v>
      </c>
      <c r="T33" s="33">
        <f t="shared" si="19"/>
        <v>24.3641283531265</v>
      </c>
      <c r="U33" s="33">
        <f t="shared" si="19"/>
        <v>24.729590278423395</v>
      </c>
      <c r="V33" s="33">
        <f t="shared" si="19"/>
        <v>25.100534132599744</v>
      </c>
      <c r="W33" s="152">
        <f t="shared" si="3"/>
        <v>25.100534132599744</v>
      </c>
      <c r="X33" s="152">
        <f t="shared" si="4"/>
        <v>25.100534132599744</v>
      </c>
      <c r="Y33" s="152">
        <f t="shared" si="5"/>
        <v>25.100534132599744</v>
      </c>
      <c r="Z33" s="152">
        <f t="shared" si="6"/>
        <v>25.100534132599744</v>
      </c>
      <c r="AA33" s="152">
        <f t="shared" si="7"/>
        <v>25.100534132599744</v>
      </c>
      <c r="AB33" s="152">
        <f t="shared" si="8"/>
        <v>25.100534132599744</v>
      </c>
      <c r="AC33" s="152">
        <f t="shared" si="9"/>
        <v>25.100534132599744</v>
      </c>
      <c r="AD33" s="152">
        <f t="shared" si="10"/>
        <v>25.100534132599744</v>
      </c>
      <c r="AE33" s="152">
        <f t="shared" si="11"/>
        <v>25.100534132599744</v>
      </c>
      <c r="AF33" s="152">
        <f t="shared" si="12"/>
        <v>25.100534132599744</v>
      </c>
      <c r="AG33" s="152">
        <f t="shared" si="13"/>
        <v>25.100534132599744</v>
      </c>
      <c r="AH33" s="152">
        <f t="shared" si="14"/>
        <v>25.100534132599744</v>
      </c>
      <c r="AI33" s="152">
        <f t="shared" si="15"/>
        <v>25.100534132599744</v>
      </c>
      <c r="AJ33" s="152">
        <f t="shared" si="16"/>
        <v>25.100534132599744</v>
      </c>
      <c r="AK33" s="152">
        <f t="shared" si="17"/>
        <v>25.100534132599744</v>
      </c>
      <c r="AL33" s="152">
        <f>AK33</f>
        <v>25.100534132599744</v>
      </c>
      <c r="AM33" s="152">
        <f>AL33</f>
        <v>25.100534132599744</v>
      </c>
      <c r="AN33" s="152">
        <f>AM33</f>
        <v>25.100534132599744</v>
      </c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</row>
    <row r="34" spans="2:64">
      <c r="C34"/>
      <c r="D34"/>
      <c r="E34" s="64" t="s">
        <v>200</v>
      </c>
      <c r="F34" s="33"/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152">
        <f t="shared" si="3"/>
        <v>0</v>
      </c>
      <c r="X34" s="152">
        <f t="shared" si="4"/>
        <v>0</v>
      </c>
      <c r="Y34" s="152">
        <f t="shared" si="5"/>
        <v>0</v>
      </c>
      <c r="Z34" s="152">
        <f t="shared" si="6"/>
        <v>0</v>
      </c>
      <c r="AA34" s="152">
        <f t="shared" si="7"/>
        <v>0</v>
      </c>
      <c r="AB34" s="152">
        <f t="shared" si="8"/>
        <v>0</v>
      </c>
      <c r="AC34" s="152">
        <f t="shared" si="9"/>
        <v>0</v>
      </c>
      <c r="AD34" s="152">
        <f t="shared" si="10"/>
        <v>0</v>
      </c>
      <c r="AE34" s="152">
        <f t="shared" si="11"/>
        <v>0</v>
      </c>
      <c r="AF34" s="152">
        <f t="shared" si="12"/>
        <v>0</v>
      </c>
      <c r="AG34" s="152">
        <f t="shared" si="13"/>
        <v>0</v>
      </c>
      <c r="AH34" s="152">
        <f t="shared" si="14"/>
        <v>0</v>
      </c>
      <c r="AI34" s="152">
        <f t="shared" si="15"/>
        <v>0</v>
      </c>
      <c r="AJ34" s="152">
        <f t="shared" si="16"/>
        <v>0</v>
      </c>
      <c r="AK34" s="152">
        <f t="shared" si="17"/>
        <v>0</v>
      </c>
      <c r="AL34" s="152">
        <f t="shared" si="18"/>
        <v>0</v>
      </c>
      <c r="AM34" s="152">
        <f t="shared" ref="AM34:AN35" si="20">AL34</f>
        <v>0</v>
      </c>
      <c r="AN34" s="152">
        <f t="shared" si="20"/>
        <v>0</v>
      </c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</row>
    <row r="35" spans="2:64">
      <c r="C35"/>
      <c r="D35"/>
      <c r="E35" s="64" t="s">
        <v>201</v>
      </c>
      <c r="F35" s="33">
        <v>1.14E-2</v>
      </c>
      <c r="G35" s="33">
        <v>1.14E-2</v>
      </c>
      <c r="H35" s="33">
        <v>1.14E-2</v>
      </c>
      <c r="I35" s="33">
        <v>1.14E-2</v>
      </c>
      <c r="J35" s="33">
        <v>1.14E-2</v>
      </c>
      <c r="K35" s="33">
        <v>1.14E-2</v>
      </c>
      <c r="L35" s="33">
        <v>1.14E-2</v>
      </c>
      <c r="M35" s="33">
        <v>1.14E-2</v>
      </c>
      <c r="N35" s="33">
        <v>1.14E-2</v>
      </c>
      <c r="O35" s="33">
        <v>1.14E-2</v>
      </c>
      <c r="P35" s="33">
        <v>1.14E-2</v>
      </c>
      <c r="Q35" s="33">
        <v>1.14E-2</v>
      </c>
      <c r="R35" s="33">
        <v>1.14E-2</v>
      </c>
      <c r="S35" s="33">
        <v>1.14E-2</v>
      </c>
      <c r="T35" s="33">
        <v>1.14E-2</v>
      </c>
      <c r="U35" s="33">
        <v>1.14E-2</v>
      </c>
      <c r="V35" s="33">
        <v>1.14E-2</v>
      </c>
      <c r="W35" s="152">
        <f t="shared" ref="W35" si="21">V35</f>
        <v>1.14E-2</v>
      </c>
      <c r="X35" s="152">
        <f t="shared" ref="X35" si="22">W35</f>
        <v>1.14E-2</v>
      </c>
      <c r="Y35" s="152">
        <f t="shared" ref="Y35" si="23">X35</f>
        <v>1.14E-2</v>
      </c>
      <c r="Z35" s="152">
        <f t="shared" si="6"/>
        <v>1.14E-2</v>
      </c>
      <c r="AA35" s="152">
        <f t="shared" si="7"/>
        <v>1.14E-2</v>
      </c>
      <c r="AB35" s="152">
        <f t="shared" si="8"/>
        <v>1.14E-2</v>
      </c>
      <c r="AC35" s="152">
        <f t="shared" si="9"/>
        <v>1.14E-2</v>
      </c>
      <c r="AD35" s="152">
        <f t="shared" si="10"/>
        <v>1.14E-2</v>
      </c>
      <c r="AE35" s="152">
        <f t="shared" si="11"/>
        <v>1.14E-2</v>
      </c>
      <c r="AF35" s="152">
        <f t="shared" si="12"/>
        <v>1.14E-2</v>
      </c>
      <c r="AG35" s="152">
        <f t="shared" si="13"/>
        <v>1.14E-2</v>
      </c>
      <c r="AH35" s="152">
        <f t="shared" si="14"/>
        <v>1.14E-2</v>
      </c>
      <c r="AI35" s="152">
        <f t="shared" si="15"/>
        <v>1.14E-2</v>
      </c>
      <c r="AJ35" s="152">
        <f t="shared" si="16"/>
        <v>1.14E-2</v>
      </c>
      <c r="AK35" s="152">
        <f t="shared" si="17"/>
        <v>1.14E-2</v>
      </c>
      <c r="AL35" s="152">
        <f t="shared" si="18"/>
        <v>1.14E-2</v>
      </c>
      <c r="AM35" s="152">
        <f t="shared" si="20"/>
        <v>1.14E-2</v>
      </c>
      <c r="AN35" s="152">
        <f t="shared" si="20"/>
        <v>1.14E-2</v>
      </c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</row>
    <row r="36" spans="2:64">
      <c r="D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</row>
    <row r="37" spans="2:64">
      <c r="D37"/>
      <c r="E37" s="153" t="s">
        <v>175</v>
      </c>
      <c r="F37" s="14"/>
      <c r="G37" s="14"/>
      <c r="H37" s="14"/>
      <c r="I37" s="14"/>
      <c r="J37" s="14"/>
      <c r="K37" s="14"/>
      <c r="L37" s="14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</row>
    <row r="38" spans="2:64">
      <c r="D38"/>
      <c r="F38" s="14"/>
      <c r="G38" s="14"/>
      <c r="H38" s="14"/>
      <c r="I38" s="14"/>
      <c r="J38" s="14"/>
      <c r="K38" s="14"/>
      <c r="L38" s="14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</row>
    <row r="39" spans="2:64">
      <c r="B39"/>
      <c r="C39"/>
      <c r="D39"/>
      <c r="E39" s="32" t="s">
        <v>31</v>
      </c>
      <c r="F39" s="32">
        <f t="shared" ref="F39:AN39" si="24">F31</f>
        <v>2017</v>
      </c>
      <c r="G39" s="32">
        <f t="shared" si="24"/>
        <v>2018</v>
      </c>
      <c r="H39" s="32">
        <f t="shared" si="24"/>
        <v>2019</v>
      </c>
      <c r="I39" s="32">
        <f t="shared" si="24"/>
        <v>2020</v>
      </c>
      <c r="J39" s="32">
        <f t="shared" si="24"/>
        <v>2021</v>
      </c>
      <c r="K39" s="32">
        <f t="shared" si="24"/>
        <v>2022</v>
      </c>
      <c r="L39" s="32">
        <f t="shared" si="24"/>
        <v>2023</v>
      </c>
      <c r="M39" s="32">
        <f t="shared" si="24"/>
        <v>2024</v>
      </c>
      <c r="N39" s="32">
        <f t="shared" si="24"/>
        <v>2025</v>
      </c>
      <c r="O39" s="32">
        <f t="shared" si="24"/>
        <v>2026</v>
      </c>
      <c r="P39" s="32">
        <f t="shared" si="24"/>
        <v>2027</v>
      </c>
      <c r="Q39" s="32">
        <f t="shared" si="24"/>
        <v>2028</v>
      </c>
      <c r="R39" s="32">
        <f t="shared" si="24"/>
        <v>2029</v>
      </c>
      <c r="S39" s="32">
        <f t="shared" si="24"/>
        <v>2030</v>
      </c>
      <c r="T39" s="32">
        <f t="shared" si="24"/>
        <v>2031</v>
      </c>
      <c r="U39" s="32">
        <f t="shared" si="24"/>
        <v>2032</v>
      </c>
      <c r="V39" s="32">
        <f t="shared" si="24"/>
        <v>2033</v>
      </c>
      <c r="W39" s="32">
        <f t="shared" si="24"/>
        <v>2034</v>
      </c>
      <c r="X39" s="32">
        <f t="shared" si="24"/>
        <v>2035</v>
      </c>
      <c r="Y39" s="32">
        <f t="shared" si="24"/>
        <v>2036</v>
      </c>
      <c r="Z39" s="32">
        <f t="shared" si="24"/>
        <v>2037</v>
      </c>
      <c r="AA39" s="32">
        <f t="shared" si="24"/>
        <v>2038</v>
      </c>
      <c r="AB39" s="32">
        <f t="shared" si="24"/>
        <v>2039</v>
      </c>
      <c r="AC39" s="32">
        <f t="shared" si="24"/>
        <v>2040</v>
      </c>
      <c r="AD39" s="32">
        <f t="shared" si="24"/>
        <v>2041</v>
      </c>
      <c r="AE39" s="32">
        <f t="shared" si="24"/>
        <v>2042</v>
      </c>
      <c r="AF39" s="32">
        <f t="shared" si="24"/>
        <v>2043</v>
      </c>
      <c r="AG39" s="32">
        <f t="shared" si="24"/>
        <v>2044</v>
      </c>
      <c r="AH39" s="32">
        <f t="shared" si="24"/>
        <v>2045</v>
      </c>
      <c r="AI39" s="32">
        <f t="shared" si="24"/>
        <v>2046</v>
      </c>
      <c r="AJ39" s="32">
        <f t="shared" si="24"/>
        <v>2047</v>
      </c>
      <c r="AK39" s="32">
        <f t="shared" si="24"/>
        <v>2048</v>
      </c>
      <c r="AL39" s="32">
        <f t="shared" si="24"/>
        <v>2049</v>
      </c>
      <c r="AM39" s="32">
        <f t="shared" si="24"/>
        <v>2050</v>
      </c>
      <c r="AN39" s="32">
        <f t="shared" si="24"/>
        <v>2051</v>
      </c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</row>
    <row r="40" spans="2:64">
      <c r="B40"/>
      <c r="C40"/>
      <c r="D40"/>
      <c r="E40" s="64" t="s">
        <v>202</v>
      </c>
      <c r="F40" s="33">
        <v>0.14036178524883183</v>
      </c>
      <c r="G40" s="33">
        <v>0.14246721202756429</v>
      </c>
      <c r="H40" s="33">
        <v>0.14460422020797775</v>
      </c>
      <c r="I40" s="33">
        <v>0.14677328351109739</v>
      </c>
      <c r="J40" s="33">
        <v>0.14897488276376383</v>
      </c>
      <c r="K40" s="33">
        <v>0.15120950600522026</v>
      </c>
      <c r="L40" s="33">
        <v>0.15347764859529855</v>
      </c>
      <c r="M40" s="33">
        <v>0.15577981332422802</v>
      </c>
      <c r="N40" s="33">
        <v>0.15811651052409142</v>
      </c>
      <c r="O40" s="33">
        <v>0.16048825818195278</v>
      </c>
      <c r="P40" s="33">
        <v>0.16289558205468205</v>
      </c>
      <c r="Q40" s="33">
        <v>0.16533901578550225</v>
      </c>
      <c r="R40" s="33">
        <v>0.16781910102228478</v>
      </c>
      <c r="S40" s="33">
        <v>0.17033638753761904</v>
      </c>
      <c r="T40" s="33">
        <v>0.1728914333506833</v>
      </c>
      <c r="U40" s="33">
        <v>0.17548480485094353</v>
      </c>
      <c r="V40" s="33">
        <v>0.17811707692370768</v>
      </c>
      <c r="W40" s="152">
        <f t="shared" ref="W40:W44" si="25">V40</f>
        <v>0.17811707692370768</v>
      </c>
      <c r="X40" s="152">
        <f t="shared" ref="X40:X44" si="26">W40</f>
        <v>0.17811707692370768</v>
      </c>
      <c r="Y40" s="152">
        <f t="shared" ref="Y40:Y44" si="27">X40</f>
        <v>0.17811707692370768</v>
      </c>
      <c r="Z40" s="152">
        <f t="shared" ref="Z40:AK46" si="28">Y40</f>
        <v>0.17811707692370768</v>
      </c>
      <c r="AA40" s="152">
        <f t="shared" si="28"/>
        <v>0.17811707692370768</v>
      </c>
      <c r="AB40" s="152">
        <f t="shared" si="28"/>
        <v>0.17811707692370768</v>
      </c>
      <c r="AC40" s="152">
        <f t="shared" si="28"/>
        <v>0.17811707692370768</v>
      </c>
      <c r="AD40" s="152">
        <f t="shared" si="28"/>
        <v>0.17811707692370768</v>
      </c>
      <c r="AE40" s="152">
        <f t="shared" si="28"/>
        <v>0.17811707692370768</v>
      </c>
      <c r="AF40" s="152">
        <f t="shared" si="28"/>
        <v>0.17811707692370768</v>
      </c>
      <c r="AG40" s="152">
        <f t="shared" si="28"/>
        <v>0.17811707692370768</v>
      </c>
      <c r="AH40" s="152">
        <f t="shared" si="28"/>
        <v>0.17811707692370768</v>
      </c>
      <c r="AI40" s="152">
        <f t="shared" si="28"/>
        <v>0.17811707692370768</v>
      </c>
      <c r="AJ40" s="152">
        <f t="shared" si="28"/>
        <v>0.17811707692370768</v>
      </c>
      <c r="AK40" s="152">
        <f t="shared" si="28"/>
        <v>0.17811707692370768</v>
      </c>
      <c r="AL40" s="152">
        <f>AK40</f>
        <v>0.17811707692370768</v>
      </c>
      <c r="AM40" s="152">
        <f t="shared" ref="AM40:AN40" si="29">AL40</f>
        <v>0.17811707692370768</v>
      </c>
      <c r="AN40" s="152">
        <f t="shared" si="29"/>
        <v>0.17811707692370768</v>
      </c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</row>
    <row r="41" spans="2:64">
      <c r="B41"/>
      <c r="C41"/>
      <c r="D41"/>
      <c r="E41" s="64" t="s">
        <v>324</v>
      </c>
      <c r="F41" s="33">
        <v>0.11418547447049862</v>
      </c>
      <c r="G41" s="33">
        <v>0.11589825658755609</v>
      </c>
      <c r="H41" s="33">
        <v>0.11763673043636942</v>
      </c>
      <c r="I41" s="33">
        <v>0.11940128139291495</v>
      </c>
      <c r="J41" s="33">
        <v>0.12119230061380866</v>
      </c>
      <c r="K41" s="33">
        <v>0.12301018512301577</v>
      </c>
      <c r="L41" s="33">
        <v>0.124855337899861</v>
      </c>
      <c r="M41" s="33">
        <v>0.1267281679683589</v>
      </c>
      <c r="N41" s="33">
        <v>0.12862909048788426</v>
      </c>
      <c r="O41" s="33">
        <v>0.13055852684520253</v>
      </c>
      <c r="P41" s="33">
        <v>0.13251690474788055</v>
      </c>
      <c r="Q41" s="33">
        <v>0.13450465831909875</v>
      </c>
      <c r="R41" s="33">
        <v>0.13652222819388521</v>
      </c>
      <c r="S41" s="33">
        <v>0.13857006161679347</v>
      </c>
      <c r="T41" s="33">
        <v>0.14064861254104535</v>
      </c>
      <c r="U41" s="33">
        <v>0.14275834172916102</v>
      </c>
      <c r="V41" s="33">
        <v>0.14489971685509842</v>
      </c>
      <c r="W41" s="152">
        <f t="shared" si="25"/>
        <v>0.14489971685509842</v>
      </c>
      <c r="X41" s="152">
        <f t="shared" si="26"/>
        <v>0.14489971685509842</v>
      </c>
      <c r="Y41" s="152">
        <f t="shared" si="27"/>
        <v>0.14489971685509842</v>
      </c>
      <c r="Z41" s="152">
        <f t="shared" si="28"/>
        <v>0.14489971685509842</v>
      </c>
      <c r="AA41" s="152">
        <f t="shared" si="28"/>
        <v>0.14489971685509842</v>
      </c>
      <c r="AB41" s="152">
        <f t="shared" si="28"/>
        <v>0.14489971685509842</v>
      </c>
      <c r="AC41" s="152">
        <f t="shared" si="28"/>
        <v>0.14489971685509842</v>
      </c>
      <c r="AD41" s="152">
        <f t="shared" si="28"/>
        <v>0.14489971685509842</v>
      </c>
      <c r="AE41" s="152">
        <f t="shared" si="28"/>
        <v>0.14489971685509842</v>
      </c>
      <c r="AF41" s="152">
        <f t="shared" si="28"/>
        <v>0.14489971685509842</v>
      </c>
      <c r="AG41" s="152">
        <f t="shared" si="28"/>
        <v>0.14489971685509842</v>
      </c>
      <c r="AH41" s="152">
        <f t="shared" si="28"/>
        <v>0.14489971685509842</v>
      </c>
      <c r="AI41" s="152">
        <f t="shared" si="28"/>
        <v>0.14489971685509842</v>
      </c>
      <c r="AJ41" s="152">
        <f t="shared" si="28"/>
        <v>0.14489971685509842</v>
      </c>
      <c r="AK41" s="152">
        <f t="shared" si="28"/>
        <v>0.14489971685509842</v>
      </c>
      <c r="AL41" s="152">
        <f t="shared" ref="AL41:AN41" si="30">AK41</f>
        <v>0.14489971685509842</v>
      </c>
      <c r="AM41" s="152">
        <f t="shared" si="30"/>
        <v>0.14489971685509842</v>
      </c>
      <c r="AN41" s="152">
        <f t="shared" si="30"/>
        <v>0.14489971685509842</v>
      </c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</row>
    <row r="42" spans="2:64">
      <c r="B42"/>
      <c r="C42"/>
      <c r="D42"/>
      <c r="E42" s="64" t="s">
        <v>203</v>
      </c>
      <c r="F42" s="33">
        <v>0.13336666099166758</v>
      </c>
      <c r="G42" s="33">
        <v>0.13536716090654258</v>
      </c>
      <c r="H42" s="33">
        <v>0.13739766832014069</v>
      </c>
      <c r="I42" s="33">
        <v>0.1394586333449428</v>
      </c>
      <c r="J42" s="33">
        <v>0.14155051284511691</v>
      </c>
      <c r="K42" s="33">
        <v>0.14367377053779365</v>
      </c>
      <c r="L42" s="33">
        <v>0.14582887709586054</v>
      </c>
      <c r="M42" s="33">
        <v>0.14801631025229844</v>
      </c>
      <c r="N42" s="33">
        <v>0.1502365549060829</v>
      </c>
      <c r="O42" s="33">
        <v>0.15249010322967413</v>
      </c>
      <c r="P42" s="33">
        <v>0.15477745477811922</v>
      </c>
      <c r="Q42" s="33">
        <v>0.15709911659979098</v>
      </c>
      <c r="R42" s="33">
        <v>0.15945560334878783</v>
      </c>
      <c r="S42" s="33">
        <v>0.16184743739901963</v>
      </c>
      <c r="T42" s="33">
        <v>0.16427514896000492</v>
      </c>
      <c r="U42" s="33">
        <v>0.16673927619440498</v>
      </c>
      <c r="V42" s="33">
        <v>0.16924036533732104</v>
      </c>
      <c r="W42" s="152">
        <f t="shared" si="25"/>
        <v>0.16924036533732104</v>
      </c>
      <c r="X42" s="152">
        <f t="shared" si="26"/>
        <v>0.16924036533732104</v>
      </c>
      <c r="Y42" s="152">
        <f t="shared" si="27"/>
        <v>0.16924036533732104</v>
      </c>
      <c r="Z42" s="152">
        <f t="shared" si="28"/>
        <v>0.16924036533732104</v>
      </c>
      <c r="AA42" s="152">
        <f t="shared" si="28"/>
        <v>0.16924036533732104</v>
      </c>
      <c r="AB42" s="152">
        <f t="shared" si="28"/>
        <v>0.16924036533732104</v>
      </c>
      <c r="AC42" s="152">
        <f t="shared" si="28"/>
        <v>0.16924036533732104</v>
      </c>
      <c r="AD42" s="152">
        <f t="shared" si="28"/>
        <v>0.16924036533732104</v>
      </c>
      <c r="AE42" s="152">
        <f t="shared" si="28"/>
        <v>0.16924036533732104</v>
      </c>
      <c r="AF42" s="152">
        <f t="shared" si="28"/>
        <v>0.16924036533732104</v>
      </c>
      <c r="AG42" s="152">
        <f t="shared" si="28"/>
        <v>0.16924036533732104</v>
      </c>
      <c r="AH42" s="152">
        <f t="shared" si="28"/>
        <v>0.16924036533732104</v>
      </c>
      <c r="AI42" s="152">
        <f t="shared" si="28"/>
        <v>0.16924036533732104</v>
      </c>
      <c r="AJ42" s="152">
        <f t="shared" si="28"/>
        <v>0.16924036533732104</v>
      </c>
      <c r="AK42" s="152">
        <f t="shared" si="28"/>
        <v>0.16924036533732104</v>
      </c>
      <c r="AL42" s="152">
        <f t="shared" ref="AL42:AN42" si="31">AK42</f>
        <v>0.16924036533732104</v>
      </c>
      <c r="AM42" s="152">
        <f t="shared" si="31"/>
        <v>0.16924036533732104</v>
      </c>
      <c r="AN42" s="152">
        <f t="shared" si="31"/>
        <v>0.16924036533732104</v>
      </c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</row>
    <row r="43" spans="2:64">
      <c r="B43"/>
      <c r="C43"/>
      <c r="D43"/>
      <c r="E43" s="64" t="s">
        <v>204</v>
      </c>
      <c r="F43" s="33">
        <v>8.5110788640899007E-2</v>
      </c>
      <c r="G43" s="33">
        <v>8.6387450470512481E-2</v>
      </c>
      <c r="H43" s="33">
        <v>8.7683262227570155E-2</v>
      </c>
      <c r="I43" s="33">
        <v>8.8998511160983701E-2</v>
      </c>
      <c r="J43" s="33">
        <v>9.0333488828398451E-2</v>
      </c>
      <c r="K43" s="33">
        <v>9.168849116082442E-2</v>
      </c>
      <c r="L43" s="33">
        <v>9.306381852823678E-2</v>
      </c>
      <c r="M43" s="33">
        <v>9.4459775806160329E-2</v>
      </c>
      <c r="N43" s="33">
        <v>9.5876672443252722E-2</v>
      </c>
      <c r="O43" s="33">
        <v>9.7314822529901507E-2</v>
      </c>
      <c r="P43" s="33">
        <v>9.877454486785002E-2</v>
      </c>
      <c r="Q43" s="33">
        <v>0.10025616304086776</v>
      </c>
      <c r="R43" s="33">
        <v>0.10176000548648077</v>
      </c>
      <c r="S43" s="33">
        <v>0.10328640556877798</v>
      </c>
      <c r="T43" s="33">
        <v>0.10483570165230964</v>
      </c>
      <c r="U43" s="33">
        <v>0.10640823717709427</v>
      </c>
      <c r="V43" s="33">
        <v>0.10800436073475067</v>
      </c>
      <c r="W43" s="152">
        <f t="shared" si="25"/>
        <v>0.10800436073475067</v>
      </c>
      <c r="X43" s="152">
        <f t="shared" si="26"/>
        <v>0.10800436073475067</v>
      </c>
      <c r="Y43" s="152">
        <f t="shared" si="27"/>
        <v>0.10800436073475067</v>
      </c>
      <c r="Z43" s="152">
        <f t="shared" si="28"/>
        <v>0.10800436073475067</v>
      </c>
      <c r="AA43" s="152">
        <f t="shared" si="28"/>
        <v>0.10800436073475067</v>
      </c>
      <c r="AB43" s="152">
        <f t="shared" si="28"/>
        <v>0.10800436073475067</v>
      </c>
      <c r="AC43" s="152">
        <f t="shared" si="28"/>
        <v>0.10800436073475067</v>
      </c>
      <c r="AD43" s="152">
        <f t="shared" si="28"/>
        <v>0.10800436073475067</v>
      </c>
      <c r="AE43" s="152">
        <f t="shared" si="28"/>
        <v>0.10800436073475067</v>
      </c>
      <c r="AF43" s="152">
        <f t="shared" si="28"/>
        <v>0.10800436073475067</v>
      </c>
      <c r="AG43" s="152">
        <f t="shared" si="28"/>
        <v>0.10800436073475067</v>
      </c>
      <c r="AH43" s="152">
        <f t="shared" si="28"/>
        <v>0.10800436073475067</v>
      </c>
      <c r="AI43" s="152">
        <f t="shared" si="28"/>
        <v>0.10800436073475067</v>
      </c>
      <c r="AJ43" s="152">
        <f t="shared" si="28"/>
        <v>0.10800436073475067</v>
      </c>
      <c r="AK43" s="152">
        <f t="shared" si="28"/>
        <v>0.10800436073475067</v>
      </c>
      <c r="AL43" s="152">
        <f t="shared" ref="AL43:AN43" si="32">AK43</f>
        <v>0.10800436073475067</v>
      </c>
      <c r="AM43" s="152">
        <f t="shared" si="32"/>
        <v>0.10800436073475067</v>
      </c>
      <c r="AN43" s="152">
        <f t="shared" si="32"/>
        <v>0.10800436073475067</v>
      </c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</row>
    <row r="44" spans="2:64">
      <c r="B44"/>
      <c r="C44"/>
      <c r="D44"/>
      <c r="E44" s="64" t="s">
        <v>323</v>
      </c>
      <c r="F44" s="33">
        <v>0.1092387248162833</v>
      </c>
      <c r="G44" s="33">
        <v>0.11087730568852752</v>
      </c>
      <c r="H44" s="33">
        <v>0.11254046527385542</v>
      </c>
      <c r="I44" s="33">
        <v>0.11422857225296325</v>
      </c>
      <c r="J44" s="33">
        <v>0.11594200083675768</v>
      </c>
      <c r="K44" s="33">
        <v>0.11768113084930903</v>
      </c>
      <c r="L44" s="33">
        <v>0.11944634781204866</v>
      </c>
      <c r="M44" s="33">
        <v>0.12123804302922939</v>
      </c>
      <c r="N44" s="33">
        <v>0.1230566136746678</v>
      </c>
      <c r="O44" s="33">
        <v>0.12490246287978782</v>
      </c>
      <c r="P44" s="33">
        <v>0.12677599982298463</v>
      </c>
      <c r="Q44" s="33">
        <v>0.12867763982032937</v>
      </c>
      <c r="R44" s="33">
        <v>0.13060780441763431</v>
      </c>
      <c r="S44" s="33">
        <v>0.13256692148389881</v>
      </c>
      <c r="T44" s="33">
        <v>0.13455542530615727</v>
      </c>
      <c r="U44" s="33">
        <v>0.13657375668574961</v>
      </c>
      <c r="V44" s="33">
        <v>0.13862236303603587</v>
      </c>
      <c r="W44" s="152">
        <f t="shared" si="25"/>
        <v>0.13862236303603587</v>
      </c>
      <c r="X44" s="152">
        <f t="shared" si="26"/>
        <v>0.13862236303603587</v>
      </c>
      <c r="Y44" s="152">
        <f t="shared" si="27"/>
        <v>0.13862236303603587</v>
      </c>
      <c r="Z44" s="152">
        <f t="shared" si="28"/>
        <v>0.13862236303603587</v>
      </c>
      <c r="AA44" s="152">
        <f t="shared" si="28"/>
        <v>0.13862236303603587</v>
      </c>
      <c r="AB44" s="152">
        <f t="shared" si="28"/>
        <v>0.13862236303603587</v>
      </c>
      <c r="AC44" s="152">
        <f t="shared" si="28"/>
        <v>0.13862236303603587</v>
      </c>
      <c r="AD44" s="152">
        <f t="shared" si="28"/>
        <v>0.13862236303603587</v>
      </c>
      <c r="AE44" s="152">
        <f t="shared" si="28"/>
        <v>0.13862236303603587</v>
      </c>
      <c r="AF44" s="152">
        <f t="shared" si="28"/>
        <v>0.13862236303603587</v>
      </c>
      <c r="AG44" s="152">
        <f t="shared" si="28"/>
        <v>0.13862236303603587</v>
      </c>
      <c r="AH44" s="152">
        <f t="shared" si="28"/>
        <v>0.13862236303603587</v>
      </c>
      <c r="AI44" s="152">
        <f t="shared" si="28"/>
        <v>0.13862236303603587</v>
      </c>
      <c r="AJ44" s="152">
        <f t="shared" si="28"/>
        <v>0.13862236303603587</v>
      </c>
      <c r="AK44" s="152">
        <f t="shared" si="28"/>
        <v>0.13862236303603587</v>
      </c>
      <c r="AL44" s="152">
        <f t="shared" ref="AL44:AN46" si="33">AK44</f>
        <v>0.13862236303603587</v>
      </c>
      <c r="AM44" s="152">
        <f t="shared" si="33"/>
        <v>0.13862236303603587</v>
      </c>
      <c r="AN44" s="152">
        <f t="shared" si="33"/>
        <v>0.13862236303603587</v>
      </c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</row>
    <row r="45" spans="2:64">
      <c r="B45"/>
      <c r="C45"/>
      <c r="D45"/>
      <c r="E45" s="64" t="s">
        <v>205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3">
        <v>0</v>
      </c>
      <c r="R45" s="33">
        <v>0</v>
      </c>
      <c r="S45" s="33">
        <v>0</v>
      </c>
      <c r="T45" s="33">
        <v>0</v>
      </c>
      <c r="U45" s="33">
        <v>0</v>
      </c>
      <c r="V45" s="33">
        <v>0</v>
      </c>
      <c r="W45" s="33">
        <v>0</v>
      </c>
      <c r="X45" s="33">
        <v>0</v>
      </c>
      <c r="Y45" s="33">
        <v>0</v>
      </c>
      <c r="Z45" s="152">
        <f t="shared" si="28"/>
        <v>0</v>
      </c>
      <c r="AA45" s="152">
        <f t="shared" si="28"/>
        <v>0</v>
      </c>
      <c r="AB45" s="152">
        <f t="shared" si="28"/>
        <v>0</v>
      </c>
      <c r="AC45" s="152">
        <f t="shared" si="28"/>
        <v>0</v>
      </c>
      <c r="AD45" s="152">
        <f t="shared" si="28"/>
        <v>0</v>
      </c>
      <c r="AE45" s="152">
        <f t="shared" si="28"/>
        <v>0</v>
      </c>
      <c r="AF45" s="152">
        <f t="shared" si="28"/>
        <v>0</v>
      </c>
      <c r="AG45" s="152">
        <f t="shared" si="28"/>
        <v>0</v>
      </c>
      <c r="AH45" s="152">
        <f t="shared" si="28"/>
        <v>0</v>
      </c>
      <c r="AI45" s="152">
        <f t="shared" si="28"/>
        <v>0</v>
      </c>
      <c r="AJ45" s="152">
        <f t="shared" si="28"/>
        <v>0</v>
      </c>
      <c r="AK45" s="152">
        <f t="shared" si="28"/>
        <v>0</v>
      </c>
      <c r="AL45" s="152">
        <f t="shared" ref="AL45" si="34">AK45</f>
        <v>0</v>
      </c>
      <c r="AM45" s="152">
        <f t="shared" ref="AM45" si="35">AL45</f>
        <v>0</v>
      </c>
      <c r="AN45" s="152">
        <f t="shared" ref="AN45" si="36">AM45</f>
        <v>0</v>
      </c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</row>
    <row r="46" spans="2:64">
      <c r="B46"/>
      <c r="C46"/>
      <c r="D46"/>
      <c r="E46" s="64" t="s">
        <v>325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>
        <v>0</v>
      </c>
      <c r="R46" s="33">
        <v>0</v>
      </c>
      <c r="S46" s="33">
        <v>0</v>
      </c>
      <c r="T46" s="33">
        <v>0</v>
      </c>
      <c r="U46" s="33">
        <v>0</v>
      </c>
      <c r="V46" s="33">
        <v>0</v>
      </c>
      <c r="W46" s="33">
        <v>0</v>
      </c>
      <c r="X46" s="33">
        <v>0</v>
      </c>
      <c r="Y46" s="33">
        <v>0</v>
      </c>
      <c r="Z46" s="152">
        <f t="shared" si="28"/>
        <v>0</v>
      </c>
      <c r="AA46" s="152">
        <f t="shared" si="28"/>
        <v>0</v>
      </c>
      <c r="AB46" s="152">
        <f t="shared" si="28"/>
        <v>0</v>
      </c>
      <c r="AC46" s="152">
        <f t="shared" si="28"/>
        <v>0</v>
      </c>
      <c r="AD46" s="152">
        <f t="shared" si="28"/>
        <v>0</v>
      </c>
      <c r="AE46" s="152">
        <f t="shared" si="28"/>
        <v>0</v>
      </c>
      <c r="AF46" s="152">
        <f t="shared" si="28"/>
        <v>0</v>
      </c>
      <c r="AG46" s="152">
        <f t="shared" si="28"/>
        <v>0</v>
      </c>
      <c r="AH46" s="152">
        <f t="shared" si="28"/>
        <v>0</v>
      </c>
      <c r="AI46" s="152">
        <f t="shared" si="28"/>
        <v>0</v>
      </c>
      <c r="AJ46" s="152">
        <f t="shared" si="28"/>
        <v>0</v>
      </c>
      <c r="AK46" s="152">
        <f t="shared" si="28"/>
        <v>0</v>
      </c>
      <c r="AL46" s="152">
        <f t="shared" si="33"/>
        <v>0</v>
      </c>
      <c r="AM46" s="152">
        <f t="shared" si="33"/>
        <v>0</v>
      </c>
      <c r="AN46" s="152">
        <f t="shared" si="33"/>
        <v>0</v>
      </c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</row>
    <row r="47" spans="2:64" customFormat="1"/>
    <row r="48" spans="2:64">
      <c r="C48" s="153"/>
      <c r="D48"/>
      <c r="E48" s="153" t="s">
        <v>194</v>
      </c>
      <c r="F48" s="14"/>
      <c r="G48" s="14"/>
      <c r="H48" s="14"/>
      <c r="I48" s="14"/>
      <c r="J48" s="14"/>
      <c r="K48" s="14"/>
      <c r="L48" s="14"/>
    </row>
    <row r="49" spans="3:64">
      <c r="C49" s="153"/>
      <c r="D49"/>
      <c r="F49" s="14"/>
      <c r="G49" s="14"/>
      <c r="H49" s="14"/>
      <c r="I49" s="14"/>
      <c r="J49" s="14"/>
      <c r="K49" s="14"/>
      <c r="L49" s="14"/>
    </row>
    <row r="50" spans="3:64" customFormat="1">
      <c r="D50" s="12"/>
      <c r="E50" s="32" t="s">
        <v>195</v>
      </c>
      <c r="F50" s="32">
        <f>BaseYear</f>
        <v>2017</v>
      </c>
      <c r="G50" s="32">
        <f t="shared" ref="G50" si="37">F50+1</f>
        <v>2018</v>
      </c>
      <c r="H50" s="32">
        <f t="shared" ref="H50" si="38">G50+1</f>
        <v>2019</v>
      </c>
      <c r="I50" s="32">
        <f t="shared" ref="I50" si="39">H50+1</f>
        <v>2020</v>
      </c>
      <c r="J50" s="32">
        <f t="shared" ref="J50" si="40">I50+1</f>
        <v>2021</v>
      </c>
      <c r="K50" s="32">
        <f t="shared" ref="K50" si="41">J50+1</f>
        <v>2022</v>
      </c>
      <c r="L50" s="32">
        <f t="shared" ref="L50" si="42">K50+1</f>
        <v>2023</v>
      </c>
      <c r="M50" s="32">
        <f t="shared" ref="M50" si="43">L50+1</f>
        <v>2024</v>
      </c>
      <c r="N50" s="32">
        <f t="shared" ref="N50" si="44">M50+1</f>
        <v>2025</v>
      </c>
      <c r="O50" s="32">
        <f t="shared" ref="O50" si="45">N50+1</f>
        <v>2026</v>
      </c>
      <c r="P50" s="32">
        <f t="shared" ref="P50" si="46">O50+1</f>
        <v>2027</v>
      </c>
      <c r="Q50" s="32">
        <f t="shared" ref="Q50" si="47">P50+1</f>
        <v>2028</v>
      </c>
      <c r="R50" s="32">
        <f t="shared" ref="R50" si="48">Q50+1</f>
        <v>2029</v>
      </c>
      <c r="S50" s="32">
        <f t="shared" ref="S50" si="49">R50+1</f>
        <v>2030</v>
      </c>
      <c r="T50" s="32">
        <f t="shared" ref="T50" si="50">S50+1</f>
        <v>2031</v>
      </c>
      <c r="U50" s="32">
        <f t="shared" ref="U50" si="51">T50+1</f>
        <v>2032</v>
      </c>
      <c r="V50" s="32">
        <f t="shared" ref="V50" si="52">U50+1</f>
        <v>2033</v>
      </c>
      <c r="W50" s="32">
        <f t="shared" ref="W50" si="53">V50+1</f>
        <v>2034</v>
      </c>
      <c r="X50" s="32">
        <f t="shared" ref="X50" si="54">W50+1</f>
        <v>2035</v>
      </c>
      <c r="Y50" s="32">
        <f t="shared" ref="Y50" si="55">X50+1</f>
        <v>2036</v>
      </c>
      <c r="Z50" s="32">
        <f t="shared" ref="Z50" si="56">Y50+1</f>
        <v>2037</v>
      </c>
      <c r="AA50" s="32">
        <f t="shared" ref="AA50" si="57">Z50+1</f>
        <v>2038</v>
      </c>
      <c r="AB50" s="32">
        <f t="shared" ref="AB50" si="58">AA50+1</f>
        <v>2039</v>
      </c>
      <c r="AC50" s="32">
        <f t="shared" ref="AC50" si="59">AB50+1</f>
        <v>2040</v>
      </c>
      <c r="AD50" s="32">
        <f t="shared" ref="AD50" si="60">AC50+1</f>
        <v>2041</v>
      </c>
      <c r="AE50" s="32">
        <f t="shared" ref="AE50" si="61">AD50+1</f>
        <v>2042</v>
      </c>
      <c r="AF50" s="32">
        <f t="shared" ref="AF50" si="62">AE50+1</f>
        <v>2043</v>
      </c>
      <c r="AG50" s="32">
        <f t="shared" ref="AG50" si="63">AF50+1</f>
        <v>2044</v>
      </c>
      <c r="AH50" s="32">
        <f t="shared" ref="AH50" si="64">AG50+1</f>
        <v>2045</v>
      </c>
      <c r="AI50" s="32">
        <f t="shared" ref="AI50" si="65">AH50+1</f>
        <v>2046</v>
      </c>
      <c r="AJ50" s="32">
        <f t="shared" ref="AJ50" si="66">AI50+1</f>
        <v>2047</v>
      </c>
      <c r="AK50" s="32">
        <f t="shared" ref="AK50" si="67">AJ50+1</f>
        <v>2048</v>
      </c>
      <c r="AL50" s="32">
        <f t="shared" ref="AL50" si="68">AK50+1</f>
        <v>2049</v>
      </c>
      <c r="AM50" s="32">
        <f t="shared" ref="AM50" si="69">AL50+1</f>
        <v>2050</v>
      </c>
      <c r="AN50" s="32">
        <f t="shared" ref="AN50" si="70">AM50+1</f>
        <v>2051</v>
      </c>
    </row>
    <row r="51" spans="3:64">
      <c r="E51" s="64" t="s">
        <v>5</v>
      </c>
      <c r="F51" s="172">
        <v>1</v>
      </c>
      <c r="G51" s="172">
        <f t="shared" ref="G51:AN51" si="71">F51/(1+DiscountRateTRC)</f>
        <v>0.91877986034546122</v>
      </c>
      <c r="H51" s="172">
        <f t="shared" si="71"/>
        <v>0.84415643177642519</v>
      </c>
      <c r="I51" s="172">
        <f t="shared" si="71"/>
        <v>0.77559392849726683</v>
      </c>
      <c r="J51" s="172">
        <f t="shared" si="71"/>
        <v>0.71260008130950647</v>
      </c>
      <c r="K51" s="172">
        <f t="shared" si="71"/>
        <v>0.65472260318771269</v>
      </c>
      <c r="L51" s="172">
        <f t="shared" si="71"/>
        <v>0.60154594192182342</v>
      </c>
      <c r="M51" s="172">
        <f t="shared" si="71"/>
        <v>0.55268829651031182</v>
      </c>
      <c r="N51" s="172">
        <f t="shared" si="71"/>
        <v>0.50779887588231509</v>
      </c>
      <c r="O51" s="172">
        <f t="shared" si="71"/>
        <v>0.46655538026673565</v>
      </c>
      <c r="P51" s="172">
        <f t="shared" si="71"/>
        <v>0.42866168712489494</v>
      </c>
      <c r="Q51" s="172">
        <f t="shared" si="71"/>
        <v>0.39384572503206078</v>
      </c>
      <c r="R51" s="172">
        <f t="shared" si="71"/>
        <v>0.36185752024261369</v>
      </c>
      <c r="S51" s="172">
        <f t="shared" si="71"/>
        <v>0.33246740191346352</v>
      </c>
      <c r="T51" s="172">
        <f t="shared" si="71"/>
        <v>0.30546435309947034</v>
      </c>
      <c r="U51" s="172">
        <f t="shared" si="71"/>
        <v>0.28065449568124801</v>
      </c>
      <c r="V51" s="172">
        <f t="shared" si="71"/>
        <v>0.2578596983473429</v>
      </c>
      <c r="W51" s="172">
        <f t="shared" si="71"/>
        <v>0.23691629763629446</v>
      </c>
      <c r="X51" s="172">
        <f t="shared" si="71"/>
        <v>0.21767392285583834</v>
      </c>
      <c r="Y51" s="172">
        <f t="shared" si="71"/>
        <v>0.19999441644233584</v>
      </c>
      <c r="Z51" s="172">
        <f t="shared" si="71"/>
        <v>0.18375084200876132</v>
      </c>
      <c r="AA51" s="172">
        <f t="shared" si="71"/>
        <v>0.16882657295917064</v>
      </c>
      <c r="AB51" s="172">
        <f t="shared" si="71"/>
        <v>0.15511445512602962</v>
      </c>
      <c r="AC51" s="172">
        <f t="shared" si="71"/>
        <v>0.1425160374182558</v>
      </c>
      <c r="AD51" s="172">
        <f t="shared" si="71"/>
        <v>0.13094086495613358</v>
      </c>
      <c r="AE51" s="172">
        <f t="shared" si="71"/>
        <v>0.12030582961791031</v>
      </c>
      <c r="AF51" s="172">
        <f t="shared" si="71"/>
        <v>0.11053457333508848</v>
      </c>
      <c r="AG51" s="172">
        <f t="shared" si="71"/>
        <v>0.10155693985215773</v>
      </c>
      <c r="AH51" s="172">
        <f t="shared" si="71"/>
        <v>9.3308471014477881E-2</v>
      </c>
      <c r="AI51" s="172">
        <f t="shared" si="71"/>
        <v>8.5729943967730496E-2</v>
      </c>
      <c r="AJ51" s="172">
        <f t="shared" si="71"/>
        <v>7.8766945946095637E-2</v>
      </c>
      <c r="AK51" s="172">
        <f t="shared" si="71"/>
        <v>7.2369483596192247E-2</v>
      </c>
      <c r="AL51" s="172">
        <f t="shared" si="71"/>
        <v>6.6491624031782659E-2</v>
      </c>
      <c r="AM51" s="172">
        <f t="shared" si="71"/>
        <v>6.1091165042064181E-2</v>
      </c>
      <c r="AN51" s="172">
        <f t="shared" si="71"/>
        <v>5.6129332085689251E-2</v>
      </c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</row>
    <row r="52" spans="3:64">
      <c r="D52" s="16"/>
      <c r="E52" s="64" t="s">
        <v>34</v>
      </c>
      <c r="F52" s="172">
        <v>1</v>
      </c>
      <c r="G52" s="172">
        <f t="shared" ref="G52:AN52" si="72">F52/(1+DiscountRateUCT)</f>
        <v>0.91877986034546122</v>
      </c>
      <c r="H52" s="172">
        <f t="shared" si="72"/>
        <v>0.84415643177642519</v>
      </c>
      <c r="I52" s="172">
        <f t="shared" si="72"/>
        <v>0.77559392849726683</v>
      </c>
      <c r="J52" s="172">
        <f t="shared" si="72"/>
        <v>0.71260008130950647</v>
      </c>
      <c r="K52" s="172">
        <f t="shared" si="72"/>
        <v>0.65472260318771269</v>
      </c>
      <c r="L52" s="172">
        <f t="shared" si="72"/>
        <v>0.60154594192182342</v>
      </c>
      <c r="M52" s="172">
        <f t="shared" si="72"/>
        <v>0.55268829651031182</v>
      </c>
      <c r="N52" s="172">
        <f t="shared" si="72"/>
        <v>0.50779887588231509</v>
      </c>
      <c r="O52" s="172">
        <f t="shared" si="72"/>
        <v>0.46655538026673565</v>
      </c>
      <c r="P52" s="172">
        <f t="shared" si="72"/>
        <v>0.42866168712489494</v>
      </c>
      <c r="Q52" s="172">
        <f t="shared" si="72"/>
        <v>0.39384572503206078</v>
      </c>
      <c r="R52" s="172">
        <f t="shared" si="72"/>
        <v>0.36185752024261369</v>
      </c>
      <c r="S52" s="172">
        <f t="shared" si="72"/>
        <v>0.33246740191346352</v>
      </c>
      <c r="T52" s="172">
        <f t="shared" si="72"/>
        <v>0.30546435309947034</v>
      </c>
      <c r="U52" s="172">
        <f t="shared" si="72"/>
        <v>0.28065449568124801</v>
      </c>
      <c r="V52" s="172">
        <f t="shared" si="72"/>
        <v>0.2578596983473429</v>
      </c>
      <c r="W52" s="172">
        <f t="shared" si="72"/>
        <v>0.23691629763629446</v>
      </c>
      <c r="X52" s="172">
        <f t="shared" si="72"/>
        <v>0.21767392285583834</v>
      </c>
      <c r="Y52" s="172">
        <f t="shared" si="72"/>
        <v>0.19999441644233584</v>
      </c>
      <c r="Z52" s="172">
        <f t="shared" si="72"/>
        <v>0.18375084200876132</v>
      </c>
      <c r="AA52" s="172">
        <f t="shared" si="72"/>
        <v>0.16882657295917064</v>
      </c>
      <c r="AB52" s="172">
        <f t="shared" si="72"/>
        <v>0.15511445512602962</v>
      </c>
      <c r="AC52" s="172">
        <f t="shared" si="72"/>
        <v>0.1425160374182558</v>
      </c>
      <c r="AD52" s="172">
        <f t="shared" si="72"/>
        <v>0.13094086495613358</v>
      </c>
      <c r="AE52" s="172">
        <f t="shared" si="72"/>
        <v>0.12030582961791031</v>
      </c>
      <c r="AF52" s="172">
        <f t="shared" si="72"/>
        <v>0.11053457333508848</v>
      </c>
      <c r="AG52" s="172">
        <f t="shared" si="72"/>
        <v>0.10155693985215773</v>
      </c>
      <c r="AH52" s="172">
        <f t="shared" si="72"/>
        <v>9.3308471014477881E-2</v>
      </c>
      <c r="AI52" s="172">
        <f t="shared" si="72"/>
        <v>8.5729943967730496E-2</v>
      </c>
      <c r="AJ52" s="172">
        <f t="shared" si="72"/>
        <v>7.8766945946095637E-2</v>
      </c>
      <c r="AK52" s="172">
        <f t="shared" si="72"/>
        <v>7.2369483596192247E-2</v>
      </c>
      <c r="AL52" s="172">
        <f t="shared" si="72"/>
        <v>6.6491624031782659E-2</v>
      </c>
      <c r="AM52" s="172">
        <f t="shared" si="72"/>
        <v>6.1091165042064181E-2</v>
      </c>
      <c r="AN52" s="172">
        <f t="shared" si="72"/>
        <v>5.6129332085689251E-2</v>
      </c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</row>
    <row r="53" spans="3:64">
      <c r="E53" s="64" t="s">
        <v>35</v>
      </c>
      <c r="F53" s="172">
        <v>1</v>
      </c>
      <c r="G53" s="172">
        <f t="shared" ref="G53:AN53" si="73">F53/(1+DiscountRateSCT)</f>
        <v>0.91877986034546122</v>
      </c>
      <c r="H53" s="172">
        <f t="shared" si="73"/>
        <v>0.84415643177642519</v>
      </c>
      <c r="I53" s="172">
        <f t="shared" si="73"/>
        <v>0.77559392849726683</v>
      </c>
      <c r="J53" s="172">
        <f t="shared" si="73"/>
        <v>0.71260008130950647</v>
      </c>
      <c r="K53" s="172">
        <f t="shared" si="73"/>
        <v>0.65472260318771269</v>
      </c>
      <c r="L53" s="172">
        <f t="shared" si="73"/>
        <v>0.60154594192182342</v>
      </c>
      <c r="M53" s="172">
        <f t="shared" si="73"/>
        <v>0.55268829651031182</v>
      </c>
      <c r="N53" s="172">
        <f t="shared" si="73"/>
        <v>0.50779887588231509</v>
      </c>
      <c r="O53" s="172">
        <f t="shared" si="73"/>
        <v>0.46655538026673565</v>
      </c>
      <c r="P53" s="172">
        <f t="shared" si="73"/>
        <v>0.42866168712489494</v>
      </c>
      <c r="Q53" s="172">
        <f t="shared" si="73"/>
        <v>0.39384572503206078</v>
      </c>
      <c r="R53" s="172">
        <f t="shared" si="73"/>
        <v>0.36185752024261369</v>
      </c>
      <c r="S53" s="172">
        <f t="shared" si="73"/>
        <v>0.33246740191346352</v>
      </c>
      <c r="T53" s="172">
        <f t="shared" si="73"/>
        <v>0.30546435309947034</v>
      </c>
      <c r="U53" s="172">
        <f t="shared" si="73"/>
        <v>0.28065449568124801</v>
      </c>
      <c r="V53" s="172">
        <f t="shared" si="73"/>
        <v>0.2578596983473429</v>
      </c>
      <c r="W53" s="172">
        <f t="shared" si="73"/>
        <v>0.23691629763629446</v>
      </c>
      <c r="X53" s="172">
        <f t="shared" si="73"/>
        <v>0.21767392285583834</v>
      </c>
      <c r="Y53" s="172">
        <f t="shared" si="73"/>
        <v>0.19999441644233584</v>
      </c>
      <c r="Z53" s="172">
        <f t="shared" si="73"/>
        <v>0.18375084200876132</v>
      </c>
      <c r="AA53" s="172">
        <f t="shared" si="73"/>
        <v>0.16882657295917064</v>
      </c>
      <c r="AB53" s="172">
        <f t="shared" si="73"/>
        <v>0.15511445512602962</v>
      </c>
      <c r="AC53" s="172">
        <f t="shared" si="73"/>
        <v>0.1425160374182558</v>
      </c>
      <c r="AD53" s="172">
        <f t="shared" si="73"/>
        <v>0.13094086495613358</v>
      </c>
      <c r="AE53" s="172">
        <f t="shared" si="73"/>
        <v>0.12030582961791031</v>
      </c>
      <c r="AF53" s="172">
        <f t="shared" si="73"/>
        <v>0.11053457333508848</v>
      </c>
      <c r="AG53" s="172">
        <f t="shared" si="73"/>
        <v>0.10155693985215773</v>
      </c>
      <c r="AH53" s="172">
        <f t="shared" si="73"/>
        <v>9.3308471014477881E-2</v>
      </c>
      <c r="AI53" s="172">
        <f t="shared" si="73"/>
        <v>8.5729943967730496E-2</v>
      </c>
      <c r="AJ53" s="172">
        <f t="shared" si="73"/>
        <v>7.8766945946095637E-2</v>
      </c>
      <c r="AK53" s="172">
        <f t="shared" si="73"/>
        <v>7.2369483596192247E-2</v>
      </c>
      <c r="AL53" s="172">
        <f t="shared" si="73"/>
        <v>6.6491624031782659E-2</v>
      </c>
      <c r="AM53" s="172">
        <f t="shared" si="73"/>
        <v>6.1091165042064181E-2</v>
      </c>
      <c r="AN53" s="172">
        <f t="shared" si="73"/>
        <v>5.6129332085689251E-2</v>
      </c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</row>
    <row r="54" spans="3:64">
      <c r="E54" s="64" t="s">
        <v>36</v>
      </c>
      <c r="F54" s="172">
        <v>1</v>
      </c>
      <c r="G54" s="172">
        <f t="shared" ref="G54:AN54" si="74">F54/(1+DiscountRatePCT)</f>
        <v>0.91877986034546122</v>
      </c>
      <c r="H54" s="172">
        <f t="shared" si="74"/>
        <v>0.84415643177642519</v>
      </c>
      <c r="I54" s="172">
        <f t="shared" si="74"/>
        <v>0.77559392849726683</v>
      </c>
      <c r="J54" s="172">
        <f t="shared" si="74"/>
        <v>0.71260008130950647</v>
      </c>
      <c r="K54" s="172">
        <f t="shared" si="74"/>
        <v>0.65472260318771269</v>
      </c>
      <c r="L54" s="172">
        <f t="shared" si="74"/>
        <v>0.60154594192182342</v>
      </c>
      <c r="M54" s="172">
        <f t="shared" si="74"/>
        <v>0.55268829651031182</v>
      </c>
      <c r="N54" s="172">
        <f t="shared" si="74"/>
        <v>0.50779887588231509</v>
      </c>
      <c r="O54" s="172">
        <f t="shared" si="74"/>
        <v>0.46655538026673565</v>
      </c>
      <c r="P54" s="172">
        <f t="shared" si="74"/>
        <v>0.42866168712489494</v>
      </c>
      <c r="Q54" s="172">
        <f t="shared" si="74"/>
        <v>0.39384572503206078</v>
      </c>
      <c r="R54" s="172">
        <f t="shared" si="74"/>
        <v>0.36185752024261369</v>
      </c>
      <c r="S54" s="172">
        <f t="shared" si="74"/>
        <v>0.33246740191346352</v>
      </c>
      <c r="T54" s="172">
        <f t="shared" si="74"/>
        <v>0.30546435309947034</v>
      </c>
      <c r="U54" s="172">
        <f t="shared" si="74"/>
        <v>0.28065449568124801</v>
      </c>
      <c r="V54" s="172">
        <f t="shared" si="74"/>
        <v>0.2578596983473429</v>
      </c>
      <c r="W54" s="172">
        <f t="shared" si="74"/>
        <v>0.23691629763629446</v>
      </c>
      <c r="X54" s="172">
        <f t="shared" si="74"/>
        <v>0.21767392285583834</v>
      </c>
      <c r="Y54" s="172">
        <f t="shared" si="74"/>
        <v>0.19999441644233584</v>
      </c>
      <c r="Z54" s="172">
        <f t="shared" si="74"/>
        <v>0.18375084200876132</v>
      </c>
      <c r="AA54" s="172">
        <f t="shared" si="74"/>
        <v>0.16882657295917064</v>
      </c>
      <c r="AB54" s="172">
        <f t="shared" si="74"/>
        <v>0.15511445512602962</v>
      </c>
      <c r="AC54" s="172">
        <f t="shared" si="74"/>
        <v>0.1425160374182558</v>
      </c>
      <c r="AD54" s="172">
        <f t="shared" si="74"/>
        <v>0.13094086495613358</v>
      </c>
      <c r="AE54" s="172">
        <f t="shared" si="74"/>
        <v>0.12030582961791031</v>
      </c>
      <c r="AF54" s="172">
        <f t="shared" si="74"/>
        <v>0.11053457333508848</v>
      </c>
      <c r="AG54" s="172">
        <f t="shared" si="74"/>
        <v>0.10155693985215773</v>
      </c>
      <c r="AH54" s="172">
        <f t="shared" si="74"/>
        <v>9.3308471014477881E-2</v>
      </c>
      <c r="AI54" s="172">
        <f t="shared" si="74"/>
        <v>8.5729943967730496E-2</v>
      </c>
      <c r="AJ54" s="172">
        <f t="shared" si="74"/>
        <v>7.8766945946095637E-2</v>
      </c>
      <c r="AK54" s="172">
        <f t="shared" si="74"/>
        <v>7.2369483596192247E-2</v>
      </c>
      <c r="AL54" s="172">
        <f t="shared" si="74"/>
        <v>6.6491624031782659E-2</v>
      </c>
      <c r="AM54" s="172">
        <f t="shared" si="74"/>
        <v>6.1091165042064181E-2</v>
      </c>
      <c r="AN54" s="172">
        <f t="shared" si="74"/>
        <v>5.6129332085689251E-2</v>
      </c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</row>
    <row r="55" spans="3:64">
      <c r="E55" s="64" t="s">
        <v>7</v>
      </c>
      <c r="F55" s="172">
        <v>1</v>
      </c>
      <c r="G55" s="172">
        <f t="shared" ref="G55:AN55" si="75">F55/(1+DiscountRateRIM)</f>
        <v>0.91877986034546122</v>
      </c>
      <c r="H55" s="172">
        <f t="shared" si="75"/>
        <v>0.84415643177642519</v>
      </c>
      <c r="I55" s="172">
        <f t="shared" si="75"/>
        <v>0.77559392849726683</v>
      </c>
      <c r="J55" s="172">
        <f t="shared" si="75"/>
        <v>0.71260008130950647</v>
      </c>
      <c r="K55" s="172">
        <f t="shared" si="75"/>
        <v>0.65472260318771269</v>
      </c>
      <c r="L55" s="172">
        <f t="shared" si="75"/>
        <v>0.60154594192182342</v>
      </c>
      <c r="M55" s="172">
        <f t="shared" si="75"/>
        <v>0.55268829651031182</v>
      </c>
      <c r="N55" s="172">
        <f t="shared" si="75"/>
        <v>0.50779887588231509</v>
      </c>
      <c r="O55" s="172">
        <f t="shared" si="75"/>
        <v>0.46655538026673565</v>
      </c>
      <c r="P55" s="172">
        <f t="shared" si="75"/>
        <v>0.42866168712489494</v>
      </c>
      <c r="Q55" s="172">
        <f t="shared" si="75"/>
        <v>0.39384572503206078</v>
      </c>
      <c r="R55" s="172">
        <f t="shared" si="75"/>
        <v>0.36185752024261369</v>
      </c>
      <c r="S55" s="172">
        <f t="shared" si="75"/>
        <v>0.33246740191346352</v>
      </c>
      <c r="T55" s="172">
        <f t="shared" si="75"/>
        <v>0.30546435309947034</v>
      </c>
      <c r="U55" s="172">
        <f t="shared" si="75"/>
        <v>0.28065449568124801</v>
      </c>
      <c r="V55" s="172">
        <f t="shared" si="75"/>
        <v>0.2578596983473429</v>
      </c>
      <c r="W55" s="172">
        <f t="shared" si="75"/>
        <v>0.23691629763629446</v>
      </c>
      <c r="X55" s="172">
        <f t="shared" si="75"/>
        <v>0.21767392285583834</v>
      </c>
      <c r="Y55" s="172">
        <f t="shared" si="75"/>
        <v>0.19999441644233584</v>
      </c>
      <c r="Z55" s="172">
        <f t="shared" si="75"/>
        <v>0.18375084200876132</v>
      </c>
      <c r="AA55" s="172">
        <f t="shared" si="75"/>
        <v>0.16882657295917064</v>
      </c>
      <c r="AB55" s="172">
        <f t="shared" si="75"/>
        <v>0.15511445512602962</v>
      </c>
      <c r="AC55" s="172">
        <f t="shared" si="75"/>
        <v>0.1425160374182558</v>
      </c>
      <c r="AD55" s="172">
        <f t="shared" si="75"/>
        <v>0.13094086495613358</v>
      </c>
      <c r="AE55" s="172">
        <f t="shared" si="75"/>
        <v>0.12030582961791031</v>
      </c>
      <c r="AF55" s="172">
        <f t="shared" si="75"/>
        <v>0.11053457333508848</v>
      </c>
      <c r="AG55" s="172">
        <f t="shared" si="75"/>
        <v>0.10155693985215773</v>
      </c>
      <c r="AH55" s="172">
        <f t="shared" si="75"/>
        <v>9.3308471014477881E-2</v>
      </c>
      <c r="AI55" s="172">
        <f t="shared" si="75"/>
        <v>8.5729943967730496E-2</v>
      </c>
      <c r="AJ55" s="172">
        <f t="shared" si="75"/>
        <v>7.8766945946095637E-2</v>
      </c>
      <c r="AK55" s="172">
        <f t="shared" si="75"/>
        <v>7.2369483596192247E-2</v>
      </c>
      <c r="AL55" s="172">
        <f t="shared" si="75"/>
        <v>6.6491624031782659E-2</v>
      </c>
      <c r="AM55" s="172">
        <f t="shared" si="75"/>
        <v>6.1091165042064181E-2</v>
      </c>
      <c r="AN55" s="172">
        <f t="shared" si="75"/>
        <v>5.6129332085689251E-2</v>
      </c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</row>
    <row r="57" spans="3:64">
      <c r="F57" s="67"/>
    </row>
    <row r="59" spans="3:64">
      <c r="F59" s="67"/>
    </row>
    <row r="67" spans="6:12">
      <c r="F67" s="14"/>
      <c r="G67" s="14"/>
      <c r="H67" s="14"/>
      <c r="I67" s="14"/>
      <c r="J67" s="14"/>
      <c r="K67" s="14"/>
      <c r="L67" s="14"/>
    </row>
  </sheetData>
  <mergeCells count="5">
    <mergeCell ref="B17:B22"/>
    <mergeCell ref="B4:C4"/>
    <mergeCell ref="B5:B8"/>
    <mergeCell ref="B10:B15"/>
    <mergeCell ref="B24:B27"/>
  </mergeCells>
  <pageMargins left="0.7" right="0.7" top="0.75" bottom="0.75" header="0.3" footer="0.3"/>
  <pageSetup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AI104"/>
  <sheetViews>
    <sheetView zoomScale="75" zoomScaleNormal="75" workbookViewId="0">
      <pane xSplit="7" ySplit="3" topLeftCell="H40" activePane="bottomRight" state="frozen"/>
      <selection pane="topRight" activeCell="H1" sqref="H1"/>
      <selection pane="bottomLeft" activeCell="A4" sqref="A4"/>
      <selection pane="bottomRight" activeCell="F107" sqref="F107"/>
    </sheetView>
  </sheetViews>
  <sheetFormatPr defaultRowHeight="15"/>
  <cols>
    <col min="1" max="1" width="3.28515625" customWidth="1"/>
    <col min="2" max="2" width="98" hidden="1" customWidth="1"/>
    <col min="3" max="3" width="12.7109375" customWidth="1"/>
    <col min="4" max="4" width="23" customWidth="1"/>
    <col min="5" max="5" width="15.7109375" customWidth="1"/>
    <col min="6" max="6" width="11.42578125" bestFit="1" customWidth="1"/>
    <col min="7" max="7" width="64.140625" bestFit="1" customWidth="1"/>
    <col min="8" max="12" width="12.7109375" customWidth="1"/>
    <col min="13" max="13" width="7.7109375" customWidth="1"/>
    <col min="14" max="15" width="12.7109375" customWidth="1"/>
    <col min="16" max="16" width="3.28515625" customWidth="1"/>
    <col min="17" max="20" width="12.7109375" customWidth="1"/>
    <col min="21" max="21" width="3.28515625" customWidth="1"/>
    <col min="22" max="29" width="12.7109375" customWidth="1"/>
    <col min="30" max="30" width="3.28515625" customWidth="1"/>
    <col min="31" max="35" width="12.7109375" customWidth="1"/>
  </cols>
  <sheetData>
    <row r="2" spans="2:35">
      <c r="B2" s="222"/>
      <c r="C2" s="222"/>
      <c r="D2" s="222"/>
      <c r="E2" s="222"/>
      <c r="F2" s="222"/>
      <c r="G2" s="222"/>
      <c r="H2" s="826" t="s">
        <v>8</v>
      </c>
      <c r="I2" s="827"/>
      <c r="J2" s="827"/>
      <c r="K2" s="827"/>
      <c r="L2" s="828"/>
      <c r="N2" s="222"/>
      <c r="O2" s="222"/>
      <c r="Q2" s="829" t="s">
        <v>330</v>
      </c>
      <c r="R2" s="829"/>
      <c r="S2" s="829"/>
      <c r="T2" s="829"/>
      <c r="V2" s="826" t="s">
        <v>331</v>
      </c>
      <c r="W2" s="827"/>
      <c r="X2" s="827"/>
      <c r="Y2" s="827"/>
      <c r="Z2" s="827"/>
      <c r="AA2" s="827"/>
      <c r="AB2" s="827"/>
      <c r="AC2" s="828"/>
      <c r="AE2" s="222"/>
      <c r="AF2" s="222"/>
      <c r="AG2" s="222"/>
      <c r="AH2" s="222"/>
      <c r="AI2" s="222"/>
    </row>
    <row r="3" spans="2:35" ht="30">
      <c r="B3" s="223" t="s">
        <v>10</v>
      </c>
      <c r="C3" s="223" t="s">
        <v>4</v>
      </c>
      <c r="D3" s="223" t="s">
        <v>6</v>
      </c>
      <c r="E3" s="223" t="s">
        <v>177</v>
      </c>
      <c r="F3" s="223" t="s">
        <v>211</v>
      </c>
      <c r="G3" s="223" t="s">
        <v>3</v>
      </c>
      <c r="H3" s="224" t="s">
        <v>332</v>
      </c>
      <c r="I3" s="224" t="s">
        <v>333</v>
      </c>
      <c r="J3" s="224" t="s">
        <v>327</v>
      </c>
      <c r="K3" s="224" t="s">
        <v>334</v>
      </c>
      <c r="L3" s="224" t="s">
        <v>335</v>
      </c>
      <c r="N3" s="224" t="s">
        <v>0</v>
      </c>
      <c r="O3" s="224" t="s">
        <v>9</v>
      </c>
      <c r="Q3" s="224" t="s">
        <v>26</v>
      </c>
      <c r="R3" s="224" t="s">
        <v>318</v>
      </c>
      <c r="S3" s="224" t="s">
        <v>27</v>
      </c>
      <c r="T3" s="224" t="s">
        <v>328</v>
      </c>
      <c r="V3" s="224" t="s">
        <v>336</v>
      </c>
      <c r="W3" s="224" t="s">
        <v>337</v>
      </c>
      <c r="X3" s="224" t="s">
        <v>338</v>
      </c>
      <c r="Y3" s="224" t="s">
        <v>339</v>
      </c>
      <c r="Z3" s="224" t="s">
        <v>340</v>
      </c>
      <c r="AA3" s="224" t="s">
        <v>341</v>
      </c>
      <c r="AB3" s="224" t="s">
        <v>342</v>
      </c>
      <c r="AC3" s="224" t="s">
        <v>343</v>
      </c>
      <c r="AE3" s="224" t="s">
        <v>329</v>
      </c>
      <c r="AF3" s="224" t="s">
        <v>144</v>
      </c>
      <c r="AG3" s="224" t="s">
        <v>32</v>
      </c>
      <c r="AH3" s="224" t="s">
        <v>319</v>
      </c>
      <c r="AI3" s="224" t="s">
        <v>320</v>
      </c>
    </row>
    <row r="4" spans="2:35">
      <c r="B4" s="225" t="str">
        <f t="shared" ref="B4" si="0">C4&amp;"_"&amp;D4&amp;"_"&amp;E4&amp;"_"&amp;G4</f>
        <v>Residential_Residential Lighting_0_Residential Lighting</v>
      </c>
      <c r="C4" s="225" t="s">
        <v>2</v>
      </c>
      <c r="D4" s="225" t="s">
        <v>249</v>
      </c>
      <c r="E4" s="225">
        <v>0</v>
      </c>
      <c r="F4" s="225">
        <v>0</v>
      </c>
      <c r="G4" s="225" t="s">
        <v>249</v>
      </c>
      <c r="H4" s="226">
        <v>3510</v>
      </c>
      <c r="I4" s="226">
        <v>4560</v>
      </c>
      <c r="J4" s="227">
        <f>IF(H4&lt;&gt;0, I4/H4-1, 0)</f>
        <v>0.29914529914529919</v>
      </c>
      <c r="K4" s="228"/>
      <c r="L4" s="228"/>
      <c r="N4" s="225">
        <v>0</v>
      </c>
      <c r="O4" s="225">
        <v>0</v>
      </c>
      <c r="Q4" s="229">
        <v>0</v>
      </c>
      <c r="R4" s="229">
        <v>0</v>
      </c>
      <c r="S4" s="230">
        <v>0</v>
      </c>
      <c r="T4" s="230">
        <v>0</v>
      </c>
      <c r="V4" s="231">
        <f>SUM(V5:V7)</f>
        <v>152003.5</v>
      </c>
      <c r="W4" s="231">
        <f t="shared" ref="W4:AC4" si="1">SUM(W5:W7)</f>
        <v>193950.86</v>
      </c>
      <c r="X4" s="232">
        <f t="shared" si="1"/>
        <v>17.889344368074063</v>
      </c>
      <c r="Y4" s="232">
        <f t="shared" si="1"/>
        <v>22.821440368074065</v>
      </c>
      <c r="Z4" s="231">
        <f t="shared" si="1"/>
        <v>82509.247099999993</v>
      </c>
      <c r="AA4" s="231">
        <f t="shared" si="1"/>
        <v>0</v>
      </c>
      <c r="AB4" s="232">
        <f t="shared" si="1"/>
        <v>9.7012905600000003</v>
      </c>
      <c r="AC4" s="232">
        <f t="shared" si="1"/>
        <v>0</v>
      </c>
      <c r="AE4" s="233">
        <v>0</v>
      </c>
      <c r="AF4" s="233">
        <v>0</v>
      </c>
      <c r="AG4" s="234">
        <f>SUM(AH4:AI4)</f>
        <v>0</v>
      </c>
      <c r="AH4" s="233">
        <v>0</v>
      </c>
      <c r="AI4" s="233">
        <v>0</v>
      </c>
    </row>
    <row r="5" spans="2:35">
      <c r="B5" s="211" t="str">
        <f>C5&amp;"_"&amp;D5&amp;"_"&amp;E5&amp;"_"&amp;G5</f>
        <v>Residential_Residential Lighting_0_LED</v>
      </c>
      <c r="C5" s="211" t="s">
        <v>2</v>
      </c>
      <c r="D5" s="211" t="s">
        <v>249</v>
      </c>
      <c r="E5" s="211">
        <v>0</v>
      </c>
      <c r="F5" s="211">
        <v>0</v>
      </c>
      <c r="G5" s="211" t="s">
        <v>216</v>
      </c>
      <c r="H5" s="212">
        <v>3000</v>
      </c>
      <c r="I5" s="212">
        <v>4000</v>
      </c>
      <c r="J5" s="213">
        <f t="shared" ref="J5:J68" si="2">IF(H5&lt;&gt;0, I5/H5-1, 0)</f>
        <v>0.33333333333333326</v>
      </c>
      <c r="K5" s="235">
        <v>1835</v>
      </c>
      <c r="L5" s="235"/>
      <c r="N5" s="211">
        <v>10</v>
      </c>
      <c r="O5" s="211">
        <v>0</v>
      </c>
      <c r="Q5" s="214">
        <v>38.317299999999996</v>
      </c>
      <c r="R5" s="214">
        <v>0</v>
      </c>
      <c r="S5" s="215">
        <v>4.5052799999999995E-3</v>
      </c>
      <c r="T5" s="215">
        <v>0</v>
      </c>
      <c r="V5" s="236">
        <f t="shared" ref="V5:W68" si="3">$Q5*H5</f>
        <v>114951.9</v>
      </c>
      <c r="W5" s="236">
        <f t="shared" si="3"/>
        <v>153269.19999999998</v>
      </c>
      <c r="X5" s="237">
        <f t="shared" ref="X5:Y68" si="4">$S5*H5</f>
        <v>13.515839999999999</v>
      </c>
      <c r="Y5" s="237">
        <f t="shared" si="4"/>
        <v>18.02112</v>
      </c>
      <c r="Z5" s="236">
        <f t="shared" ref="Z5:AA68" si="5">$Q5*K5</f>
        <v>70312.24549999999</v>
      </c>
      <c r="AA5" s="236">
        <f t="shared" si="5"/>
        <v>0</v>
      </c>
      <c r="AB5" s="237">
        <f t="shared" ref="AB5:AC68" si="6">$S5*K5</f>
        <v>8.2671887999999996</v>
      </c>
      <c r="AC5" s="237">
        <f t="shared" si="6"/>
        <v>0</v>
      </c>
      <c r="AE5" s="216">
        <v>10</v>
      </c>
      <c r="AF5" s="216">
        <v>0</v>
      </c>
      <c r="AG5" s="217">
        <f t="shared" ref="AG5:AG68" si="7">SUM(AH5:AI5)</f>
        <v>5</v>
      </c>
      <c r="AH5" s="216">
        <v>0</v>
      </c>
      <c r="AI5" s="216">
        <v>5</v>
      </c>
    </row>
    <row r="6" spans="2:35">
      <c r="B6" s="211" t="str">
        <f t="shared" ref="B6:B69" si="8">C6&amp;"_"&amp;D6&amp;"_"&amp;E6&amp;"_"&amp;G6</f>
        <v>Residential_Residential Lighting_0_ENERGY STAR Fixture</v>
      </c>
      <c r="C6" s="211" t="s">
        <v>2</v>
      </c>
      <c r="D6" s="211" t="s">
        <v>249</v>
      </c>
      <c r="E6" s="211">
        <v>0</v>
      </c>
      <c r="F6" s="211">
        <v>0</v>
      </c>
      <c r="G6" s="211" t="s">
        <v>257</v>
      </c>
      <c r="H6" s="212">
        <v>500</v>
      </c>
      <c r="I6" s="212">
        <v>550</v>
      </c>
      <c r="J6" s="213">
        <f t="shared" si="2"/>
        <v>0.10000000000000009</v>
      </c>
      <c r="K6" s="235">
        <v>168</v>
      </c>
      <c r="L6" s="235"/>
      <c r="N6" s="211">
        <v>9.4</v>
      </c>
      <c r="O6" s="211">
        <v>0</v>
      </c>
      <c r="Q6" s="214">
        <v>72.601199999999992</v>
      </c>
      <c r="R6" s="214">
        <v>0</v>
      </c>
      <c r="S6" s="215">
        <v>8.53632E-3</v>
      </c>
      <c r="T6" s="215">
        <v>0</v>
      </c>
      <c r="V6" s="236">
        <f t="shared" si="3"/>
        <v>36300.6</v>
      </c>
      <c r="W6" s="236">
        <f t="shared" si="3"/>
        <v>39930.659999999996</v>
      </c>
      <c r="X6" s="237">
        <f t="shared" si="4"/>
        <v>4.26816</v>
      </c>
      <c r="Y6" s="237">
        <f t="shared" si="4"/>
        <v>4.6949759999999996</v>
      </c>
      <c r="Z6" s="236">
        <f t="shared" si="5"/>
        <v>12197.001599999998</v>
      </c>
      <c r="AA6" s="236">
        <f t="shared" si="5"/>
        <v>0</v>
      </c>
      <c r="AB6" s="237">
        <f t="shared" si="6"/>
        <v>1.4341017599999999</v>
      </c>
      <c r="AC6" s="237">
        <f t="shared" si="6"/>
        <v>0</v>
      </c>
      <c r="AE6" s="216">
        <v>15</v>
      </c>
      <c r="AF6" s="216">
        <v>0</v>
      </c>
      <c r="AG6" s="217">
        <f t="shared" si="7"/>
        <v>10</v>
      </c>
      <c r="AH6" s="216">
        <v>0</v>
      </c>
      <c r="AI6" s="216">
        <v>10</v>
      </c>
    </row>
    <row r="7" spans="2:35">
      <c r="B7" s="211" t="str">
        <f t="shared" si="8"/>
        <v>Residential_Residential Lighting_0_Advanced Power Strip</v>
      </c>
      <c r="C7" s="211" t="s">
        <v>2</v>
      </c>
      <c r="D7" s="211" t="s">
        <v>249</v>
      </c>
      <c r="E7" s="211">
        <v>0</v>
      </c>
      <c r="F7" s="211">
        <v>0</v>
      </c>
      <c r="G7" s="211" t="s">
        <v>258</v>
      </c>
      <c r="H7" s="212">
        <v>10</v>
      </c>
      <c r="I7" s="212">
        <v>10</v>
      </c>
      <c r="J7" s="213">
        <f t="shared" si="2"/>
        <v>0</v>
      </c>
      <c r="K7" s="235">
        <v>0</v>
      </c>
      <c r="L7" s="235"/>
      <c r="N7" s="211">
        <v>10</v>
      </c>
      <c r="O7" s="211">
        <v>0</v>
      </c>
      <c r="Q7" s="214">
        <v>75.099999999999994</v>
      </c>
      <c r="R7" s="214">
        <v>0</v>
      </c>
      <c r="S7" s="215">
        <v>1.0534436807406367E-2</v>
      </c>
      <c r="T7" s="215">
        <v>0</v>
      </c>
      <c r="V7" s="236">
        <f t="shared" si="3"/>
        <v>751</v>
      </c>
      <c r="W7" s="236">
        <f t="shared" si="3"/>
        <v>751</v>
      </c>
      <c r="X7" s="237">
        <f t="shared" si="4"/>
        <v>0.10534436807406367</v>
      </c>
      <c r="Y7" s="237">
        <f t="shared" si="4"/>
        <v>0.10534436807406367</v>
      </c>
      <c r="Z7" s="236">
        <f t="shared" si="5"/>
        <v>0</v>
      </c>
      <c r="AA7" s="236">
        <f t="shared" si="5"/>
        <v>0</v>
      </c>
      <c r="AB7" s="237">
        <f t="shared" si="6"/>
        <v>0</v>
      </c>
      <c r="AC7" s="237">
        <f t="shared" si="6"/>
        <v>0</v>
      </c>
      <c r="AE7" s="216">
        <v>20</v>
      </c>
      <c r="AF7" s="216">
        <v>0</v>
      </c>
      <c r="AG7" s="217">
        <f t="shared" si="7"/>
        <v>10</v>
      </c>
      <c r="AH7" s="216">
        <v>0</v>
      </c>
      <c r="AI7" s="216">
        <v>10</v>
      </c>
    </row>
    <row r="8" spans="2:35">
      <c r="B8" s="225" t="str">
        <f t="shared" si="8"/>
        <v>Residential_Appliance Recycling_0_Appliance Recycling</v>
      </c>
      <c r="C8" s="225" t="s">
        <v>2</v>
      </c>
      <c r="D8" s="225" t="s">
        <v>120</v>
      </c>
      <c r="E8" s="225">
        <v>0</v>
      </c>
      <c r="F8" s="225">
        <v>0</v>
      </c>
      <c r="G8" s="225" t="s">
        <v>120</v>
      </c>
      <c r="H8" s="226">
        <v>115</v>
      </c>
      <c r="I8" s="226">
        <v>145</v>
      </c>
      <c r="J8" s="227">
        <f t="shared" si="2"/>
        <v>0.26086956521739135</v>
      </c>
      <c r="K8" s="228"/>
      <c r="L8" s="228"/>
      <c r="N8" s="225">
        <v>0</v>
      </c>
      <c r="O8" s="225">
        <v>0</v>
      </c>
      <c r="Q8" s="229">
        <v>0</v>
      </c>
      <c r="R8" s="229">
        <v>0</v>
      </c>
      <c r="S8" s="230">
        <v>0</v>
      </c>
      <c r="T8" s="230">
        <v>0</v>
      </c>
      <c r="V8" s="231">
        <f>SUM(V9:V11)</f>
        <v>81399.899999999994</v>
      </c>
      <c r="W8" s="231">
        <f t="shared" ref="W8:AC8" si="9">SUM(W9:W11)</f>
        <v>100479.37</v>
      </c>
      <c r="X8" s="232">
        <f t="shared" si="9"/>
        <v>9.3732230123625229</v>
      </c>
      <c r="Y8" s="232">
        <f t="shared" si="9"/>
        <v>11.575543797349816</v>
      </c>
      <c r="Z8" s="231">
        <f t="shared" si="9"/>
        <v>95939</v>
      </c>
      <c r="AA8" s="231">
        <f t="shared" si="9"/>
        <v>0</v>
      </c>
      <c r="AB8" s="232">
        <f t="shared" si="9"/>
        <v>10.951940639269406</v>
      </c>
      <c r="AC8" s="232">
        <f t="shared" si="9"/>
        <v>0</v>
      </c>
      <c r="AE8" s="233">
        <v>0</v>
      </c>
      <c r="AF8" s="233">
        <v>0</v>
      </c>
      <c r="AG8" s="234">
        <f t="shared" si="7"/>
        <v>0</v>
      </c>
      <c r="AH8" s="233">
        <v>0</v>
      </c>
      <c r="AI8" s="233">
        <v>0</v>
      </c>
    </row>
    <row r="9" spans="2:35">
      <c r="B9" s="211" t="str">
        <f t="shared" si="8"/>
        <v>Residential_Appliance Recycling_0_Refrigerator Recycle</v>
      </c>
      <c r="C9" s="211" t="s">
        <v>2</v>
      </c>
      <c r="D9" s="211" t="s">
        <v>120</v>
      </c>
      <c r="E9" s="211">
        <v>0</v>
      </c>
      <c r="F9" s="211">
        <v>0</v>
      </c>
      <c r="G9" s="211" t="s">
        <v>213</v>
      </c>
      <c r="H9" s="212">
        <v>40</v>
      </c>
      <c r="I9" s="212">
        <v>50</v>
      </c>
      <c r="J9" s="213">
        <f t="shared" si="2"/>
        <v>0.25</v>
      </c>
      <c r="K9" s="235">
        <v>71</v>
      </c>
      <c r="L9" s="235"/>
      <c r="N9" s="211">
        <v>8</v>
      </c>
      <c r="O9" s="211">
        <v>0</v>
      </c>
      <c r="Q9" s="214">
        <v>1289</v>
      </c>
      <c r="R9" s="214">
        <v>0</v>
      </c>
      <c r="S9" s="215">
        <v>0.14714611872146119</v>
      </c>
      <c r="T9" s="215">
        <v>0</v>
      </c>
      <c r="V9" s="236">
        <f t="shared" si="3"/>
        <v>51560</v>
      </c>
      <c r="W9" s="236">
        <f t="shared" si="3"/>
        <v>64450</v>
      </c>
      <c r="X9" s="237">
        <f t="shared" si="4"/>
        <v>5.8858447488584478</v>
      </c>
      <c r="Y9" s="237">
        <f t="shared" si="4"/>
        <v>7.3573059360730593</v>
      </c>
      <c r="Z9" s="236">
        <f t="shared" si="5"/>
        <v>91519</v>
      </c>
      <c r="AA9" s="236">
        <f t="shared" si="5"/>
        <v>0</v>
      </c>
      <c r="AB9" s="237">
        <f t="shared" si="6"/>
        <v>10.447374429223744</v>
      </c>
      <c r="AC9" s="237">
        <f t="shared" si="6"/>
        <v>0</v>
      </c>
      <c r="AE9" s="216">
        <v>93</v>
      </c>
      <c r="AF9" s="216">
        <v>0</v>
      </c>
      <c r="AG9" s="217">
        <f t="shared" si="7"/>
        <v>75</v>
      </c>
      <c r="AH9" s="216">
        <v>25</v>
      </c>
      <c r="AI9" s="216">
        <v>50</v>
      </c>
    </row>
    <row r="10" spans="2:35">
      <c r="B10" s="211" t="str">
        <f t="shared" si="8"/>
        <v>Residential_Appliance Recycling_0_Recycle and Replace - ENERGY STAR Refrigerator</v>
      </c>
      <c r="C10" s="211" t="s">
        <v>2</v>
      </c>
      <c r="D10" s="211" t="s">
        <v>120</v>
      </c>
      <c r="E10" s="211">
        <v>0</v>
      </c>
      <c r="F10" s="211">
        <v>0</v>
      </c>
      <c r="G10" s="211" t="s">
        <v>259</v>
      </c>
      <c r="H10" s="212">
        <v>50</v>
      </c>
      <c r="I10" s="212">
        <v>65</v>
      </c>
      <c r="J10" s="213">
        <f t="shared" si="2"/>
        <v>0.30000000000000004</v>
      </c>
      <c r="K10" s="235">
        <v>0</v>
      </c>
      <c r="L10" s="235"/>
      <c r="N10" s="211">
        <v>12</v>
      </c>
      <c r="O10" s="211">
        <v>4</v>
      </c>
      <c r="Q10" s="214">
        <v>44.298000000000002</v>
      </c>
      <c r="R10" s="214">
        <v>416.892</v>
      </c>
      <c r="S10" s="215">
        <v>6.6767890143737156E-3</v>
      </c>
      <c r="T10" s="215">
        <v>6.2835792265571525E-2</v>
      </c>
      <c r="V10" s="236">
        <f t="shared" si="3"/>
        <v>2214.9</v>
      </c>
      <c r="W10" s="236">
        <f t="shared" si="3"/>
        <v>2879.37</v>
      </c>
      <c r="X10" s="237">
        <f t="shared" si="4"/>
        <v>0.33383945071868576</v>
      </c>
      <c r="Y10" s="237">
        <f t="shared" si="4"/>
        <v>0.43399128593429154</v>
      </c>
      <c r="Z10" s="236">
        <f t="shared" si="5"/>
        <v>0</v>
      </c>
      <c r="AA10" s="236">
        <f t="shared" si="5"/>
        <v>0</v>
      </c>
      <c r="AB10" s="237">
        <f t="shared" si="6"/>
        <v>0</v>
      </c>
      <c r="AC10" s="237">
        <f t="shared" si="6"/>
        <v>0</v>
      </c>
      <c r="AE10" s="216">
        <v>451</v>
      </c>
      <c r="AF10" s="216">
        <v>390</v>
      </c>
      <c r="AG10" s="217">
        <f t="shared" si="7"/>
        <v>100</v>
      </c>
      <c r="AH10" s="216">
        <v>25</v>
      </c>
      <c r="AI10" s="216">
        <v>75</v>
      </c>
    </row>
    <row r="11" spans="2:35">
      <c r="B11" s="211" t="str">
        <f t="shared" si="8"/>
        <v>Residential_Appliance Recycling_0_Freezer Recycle</v>
      </c>
      <c r="C11" s="211" t="s">
        <v>2</v>
      </c>
      <c r="D11" s="211" t="s">
        <v>120</v>
      </c>
      <c r="E11" s="211">
        <v>0</v>
      </c>
      <c r="F11" s="211">
        <v>0</v>
      </c>
      <c r="G11" s="211" t="s">
        <v>212</v>
      </c>
      <c r="H11" s="212">
        <v>25</v>
      </c>
      <c r="I11" s="212">
        <v>30</v>
      </c>
      <c r="J11" s="213">
        <f t="shared" si="2"/>
        <v>0.19999999999999996</v>
      </c>
      <c r="K11" s="235">
        <v>4</v>
      </c>
      <c r="L11" s="235"/>
      <c r="N11" s="211">
        <v>8</v>
      </c>
      <c r="O11" s="211">
        <v>0</v>
      </c>
      <c r="Q11" s="214">
        <v>1105</v>
      </c>
      <c r="R11" s="214">
        <v>0</v>
      </c>
      <c r="S11" s="215">
        <v>0.12614155251141554</v>
      </c>
      <c r="T11" s="215">
        <v>0</v>
      </c>
      <c r="V11" s="236">
        <f t="shared" si="3"/>
        <v>27625</v>
      </c>
      <c r="W11" s="236">
        <f t="shared" si="3"/>
        <v>33150</v>
      </c>
      <c r="X11" s="237">
        <f t="shared" si="4"/>
        <v>3.1535388127853885</v>
      </c>
      <c r="Y11" s="237">
        <f t="shared" si="4"/>
        <v>3.7842465753424661</v>
      </c>
      <c r="Z11" s="236">
        <f t="shared" si="5"/>
        <v>4420</v>
      </c>
      <c r="AA11" s="236">
        <f t="shared" si="5"/>
        <v>0</v>
      </c>
      <c r="AB11" s="237">
        <f t="shared" si="6"/>
        <v>0.50456621004566216</v>
      </c>
      <c r="AC11" s="237">
        <f t="shared" si="6"/>
        <v>0</v>
      </c>
      <c r="AE11" s="216">
        <v>93</v>
      </c>
      <c r="AF11" s="216">
        <v>0</v>
      </c>
      <c r="AG11" s="217">
        <f t="shared" si="7"/>
        <v>75</v>
      </c>
      <c r="AH11" s="216">
        <v>25</v>
      </c>
      <c r="AI11" s="216">
        <v>50</v>
      </c>
    </row>
    <row r="12" spans="2:35">
      <c r="B12" s="225" t="str">
        <f t="shared" si="8"/>
        <v>Residential_High Efficiency HVAC_0_High Efficiency HVAC</v>
      </c>
      <c r="C12" s="225" t="s">
        <v>2</v>
      </c>
      <c r="D12" s="225" t="s">
        <v>250</v>
      </c>
      <c r="E12" s="225">
        <v>0</v>
      </c>
      <c r="F12" s="225">
        <v>0</v>
      </c>
      <c r="G12" s="225" t="s">
        <v>250</v>
      </c>
      <c r="H12" s="226">
        <v>125</v>
      </c>
      <c r="I12" s="226">
        <v>164</v>
      </c>
      <c r="J12" s="227">
        <f t="shared" si="2"/>
        <v>0.31200000000000006</v>
      </c>
      <c r="K12" s="228"/>
      <c r="L12" s="228"/>
      <c r="N12" s="225">
        <v>0</v>
      </c>
      <c r="O12" s="225">
        <v>0</v>
      </c>
      <c r="Q12" s="229">
        <v>0</v>
      </c>
      <c r="R12" s="229">
        <v>0</v>
      </c>
      <c r="S12" s="230">
        <v>0</v>
      </c>
      <c r="T12" s="230">
        <v>0</v>
      </c>
      <c r="V12" s="231">
        <f>SUM(V13:V23)</f>
        <v>193823.81275965981</v>
      </c>
      <c r="W12" s="231">
        <f t="shared" ref="W12:AC12" si="10">SUM(W13:W23)</f>
        <v>324063.39840716554</v>
      </c>
      <c r="X12" s="232">
        <f t="shared" si="10"/>
        <v>68.919252126499742</v>
      </c>
      <c r="Y12" s="232">
        <f t="shared" si="10"/>
        <v>116.38277020375556</v>
      </c>
      <c r="Z12" s="231">
        <f t="shared" si="10"/>
        <v>112570.33872503253</v>
      </c>
      <c r="AA12" s="231">
        <f t="shared" si="10"/>
        <v>0</v>
      </c>
      <c r="AB12" s="232">
        <f t="shared" si="10"/>
        <v>40.423081250470943</v>
      </c>
      <c r="AC12" s="232">
        <f t="shared" si="10"/>
        <v>0</v>
      </c>
      <c r="AE12" s="233">
        <v>0</v>
      </c>
      <c r="AF12" s="233">
        <v>0</v>
      </c>
      <c r="AG12" s="234">
        <f t="shared" si="7"/>
        <v>0</v>
      </c>
      <c r="AH12" s="233">
        <v>0</v>
      </c>
      <c r="AI12" s="233">
        <v>0</v>
      </c>
    </row>
    <row r="13" spans="2:35">
      <c r="B13" s="211" t="str">
        <f t="shared" si="8"/>
        <v>Residential_High Efficiency HVAC_0_Heat Pump SEER ≥15, EER ≥12.5, HSPF ≥8.5</v>
      </c>
      <c r="C13" s="211" t="s">
        <v>2</v>
      </c>
      <c r="D13" s="211" t="s">
        <v>250</v>
      </c>
      <c r="E13" s="211">
        <v>0</v>
      </c>
      <c r="F13" s="211">
        <v>0</v>
      </c>
      <c r="G13" s="211" t="s">
        <v>522</v>
      </c>
      <c r="H13" s="212">
        <v>50</v>
      </c>
      <c r="I13" s="212">
        <v>60</v>
      </c>
      <c r="J13" s="213">
        <f t="shared" si="2"/>
        <v>0.19999999999999996</v>
      </c>
      <c r="K13" s="235">
        <v>13</v>
      </c>
      <c r="L13" s="235"/>
      <c r="N13" s="211">
        <v>18</v>
      </c>
      <c r="O13" s="211">
        <v>0</v>
      </c>
      <c r="Q13" s="214">
        <v>478.80491904078809</v>
      </c>
      <c r="R13" s="214">
        <v>0</v>
      </c>
      <c r="S13" s="215">
        <v>0.49290935176731493</v>
      </c>
      <c r="T13" s="215">
        <v>0</v>
      </c>
      <c r="V13" s="236">
        <f t="shared" si="3"/>
        <v>23940.245952039404</v>
      </c>
      <c r="W13" s="236">
        <f t="shared" si="3"/>
        <v>28728.295142447285</v>
      </c>
      <c r="X13" s="237">
        <f t="shared" si="4"/>
        <v>24.645467588365747</v>
      </c>
      <c r="Y13" s="237">
        <f t="shared" si="4"/>
        <v>29.574561106038896</v>
      </c>
      <c r="Z13" s="236">
        <f t="shared" si="5"/>
        <v>6224.4639475302456</v>
      </c>
      <c r="AA13" s="236">
        <f t="shared" si="5"/>
        <v>0</v>
      </c>
      <c r="AB13" s="237">
        <f t="shared" si="6"/>
        <v>6.4078215729750942</v>
      </c>
      <c r="AC13" s="237">
        <f t="shared" si="6"/>
        <v>0</v>
      </c>
      <c r="AE13" s="216">
        <v>293.80824805778059</v>
      </c>
      <c r="AF13" s="216">
        <v>0</v>
      </c>
      <c r="AG13" s="217">
        <f t="shared" si="7"/>
        <v>275</v>
      </c>
      <c r="AH13" s="216">
        <v>50</v>
      </c>
      <c r="AI13" s="216">
        <v>225</v>
      </c>
    </row>
    <row r="14" spans="2:35">
      <c r="B14" s="211" t="str">
        <f t="shared" si="8"/>
        <v>Residential_High Efficiency HVAC_0_Early Retirement Heat Pump SEER ≥15, EER ≥12.5, HSPF ≥8.5</v>
      </c>
      <c r="C14" s="211" t="s">
        <v>2</v>
      </c>
      <c r="D14" s="211" t="s">
        <v>250</v>
      </c>
      <c r="E14" s="211">
        <v>0</v>
      </c>
      <c r="F14" s="211">
        <v>0</v>
      </c>
      <c r="G14" s="211" t="s">
        <v>519</v>
      </c>
      <c r="H14" s="212">
        <v>5</v>
      </c>
      <c r="I14" s="212">
        <v>8</v>
      </c>
      <c r="J14" s="213">
        <f t="shared" si="2"/>
        <v>0.60000000000000009</v>
      </c>
      <c r="K14" s="235">
        <v>3</v>
      </c>
      <c r="L14" s="235"/>
      <c r="N14" s="211">
        <v>18</v>
      </c>
      <c r="O14" s="211">
        <v>8</v>
      </c>
      <c r="Q14" s="214">
        <v>478.80491904078809</v>
      </c>
      <c r="R14" s="214">
        <v>3288.776470588236</v>
      </c>
      <c r="S14" s="215">
        <v>0.49290935176731493</v>
      </c>
      <c r="T14" s="215">
        <v>1.8826803069053712</v>
      </c>
      <c r="V14" s="236">
        <f t="shared" si="3"/>
        <v>2394.0245952039404</v>
      </c>
      <c r="W14" s="236">
        <f t="shared" si="3"/>
        <v>3830.4393523263047</v>
      </c>
      <c r="X14" s="237">
        <f t="shared" si="4"/>
        <v>2.4645467588365748</v>
      </c>
      <c r="Y14" s="237">
        <f t="shared" si="4"/>
        <v>3.9432748141385194</v>
      </c>
      <c r="Z14" s="236">
        <f t="shared" si="5"/>
        <v>1436.4147571223643</v>
      </c>
      <c r="AA14" s="236">
        <f t="shared" si="5"/>
        <v>0</v>
      </c>
      <c r="AB14" s="237">
        <f t="shared" si="6"/>
        <v>1.4787280553019448</v>
      </c>
      <c r="AC14" s="237">
        <f t="shared" si="6"/>
        <v>0</v>
      </c>
      <c r="AE14" s="216">
        <v>2480.1501390380126</v>
      </c>
      <c r="AF14" s="216">
        <v>2186.3418909802322</v>
      </c>
      <c r="AG14" s="217">
        <f t="shared" si="7"/>
        <v>650</v>
      </c>
      <c r="AH14" s="216">
        <v>50</v>
      </c>
      <c r="AI14" s="216">
        <v>600</v>
      </c>
    </row>
    <row r="15" spans="2:35">
      <c r="B15" s="211" t="str">
        <f t="shared" si="8"/>
        <v>Residential_High Efficiency HVAC_0_Heat Pump SEER ≥15, EER ≥12.5, HSPF ≥8.5 Replace Electric Furnace</v>
      </c>
      <c r="C15" s="211" t="s">
        <v>2</v>
      </c>
      <c r="D15" s="211" t="s">
        <v>250</v>
      </c>
      <c r="E15" s="211">
        <v>0</v>
      </c>
      <c r="F15" s="211">
        <v>0</v>
      </c>
      <c r="G15" s="211" t="s">
        <v>520</v>
      </c>
      <c r="H15" s="212">
        <v>3</v>
      </c>
      <c r="I15" s="212">
        <v>8</v>
      </c>
      <c r="J15" s="213">
        <f t="shared" si="2"/>
        <v>1.6666666666666665</v>
      </c>
      <c r="K15" s="235">
        <v>4</v>
      </c>
      <c r="L15" s="235"/>
      <c r="N15" s="211">
        <v>18</v>
      </c>
      <c r="O15" s="211">
        <v>0</v>
      </c>
      <c r="Q15" s="214">
        <v>15606.435647085358</v>
      </c>
      <c r="R15" s="214">
        <v>0</v>
      </c>
      <c r="S15" s="215">
        <v>5.5789323390082393</v>
      </c>
      <c r="T15" s="215">
        <v>0</v>
      </c>
      <c r="V15" s="236">
        <f t="shared" si="3"/>
        <v>46819.306941256073</v>
      </c>
      <c r="W15" s="236">
        <f t="shared" si="3"/>
        <v>124851.48517668287</v>
      </c>
      <c r="X15" s="237">
        <f t="shared" si="4"/>
        <v>16.736797017024717</v>
      </c>
      <c r="Y15" s="237">
        <f t="shared" si="4"/>
        <v>44.631458712065914</v>
      </c>
      <c r="Z15" s="236">
        <f t="shared" si="5"/>
        <v>62425.742588341433</v>
      </c>
      <c r="AA15" s="236">
        <f t="shared" si="5"/>
        <v>0</v>
      </c>
      <c r="AB15" s="237">
        <f t="shared" si="6"/>
        <v>22.315729356032957</v>
      </c>
      <c r="AC15" s="237">
        <f t="shared" si="6"/>
        <v>0</v>
      </c>
      <c r="AE15" s="216">
        <v>4554</v>
      </c>
      <c r="AF15" s="216">
        <v>0</v>
      </c>
      <c r="AG15" s="217">
        <f t="shared" si="7"/>
        <v>1550</v>
      </c>
      <c r="AH15" s="216">
        <v>50</v>
      </c>
      <c r="AI15" s="216">
        <v>1500</v>
      </c>
    </row>
    <row r="16" spans="2:35">
      <c r="B16" s="211" t="str">
        <f t="shared" si="8"/>
        <v>Residential_High Efficiency HVAC_0_CAC SEER ≥15, EER ≥12.5</v>
      </c>
      <c r="C16" s="211" t="s">
        <v>2</v>
      </c>
      <c r="D16" s="211" t="s">
        <v>250</v>
      </c>
      <c r="E16" s="211">
        <v>0</v>
      </c>
      <c r="F16" s="211">
        <v>0</v>
      </c>
      <c r="G16" s="211" t="s">
        <v>521</v>
      </c>
      <c r="H16" s="212">
        <v>8</v>
      </c>
      <c r="I16" s="212">
        <v>10</v>
      </c>
      <c r="J16" s="213">
        <f t="shared" si="2"/>
        <v>0.25</v>
      </c>
      <c r="K16" s="235">
        <v>0</v>
      </c>
      <c r="L16" s="235"/>
      <c r="N16" s="211">
        <v>18</v>
      </c>
      <c r="O16" s="211">
        <v>0</v>
      </c>
      <c r="Q16" s="214">
        <v>218.95384615384629</v>
      </c>
      <c r="R16" s="214">
        <v>0</v>
      </c>
      <c r="S16" s="215">
        <v>0.39828473413379095</v>
      </c>
      <c r="T16" s="215">
        <v>0</v>
      </c>
      <c r="V16" s="236">
        <f t="shared" si="3"/>
        <v>1751.6307692307703</v>
      </c>
      <c r="W16" s="236">
        <f t="shared" si="3"/>
        <v>2189.5384615384628</v>
      </c>
      <c r="X16" s="237">
        <f t="shared" si="4"/>
        <v>3.1862778730703276</v>
      </c>
      <c r="Y16" s="237">
        <f t="shared" si="4"/>
        <v>3.9828473413379095</v>
      </c>
      <c r="Z16" s="236">
        <f t="shared" si="5"/>
        <v>0</v>
      </c>
      <c r="AA16" s="236">
        <f t="shared" si="5"/>
        <v>0</v>
      </c>
      <c r="AB16" s="237">
        <f t="shared" si="6"/>
        <v>0</v>
      </c>
      <c r="AC16" s="237">
        <f t="shared" si="6"/>
        <v>0</v>
      </c>
      <c r="AE16" s="216">
        <v>238</v>
      </c>
      <c r="AF16" s="216">
        <v>0</v>
      </c>
      <c r="AG16" s="217">
        <f t="shared" si="7"/>
        <v>230</v>
      </c>
      <c r="AH16" s="216">
        <v>50</v>
      </c>
      <c r="AI16" s="216">
        <v>180</v>
      </c>
    </row>
    <row r="17" spans="2:35">
      <c r="B17" s="211" t="str">
        <f t="shared" si="8"/>
        <v>Residential_High Efficiency HVAC_0_Ductless Mini-Split AC SEER ≥19, EER ≥12.8</v>
      </c>
      <c r="C17" s="211" t="s">
        <v>2</v>
      </c>
      <c r="D17" s="211" t="s">
        <v>250</v>
      </c>
      <c r="E17" s="211">
        <v>0</v>
      </c>
      <c r="F17" s="211">
        <v>0</v>
      </c>
      <c r="G17" s="211" t="s">
        <v>516</v>
      </c>
      <c r="H17" s="212">
        <v>5</v>
      </c>
      <c r="I17" s="212">
        <v>10</v>
      </c>
      <c r="J17" s="213">
        <f t="shared" si="2"/>
        <v>1</v>
      </c>
      <c r="K17" s="235">
        <v>8</v>
      </c>
      <c r="L17" s="235"/>
      <c r="N17" s="211">
        <v>18</v>
      </c>
      <c r="O17" s="211">
        <v>0</v>
      </c>
      <c r="Q17" s="214">
        <v>357.29323308270676</v>
      </c>
      <c r="R17" s="214">
        <v>0</v>
      </c>
      <c r="S17" s="215">
        <v>0.67061688311688294</v>
      </c>
      <c r="T17" s="215">
        <v>0</v>
      </c>
      <c r="V17" s="236">
        <f t="shared" si="3"/>
        <v>1786.4661654135339</v>
      </c>
      <c r="W17" s="236">
        <f t="shared" si="3"/>
        <v>3572.9323308270677</v>
      </c>
      <c r="X17" s="237">
        <f t="shared" si="4"/>
        <v>3.3530844155844148</v>
      </c>
      <c r="Y17" s="237">
        <f t="shared" si="4"/>
        <v>6.7061688311688297</v>
      </c>
      <c r="Z17" s="236">
        <f t="shared" si="5"/>
        <v>2858.3458646616541</v>
      </c>
      <c r="AA17" s="236">
        <f t="shared" si="5"/>
        <v>0</v>
      </c>
      <c r="AB17" s="237">
        <f t="shared" si="6"/>
        <v>5.3649350649350636</v>
      </c>
      <c r="AC17" s="237">
        <f t="shared" si="6"/>
        <v>0</v>
      </c>
      <c r="AE17" s="216">
        <v>300</v>
      </c>
      <c r="AF17" s="216">
        <v>0</v>
      </c>
      <c r="AG17" s="217">
        <f t="shared" si="7"/>
        <v>200</v>
      </c>
      <c r="AH17" s="216">
        <v>50</v>
      </c>
      <c r="AI17" s="216">
        <v>150</v>
      </c>
    </row>
    <row r="18" spans="2:35">
      <c r="B18" s="211" t="str">
        <f t="shared" si="8"/>
        <v>Residential_High Efficiency HVAC_0_Ductless Mini-Split HP SEER ≥19, EER ≥12.8, HSPF ≥10</v>
      </c>
      <c r="C18" s="211" t="s">
        <v>2</v>
      </c>
      <c r="D18" s="211" t="s">
        <v>250</v>
      </c>
      <c r="E18" s="211">
        <v>0</v>
      </c>
      <c r="F18" s="211">
        <v>0</v>
      </c>
      <c r="G18" s="211" t="s">
        <v>517</v>
      </c>
      <c r="H18" s="212">
        <v>5</v>
      </c>
      <c r="I18" s="212">
        <v>10</v>
      </c>
      <c r="J18" s="213">
        <f t="shared" si="2"/>
        <v>1</v>
      </c>
      <c r="K18" s="235">
        <v>0</v>
      </c>
      <c r="L18" s="235"/>
      <c r="N18" s="211">
        <v>18</v>
      </c>
      <c r="O18" s="211">
        <v>0</v>
      </c>
      <c r="Q18" s="214">
        <v>1789.1667624944712</v>
      </c>
      <c r="R18" s="214">
        <v>0</v>
      </c>
      <c r="S18" s="215">
        <v>0.83827110389610371</v>
      </c>
      <c r="T18" s="215">
        <v>0</v>
      </c>
      <c r="V18" s="236">
        <f t="shared" si="3"/>
        <v>8945.8338124723559</v>
      </c>
      <c r="W18" s="236">
        <f t="shared" si="3"/>
        <v>17891.667624944712</v>
      </c>
      <c r="X18" s="237">
        <f t="shared" si="4"/>
        <v>4.1913555194805188</v>
      </c>
      <c r="Y18" s="237">
        <f t="shared" si="4"/>
        <v>8.3827110389610375</v>
      </c>
      <c r="Z18" s="236">
        <f t="shared" si="5"/>
        <v>0</v>
      </c>
      <c r="AA18" s="236">
        <f t="shared" si="5"/>
        <v>0</v>
      </c>
      <c r="AB18" s="237">
        <f t="shared" si="6"/>
        <v>0</v>
      </c>
      <c r="AC18" s="237">
        <f t="shared" si="6"/>
        <v>0</v>
      </c>
      <c r="AE18" s="216">
        <v>716</v>
      </c>
      <c r="AF18" s="216">
        <v>0</v>
      </c>
      <c r="AG18" s="217">
        <f t="shared" si="7"/>
        <v>200</v>
      </c>
      <c r="AH18" s="216">
        <v>50</v>
      </c>
      <c r="AI18" s="216">
        <v>150</v>
      </c>
    </row>
    <row r="19" spans="2:35">
      <c r="B19" s="211" t="str">
        <f t="shared" si="8"/>
        <v>Residential_High Efficiency HVAC_0_Heat Pump Water Heater</v>
      </c>
      <c r="C19" s="211" t="s">
        <v>2</v>
      </c>
      <c r="D19" s="211" t="s">
        <v>250</v>
      </c>
      <c r="E19" s="211">
        <v>0</v>
      </c>
      <c r="F19" s="211">
        <v>0</v>
      </c>
      <c r="G19" s="211" t="s">
        <v>260</v>
      </c>
      <c r="H19" s="212">
        <v>12</v>
      </c>
      <c r="I19" s="212">
        <v>15</v>
      </c>
      <c r="J19" s="213">
        <f t="shared" si="2"/>
        <v>0.25</v>
      </c>
      <c r="K19" s="235">
        <v>4</v>
      </c>
      <c r="L19" s="235"/>
      <c r="N19" s="211">
        <v>15</v>
      </c>
      <c r="O19" s="211">
        <v>0</v>
      </c>
      <c r="Q19" s="214">
        <v>1733.7090342339393</v>
      </c>
      <c r="R19" s="214">
        <v>0</v>
      </c>
      <c r="S19" s="215">
        <v>8.2133866604055542E-2</v>
      </c>
      <c r="T19" s="215">
        <v>0</v>
      </c>
      <c r="V19" s="236">
        <f t="shared" si="3"/>
        <v>20804.50841080727</v>
      </c>
      <c r="W19" s="236">
        <f t="shared" si="3"/>
        <v>26005.635513509089</v>
      </c>
      <c r="X19" s="237">
        <f t="shared" si="4"/>
        <v>0.98560639924866655</v>
      </c>
      <c r="Y19" s="237">
        <f t="shared" si="4"/>
        <v>1.232007999060833</v>
      </c>
      <c r="Z19" s="236">
        <f t="shared" si="5"/>
        <v>6934.8361369357572</v>
      </c>
      <c r="AA19" s="236">
        <f t="shared" si="5"/>
        <v>0</v>
      </c>
      <c r="AB19" s="237">
        <f t="shared" si="6"/>
        <v>0.32853546641622217</v>
      </c>
      <c r="AC19" s="237">
        <f t="shared" si="6"/>
        <v>0</v>
      </c>
      <c r="AE19" s="216">
        <v>700</v>
      </c>
      <c r="AF19" s="216">
        <v>0</v>
      </c>
      <c r="AG19" s="217">
        <f t="shared" si="7"/>
        <v>250</v>
      </c>
      <c r="AH19" s="216">
        <v>50</v>
      </c>
      <c r="AI19" s="216">
        <v>200</v>
      </c>
    </row>
    <row r="20" spans="2:35">
      <c r="B20" s="211" t="str">
        <f t="shared" si="8"/>
        <v>Residential_High Efficiency HVAC_0_Electric Storage Water Heater EF 0.95</v>
      </c>
      <c r="C20" s="211" t="s">
        <v>2</v>
      </c>
      <c r="D20" s="211" t="s">
        <v>250</v>
      </c>
      <c r="E20" s="211">
        <v>0</v>
      </c>
      <c r="F20" s="211">
        <v>0</v>
      </c>
      <c r="G20" s="211" t="s">
        <v>261</v>
      </c>
      <c r="H20" s="212">
        <v>10</v>
      </c>
      <c r="I20" s="212">
        <v>10</v>
      </c>
      <c r="J20" s="213">
        <f t="shared" si="2"/>
        <v>0</v>
      </c>
      <c r="K20" s="235">
        <v>11</v>
      </c>
      <c r="L20" s="235"/>
      <c r="N20" s="211">
        <v>15</v>
      </c>
      <c r="O20" s="211">
        <v>0</v>
      </c>
      <c r="Q20" s="214">
        <v>125.80915680811916</v>
      </c>
      <c r="R20" s="214">
        <v>0</v>
      </c>
      <c r="S20" s="215">
        <v>1.4361775891337802E-2</v>
      </c>
      <c r="T20" s="215">
        <v>0</v>
      </c>
      <c r="V20" s="236">
        <f t="shared" si="3"/>
        <v>1258.0915680811916</v>
      </c>
      <c r="W20" s="236">
        <f t="shared" si="3"/>
        <v>1258.0915680811916</v>
      </c>
      <c r="X20" s="237">
        <f t="shared" si="4"/>
        <v>0.14361775891337802</v>
      </c>
      <c r="Y20" s="237">
        <f t="shared" si="4"/>
        <v>0.14361775891337802</v>
      </c>
      <c r="Z20" s="236">
        <f t="shared" si="5"/>
        <v>1383.9007248893108</v>
      </c>
      <c r="AA20" s="236">
        <f t="shared" si="5"/>
        <v>0</v>
      </c>
      <c r="AB20" s="237">
        <f t="shared" si="6"/>
        <v>0.15797953480471583</v>
      </c>
      <c r="AC20" s="237">
        <f t="shared" si="6"/>
        <v>0</v>
      </c>
      <c r="AE20" s="216">
        <v>51.06</v>
      </c>
      <c r="AF20" s="216">
        <v>0</v>
      </c>
      <c r="AG20" s="217">
        <f t="shared" si="7"/>
        <v>100</v>
      </c>
      <c r="AH20" s="216">
        <v>50</v>
      </c>
      <c r="AI20" s="216">
        <v>50</v>
      </c>
    </row>
    <row r="21" spans="2:35">
      <c r="B21" s="211" t="str">
        <f t="shared" si="8"/>
        <v>Residential_High Efficiency HVAC_0_Electric Storage Water Heater EF &gt;0.95</v>
      </c>
      <c r="C21" s="211" t="s">
        <v>2</v>
      </c>
      <c r="D21" s="211" t="s">
        <v>250</v>
      </c>
      <c r="E21" s="211">
        <v>0</v>
      </c>
      <c r="F21" s="211">
        <v>0</v>
      </c>
      <c r="G21" s="211" t="s">
        <v>262</v>
      </c>
      <c r="H21" s="212">
        <v>10</v>
      </c>
      <c r="I21" s="212">
        <v>10</v>
      </c>
      <c r="J21" s="213">
        <f t="shared" si="2"/>
        <v>0</v>
      </c>
      <c r="K21" s="235">
        <v>52</v>
      </c>
      <c r="L21" s="235"/>
      <c r="N21" s="211">
        <v>15</v>
      </c>
      <c r="O21" s="211">
        <v>0</v>
      </c>
      <c r="Q21" s="214">
        <v>222.41465854710779</v>
      </c>
      <c r="R21" s="214">
        <v>0</v>
      </c>
      <c r="S21" s="215">
        <v>2.5389801204007738E-2</v>
      </c>
      <c r="T21" s="215">
        <v>0</v>
      </c>
      <c r="V21" s="236">
        <f t="shared" si="3"/>
        <v>2224.1465854710777</v>
      </c>
      <c r="W21" s="236">
        <f t="shared" si="3"/>
        <v>2224.1465854710777</v>
      </c>
      <c r="X21" s="237">
        <f t="shared" si="4"/>
        <v>0.25389801204007739</v>
      </c>
      <c r="Y21" s="237">
        <f t="shared" si="4"/>
        <v>0.25389801204007739</v>
      </c>
      <c r="Z21" s="236">
        <f t="shared" si="5"/>
        <v>11565.562244449606</v>
      </c>
      <c r="AA21" s="236">
        <f t="shared" si="5"/>
        <v>0</v>
      </c>
      <c r="AB21" s="237">
        <f t="shared" si="6"/>
        <v>1.3202696626084023</v>
      </c>
      <c r="AC21" s="237">
        <f t="shared" si="6"/>
        <v>0</v>
      </c>
      <c r="AE21" s="216">
        <v>51.06</v>
      </c>
      <c r="AF21" s="216">
        <v>0</v>
      </c>
      <c r="AG21" s="217">
        <f t="shared" si="7"/>
        <v>120</v>
      </c>
      <c r="AH21" s="216">
        <v>50</v>
      </c>
      <c r="AI21" s="216">
        <v>70</v>
      </c>
    </row>
    <row r="22" spans="2:35">
      <c r="B22" s="211" t="str">
        <f t="shared" si="8"/>
        <v>Residential_High Efficiency HVAC_0_Geothermal EER ≥21, COP ≥4.1</v>
      </c>
      <c r="C22" s="211" t="s">
        <v>2</v>
      </c>
      <c r="D22" s="211" t="s">
        <v>250</v>
      </c>
      <c r="E22" s="211">
        <v>0</v>
      </c>
      <c r="F22" s="211">
        <v>0</v>
      </c>
      <c r="G22" s="211" t="s">
        <v>523</v>
      </c>
      <c r="H22" s="212">
        <v>12</v>
      </c>
      <c r="I22" s="212">
        <v>15</v>
      </c>
      <c r="J22" s="213">
        <f t="shared" si="2"/>
        <v>0.25</v>
      </c>
      <c r="K22" s="235">
        <v>3</v>
      </c>
      <c r="L22" s="235"/>
      <c r="N22" s="211">
        <v>25</v>
      </c>
      <c r="O22" s="211">
        <v>0</v>
      </c>
      <c r="Q22" s="214">
        <v>4935.2681152755413</v>
      </c>
      <c r="R22" s="214">
        <v>0</v>
      </c>
      <c r="S22" s="215">
        <v>0.76227063434913711</v>
      </c>
      <c r="T22" s="215">
        <v>0</v>
      </c>
      <c r="V22" s="236">
        <f t="shared" si="3"/>
        <v>59223.217383306495</v>
      </c>
      <c r="W22" s="236">
        <f t="shared" si="3"/>
        <v>74029.021729133121</v>
      </c>
      <c r="X22" s="237">
        <f t="shared" si="4"/>
        <v>9.1472476121896449</v>
      </c>
      <c r="Y22" s="237">
        <f t="shared" si="4"/>
        <v>11.434059515237056</v>
      </c>
      <c r="Z22" s="236">
        <f t="shared" si="5"/>
        <v>14805.804345826624</v>
      </c>
      <c r="AA22" s="236">
        <f t="shared" si="5"/>
        <v>0</v>
      </c>
      <c r="AB22" s="237">
        <f t="shared" si="6"/>
        <v>2.2868119030474112</v>
      </c>
      <c r="AC22" s="237">
        <f t="shared" si="6"/>
        <v>0</v>
      </c>
      <c r="AE22" s="216">
        <v>2313.6581090197678</v>
      </c>
      <c r="AF22" s="216">
        <v>0</v>
      </c>
      <c r="AG22" s="217">
        <f t="shared" si="7"/>
        <v>650</v>
      </c>
      <c r="AH22" s="216">
        <v>50</v>
      </c>
      <c r="AI22" s="216">
        <v>600</v>
      </c>
    </row>
    <row r="23" spans="2:35">
      <c r="B23" s="211" t="str">
        <f t="shared" si="8"/>
        <v>Residential_High Efficiency HVAC_0_Early Retirement Geothermal EER ≥21, COP ≥4.1</v>
      </c>
      <c r="C23" s="211" t="s">
        <v>2</v>
      </c>
      <c r="D23" s="211" t="s">
        <v>250</v>
      </c>
      <c r="E23" s="211">
        <v>0</v>
      </c>
      <c r="F23" s="211">
        <v>0</v>
      </c>
      <c r="G23" s="211" t="s">
        <v>524</v>
      </c>
      <c r="H23" s="212">
        <v>5</v>
      </c>
      <c r="I23" s="212">
        <v>8</v>
      </c>
      <c r="J23" s="213">
        <f t="shared" si="2"/>
        <v>0.60000000000000009</v>
      </c>
      <c r="K23" s="235">
        <v>1</v>
      </c>
      <c r="L23" s="235"/>
      <c r="N23" s="211">
        <v>25</v>
      </c>
      <c r="O23" s="211">
        <v>8</v>
      </c>
      <c r="Q23" s="214">
        <v>4935.2681152755413</v>
      </c>
      <c r="R23" s="214">
        <v>11172.699728742491</v>
      </c>
      <c r="S23" s="215">
        <v>0.76227063434913711</v>
      </c>
      <c r="T23" s="215">
        <v>1.6062897731051178</v>
      </c>
      <c r="V23" s="236">
        <f t="shared" si="3"/>
        <v>24676.340576377705</v>
      </c>
      <c r="W23" s="236">
        <f t="shared" si="3"/>
        <v>39482.14492220433</v>
      </c>
      <c r="X23" s="237">
        <f t="shared" si="4"/>
        <v>3.8113531717456857</v>
      </c>
      <c r="Y23" s="237">
        <f t="shared" si="4"/>
        <v>6.0981650747930969</v>
      </c>
      <c r="Z23" s="236">
        <f t="shared" si="5"/>
        <v>4935.2681152755413</v>
      </c>
      <c r="AA23" s="236">
        <f t="shared" si="5"/>
        <v>0</v>
      </c>
      <c r="AB23" s="237">
        <f t="shared" si="6"/>
        <v>0.76227063434913711</v>
      </c>
      <c r="AC23" s="237">
        <f t="shared" si="6"/>
        <v>0</v>
      </c>
      <c r="AE23" s="216">
        <v>4500</v>
      </c>
      <c r="AF23" s="216">
        <v>2186.3418909802322</v>
      </c>
      <c r="AG23" s="217">
        <f t="shared" si="7"/>
        <v>950</v>
      </c>
      <c r="AH23" s="216">
        <v>50</v>
      </c>
      <c r="AI23" s="216">
        <v>900</v>
      </c>
    </row>
    <row r="24" spans="2:35">
      <c r="B24" s="225" t="str">
        <f t="shared" si="8"/>
        <v>Residential_Whole House Efficiency__Whole House Efficiency</v>
      </c>
      <c r="C24" s="225" t="s">
        <v>2</v>
      </c>
      <c r="D24" s="225" t="s">
        <v>219</v>
      </c>
      <c r="E24" s="225"/>
      <c r="F24" s="225">
        <v>0</v>
      </c>
      <c r="G24" s="225" t="s">
        <v>219</v>
      </c>
      <c r="H24" s="226">
        <v>100</v>
      </c>
      <c r="I24" s="226">
        <v>125</v>
      </c>
      <c r="J24" s="227">
        <f t="shared" si="2"/>
        <v>0.25</v>
      </c>
      <c r="K24" s="228">
        <v>17</v>
      </c>
      <c r="L24" s="228"/>
      <c r="N24" s="225">
        <v>0</v>
      </c>
      <c r="O24" s="225">
        <v>0</v>
      </c>
      <c r="Q24" s="229">
        <v>0</v>
      </c>
      <c r="R24" s="229">
        <v>0</v>
      </c>
      <c r="S24" s="230">
        <v>0</v>
      </c>
      <c r="T24" s="230">
        <v>0</v>
      </c>
      <c r="V24" s="231">
        <f>SUM(V26:V29,V31:V33)</f>
        <v>90540.200137585081</v>
      </c>
      <c r="W24" s="231">
        <f t="shared" ref="W24:AC24" si="11">SUM(W26:W29,W31:W33)</f>
        <v>113463.16177002643</v>
      </c>
      <c r="X24" s="232">
        <f t="shared" si="11"/>
        <v>23.030414738130396</v>
      </c>
      <c r="Y24" s="232">
        <f t="shared" si="11"/>
        <v>28.90512012380243</v>
      </c>
      <c r="Z24" s="231">
        <f t="shared" si="11"/>
        <v>15910.074899870615</v>
      </c>
      <c r="AA24" s="231">
        <f t="shared" si="11"/>
        <v>0</v>
      </c>
      <c r="AB24" s="232">
        <f t="shared" si="11"/>
        <v>4.1259535675331582</v>
      </c>
      <c r="AC24" s="232">
        <f t="shared" si="11"/>
        <v>0</v>
      </c>
      <c r="AE24" s="233">
        <v>0</v>
      </c>
      <c r="AF24" s="233">
        <v>0</v>
      </c>
      <c r="AG24" s="234">
        <f t="shared" si="7"/>
        <v>0</v>
      </c>
      <c r="AH24" s="233">
        <v>0</v>
      </c>
      <c r="AI24" s="233">
        <v>0</v>
      </c>
    </row>
    <row r="25" spans="2:35">
      <c r="B25" s="225" t="str">
        <f t="shared" si="8"/>
        <v>Residential_Whole House Efficiency__Measures</v>
      </c>
      <c r="C25" s="225" t="s">
        <v>2</v>
      </c>
      <c r="D25" s="225" t="s">
        <v>219</v>
      </c>
      <c r="E25" s="225"/>
      <c r="F25" s="225">
        <v>0</v>
      </c>
      <c r="G25" s="225" t="s">
        <v>269</v>
      </c>
      <c r="H25" s="226">
        <v>100</v>
      </c>
      <c r="I25" s="226">
        <v>125</v>
      </c>
      <c r="J25" s="227">
        <f t="shared" si="2"/>
        <v>0.25</v>
      </c>
      <c r="K25" s="228"/>
      <c r="L25" s="228"/>
      <c r="N25" s="225">
        <v>0</v>
      </c>
      <c r="O25" s="225">
        <v>0</v>
      </c>
      <c r="Q25" s="229">
        <v>0</v>
      </c>
      <c r="R25" s="229">
        <v>0</v>
      </c>
      <c r="S25" s="230">
        <v>0</v>
      </c>
      <c r="T25" s="230">
        <v>0</v>
      </c>
      <c r="V25" s="231">
        <f t="shared" si="3"/>
        <v>0</v>
      </c>
      <c r="W25" s="231">
        <f t="shared" si="3"/>
        <v>0</v>
      </c>
      <c r="X25" s="232">
        <f t="shared" si="4"/>
        <v>0</v>
      </c>
      <c r="Y25" s="232">
        <f t="shared" si="4"/>
        <v>0</v>
      </c>
      <c r="Z25" s="231">
        <f t="shared" si="5"/>
        <v>0</v>
      </c>
      <c r="AA25" s="231">
        <f t="shared" si="5"/>
        <v>0</v>
      </c>
      <c r="AB25" s="232">
        <f t="shared" si="6"/>
        <v>0</v>
      </c>
      <c r="AC25" s="232">
        <f t="shared" si="6"/>
        <v>0</v>
      </c>
      <c r="AE25" s="233">
        <v>0</v>
      </c>
      <c r="AF25" s="233">
        <v>0</v>
      </c>
      <c r="AG25" s="234">
        <f t="shared" si="7"/>
        <v>0</v>
      </c>
      <c r="AH25" s="233">
        <v>0</v>
      </c>
      <c r="AI25" s="233">
        <v>0</v>
      </c>
    </row>
    <row r="26" spans="2:35">
      <c r="B26" s="211" t="str">
        <f t="shared" si="8"/>
        <v>Residential_Whole House Efficiency__Air Sealing (Electric Heat)</v>
      </c>
      <c r="C26" s="211" t="s">
        <v>2</v>
      </c>
      <c r="D26" s="211" t="s">
        <v>219</v>
      </c>
      <c r="E26" s="211"/>
      <c r="F26" s="211">
        <v>0</v>
      </c>
      <c r="G26" s="211" t="s">
        <v>263</v>
      </c>
      <c r="H26" s="212">
        <v>15</v>
      </c>
      <c r="I26" s="212">
        <v>19</v>
      </c>
      <c r="J26" s="213">
        <f t="shared" si="2"/>
        <v>0.26666666666666661</v>
      </c>
      <c r="K26" s="235">
        <f>ROUND(H26/H$24*K$24, 0)</f>
        <v>3</v>
      </c>
      <c r="L26" s="235"/>
      <c r="N26" s="211">
        <v>15</v>
      </c>
      <c r="O26" s="211">
        <v>0</v>
      </c>
      <c r="Q26" s="214">
        <v>1344.3037143428187</v>
      </c>
      <c r="R26" s="214">
        <v>0</v>
      </c>
      <c r="S26" s="215">
        <v>0.57204084546305578</v>
      </c>
      <c r="T26" s="215">
        <v>0</v>
      </c>
      <c r="V26" s="236">
        <f t="shared" si="3"/>
        <v>20164.55571514228</v>
      </c>
      <c r="W26" s="236">
        <f t="shared" si="3"/>
        <v>25541.770572513557</v>
      </c>
      <c r="X26" s="237">
        <f t="shared" si="4"/>
        <v>8.580612681945837</v>
      </c>
      <c r="Y26" s="237">
        <f t="shared" si="4"/>
        <v>10.868776063798061</v>
      </c>
      <c r="Z26" s="236">
        <f t="shared" si="5"/>
        <v>4032.9111430284561</v>
      </c>
      <c r="AA26" s="236">
        <f t="shared" si="5"/>
        <v>0</v>
      </c>
      <c r="AB26" s="237">
        <f t="shared" si="6"/>
        <v>1.7161225363891672</v>
      </c>
      <c r="AC26" s="237">
        <f t="shared" si="6"/>
        <v>0</v>
      </c>
      <c r="AE26" s="216">
        <v>272</v>
      </c>
      <c r="AF26" s="216">
        <v>0</v>
      </c>
      <c r="AG26" s="217">
        <f t="shared" si="7"/>
        <v>0</v>
      </c>
      <c r="AH26" s="216">
        <v>0</v>
      </c>
      <c r="AI26" s="216">
        <v>0</v>
      </c>
    </row>
    <row r="27" spans="2:35">
      <c r="B27" s="211" t="str">
        <f t="shared" si="8"/>
        <v>Residential_Whole House Efficiency__Air Sealing (Gas Heat)</v>
      </c>
      <c r="C27" s="211" t="s">
        <v>2</v>
      </c>
      <c r="D27" s="211" t="s">
        <v>219</v>
      </c>
      <c r="E27" s="211"/>
      <c r="F27" s="211">
        <v>0</v>
      </c>
      <c r="G27" s="211" t="s">
        <v>264</v>
      </c>
      <c r="H27" s="212">
        <v>85</v>
      </c>
      <c r="I27" s="212">
        <v>106</v>
      </c>
      <c r="J27" s="213">
        <f t="shared" si="2"/>
        <v>0.24705882352941178</v>
      </c>
      <c r="K27" s="235">
        <f t="shared" ref="K27:K29" si="12">ROUND(H27/H$24*K$24, 0)</f>
        <v>14</v>
      </c>
      <c r="L27" s="235"/>
      <c r="M27">
        <f>K27/K24</f>
        <v>0.82352941176470584</v>
      </c>
      <c r="N27" s="211">
        <v>15</v>
      </c>
      <c r="O27" s="211">
        <v>0</v>
      </c>
      <c r="Q27" s="214">
        <v>57.137837837837836</v>
      </c>
      <c r="R27" s="214">
        <v>0</v>
      </c>
      <c r="S27" s="215">
        <v>8.8163780137641853E-2</v>
      </c>
      <c r="T27" s="215">
        <v>0</v>
      </c>
      <c r="V27" s="236">
        <f t="shared" si="3"/>
        <v>4856.7162162162158</v>
      </c>
      <c r="W27" s="236">
        <f t="shared" si="3"/>
        <v>6056.610810810811</v>
      </c>
      <c r="X27" s="237">
        <f t="shared" si="4"/>
        <v>7.4939213116995571</v>
      </c>
      <c r="Y27" s="237">
        <f t="shared" si="4"/>
        <v>9.3453606945900365</v>
      </c>
      <c r="Z27" s="236">
        <f t="shared" si="5"/>
        <v>799.92972972972973</v>
      </c>
      <c r="AA27" s="236">
        <f t="shared" si="5"/>
        <v>0</v>
      </c>
      <c r="AB27" s="237">
        <f t="shared" si="6"/>
        <v>1.234292921926986</v>
      </c>
      <c r="AC27" s="237">
        <f t="shared" si="6"/>
        <v>0</v>
      </c>
      <c r="AE27" s="216">
        <v>272</v>
      </c>
      <c r="AF27" s="216">
        <v>0</v>
      </c>
      <c r="AG27" s="217">
        <f t="shared" si="7"/>
        <v>0</v>
      </c>
      <c r="AH27" s="216">
        <v>0</v>
      </c>
      <c r="AI27" s="216">
        <v>0</v>
      </c>
    </row>
    <row r="28" spans="2:35">
      <c r="B28" s="211" t="str">
        <f t="shared" si="8"/>
        <v>Residential_Whole House Efficiency__Hot Water Pipe Insulation</v>
      </c>
      <c r="C28" s="211" t="s">
        <v>2</v>
      </c>
      <c r="D28" s="211" t="s">
        <v>219</v>
      </c>
      <c r="E28" s="211"/>
      <c r="F28" s="211">
        <v>0</v>
      </c>
      <c r="G28" s="211" t="s">
        <v>265</v>
      </c>
      <c r="H28" s="212">
        <v>85</v>
      </c>
      <c r="I28" s="212">
        <v>106</v>
      </c>
      <c r="J28" s="213">
        <f t="shared" si="2"/>
        <v>0.24705882352941178</v>
      </c>
      <c r="K28" s="235">
        <f t="shared" si="12"/>
        <v>14</v>
      </c>
      <c r="L28" s="235"/>
      <c r="M28">
        <f>H27/H24</f>
        <v>0.85</v>
      </c>
      <c r="N28" s="211">
        <v>15</v>
      </c>
      <c r="O28" s="211">
        <v>0</v>
      </c>
      <c r="Q28" s="214">
        <v>135.51948432464107</v>
      </c>
      <c r="R28" s="214">
        <v>0</v>
      </c>
      <c r="S28" s="215">
        <v>1.547026076765309E-2</v>
      </c>
      <c r="T28" s="215">
        <v>0</v>
      </c>
      <c r="V28" s="236">
        <f t="shared" si="3"/>
        <v>11519.15616759449</v>
      </c>
      <c r="W28" s="236">
        <f t="shared" si="3"/>
        <v>14365.065338411954</v>
      </c>
      <c r="X28" s="237">
        <f t="shared" si="4"/>
        <v>1.3149721652505126</v>
      </c>
      <c r="Y28" s="237">
        <f t="shared" si="4"/>
        <v>1.6398476413712275</v>
      </c>
      <c r="Z28" s="236">
        <f t="shared" si="5"/>
        <v>1897.2727805449749</v>
      </c>
      <c r="AA28" s="236">
        <f t="shared" si="5"/>
        <v>0</v>
      </c>
      <c r="AB28" s="237">
        <f t="shared" si="6"/>
        <v>0.21658365074714325</v>
      </c>
      <c r="AC28" s="237">
        <f t="shared" si="6"/>
        <v>0</v>
      </c>
      <c r="AE28" s="216">
        <v>15</v>
      </c>
      <c r="AF28" s="216">
        <v>0</v>
      </c>
      <c r="AG28" s="217">
        <f t="shared" si="7"/>
        <v>0</v>
      </c>
      <c r="AH28" s="216">
        <v>0</v>
      </c>
      <c r="AI28" s="216">
        <v>0</v>
      </c>
    </row>
    <row r="29" spans="2:35">
      <c r="B29" s="211" t="str">
        <f t="shared" si="8"/>
        <v>Residential_Whole House Efficiency__Water Heater Tank Wrap</v>
      </c>
      <c r="C29" s="211" t="s">
        <v>2</v>
      </c>
      <c r="D29" s="211" t="s">
        <v>219</v>
      </c>
      <c r="E29" s="211"/>
      <c r="F29" s="211">
        <v>0</v>
      </c>
      <c r="G29" s="211" t="s">
        <v>266</v>
      </c>
      <c r="H29" s="212">
        <v>100</v>
      </c>
      <c r="I29" s="212">
        <v>125</v>
      </c>
      <c r="J29" s="213">
        <f t="shared" si="2"/>
        <v>0.25</v>
      </c>
      <c r="K29" s="235">
        <f t="shared" si="12"/>
        <v>17</v>
      </c>
      <c r="L29" s="235"/>
      <c r="N29" s="211">
        <v>5</v>
      </c>
      <c r="O29" s="211">
        <v>0</v>
      </c>
      <c r="Q29" s="214">
        <v>143</v>
      </c>
      <c r="R29" s="214">
        <v>0</v>
      </c>
      <c r="S29" s="215">
        <v>1.6400000000000001E-2</v>
      </c>
      <c r="T29" s="215">
        <v>0</v>
      </c>
      <c r="V29" s="236">
        <f t="shared" si="3"/>
        <v>14300</v>
      </c>
      <c r="W29" s="236">
        <f t="shared" si="3"/>
        <v>17875</v>
      </c>
      <c r="X29" s="237">
        <f t="shared" si="4"/>
        <v>1.6400000000000001</v>
      </c>
      <c r="Y29" s="237">
        <f t="shared" si="4"/>
        <v>2.0500000000000003</v>
      </c>
      <c r="Z29" s="236">
        <f t="shared" si="5"/>
        <v>2431</v>
      </c>
      <c r="AA29" s="236">
        <f t="shared" si="5"/>
        <v>0</v>
      </c>
      <c r="AB29" s="237">
        <f t="shared" si="6"/>
        <v>0.27880000000000005</v>
      </c>
      <c r="AC29" s="237">
        <f t="shared" si="6"/>
        <v>0</v>
      </c>
      <c r="AE29" s="216">
        <v>10</v>
      </c>
      <c r="AF29" s="216">
        <v>0</v>
      </c>
      <c r="AG29" s="217">
        <f t="shared" si="7"/>
        <v>0</v>
      </c>
      <c r="AH29" s="216">
        <v>0</v>
      </c>
      <c r="AI29" s="216">
        <v>0</v>
      </c>
    </row>
    <row r="30" spans="2:35">
      <c r="B30" s="225" t="str">
        <f t="shared" si="8"/>
        <v>Residential_Whole House Efficiency__Residential Kit</v>
      </c>
      <c r="C30" s="225" t="s">
        <v>2</v>
      </c>
      <c r="D30" s="225" t="s">
        <v>219</v>
      </c>
      <c r="E30" s="225"/>
      <c r="F30" s="225">
        <v>0</v>
      </c>
      <c r="G30" s="225" t="s">
        <v>268</v>
      </c>
      <c r="H30" s="226">
        <v>100</v>
      </c>
      <c r="I30" s="226">
        <v>125</v>
      </c>
      <c r="J30" s="227">
        <f t="shared" si="2"/>
        <v>0.25</v>
      </c>
      <c r="K30" s="228">
        <v>17</v>
      </c>
      <c r="L30" s="228"/>
      <c r="N30" s="225">
        <v>0</v>
      </c>
      <c r="O30" s="225">
        <v>0</v>
      </c>
      <c r="Q30" s="229">
        <v>0</v>
      </c>
      <c r="R30" s="229">
        <v>0</v>
      </c>
      <c r="S30" s="230">
        <v>0</v>
      </c>
      <c r="T30" s="230">
        <v>0</v>
      </c>
      <c r="V30" s="231">
        <f t="shared" si="3"/>
        <v>0</v>
      </c>
      <c r="W30" s="231">
        <f t="shared" si="3"/>
        <v>0</v>
      </c>
      <c r="X30" s="232">
        <f t="shared" si="4"/>
        <v>0</v>
      </c>
      <c r="Y30" s="232">
        <f t="shared" si="4"/>
        <v>0</v>
      </c>
      <c r="Z30" s="231">
        <f t="shared" si="5"/>
        <v>0</v>
      </c>
      <c r="AA30" s="231">
        <f t="shared" si="5"/>
        <v>0</v>
      </c>
      <c r="AB30" s="232">
        <f t="shared" si="6"/>
        <v>0</v>
      </c>
      <c r="AC30" s="232">
        <f t="shared" si="6"/>
        <v>0</v>
      </c>
      <c r="AE30" s="233">
        <v>0</v>
      </c>
      <c r="AF30" s="233">
        <v>0</v>
      </c>
      <c r="AG30" s="234">
        <f t="shared" si="7"/>
        <v>0</v>
      </c>
      <c r="AH30" s="233">
        <v>0</v>
      </c>
      <c r="AI30" s="233">
        <v>0</v>
      </c>
    </row>
    <row r="31" spans="2:35">
      <c r="B31" s="211" t="str">
        <f t="shared" si="8"/>
        <v>Residential_Whole House Efficiency__LED</v>
      </c>
      <c r="C31" s="211" t="s">
        <v>2</v>
      </c>
      <c r="D31" s="211" t="s">
        <v>219</v>
      </c>
      <c r="E31" s="211"/>
      <c r="F31" s="211">
        <v>0</v>
      </c>
      <c r="G31" s="211" t="s">
        <v>216</v>
      </c>
      <c r="H31" s="212">
        <v>400</v>
      </c>
      <c r="I31" s="212">
        <v>500</v>
      </c>
      <c r="J31" s="213">
        <f t="shared" si="2"/>
        <v>0.25</v>
      </c>
      <c r="K31" s="236">
        <f>ROUND(H31/H$30*K$30, 0)</f>
        <v>68</v>
      </c>
      <c r="L31" s="235"/>
      <c r="N31" s="239">
        <v>10</v>
      </c>
      <c r="O31" s="239">
        <v>0</v>
      </c>
      <c r="Q31" s="240">
        <v>38.317299999999996</v>
      </c>
      <c r="R31" s="240">
        <v>0</v>
      </c>
      <c r="S31" s="241">
        <v>4.5052799999999995E-3</v>
      </c>
      <c r="T31" s="241">
        <v>0</v>
      </c>
      <c r="V31" s="242">
        <f t="shared" si="3"/>
        <v>15326.919999999998</v>
      </c>
      <c r="W31" s="242">
        <f t="shared" si="3"/>
        <v>19158.649999999998</v>
      </c>
      <c r="X31" s="243">
        <f t="shared" si="4"/>
        <v>1.8021119999999997</v>
      </c>
      <c r="Y31" s="243">
        <f t="shared" si="4"/>
        <v>2.25264</v>
      </c>
      <c r="Z31" s="242">
        <f t="shared" si="5"/>
        <v>2605.5763999999999</v>
      </c>
      <c r="AA31" s="242">
        <f t="shared" si="5"/>
        <v>0</v>
      </c>
      <c r="AB31" s="243">
        <f t="shared" si="6"/>
        <v>0.30635903999999997</v>
      </c>
      <c r="AC31" s="243">
        <f t="shared" si="6"/>
        <v>0</v>
      </c>
      <c r="AE31" s="244">
        <v>10</v>
      </c>
      <c r="AF31" s="244">
        <v>0</v>
      </c>
      <c r="AG31" s="217">
        <f t="shared" si="7"/>
        <v>0</v>
      </c>
      <c r="AH31" s="216">
        <v>0</v>
      </c>
      <c r="AI31" s="216">
        <v>0</v>
      </c>
    </row>
    <row r="32" spans="2:35">
      <c r="B32" s="211" t="str">
        <f t="shared" si="8"/>
        <v>Residential_Whole House Efficiency__Faucet Aerator</v>
      </c>
      <c r="C32" s="211" t="s">
        <v>2</v>
      </c>
      <c r="D32" s="211" t="s">
        <v>219</v>
      </c>
      <c r="E32" s="211"/>
      <c r="F32" s="211">
        <v>0</v>
      </c>
      <c r="G32" s="211" t="s">
        <v>525</v>
      </c>
      <c r="H32" s="212">
        <v>100</v>
      </c>
      <c r="I32" s="212">
        <v>125</v>
      </c>
      <c r="J32" s="213">
        <f t="shared" si="2"/>
        <v>0.25</v>
      </c>
      <c r="K32" s="236">
        <f t="shared" ref="K32:K33" si="13">ROUND(H32/H$30*K$30, 0)</f>
        <v>17</v>
      </c>
      <c r="L32" s="235"/>
      <c r="N32" s="211">
        <v>9</v>
      </c>
      <c r="O32" s="211">
        <v>0</v>
      </c>
      <c r="Q32" s="214">
        <v>107.9335175373552</v>
      </c>
      <c r="R32" s="214">
        <v>0</v>
      </c>
      <c r="S32" s="215">
        <v>1.2053489268131037E-2</v>
      </c>
      <c r="T32" s="215">
        <v>0</v>
      </c>
      <c r="V32" s="236">
        <f t="shared" si="3"/>
        <v>10793.35175373552</v>
      </c>
      <c r="W32" s="236">
        <f t="shared" si="3"/>
        <v>13491.689692169401</v>
      </c>
      <c r="X32" s="237">
        <f t="shared" si="4"/>
        <v>1.2053489268131037</v>
      </c>
      <c r="Y32" s="237">
        <f t="shared" si="4"/>
        <v>1.5066861585163795</v>
      </c>
      <c r="Z32" s="236">
        <f t="shared" si="5"/>
        <v>1834.8697981350383</v>
      </c>
      <c r="AA32" s="236">
        <f t="shared" si="5"/>
        <v>0</v>
      </c>
      <c r="AB32" s="237">
        <f t="shared" si="6"/>
        <v>0.20490931755822764</v>
      </c>
      <c r="AC32" s="237">
        <f t="shared" si="6"/>
        <v>0</v>
      </c>
      <c r="AE32" s="216">
        <v>8</v>
      </c>
      <c r="AF32" s="216">
        <v>0</v>
      </c>
      <c r="AG32" s="217">
        <f t="shared" si="7"/>
        <v>0</v>
      </c>
      <c r="AH32" s="216">
        <v>0</v>
      </c>
      <c r="AI32" s="216">
        <v>0</v>
      </c>
    </row>
    <row r="33" spans="2:35">
      <c r="B33" s="211" t="str">
        <f t="shared" si="8"/>
        <v>Residential_Whole House Efficiency__Low Flow Showerhead</v>
      </c>
      <c r="C33" s="211" t="s">
        <v>2</v>
      </c>
      <c r="D33" s="211" t="s">
        <v>219</v>
      </c>
      <c r="E33" s="211"/>
      <c r="F33" s="211">
        <v>0</v>
      </c>
      <c r="G33" s="211" t="s">
        <v>267</v>
      </c>
      <c r="H33" s="212">
        <v>100</v>
      </c>
      <c r="I33" s="212">
        <v>125</v>
      </c>
      <c r="J33" s="213">
        <f t="shared" si="2"/>
        <v>0.25</v>
      </c>
      <c r="K33" s="236">
        <f t="shared" si="13"/>
        <v>17</v>
      </c>
      <c r="L33" s="235"/>
      <c r="N33" s="211">
        <v>10</v>
      </c>
      <c r="O33" s="211">
        <v>0</v>
      </c>
      <c r="Q33" s="214">
        <v>135.79500284896565</v>
      </c>
      <c r="R33" s="214">
        <v>0</v>
      </c>
      <c r="S33" s="215">
        <v>9.934476524213802E-3</v>
      </c>
      <c r="T33" s="215">
        <v>0</v>
      </c>
      <c r="V33" s="236">
        <f t="shared" si="3"/>
        <v>13579.500284896565</v>
      </c>
      <c r="W33" s="236">
        <f t="shared" si="3"/>
        <v>16974.375356120705</v>
      </c>
      <c r="X33" s="237">
        <f t="shared" si="4"/>
        <v>0.99344765242138022</v>
      </c>
      <c r="Y33" s="237">
        <f t="shared" si="4"/>
        <v>1.2418095655267252</v>
      </c>
      <c r="Z33" s="236">
        <f t="shared" si="5"/>
        <v>2308.5150484324163</v>
      </c>
      <c r="AA33" s="236">
        <f t="shared" si="5"/>
        <v>0</v>
      </c>
      <c r="AB33" s="237">
        <f t="shared" si="6"/>
        <v>0.16888610091163464</v>
      </c>
      <c r="AC33" s="237">
        <f t="shared" si="6"/>
        <v>0</v>
      </c>
      <c r="AE33" s="216">
        <v>12</v>
      </c>
      <c r="AF33" s="216">
        <v>0</v>
      </c>
      <c r="AG33" s="217">
        <f t="shared" si="7"/>
        <v>0</v>
      </c>
      <c r="AH33" s="216">
        <v>0</v>
      </c>
      <c r="AI33" s="216">
        <v>0</v>
      </c>
    </row>
    <row r="34" spans="2:35">
      <c r="B34" s="225" t="str">
        <f t="shared" si="8"/>
        <v>Residential_Residential Audit_Residential Audit_Residential Audit</v>
      </c>
      <c r="C34" s="225" t="s">
        <v>2</v>
      </c>
      <c r="D34" s="225" t="s">
        <v>251</v>
      </c>
      <c r="E34" s="225" t="s">
        <v>251</v>
      </c>
      <c r="F34" s="225">
        <v>0</v>
      </c>
      <c r="G34" s="225" t="s">
        <v>251</v>
      </c>
      <c r="H34" s="226">
        <v>400</v>
      </c>
      <c r="I34" s="226">
        <v>400</v>
      </c>
      <c r="J34" s="227">
        <f t="shared" si="2"/>
        <v>0</v>
      </c>
      <c r="K34" s="228">
        <v>610</v>
      </c>
      <c r="L34" s="228"/>
      <c r="N34" s="225">
        <v>0</v>
      </c>
      <c r="O34" s="225">
        <v>0</v>
      </c>
      <c r="Q34" s="229">
        <v>0</v>
      </c>
      <c r="R34" s="229">
        <v>0</v>
      </c>
      <c r="S34" s="230">
        <v>0</v>
      </c>
      <c r="T34" s="230">
        <v>0</v>
      </c>
      <c r="V34" s="231">
        <f>SUM(V37:V39)</f>
        <v>79399.544077264174</v>
      </c>
      <c r="W34" s="231">
        <f t="shared" ref="W34:AC34" si="14">SUM(W37:W39)</f>
        <v>79399.544077264174</v>
      </c>
      <c r="X34" s="232">
        <f t="shared" si="14"/>
        <v>8.0018171584689668</v>
      </c>
      <c r="Y34" s="232">
        <f t="shared" si="14"/>
        <v>8.0018171584689668</v>
      </c>
      <c r="Z34" s="231">
        <f t="shared" si="14"/>
        <v>121084.30471782785</v>
      </c>
      <c r="AA34" s="231">
        <f t="shared" si="14"/>
        <v>0</v>
      </c>
      <c r="AB34" s="232">
        <f t="shared" si="14"/>
        <v>12.202771166665176</v>
      </c>
      <c r="AC34" s="232">
        <f t="shared" si="14"/>
        <v>0</v>
      </c>
      <c r="AE34" s="233">
        <v>0</v>
      </c>
      <c r="AF34" s="233">
        <v>0</v>
      </c>
      <c r="AG34" s="234">
        <f t="shared" si="7"/>
        <v>0</v>
      </c>
      <c r="AH34" s="233">
        <v>0</v>
      </c>
      <c r="AI34" s="233">
        <v>0</v>
      </c>
    </row>
    <row r="35" spans="2:35">
      <c r="B35" s="225" t="str">
        <f t="shared" si="8"/>
        <v>Residential_Residential Audit_Residential Audit_Residential Audit</v>
      </c>
      <c r="C35" s="225" t="s">
        <v>2</v>
      </c>
      <c r="D35" s="225" t="s">
        <v>251</v>
      </c>
      <c r="E35" s="225" t="s">
        <v>251</v>
      </c>
      <c r="F35" s="225">
        <v>0</v>
      </c>
      <c r="G35" s="225" t="s">
        <v>251</v>
      </c>
      <c r="H35" s="226">
        <v>400</v>
      </c>
      <c r="I35" s="226">
        <v>400</v>
      </c>
      <c r="J35" s="227">
        <f t="shared" si="2"/>
        <v>0</v>
      </c>
      <c r="K35" s="228"/>
      <c r="L35" s="228"/>
      <c r="N35" s="225">
        <v>0</v>
      </c>
      <c r="O35" s="225">
        <v>0</v>
      </c>
      <c r="Q35" s="229">
        <v>0</v>
      </c>
      <c r="R35" s="229">
        <v>0</v>
      </c>
      <c r="S35" s="230">
        <v>0</v>
      </c>
      <c r="T35" s="230">
        <v>0</v>
      </c>
      <c r="V35" s="231">
        <f t="shared" si="3"/>
        <v>0</v>
      </c>
      <c r="W35" s="231">
        <f t="shared" si="3"/>
        <v>0</v>
      </c>
      <c r="X35" s="232">
        <f t="shared" si="4"/>
        <v>0</v>
      </c>
      <c r="Y35" s="232">
        <f t="shared" si="4"/>
        <v>0</v>
      </c>
      <c r="Z35" s="231">
        <f t="shared" si="5"/>
        <v>0</v>
      </c>
      <c r="AA35" s="231">
        <f t="shared" si="5"/>
        <v>0</v>
      </c>
      <c r="AB35" s="232">
        <f t="shared" si="6"/>
        <v>0</v>
      </c>
      <c r="AC35" s="232">
        <f t="shared" si="6"/>
        <v>0</v>
      </c>
      <c r="AE35" s="233">
        <v>0</v>
      </c>
      <c r="AF35" s="233">
        <v>0</v>
      </c>
      <c r="AG35" s="234">
        <f t="shared" si="7"/>
        <v>0</v>
      </c>
      <c r="AH35" s="233">
        <v>0</v>
      </c>
      <c r="AI35" s="233">
        <v>0</v>
      </c>
    </row>
    <row r="36" spans="2:35">
      <c r="B36" s="225" t="str">
        <f t="shared" si="8"/>
        <v>Residential_Residential Audit_Residential Kit_Residential Kit</v>
      </c>
      <c r="C36" s="225" t="s">
        <v>2</v>
      </c>
      <c r="D36" s="225" t="s">
        <v>251</v>
      </c>
      <c r="E36" s="225" t="s">
        <v>268</v>
      </c>
      <c r="F36" s="225">
        <v>0</v>
      </c>
      <c r="G36" s="225" t="s">
        <v>268</v>
      </c>
      <c r="H36" s="226">
        <v>200</v>
      </c>
      <c r="I36" s="226">
        <v>200</v>
      </c>
      <c r="J36" s="227">
        <f t="shared" si="2"/>
        <v>0</v>
      </c>
      <c r="K36" s="228"/>
      <c r="L36" s="228"/>
      <c r="N36" s="225">
        <v>0</v>
      </c>
      <c r="O36" s="225">
        <v>0</v>
      </c>
      <c r="Q36" s="229">
        <v>0</v>
      </c>
      <c r="R36" s="229">
        <v>0</v>
      </c>
      <c r="S36" s="230">
        <v>0</v>
      </c>
      <c r="T36" s="230">
        <v>0</v>
      </c>
      <c r="V36" s="231">
        <f t="shared" si="3"/>
        <v>0</v>
      </c>
      <c r="W36" s="231">
        <f t="shared" si="3"/>
        <v>0</v>
      </c>
      <c r="X36" s="232">
        <f t="shared" si="4"/>
        <v>0</v>
      </c>
      <c r="Y36" s="232">
        <f t="shared" si="4"/>
        <v>0</v>
      </c>
      <c r="Z36" s="231">
        <f t="shared" si="5"/>
        <v>0</v>
      </c>
      <c r="AA36" s="231">
        <f t="shared" si="5"/>
        <v>0</v>
      </c>
      <c r="AB36" s="232">
        <f t="shared" si="6"/>
        <v>0</v>
      </c>
      <c r="AC36" s="232">
        <f t="shared" si="6"/>
        <v>0</v>
      </c>
      <c r="AE36" s="233">
        <v>0</v>
      </c>
      <c r="AF36" s="233">
        <v>0</v>
      </c>
      <c r="AG36" s="234">
        <f t="shared" si="7"/>
        <v>0</v>
      </c>
      <c r="AH36" s="233">
        <v>0</v>
      </c>
      <c r="AI36" s="233">
        <v>0</v>
      </c>
    </row>
    <row r="37" spans="2:35">
      <c r="B37" s="211" t="str">
        <f t="shared" si="8"/>
        <v>Residential_Residential Audit_Residential Kit_LED</v>
      </c>
      <c r="C37" s="211" t="s">
        <v>2</v>
      </c>
      <c r="D37" s="211" t="s">
        <v>251</v>
      </c>
      <c r="E37" s="211" t="s">
        <v>268</v>
      </c>
      <c r="F37" s="211">
        <v>0</v>
      </c>
      <c r="G37" s="211" t="s">
        <v>216</v>
      </c>
      <c r="H37" s="212">
        <v>800</v>
      </c>
      <c r="I37" s="212">
        <v>800</v>
      </c>
      <c r="J37" s="213">
        <f t="shared" si="2"/>
        <v>0</v>
      </c>
      <c r="K37" s="235">
        <f>$H37/$H$34*K$34</f>
        <v>1220</v>
      </c>
      <c r="L37" s="235"/>
      <c r="N37" s="211">
        <v>10</v>
      </c>
      <c r="O37" s="211">
        <v>0</v>
      </c>
      <c r="Q37" s="214">
        <v>38.317299999999996</v>
      </c>
      <c r="R37" s="214">
        <v>0</v>
      </c>
      <c r="S37" s="215">
        <v>4.5052799999999995E-3</v>
      </c>
      <c r="T37" s="215">
        <v>0</v>
      </c>
      <c r="V37" s="236">
        <f t="shared" si="3"/>
        <v>30653.839999999997</v>
      </c>
      <c r="W37" s="236">
        <f t="shared" si="3"/>
        <v>30653.839999999997</v>
      </c>
      <c r="X37" s="237">
        <f t="shared" si="4"/>
        <v>3.6042239999999994</v>
      </c>
      <c r="Y37" s="237">
        <f t="shared" si="4"/>
        <v>3.6042239999999994</v>
      </c>
      <c r="Z37" s="236">
        <f t="shared" si="5"/>
        <v>46747.105999999992</v>
      </c>
      <c r="AA37" s="236">
        <f t="shared" si="5"/>
        <v>0</v>
      </c>
      <c r="AB37" s="237">
        <f t="shared" si="6"/>
        <v>5.4964415999999998</v>
      </c>
      <c r="AC37" s="237">
        <f t="shared" si="6"/>
        <v>0</v>
      </c>
      <c r="AE37" s="216">
        <v>10</v>
      </c>
      <c r="AF37" s="216">
        <v>0</v>
      </c>
      <c r="AG37" s="217">
        <f t="shared" si="7"/>
        <v>0</v>
      </c>
      <c r="AH37" s="216">
        <v>0</v>
      </c>
      <c r="AI37" s="216">
        <v>0</v>
      </c>
    </row>
    <row r="38" spans="2:35">
      <c r="B38" s="211" t="str">
        <f t="shared" si="8"/>
        <v>Residential_Residential Audit_Residential Kit_Faucet Aerator</v>
      </c>
      <c r="C38" s="211" t="s">
        <v>2</v>
      </c>
      <c r="D38" s="211" t="s">
        <v>251</v>
      </c>
      <c r="E38" s="211" t="s">
        <v>268</v>
      </c>
      <c r="F38" s="211">
        <v>0</v>
      </c>
      <c r="G38" s="211" t="s">
        <v>525</v>
      </c>
      <c r="H38" s="212">
        <v>200</v>
      </c>
      <c r="I38" s="212">
        <v>200</v>
      </c>
      <c r="J38" s="213">
        <f t="shared" si="2"/>
        <v>0</v>
      </c>
      <c r="K38" s="235">
        <f t="shared" ref="K38:K39" si="15">$H38/$H$34*K$34</f>
        <v>305</v>
      </c>
      <c r="L38" s="235"/>
      <c r="N38" s="211">
        <v>9</v>
      </c>
      <c r="O38" s="211">
        <v>0</v>
      </c>
      <c r="Q38" s="214">
        <v>107.9335175373552</v>
      </c>
      <c r="R38" s="214">
        <v>0</v>
      </c>
      <c r="S38" s="215">
        <v>1.2053489268131037E-2</v>
      </c>
      <c r="T38" s="215">
        <v>0</v>
      </c>
      <c r="V38" s="236">
        <f t="shared" si="3"/>
        <v>21586.70350747104</v>
      </c>
      <c r="W38" s="236">
        <f t="shared" si="3"/>
        <v>21586.70350747104</v>
      </c>
      <c r="X38" s="237">
        <f t="shared" si="4"/>
        <v>2.4106978536262074</v>
      </c>
      <c r="Y38" s="237">
        <f t="shared" si="4"/>
        <v>2.4106978536262074</v>
      </c>
      <c r="Z38" s="236">
        <f t="shared" si="5"/>
        <v>32919.72284889334</v>
      </c>
      <c r="AA38" s="236">
        <f t="shared" si="5"/>
        <v>0</v>
      </c>
      <c r="AB38" s="237">
        <f t="shared" si="6"/>
        <v>3.6763142267799664</v>
      </c>
      <c r="AC38" s="237">
        <f t="shared" si="6"/>
        <v>0</v>
      </c>
      <c r="AE38" s="216">
        <v>8</v>
      </c>
      <c r="AF38" s="216">
        <v>0</v>
      </c>
      <c r="AG38" s="217">
        <f t="shared" si="7"/>
        <v>0</v>
      </c>
      <c r="AH38" s="216">
        <v>0</v>
      </c>
      <c r="AI38" s="216">
        <v>0</v>
      </c>
    </row>
    <row r="39" spans="2:35">
      <c r="B39" s="211" t="str">
        <f t="shared" si="8"/>
        <v>Residential_Residential Audit_Residential Kit_Low Flow Showerhead</v>
      </c>
      <c r="C39" s="211" t="s">
        <v>2</v>
      </c>
      <c r="D39" s="211" t="s">
        <v>251</v>
      </c>
      <c r="E39" s="211" t="s">
        <v>268</v>
      </c>
      <c r="F39" s="211">
        <v>0</v>
      </c>
      <c r="G39" s="211" t="s">
        <v>267</v>
      </c>
      <c r="H39" s="212">
        <v>200</v>
      </c>
      <c r="I39" s="212">
        <v>200</v>
      </c>
      <c r="J39" s="213">
        <f t="shared" si="2"/>
        <v>0</v>
      </c>
      <c r="K39" s="235">
        <f t="shared" si="15"/>
        <v>305</v>
      </c>
      <c r="L39" s="235"/>
      <c r="N39" s="211">
        <v>10</v>
      </c>
      <c r="O39" s="211">
        <v>0</v>
      </c>
      <c r="Q39" s="214">
        <v>135.79500284896565</v>
      </c>
      <c r="R39" s="214">
        <v>0</v>
      </c>
      <c r="S39" s="215">
        <v>9.934476524213802E-3</v>
      </c>
      <c r="T39" s="215">
        <v>0</v>
      </c>
      <c r="V39" s="236">
        <f t="shared" si="3"/>
        <v>27159.00056979313</v>
      </c>
      <c r="W39" s="236">
        <f t="shared" si="3"/>
        <v>27159.00056979313</v>
      </c>
      <c r="X39" s="237">
        <f t="shared" si="4"/>
        <v>1.9868953048427604</v>
      </c>
      <c r="Y39" s="237">
        <f t="shared" si="4"/>
        <v>1.9868953048427604</v>
      </c>
      <c r="Z39" s="236">
        <f t="shared" si="5"/>
        <v>41417.475868934525</v>
      </c>
      <c r="AA39" s="236">
        <f t="shared" si="5"/>
        <v>0</v>
      </c>
      <c r="AB39" s="237">
        <f t="shared" si="6"/>
        <v>3.0300153398852094</v>
      </c>
      <c r="AC39" s="237">
        <f t="shared" si="6"/>
        <v>0</v>
      </c>
      <c r="AE39" s="216">
        <v>12</v>
      </c>
      <c r="AF39" s="216">
        <v>0</v>
      </c>
      <c r="AG39" s="217">
        <f t="shared" si="7"/>
        <v>0</v>
      </c>
      <c r="AH39" s="216">
        <v>0</v>
      </c>
      <c r="AI39" s="216">
        <v>0</v>
      </c>
    </row>
    <row r="40" spans="2:35">
      <c r="B40" s="225" t="str">
        <f t="shared" si="8"/>
        <v>Residential_School-Based Education_0_School-Based Education</v>
      </c>
      <c r="C40" s="225" t="s">
        <v>2</v>
      </c>
      <c r="D40" s="225" t="s">
        <v>252</v>
      </c>
      <c r="E40" s="225">
        <v>0</v>
      </c>
      <c r="F40" s="225">
        <v>0</v>
      </c>
      <c r="G40" s="225" t="s">
        <v>252</v>
      </c>
      <c r="H40" s="226">
        <v>1200</v>
      </c>
      <c r="I40" s="226">
        <v>1200</v>
      </c>
      <c r="J40" s="227">
        <f t="shared" si="2"/>
        <v>0</v>
      </c>
      <c r="K40" s="228">
        <v>1360</v>
      </c>
      <c r="L40" s="228"/>
      <c r="N40" s="225">
        <v>5</v>
      </c>
      <c r="O40" s="225">
        <v>0</v>
      </c>
      <c r="Q40" s="229">
        <v>396.99772038632085</v>
      </c>
      <c r="R40" s="229">
        <v>0</v>
      </c>
      <c r="S40" s="230">
        <v>4.0009085792344835E-2</v>
      </c>
      <c r="T40" s="230">
        <v>0</v>
      </c>
      <c r="V40" s="231">
        <f t="shared" si="3"/>
        <v>476397.26446358504</v>
      </c>
      <c r="W40" s="231">
        <f t="shared" si="3"/>
        <v>476397.26446358504</v>
      </c>
      <c r="X40" s="232">
        <f t="shared" si="4"/>
        <v>48.010902950813801</v>
      </c>
      <c r="Y40" s="232">
        <f t="shared" si="4"/>
        <v>48.010902950813801</v>
      </c>
      <c r="Z40" s="231">
        <f t="shared" si="5"/>
        <v>539916.8997253963</v>
      </c>
      <c r="AA40" s="231">
        <f t="shared" si="5"/>
        <v>0</v>
      </c>
      <c r="AB40" s="232">
        <f t="shared" si="6"/>
        <v>54.412356677588974</v>
      </c>
      <c r="AC40" s="232">
        <f t="shared" si="6"/>
        <v>0</v>
      </c>
      <c r="AE40" s="233">
        <v>0</v>
      </c>
      <c r="AF40" s="233">
        <v>0</v>
      </c>
      <c r="AG40" s="234">
        <f t="shared" si="7"/>
        <v>0</v>
      </c>
      <c r="AH40" s="233">
        <v>0</v>
      </c>
      <c r="AI40" s="233">
        <v>0</v>
      </c>
    </row>
    <row r="41" spans="2:35">
      <c r="B41" s="225" t="str">
        <f t="shared" si="8"/>
        <v>Residential_Weatherization_Weatherization_Weatherization</v>
      </c>
      <c r="C41" s="225" t="s">
        <v>2</v>
      </c>
      <c r="D41" s="225" t="s">
        <v>253</v>
      </c>
      <c r="E41" s="225" t="s">
        <v>253</v>
      </c>
      <c r="F41" s="225">
        <v>0</v>
      </c>
      <c r="G41" s="225" t="s">
        <v>253</v>
      </c>
      <c r="H41" s="226">
        <v>25</v>
      </c>
      <c r="I41" s="226">
        <v>30</v>
      </c>
      <c r="J41" s="227">
        <f t="shared" si="2"/>
        <v>0.19999999999999996</v>
      </c>
      <c r="K41" s="228">
        <v>25</v>
      </c>
      <c r="L41" s="228"/>
      <c r="N41" s="225">
        <v>0</v>
      </c>
      <c r="O41" s="225">
        <v>0</v>
      </c>
      <c r="Q41" s="229">
        <v>0</v>
      </c>
      <c r="R41" s="229">
        <v>0</v>
      </c>
      <c r="S41" s="230">
        <v>0</v>
      </c>
      <c r="T41" s="230">
        <v>0</v>
      </c>
      <c r="V41" s="231">
        <f>SUM(V43:V46,V48:V50)</f>
        <v>31554.931016516144</v>
      </c>
      <c r="W41" s="231">
        <f t="shared" ref="W41:AC41" si="16">SUM(W43:W46,W48:W50)</f>
        <v>37865.917219819377</v>
      </c>
      <c r="X41" s="232">
        <f t="shared" si="16"/>
        <v>9.7230859999710582</v>
      </c>
      <c r="Y41" s="232">
        <f t="shared" si="16"/>
        <v>11.667703199965272</v>
      </c>
      <c r="Z41" s="231">
        <f t="shared" si="16"/>
        <v>31719.409760700142</v>
      </c>
      <c r="AA41" s="231">
        <f t="shared" si="16"/>
        <v>0</v>
      </c>
      <c r="AB41" s="232">
        <f t="shared" si="16"/>
        <v>9.7418980413772083</v>
      </c>
      <c r="AC41" s="232">
        <f t="shared" si="16"/>
        <v>0</v>
      </c>
      <c r="AE41" s="233">
        <v>0</v>
      </c>
      <c r="AF41" s="233">
        <v>0</v>
      </c>
      <c r="AG41" s="234">
        <f t="shared" si="7"/>
        <v>0</v>
      </c>
      <c r="AH41" s="233">
        <v>0</v>
      </c>
      <c r="AI41" s="233">
        <v>0</v>
      </c>
    </row>
    <row r="42" spans="2:35">
      <c r="B42" s="225" t="str">
        <f t="shared" si="8"/>
        <v>Residential_Weatherization_Measures_Measures</v>
      </c>
      <c r="C42" s="225" t="s">
        <v>2</v>
      </c>
      <c r="D42" s="225" t="s">
        <v>253</v>
      </c>
      <c r="E42" s="225" t="s">
        <v>269</v>
      </c>
      <c r="F42" s="225">
        <v>0</v>
      </c>
      <c r="G42" s="225" t="s">
        <v>269</v>
      </c>
      <c r="H42" s="226">
        <v>25</v>
      </c>
      <c r="I42" s="226">
        <v>30</v>
      </c>
      <c r="J42" s="227">
        <f t="shared" si="2"/>
        <v>0.19999999999999996</v>
      </c>
      <c r="K42" s="228"/>
      <c r="L42" s="228"/>
      <c r="N42" s="225">
        <v>0</v>
      </c>
      <c r="O42" s="225">
        <v>0</v>
      </c>
      <c r="Q42" s="229">
        <v>0</v>
      </c>
      <c r="R42" s="229">
        <v>0</v>
      </c>
      <c r="S42" s="230">
        <v>0</v>
      </c>
      <c r="T42" s="230">
        <v>0</v>
      </c>
      <c r="V42" s="231">
        <f t="shared" si="3"/>
        <v>0</v>
      </c>
      <c r="W42" s="231">
        <f t="shared" si="3"/>
        <v>0</v>
      </c>
      <c r="X42" s="232">
        <f t="shared" si="4"/>
        <v>0</v>
      </c>
      <c r="Y42" s="232">
        <f t="shared" si="4"/>
        <v>0</v>
      </c>
      <c r="Z42" s="231">
        <f t="shared" si="5"/>
        <v>0</v>
      </c>
      <c r="AA42" s="231">
        <f t="shared" si="5"/>
        <v>0</v>
      </c>
      <c r="AB42" s="232">
        <f t="shared" si="6"/>
        <v>0</v>
      </c>
      <c r="AC42" s="232">
        <f t="shared" si="6"/>
        <v>0</v>
      </c>
      <c r="AE42" s="233">
        <v>0</v>
      </c>
      <c r="AF42" s="233">
        <v>0</v>
      </c>
      <c r="AG42" s="234">
        <f t="shared" si="7"/>
        <v>0</v>
      </c>
      <c r="AH42" s="233">
        <v>0</v>
      </c>
      <c r="AI42" s="233">
        <v>0</v>
      </c>
    </row>
    <row r="43" spans="2:35">
      <c r="B43" s="211" t="str">
        <f t="shared" si="8"/>
        <v>Residential_Weatherization_Measures_Air Sealing</v>
      </c>
      <c r="C43" s="211" t="s">
        <v>2</v>
      </c>
      <c r="D43" s="211" t="s">
        <v>253</v>
      </c>
      <c r="E43" s="211" t="s">
        <v>269</v>
      </c>
      <c r="F43" s="211">
        <v>0</v>
      </c>
      <c r="G43" s="211" t="s">
        <v>270</v>
      </c>
      <c r="H43" s="212">
        <v>25</v>
      </c>
      <c r="I43" s="212">
        <v>30</v>
      </c>
      <c r="J43" s="213">
        <f t="shared" si="2"/>
        <v>0.19999999999999996</v>
      </c>
      <c r="K43" s="236">
        <f>ROUND(H43/$H$41*K$41, 0)</f>
        <v>25</v>
      </c>
      <c r="L43" s="235"/>
      <c r="N43" s="218">
        <v>15</v>
      </c>
      <c r="O43" s="218">
        <v>0</v>
      </c>
      <c r="Q43" s="219">
        <v>700.72077609032829</v>
      </c>
      <c r="R43" s="219">
        <v>0</v>
      </c>
      <c r="S43" s="220">
        <v>0.3301023128003488</v>
      </c>
      <c r="T43" s="220">
        <v>0</v>
      </c>
      <c r="V43" s="238">
        <f t="shared" si="3"/>
        <v>17518.019402258207</v>
      </c>
      <c r="W43" s="238">
        <f t="shared" si="3"/>
        <v>21021.62328270985</v>
      </c>
      <c r="X43" s="245">
        <f t="shared" si="4"/>
        <v>8.25255782000872</v>
      </c>
      <c r="Y43" s="245">
        <f t="shared" si="4"/>
        <v>9.9030693840104647</v>
      </c>
      <c r="Z43" s="238">
        <f t="shared" si="5"/>
        <v>17518.019402258207</v>
      </c>
      <c r="AA43" s="238">
        <f t="shared" si="5"/>
        <v>0</v>
      </c>
      <c r="AB43" s="245">
        <f t="shared" si="6"/>
        <v>8.25255782000872</v>
      </c>
      <c r="AC43" s="245">
        <f t="shared" si="6"/>
        <v>0</v>
      </c>
      <c r="AE43" s="221">
        <v>272</v>
      </c>
      <c r="AF43" s="221">
        <v>0</v>
      </c>
      <c r="AG43" s="217">
        <f t="shared" si="7"/>
        <v>0</v>
      </c>
      <c r="AH43" s="216">
        <v>0</v>
      </c>
      <c r="AI43" s="216">
        <v>0</v>
      </c>
    </row>
    <row r="44" spans="2:35">
      <c r="B44" s="211" t="str">
        <f t="shared" si="8"/>
        <v>Residential_Weatherization_Measures_Water Heater Tank Wrap</v>
      </c>
      <c r="C44" s="211" t="s">
        <v>2</v>
      </c>
      <c r="D44" s="211" t="s">
        <v>253</v>
      </c>
      <c r="E44" s="211" t="s">
        <v>269</v>
      </c>
      <c r="F44" s="211">
        <v>0</v>
      </c>
      <c r="G44" s="211" t="s">
        <v>266</v>
      </c>
      <c r="H44" s="212">
        <v>12.5</v>
      </c>
      <c r="I44" s="212">
        <v>15</v>
      </c>
      <c r="J44" s="213">
        <f t="shared" si="2"/>
        <v>0.19999999999999996</v>
      </c>
      <c r="K44" s="236">
        <f t="shared" ref="K44:K50" si="17">ROUND(H44/$H$41*K$41, 0)</f>
        <v>13</v>
      </c>
      <c r="L44" s="235"/>
      <c r="N44" s="211">
        <v>5</v>
      </c>
      <c r="O44" s="211">
        <v>0</v>
      </c>
      <c r="Q44" s="214">
        <v>143</v>
      </c>
      <c r="R44" s="214">
        <v>0</v>
      </c>
      <c r="S44" s="215">
        <v>1.6400000000000001E-2</v>
      </c>
      <c r="T44" s="215">
        <v>0</v>
      </c>
      <c r="V44" s="236">
        <f t="shared" si="3"/>
        <v>1787.5</v>
      </c>
      <c r="W44" s="236">
        <f t="shared" si="3"/>
        <v>2145</v>
      </c>
      <c r="X44" s="237">
        <f t="shared" si="4"/>
        <v>0.20500000000000002</v>
      </c>
      <c r="Y44" s="237">
        <f t="shared" si="4"/>
        <v>0.24600000000000002</v>
      </c>
      <c r="Z44" s="236">
        <f t="shared" si="5"/>
        <v>1859</v>
      </c>
      <c r="AA44" s="236">
        <f t="shared" si="5"/>
        <v>0</v>
      </c>
      <c r="AB44" s="237">
        <f t="shared" si="6"/>
        <v>0.21320000000000003</v>
      </c>
      <c r="AC44" s="237">
        <f t="shared" si="6"/>
        <v>0</v>
      </c>
      <c r="AE44" s="216">
        <v>10</v>
      </c>
      <c r="AF44" s="216">
        <v>0</v>
      </c>
      <c r="AG44" s="217">
        <f t="shared" si="7"/>
        <v>0</v>
      </c>
      <c r="AH44" s="216">
        <v>0</v>
      </c>
      <c r="AI44" s="216">
        <v>0</v>
      </c>
    </row>
    <row r="45" spans="2:35">
      <c r="B45" s="211" t="str">
        <f t="shared" si="8"/>
        <v>Residential_Weatherization_Measures_Hot Water Pipe Insulation</v>
      </c>
      <c r="C45" s="211" t="s">
        <v>2</v>
      </c>
      <c r="D45" s="211" t="s">
        <v>253</v>
      </c>
      <c r="E45" s="211" t="s">
        <v>269</v>
      </c>
      <c r="F45" s="211">
        <v>0</v>
      </c>
      <c r="G45" s="211" t="s">
        <v>265</v>
      </c>
      <c r="H45" s="212">
        <v>12.5</v>
      </c>
      <c r="I45" s="212">
        <v>15</v>
      </c>
      <c r="J45" s="213">
        <f t="shared" si="2"/>
        <v>0.19999999999999996</v>
      </c>
      <c r="K45" s="236">
        <f t="shared" si="17"/>
        <v>13</v>
      </c>
      <c r="L45" s="235"/>
      <c r="N45" s="211">
        <v>15</v>
      </c>
      <c r="O45" s="211">
        <v>0</v>
      </c>
      <c r="Q45" s="214">
        <v>135.51948432464107</v>
      </c>
      <c r="R45" s="214">
        <v>0</v>
      </c>
      <c r="S45" s="215">
        <v>1.547026076765309E-2</v>
      </c>
      <c r="T45" s="215">
        <v>0</v>
      </c>
      <c r="V45" s="236">
        <f t="shared" si="3"/>
        <v>1693.9935540580134</v>
      </c>
      <c r="W45" s="236">
        <f t="shared" si="3"/>
        <v>2032.792264869616</v>
      </c>
      <c r="X45" s="237">
        <f t="shared" si="4"/>
        <v>0.19337825959566363</v>
      </c>
      <c r="Y45" s="237">
        <f t="shared" si="4"/>
        <v>0.23205391151479635</v>
      </c>
      <c r="Z45" s="236">
        <f t="shared" si="5"/>
        <v>1761.7532962203338</v>
      </c>
      <c r="AA45" s="236">
        <f t="shared" si="5"/>
        <v>0</v>
      </c>
      <c r="AB45" s="237">
        <f t="shared" si="6"/>
        <v>0.20111338997949016</v>
      </c>
      <c r="AC45" s="237">
        <f t="shared" si="6"/>
        <v>0</v>
      </c>
      <c r="AE45" s="216">
        <v>15</v>
      </c>
      <c r="AF45" s="216">
        <v>0</v>
      </c>
      <c r="AG45" s="217">
        <f t="shared" si="7"/>
        <v>0</v>
      </c>
      <c r="AH45" s="216">
        <v>0</v>
      </c>
      <c r="AI45" s="216">
        <v>0</v>
      </c>
    </row>
    <row r="46" spans="2:35">
      <c r="B46" s="211" t="str">
        <f t="shared" si="8"/>
        <v>Residential_Weatherization_Measures_Water Heater Temperature Setback</v>
      </c>
      <c r="C46" s="211" t="s">
        <v>2</v>
      </c>
      <c r="D46" s="211" t="s">
        <v>253</v>
      </c>
      <c r="E46" s="211" t="s">
        <v>269</v>
      </c>
      <c r="F46" s="211">
        <v>0</v>
      </c>
      <c r="G46" s="211" t="s">
        <v>271</v>
      </c>
      <c r="H46" s="212">
        <v>12.5</v>
      </c>
      <c r="I46" s="212">
        <v>15</v>
      </c>
      <c r="J46" s="213">
        <f t="shared" si="2"/>
        <v>0.19999999999999996</v>
      </c>
      <c r="K46" s="236">
        <f t="shared" si="17"/>
        <v>13</v>
      </c>
      <c r="L46" s="235"/>
      <c r="N46" s="211">
        <v>2</v>
      </c>
      <c r="O46" s="211">
        <v>0</v>
      </c>
      <c r="Q46" s="214">
        <v>50.4380040433524</v>
      </c>
      <c r="R46" s="214">
        <v>0</v>
      </c>
      <c r="S46" s="215">
        <v>5.7538220446443529E-3</v>
      </c>
      <c r="T46" s="215">
        <v>0</v>
      </c>
      <c r="V46" s="236">
        <f t="shared" si="3"/>
        <v>630.47505054190503</v>
      </c>
      <c r="W46" s="236">
        <f t="shared" si="3"/>
        <v>756.570060650286</v>
      </c>
      <c r="X46" s="237">
        <f t="shared" si="4"/>
        <v>7.1922775558054416E-2</v>
      </c>
      <c r="Y46" s="237">
        <f t="shared" si="4"/>
        <v>8.6307330669665297E-2</v>
      </c>
      <c r="Z46" s="236">
        <f t="shared" si="5"/>
        <v>655.69405256358118</v>
      </c>
      <c r="AA46" s="236">
        <f t="shared" si="5"/>
        <v>0</v>
      </c>
      <c r="AB46" s="237">
        <f t="shared" si="6"/>
        <v>7.4799686580376584E-2</v>
      </c>
      <c r="AC46" s="237">
        <f t="shared" si="6"/>
        <v>0</v>
      </c>
      <c r="AE46" s="216">
        <v>5</v>
      </c>
      <c r="AF46" s="216">
        <v>0</v>
      </c>
      <c r="AG46" s="217">
        <f t="shared" si="7"/>
        <v>0</v>
      </c>
      <c r="AH46" s="216">
        <v>0</v>
      </c>
      <c r="AI46" s="216">
        <v>0</v>
      </c>
    </row>
    <row r="47" spans="2:35">
      <c r="B47" s="225" t="str">
        <f t="shared" si="8"/>
        <v>Residential_Weatherization_Residential Kit_Residential Kit</v>
      </c>
      <c r="C47" s="225" t="s">
        <v>2</v>
      </c>
      <c r="D47" s="225" t="s">
        <v>253</v>
      </c>
      <c r="E47" s="225" t="s">
        <v>268</v>
      </c>
      <c r="F47" s="225">
        <v>0</v>
      </c>
      <c r="G47" s="225" t="s">
        <v>268</v>
      </c>
      <c r="H47" s="226">
        <v>25</v>
      </c>
      <c r="I47" s="226">
        <v>30</v>
      </c>
      <c r="J47" s="227">
        <f t="shared" si="2"/>
        <v>0.19999999999999996</v>
      </c>
      <c r="K47" s="228"/>
      <c r="L47" s="228"/>
      <c r="N47" s="225">
        <v>0</v>
      </c>
      <c r="O47" s="225">
        <v>0</v>
      </c>
      <c r="Q47" s="229">
        <v>0</v>
      </c>
      <c r="R47" s="229">
        <v>0</v>
      </c>
      <c r="S47" s="230">
        <v>0</v>
      </c>
      <c r="T47" s="230">
        <v>0</v>
      </c>
      <c r="V47" s="231">
        <f t="shared" si="3"/>
        <v>0</v>
      </c>
      <c r="W47" s="231">
        <f t="shared" si="3"/>
        <v>0</v>
      </c>
      <c r="X47" s="232">
        <f t="shared" si="4"/>
        <v>0</v>
      </c>
      <c r="Y47" s="232">
        <f t="shared" si="4"/>
        <v>0</v>
      </c>
      <c r="Z47" s="231">
        <f t="shared" si="5"/>
        <v>0</v>
      </c>
      <c r="AA47" s="231">
        <f t="shared" si="5"/>
        <v>0</v>
      </c>
      <c r="AB47" s="232">
        <f t="shared" si="6"/>
        <v>0</v>
      </c>
      <c r="AC47" s="232">
        <f t="shared" si="6"/>
        <v>0</v>
      </c>
      <c r="AE47" s="233">
        <v>0</v>
      </c>
      <c r="AF47" s="233">
        <v>0</v>
      </c>
      <c r="AG47" s="234">
        <f t="shared" si="7"/>
        <v>0</v>
      </c>
      <c r="AH47" s="233">
        <v>0</v>
      </c>
      <c r="AI47" s="233">
        <v>0</v>
      </c>
    </row>
    <row r="48" spans="2:35">
      <c r="B48" s="211" t="str">
        <f t="shared" si="8"/>
        <v>Residential_Weatherization_Residential Kit_LED</v>
      </c>
      <c r="C48" s="211" t="s">
        <v>2</v>
      </c>
      <c r="D48" s="211" t="s">
        <v>253</v>
      </c>
      <c r="E48" s="211" t="s">
        <v>268</v>
      </c>
      <c r="F48" s="211">
        <v>0</v>
      </c>
      <c r="G48" s="211" t="s">
        <v>216</v>
      </c>
      <c r="H48" s="212">
        <v>100</v>
      </c>
      <c r="I48" s="212">
        <v>120</v>
      </c>
      <c r="J48" s="213">
        <f t="shared" si="2"/>
        <v>0.19999999999999996</v>
      </c>
      <c r="K48" s="236">
        <f t="shared" si="17"/>
        <v>100</v>
      </c>
      <c r="L48" s="235"/>
      <c r="N48" s="211">
        <v>10</v>
      </c>
      <c r="O48" s="211">
        <v>0</v>
      </c>
      <c r="Q48" s="214">
        <v>38.317299999999996</v>
      </c>
      <c r="R48" s="214">
        <v>0</v>
      </c>
      <c r="S48" s="215">
        <v>4.5052799999999995E-3</v>
      </c>
      <c r="T48" s="215">
        <v>0</v>
      </c>
      <c r="V48" s="236">
        <f t="shared" si="3"/>
        <v>3831.7299999999996</v>
      </c>
      <c r="W48" s="236">
        <f t="shared" si="3"/>
        <v>4598.0759999999991</v>
      </c>
      <c r="X48" s="237">
        <f t="shared" si="4"/>
        <v>0.45052799999999993</v>
      </c>
      <c r="Y48" s="237">
        <f t="shared" si="4"/>
        <v>0.54063359999999994</v>
      </c>
      <c r="Z48" s="236">
        <f t="shared" si="5"/>
        <v>3831.7299999999996</v>
      </c>
      <c r="AA48" s="236">
        <f t="shared" si="5"/>
        <v>0</v>
      </c>
      <c r="AB48" s="237">
        <f t="shared" si="6"/>
        <v>0.45052799999999993</v>
      </c>
      <c r="AC48" s="237">
        <f t="shared" si="6"/>
        <v>0</v>
      </c>
      <c r="AE48" s="216">
        <v>10</v>
      </c>
      <c r="AF48" s="216">
        <v>0</v>
      </c>
      <c r="AG48" s="217">
        <f t="shared" si="7"/>
        <v>0</v>
      </c>
      <c r="AH48" s="216">
        <v>0</v>
      </c>
      <c r="AI48" s="216">
        <v>0</v>
      </c>
    </row>
    <row r="49" spans="2:35">
      <c r="B49" s="211" t="str">
        <f t="shared" si="8"/>
        <v>Residential_Weatherization_Residential Kit_Faucet Aerator</v>
      </c>
      <c r="C49" s="211" t="s">
        <v>2</v>
      </c>
      <c r="D49" s="211" t="s">
        <v>253</v>
      </c>
      <c r="E49" s="211" t="s">
        <v>268</v>
      </c>
      <c r="F49" s="211">
        <v>0</v>
      </c>
      <c r="G49" s="211" t="s">
        <v>525</v>
      </c>
      <c r="H49" s="212">
        <v>25</v>
      </c>
      <c r="I49" s="212">
        <v>30</v>
      </c>
      <c r="J49" s="213">
        <f t="shared" si="2"/>
        <v>0.19999999999999996</v>
      </c>
      <c r="K49" s="236">
        <f t="shared" si="17"/>
        <v>25</v>
      </c>
      <c r="L49" s="235"/>
      <c r="N49" s="211">
        <v>9</v>
      </c>
      <c r="O49" s="211">
        <v>0</v>
      </c>
      <c r="Q49" s="214">
        <v>107.9335175373552</v>
      </c>
      <c r="R49" s="214">
        <v>0</v>
      </c>
      <c r="S49" s="215">
        <v>1.2053489268131037E-2</v>
      </c>
      <c r="T49" s="215">
        <v>0</v>
      </c>
      <c r="V49" s="236">
        <f t="shared" si="3"/>
        <v>2698.33793843388</v>
      </c>
      <c r="W49" s="236">
        <f t="shared" si="3"/>
        <v>3238.0055261206562</v>
      </c>
      <c r="X49" s="237">
        <f t="shared" si="4"/>
        <v>0.30133723170327592</v>
      </c>
      <c r="Y49" s="237">
        <f t="shared" si="4"/>
        <v>0.36160467804393109</v>
      </c>
      <c r="Z49" s="236">
        <f t="shared" si="5"/>
        <v>2698.33793843388</v>
      </c>
      <c r="AA49" s="236">
        <f t="shared" si="5"/>
        <v>0</v>
      </c>
      <c r="AB49" s="237">
        <f t="shared" si="6"/>
        <v>0.30133723170327592</v>
      </c>
      <c r="AC49" s="237">
        <f t="shared" si="6"/>
        <v>0</v>
      </c>
      <c r="AE49" s="216">
        <v>8</v>
      </c>
      <c r="AF49" s="216">
        <v>0</v>
      </c>
      <c r="AG49" s="217">
        <f t="shared" si="7"/>
        <v>0</v>
      </c>
      <c r="AH49" s="216">
        <v>0</v>
      </c>
      <c r="AI49" s="216">
        <v>0</v>
      </c>
    </row>
    <row r="50" spans="2:35">
      <c r="B50" s="211" t="str">
        <f t="shared" si="8"/>
        <v>Residential_Weatherization_Residential Kit_Low Flow Showerhead</v>
      </c>
      <c r="C50" s="211" t="s">
        <v>2</v>
      </c>
      <c r="D50" s="211" t="s">
        <v>253</v>
      </c>
      <c r="E50" s="211" t="s">
        <v>268</v>
      </c>
      <c r="F50" s="211">
        <v>0</v>
      </c>
      <c r="G50" s="211" t="s">
        <v>267</v>
      </c>
      <c r="H50" s="212">
        <v>25</v>
      </c>
      <c r="I50" s="212">
        <v>30</v>
      </c>
      <c r="J50" s="213">
        <f t="shared" si="2"/>
        <v>0.19999999999999996</v>
      </c>
      <c r="K50" s="236">
        <f t="shared" si="17"/>
        <v>25</v>
      </c>
      <c r="L50" s="235"/>
      <c r="N50" s="211">
        <v>10</v>
      </c>
      <c r="O50" s="211">
        <v>0</v>
      </c>
      <c r="Q50" s="214">
        <v>135.79500284896565</v>
      </c>
      <c r="R50" s="214">
        <v>0</v>
      </c>
      <c r="S50" s="215">
        <v>9.934476524213802E-3</v>
      </c>
      <c r="T50" s="215">
        <v>0</v>
      </c>
      <c r="V50" s="236">
        <f t="shared" si="3"/>
        <v>3394.8750712241413</v>
      </c>
      <c r="W50" s="236">
        <f t="shared" si="3"/>
        <v>4073.8500854689696</v>
      </c>
      <c r="X50" s="237">
        <f t="shared" si="4"/>
        <v>0.24836191310534506</v>
      </c>
      <c r="Y50" s="237">
        <f t="shared" si="4"/>
        <v>0.29803429572641404</v>
      </c>
      <c r="Z50" s="236">
        <f t="shared" si="5"/>
        <v>3394.8750712241413</v>
      </c>
      <c r="AA50" s="236">
        <f t="shared" si="5"/>
        <v>0</v>
      </c>
      <c r="AB50" s="237">
        <f t="shared" si="6"/>
        <v>0.24836191310534506</v>
      </c>
      <c r="AC50" s="237">
        <f t="shared" si="6"/>
        <v>0</v>
      </c>
      <c r="AE50" s="216">
        <v>12</v>
      </c>
      <c r="AF50" s="216">
        <v>0</v>
      </c>
      <c r="AG50" s="217">
        <f t="shared" si="7"/>
        <v>0</v>
      </c>
      <c r="AH50" s="216">
        <v>0</v>
      </c>
      <c r="AI50" s="216">
        <v>0</v>
      </c>
    </row>
    <row r="51" spans="2:35">
      <c r="B51" s="225" t="str">
        <f t="shared" si="8"/>
        <v>C&amp;I_C&amp;I Programs_C&amp;I Programs_C&amp;I Programs</v>
      </c>
      <c r="C51" s="225" t="s">
        <v>256</v>
      </c>
      <c r="D51" s="225" t="s">
        <v>322</v>
      </c>
      <c r="E51" s="225" t="s">
        <v>322</v>
      </c>
      <c r="F51" s="225">
        <v>0</v>
      </c>
      <c r="G51" s="225" t="s">
        <v>322</v>
      </c>
      <c r="H51" s="226">
        <v>159</v>
      </c>
      <c r="I51" s="226">
        <v>191</v>
      </c>
      <c r="J51" s="227">
        <f t="shared" si="2"/>
        <v>0.20125786163522008</v>
      </c>
      <c r="K51" s="228"/>
      <c r="L51" s="228"/>
      <c r="N51" s="225">
        <v>0</v>
      </c>
      <c r="O51" s="225">
        <v>0</v>
      </c>
      <c r="Q51" s="229">
        <v>0</v>
      </c>
      <c r="R51" s="229">
        <v>0</v>
      </c>
      <c r="S51" s="230">
        <v>0</v>
      </c>
      <c r="T51" s="230">
        <v>0</v>
      </c>
      <c r="V51" s="231">
        <f t="shared" si="3"/>
        <v>0</v>
      </c>
      <c r="W51" s="231">
        <f t="shared" si="3"/>
        <v>0</v>
      </c>
      <c r="X51" s="232">
        <f t="shared" si="4"/>
        <v>0</v>
      </c>
      <c r="Y51" s="232">
        <f t="shared" si="4"/>
        <v>0</v>
      </c>
      <c r="Z51" s="231">
        <f t="shared" si="5"/>
        <v>0</v>
      </c>
      <c r="AA51" s="231">
        <f t="shared" si="5"/>
        <v>0</v>
      </c>
      <c r="AB51" s="232">
        <f t="shared" si="6"/>
        <v>0</v>
      </c>
      <c r="AC51" s="232">
        <f t="shared" si="6"/>
        <v>0</v>
      </c>
      <c r="AE51" s="233">
        <v>0</v>
      </c>
      <c r="AF51" s="233">
        <v>0</v>
      </c>
      <c r="AG51" s="234">
        <f t="shared" si="7"/>
        <v>0</v>
      </c>
      <c r="AH51" s="233">
        <v>0</v>
      </c>
      <c r="AI51" s="233">
        <v>0</v>
      </c>
    </row>
    <row r="52" spans="2:35">
      <c r="B52" s="225" t="str">
        <f t="shared" si="8"/>
        <v>C&amp;I_C&amp;I Custom_0_C&amp;I Custom</v>
      </c>
      <c r="C52" s="225" t="s">
        <v>256</v>
      </c>
      <c r="D52" s="225" t="s">
        <v>254</v>
      </c>
      <c r="E52" s="225">
        <v>0</v>
      </c>
      <c r="F52" s="225">
        <v>0</v>
      </c>
      <c r="G52" s="225" t="s">
        <v>254</v>
      </c>
      <c r="H52" s="226">
        <v>45</v>
      </c>
      <c r="I52" s="226">
        <v>55</v>
      </c>
      <c r="J52" s="227">
        <f t="shared" si="2"/>
        <v>0.22222222222222232</v>
      </c>
      <c r="K52" s="228">
        <v>47</v>
      </c>
      <c r="L52" s="228"/>
      <c r="N52" s="225">
        <v>15</v>
      </c>
      <c r="O52" s="225">
        <v>0</v>
      </c>
      <c r="Q52" s="229">
        <v>43177.337999999996</v>
      </c>
      <c r="R52" s="229">
        <v>0</v>
      </c>
      <c r="S52" s="230">
        <v>10.710766666666666</v>
      </c>
      <c r="T52" s="230">
        <v>0</v>
      </c>
      <c r="V52" s="231">
        <f t="shared" si="3"/>
        <v>1942980.2099999997</v>
      </c>
      <c r="W52" s="231">
        <f t="shared" si="3"/>
        <v>2374753.59</v>
      </c>
      <c r="X52" s="232">
        <f t="shared" si="4"/>
        <v>481.98449999999997</v>
      </c>
      <c r="Y52" s="232">
        <f t="shared" si="4"/>
        <v>589.09216666666669</v>
      </c>
      <c r="Z52" s="231">
        <f t="shared" si="5"/>
        <v>2029334.8859999997</v>
      </c>
      <c r="AA52" s="231">
        <f t="shared" si="5"/>
        <v>0</v>
      </c>
      <c r="AB52" s="232">
        <f t="shared" si="6"/>
        <v>503.40603333333331</v>
      </c>
      <c r="AC52" s="232">
        <f t="shared" si="6"/>
        <v>0</v>
      </c>
      <c r="AE52" s="233">
        <v>7940.9</v>
      </c>
      <c r="AF52" s="233">
        <v>0</v>
      </c>
      <c r="AG52" s="234">
        <f t="shared" si="7"/>
        <v>3970</v>
      </c>
      <c r="AH52" s="233">
        <v>0</v>
      </c>
      <c r="AI52" s="233">
        <v>3970</v>
      </c>
    </row>
    <row r="53" spans="2:35">
      <c r="B53" s="225" t="str">
        <f t="shared" si="8"/>
        <v>C&amp;I_C&amp;I Prescriptive_C&amp;I Prescriptive_C&amp;I Prescriptive</v>
      </c>
      <c r="C53" s="225" t="s">
        <v>256</v>
      </c>
      <c r="D53" s="225" t="s">
        <v>255</v>
      </c>
      <c r="E53" s="225" t="s">
        <v>255</v>
      </c>
      <c r="F53" s="225">
        <v>0</v>
      </c>
      <c r="G53" s="225" t="s">
        <v>255</v>
      </c>
      <c r="H53" s="226">
        <v>114</v>
      </c>
      <c r="I53" s="226">
        <v>136</v>
      </c>
      <c r="J53" s="227">
        <f t="shared" si="2"/>
        <v>0.19298245614035081</v>
      </c>
      <c r="K53" s="228"/>
      <c r="L53" s="228"/>
      <c r="N53" s="225">
        <v>0</v>
      </c>
      <c r="O53" s="225">
        <v>0</v>
      </c>
      <c r="Q53" s="229">
        <v>0</v>
      </c>
      <c r="R53" s="229">
        <v>0</v>
      </c>
      <c r="S53" s="230">
        <v>0</v>
      </c>
      <c r="T53" s="230">
        <v>0</v>
      </c>
      <c r="V53" s="231">
        <f>SUM(V55:V96,V98:V101,V103:V104)</f>
        <v>2740189.5192383761</v>
      </c>
      <c r="W53" s="231">
        <f t="shared" ref="W53:AC53" si="18">SUM(W55:W96,W98:W101,W103:W104)</f>
        <v>3395611.9498756821</v>
      </c>
      <c r="X53" s="232">
        <f t="shared" si="18"/>
        <v>583.55293825296167</v>
      </c>
      <c r="Y53" s="232">
        <f t="shared" si="18"/>
        <v>726.24341390418579</v>
      </c>
      <c r="Z53" s="231">
        <f t="shared" si="18"/>
        <v>602.93512938673962</v>
      </c>
      <c r="AA53" s="231">
        <f t="shared" si="18"/>
        <v>0</v>
      </c>
      <c r="AB53" s="232">
        <f t="shared" si="18"/>
        <v>0.137030711224259</v>
      </c>
      <c r="AC53" s="232">
        <f t="shared" si="18"/>
        <v>0</v>
      </c>
      <c r="AE53" s="233">
        <v>0</v>
      </c>
      <c r="AF53" s="233">
        <v>0</v>
      </c>
      <c r="AG53" s="234">
        <f t="shared" si="7"/>
        <v>0</v>
      </c>
      <c r="AH53" s="233">
        <v>0</v>
      </c>
      <c r="AI53" s="233">
        <v>0</v>
      </c>
    </row>
    <row r="54" spans="2:35">
      <c r="B54" s="225" t="str">
        <f t="shared" si="8"/>
        <v>C&amp;I_C&amp;I Prescriptive_Lighting_Lighting</v>
      </c>
      <c r="C54" s="225" t="s">
        <v>256</v>
      </c>
      <c r="D54" s="225" t="s">
        <v>255</v>
      </c>
      <c r="E54" s="225" t="s">
        <v>23</v>
      </c>
      <c r="F54" s="225">
        <v>0</v>
      </c>
      <c r="G54" s="225" t="s">
        <v>23</v>
      </c>
      <c r="H54" s="226">
        <v>6500</v>
      </c>
      <c r="I54" s="226">
        <v>8125</v>
      </c>
      <c r="J54" s="227">
        <f t="shared" si="2"/>
        <v>0.25</v>
      </c>
      <c r="K54" s="228">
        <v>19546</v>
      </c>
      <c r="L54" s="228"/>
      <c r="N54" s="225">
        <v>0</v>
      </c>
      <c r="O54" s="225">
        <v>0</v>
      </c>
      <c r="Q54" s="229">
        <v>0</v>
      </c>
      <c r="R54" s="229">
        <v>0</v>
      </c>
      <c r="S54" s="230">
        <v>0</v>
      </c>
      <c r="T54" s="230">
        <v>0</v>
      </c>
      <c r="V54" s="231">
        <f t="shared" si="3"/>
        <v>0</v>
      </c>
      <c r="W54" s="231">
        <f t="shared" si="3"/>
        <v>0</v>
      </c>
      <c r="X54" s="232">
        <f t="shared" si="4"/>
        <v>0</v>
      </c>
      <c r="Y54" s="232">
        <f t="shared" si="4"/>
        <v>0</v>
      </c>
      <c r="Z54" s="231">
        <f t="shared" si="5"/>
        <v>0</v>
      </c>
      <c r="AA54" s="231">
        <f t="shared" si="5"/>
        <v>0</v>
      </c>
      <c r="AB54" s="232">
        <f t="shared" si="6"/>
        <v>0</v>
      </c>
      <c r="AC54" s="232">
        <f t="shared" si="6"/>
        <v>0</v>
      </c>
      <c r="AE54" s="233">
        <v>0</v>
      </c>
      <c r="AF54" s="233">
        <v>0</v>
      </c>
      <c r="AG54" s="234">
        <f t="shared" si="7"/>
        <v>0</v>
      </c>
      <c r="AH54" s="233">
        <v>0</v>
      </c>
      <c r="AI54" s="233">
        <v>0</v>
      </c>
    </row>
    <row r="55" spans="2:35">
      <c r="B55" s="211" t="str">
        <f t="shared" si="8"/>
        <v>C&amp;I_C&amp;I Prescriptive_Lighting_High Bay Fluorescent Fixture w/ HE Electronic Ballast (T5 4-6 lamp)</v>
      </c>
      <c r="C55" s="211" t="s">
        <v>256</v>
      </c>
      <c r="D55" s="211" t="s">
        <v>255</v>
      </c>
      <c r="E55" s="211" t="s">
        <v>23</v>
      </c>
      <c r="F55" s="211">
        <v>0</v>
      </c>
      <c r="G55" s="211" t="s">
        <v>272</v>
      </c>
      <c r="H55" s="212">
        <v>36</v>
      </c>
      <c r="I55" s="212">
        <v>45</v>
      </c>
      <c r="J55" s="213">
        <f t="shared" si="2"/>
        <v>0.25</v>
      </c>
      <c r="K55" s="246">
        <v>0</v>
      </c>
      <c r="L55" s="235"/>
      <c r="N55" s="211">
        <v>15</v>
      </c>
      <c r="O55" s="211">
        <v>0</v>
      </c>
      <c r="Q55" s="214">
        <v>1021.9909699999999</v>
      </c>
      <c r="R55" s="214">
        <v>0</v>
      </c>
      <c r="S55" s="215">
        <v>0.22700999999999999</v>
      </c>
      <c r="T55" s="215">
        <v>0</v>
      </c>
      <c r="V55" s="236">
        <f t="shared" si="3"/>
        <v>36791.674919999998</v>
      </c>
      <c r="W55" s="236">
        <f t="shared" si="3"/>
        <v>45989.593649999995</v>
      </c>
      <c r="X55" s="237">
        <f t="shared" si="4"/>
        <v>8.1723599999999994</v>
      </c>
      <c r="Y55" s="237">
        <f t="shared" si="4"/>
        <v>10.215449999999999</v>
      </c>
      <c r="Z55" s="236">
        <f t="shared" si="5"/>
        <v>0</v>
      </c>
      <c r="AA55" s="236">
        <f t="shared" si="5"/>
        <v>0</v>
      </c>
      <c r="AB55" s="237">
        <f t="shared" si="6"/>
        <v>0</v>
      </c>
      <c r="AC55" s="237">
        <f t="shared" si="6"/>
        <v>0</v>
      </c>
      <c r="AE55" s="216">
        <v>17.879999999999995</v>
      </c>
      <c r="AF55" s="216">
        <v>0</v>
      </c>
      <c r="AG55" s="217">
        <f t="shared" si="7"/>
        <v>75</v>
      </c>
      <c r="AH55" s="216">
        <v>0</v>
      </c>
      <c r="AI55" s="216">
        <v>75</v>
      </c>
    </row>
    <row r="56" spans="2:35">
      <c r="B56" s="211" t="str">
        <f t="shared" si="8"/>
        <v>C&amp;I_C&amp;I Prescriptive_Lighting_High Bay Fluorescent Fixture w/ HE Electronic Ballast (T5 8-lamp)</v>
      </c>
      <c r="C56" s="211" t="s">
        <v>256</v>
      </c>
      <c r="D56" s="211" t="s">
        <v>255</v>
      </c>
      <c r="E56" s="211" t="s">
        <v>23</v>
      </c>
      <c r="F56" s="211">
        <v>0</v>
      </c>
      <c r="G56" s="211" t="s">
        <v>273</v>
      </c>
      <c r="H56" s="212">
        <v>36</v>
      </c>
      <c r="I56" s="212">
        <v>45</v>
      </c>
      <c r="J56" s="213">
        <f t="shared" si="2"/>
        <v>0.25</v>
      </c>
      <c r="K56" s="235">
        <v>0</v>
      </c>
      <c r="L56" s="235"/>
      <c r="N56" s="211">
        <v>15</v>
      </c>
      <c r="O56" s="211">
        <v>0</v>
      </c>
      <c r="Q56" s="214">
        <v>2424.8481400000001</v>
      </c>
      <c r="R56" s="214">
        <v>0</v>
      </c>
      <c r="S56" s="215">
        <v>0.53861999999999999</v>
      </c>
      <c r="T56" s="215">
        <v>0</v>
      </c>
      <c r="V56" s="236">
        <f t="shared" si="3"/>
        <v>87294.533040000009</v>
      </c>
      <c r="W56" s="236">
        <f t="shared" si="3"/>
        <v>109118.1663</v>
      </c>
      <c r="X56" s="237">
        <f t="shared" si="4"/>
        <v>19.390319999999999</v>
      </c>
      <c r="Y56" s="237">
        <f t="shared" si="4"/>
        <v>24.2379</v>
      </c>
      <c r="Z56" s="236">
        <f t="shared" si="5"/>
        <v>0</v>
      </c>
      <c r="AA56" s="236">
        <f t="shared" si="5"/>
        <v>0</v>
      </c>
      <c r="AB56" s="237">
        <f t="shared" si="6"/>
        <v>0</v>
      </c>
      <c r="AC56" s="237">
        <f t="shared" si="6"/>
        <v>0</v>
      </c>
      <c r="AE56" s="216">
        <v>101.81</v>
      </c>
      <c r="AF56" s="216">
        <v>0</v>
      </c>
      <c r="AG56" s="217">
        <f t="shared" si="7"/>
        <v>40</v>
      </c>
      <c r="AH56" s="216">
        <v>0</v>
      </c>
      <c r="AI56" s="216">
        <v>40</v>
      </c>
    </row>
    <row r="57" spans="2:35">
      <c r="B57" s="211" t="str">
        <f t="shared" si="8"/>
        <v>C&amp;I_C&amp;I Prescriptive_Lighting_High Bay Fluorescent Fixture w/ HE Electronic Ballast (T5 10-lamp)</v>
      </c>
      <c r="C57" s="211" t="s">
        <v>256</v>
      </c>
      <c r="D57" s="211" t="s">
        <v>255</v>
      </c>
      <c r="E57" s="211" t="s">
        <v>23</v>
      </c>
      <c r="F57" s="211">
        <v>0</v>
      </c>
      <c r="G57" s="211" t="s">
        <v>274</v>
      </c>
      <c r="H57" s="212">
        <v>36</v>
      </c>
      <c r="I57" s="212">
        <v>45</v>
      </c>
      <c r="J57" s="213">
        <f t="shared" si="2"/>
        <v>0.25</v>
      </c>
      <c r="K57" s="235">
        <v>0</v>
      </c>
      <c r="L57" s="235"/>
      <c r="N57" s="211">
        <v>15</v>
      </c>
      <c r="O57" s="211">
        <v>0</v>
      </c>
      <c r="Q57" s="214">
        <v>3142.1461499999996</v>
      </c>
      <c r="R57" s="214">
        <v>0</v>
      </c>
      <c r="S57" s="215">
        <v>0.69794999999999996</v>
      </c>
      <c r="T57" s="215">
        <v>0</v>
      </c>
      <c r="V57" s="236">
        <f t="shared" si="3"/>
        <v>113117.26139999999</v>
      </c>
      <c r="W57" s="236">
        <f t="shared" si="3"/>
        <v>141396.57674999998</v>
      </c>
      <c r="X57" s="237">
        <f t="shared" si="4"/>
        <v>25.126199999999997</v>
      </c>
      <c r="Y57" s="237">
        <f t="shared" si="4"/>
        <v>31.407749999999997</v>
      </c>
      <c r="Z57" s="236">
        <f t="shared" si="5"/>
        <v>0</v>
      </c>
      <c r="AA57" s="236">
        <f t="shared" si="5"/>
        <v>0</v>
      </c>
      <c r="AB57" s="237">
        <f t="shared" si="6"/>
        <v>0</v>
      </c>
      <c r="AC57" s="237">
        <f t="shared" si="6"/>
        <v>0</v>
      </c>
      <c r="AE57" s="216">
        <v>137.31</v>
      </c>
      <c r="AF57" s="216">
        <v>0</v>
      </c>
      <c r="AG57" s="217">
        <f t="shared" si="7"/>
        <v>125</v>
      </c>
      <c r="AH57" s="216">
        <v>0</v>
      </c>
      <c r="AI57" s="216">
        <v>125</v>
      </c>
    </row>
    <row r="58" spans="2:35">
      <c r="B58" s="211" t="str">
        <f t="shared" si="8"/>
        <v>C&amp;I_C&amp;I Prescriptive_Lighting_High Bay Fluorescent Fixture w/ HE Electronic Ballast (T8 6-8 lamp)</v>
      </c>
      <c r="C58" s="211" t="s">
        <v>256</v>
      </c>
      <c r="D58" s="211" t="s">
        <v>255</v>
      </c>
      <c r="E58" s="211" t="s">
        <v>23</v>
      </c>
      <c r="F58" s="211">
        <v>0</v>
      </c>
      <c r="G58" s="211" t="s">
        <v>275</v>
      </c>
      <c r="H58" s="212">
        <v>64</v>
      </c>
      <c r="I58" s="212">
        <v>80</v>
      </c>
      <c r="J58" s="213">
        <f t="shared" si="2"/>
        <v>0.25</v>
      </c>
      <c r="K58" s="235">
        <v>0</v>
      </c>
      <c r="L58" s="235"/>
      <c r="N58" s="211">
        <v>15</v>
      </c>
      <c r="O58" s="211">
        <v>0</v>
      </c>
      <c r="Q58" s="214">
        <v>1822.0639007999996</v>
      </c>
      <c r="R58" s="214">
        <v>0</v>
      </c>
      <c r="S58" s="215">
        <v>0.40472639999999993</v>
      </c>
      <c r="T58" s="215">
        <v>0</v>
      </c>
      <c r="V58" s="236">
        <f t="shared" si="3"/>
        <v>116612.08965119997</v>
      </c>
      <c r="W58" s="236">
        <f t="shared" si="3"/>
        <v>145765.11206399996</v>
      </c>
      <c r="X58" s="237">
        <f t="shared" si="4"/>
        <v>25.902489599999996</v>
      </c>
      <c r="Y58" s="237">
        <f t="shared" si="4"/>
        <v>32.378111999999994</v>
      </c>
      <c r="Z58" s="236">
        <f t="shared" si="5"/>
        <v>0</v>
      </c>
      <c r="AA58" s="236">
        <f t="shared" si="5"/>
        <v>0</v>
      </c>
      <c r="AB58" s="237">
        <f t="shared" si="6"/>
        <v>0</v>
      </c>
      <c r="AC58" s="237">
        <f t="shared" si="6"/>
        <v>0</v>
      </c>
      <c r="AE58" s="216">
        <v>85</v>
      </c>
      <c r="AF58" s="216">
        <v>0</v>
      </c>
      <c r="AG58" s="217">
        <f t="shared" si="7"/>
        <v>75</v>
      </c>
      <c r="AH58" s="216">
        <v>0</v>
      </c>
      <c r="AI58" s="216">
        <v>75</v>
      </c>
    </row>
    <row r="59" spans="2:35">
      <c r="B59" s="211" t="str">
        <f t="shared" si="8"/>
        <v>C&amp;I_C&amp;I Prescriptive_Lighting_High Bay Fluorescent Fixture w/ HE Electronic Ballast (T8 12-16 lamp)</v>
      </c>
      <c r="C59" s="211" t="s">
        <v>256</v>
      </c>
      <c r="D59" s="211" t="s">
        <v>255</v>
      </c>
      <c r="E59" s="211" t="s">
        <v>23</v>
      </c>
      <c r="F59" s="211">
        <v>0</v>
      </c>
      <c r="G59" s="211" t="s">
        <v>276</v>
      </c>
      <c r="H59" s="212">
        <v>64</v>
      </c>
      <c r="I59" s="212">
        <v>80</v>
      </c>
      <c r="J59" s="213">
        <f t="shared" si="2"/>
        <v>0.25</v>
      </c>
      <c r="K59" s="235">
        <v>0</v>
      </c>
      <c r="L59" s="235"/>
      <c r="N59" s="211">
        <v>15</v>
      </c>
      <c r="O59" s="211">
        <v>0</v>
      </c>
      <c r="Q59" s="214">
        <v>2893.0596552000002</v>
      </c>
      <c r="R59" s="214">
        <v>0</v>
      </c>
      <c r="S59" s="215">
        <v>0.64262160000000002</v>
      </c>
      <c r="T59" s="215">
        <v>0</v>
      </c>
      <c r="V59" s="236">
        <f t="shared" si="3"/>
        <v>185155.81793280001</v>
      </c>
      <c r="W59" s="236">
        <f t="shared" si="3"/>
        <v>231444.77241600002</v>
      </c>
      <c r="X59" s="237">
        <f t="shared" si="4"/>
        <v>41.127782400000001</v>
      </c>
      <c r="Y59" s="237">
        <f t="shared" si="4"/>
        <v>51.409728000000001</v>
      </c>
      <c r="Z59" s="236">
        <f t="shared" si="5"/>
        <v>0</v>
      </c>
      <c r="AA59" s="236">
        <f t="shared" si="5"/>
        <v>0</v>
      </c>
      <c r="AB59" s="237">
        <f t="shared" si="6"/>
        <v>0</v>
      </c>
      <c r="AC59" s="237">
        <f t="shared" si="6"/>
        <v>0</v>
      </c>
      <c r="AE59" s="216">
        <v>127.5</v>
      </c>
      <c r="AF59" s="216">
        <v>0</v>
      </c>
      <c r="AG59" s="217">
        <f t="shared" si="7"/>
        <v>125</v>
      </c>
      <c r="AH59" s="216">
        <v>0</v>
      </c>
      <c r="AI59" s="216">
        <v>125</v>
      </c>
    </row>
    <row r="60" spans="2:35">
      <c r="B60" s="211" t="str">
        <f t="shared" si="8"/>
        <v>C&amp;I_C&amp;I Prescriptive_Lighting_CFL Lamp (≤18W)</v>
      </c>
      <c r="C60" s="211" t="s">
        <v>256</v>
      </c>
      <c r="D60" s="211" t="s">
        <v>255</v>
      </c>
      <c r="E60" s="211" t="s">
        <v>23</v>
      </c>
      <c r="F60" s="211">
        <v>0</v>
      </c>
      <c r="G60" s="211" t="s">
        <v>277</v>
      </c>
      <c r="H60" s="212">
        <v>0</v>
      </c>
      <c r="I60" s="212">
        <v>0</v>
      </c>
      <c r="J60" s="213">
        <f t="shared" si="2"/>
        <v>0</v>
      </c>
      <c r="K60" s="235">
        <v>0</v>
      </c>
      <c r="L60" s="235"/>
      <c r="N60" s="211">
        <v>2</v>
      </c>
      <c r="O60" s="211">
        <v>0</v>
      </c>
      <c r="Q60" s="214">
        <v>280.12709010000003</v>
      </c>
      <c r="R60" s="214">
        <v>0</v>
      </c>
      <c r="S60" s="215">
        <v>6.2223300000000002E-2</v>
      </c>
      <c r="T60" s="215">
        <v>0</v>
      </c>
      <c r="V60" s="236">
        <f t="shared" si="3"/>
        <v>0</v>
      </c>
      <c r="W60" s="236">
        <f t="shared" si="3"/>
        <v>0</v>
      </c>
      <c r="X60" s="237">
        <f t="shared" si="4"/>
        <v>0</v>
      </c>
      <c r="Y60" s="237">
        <f t="shared" si="4"/>
        <v>0</v>
      </c>
      <c r="Z60" s="236">
        <f t="shared" si="5"/>
        <v>0</v>
      </c>
      <c r="AA60" s="236">
        <f t="shared" si="5"/>
        <v>0</v>
      </c>
      <c r="AB60" s="237">
        <f t="shared" si="6"/>
        <v>0</v>
      </c>
      <c r="AC60" s="237">
        <f t="shared" si="6"/>
        <v>0</v>
      </c>
      <c r="AE60" s="216">
        <v>74.349999999999994</v>
      </c>
      <c r="AF60" s="216">
        <v>0</v>
      </c>
      <c r="AG60" s="217">
        <f t="shared" si="7"/>
        <v>8</v>
      </c>
      <c r="AH60" s="216">
        <v>0</v>
      </c>
      <c r="AI60" s="216">
        <v>8</v>
      </c>
    </row>
    <row r="61" spans="2:35">
      <c r="B61" s="211" t="str">
        <f t="shared" si="8"/>
        <v>C&amp;I_C&amp;I Prescriptive_Lighting_CFL Lamp (18-32W)</v>
      </c>
      <c r="C61" s="211" t="s">
        <v>256</v>
      </c>
      <c r="D61" s="211" t="s">
        <v>255</v>
      </c>
      <c r="E61" s="211" t="s">
        <v>23</v>
      </c>
      <c r="F61" s="211">
        <v>0</v>
      </c>
      <c r="G61" s="211" t="s">
        <v>278</v>
      </c>
      <c r="H61" s="212">
        <v>0</v>
      </c>
      <c r="I61" s="212">
        <v>0</v>
      </c>
      <c r="J61" s="213">
        <f t="shared" si="2"/>
        <v>0</v>
      </c>
      <c r="K61" s="235">
        <v>0</v>
      </c>
      <c r="L61" s="235"/>
      <c r="N61" s="211">
        <v>2</v>
      </c>
      <c r="O61" s="211">
        <v>0</v>
      </c>
      <c r="Q61" s="214">
        <v>308.18423349999995</v>
      </c>
      <c r="R61" s="214">
        <v>0</v>
      </c>
      <c r="S61" s="215">
        <v>6.8455499999999989E-2</v>
      </c>
      <c r="T61" s="215">
        <v>0</v>
      </c>
      <c r="V61" s="236">
        <f t="shared" si="3"/>
        <v>0</v>
      </c>
      <c r="W61" s="236">
        <f t="shared" si="3"/>
        <v>0</v>
      </c>
      <c r="X61" s="237">
        <f t="shared" si="4"/>
        <v>0</v>
      </c>
      <c r="Y61" s="237">
        <f t="shared" si="4"/>
        <v>0</v>
      </c>
      <c r="Z61" s="236">
        <f t="shared" si="5"/>
        <v>0</v>
      </c>
      <c r="AA61" s="236">
        <f t="shared" si="5"/>
        <v>0</v>
      </c>
      <c r="AB61" s="237">
        <f t="shared" si="6"/>
        <v>0</v>
      </c>
      <c r="AC61" s="237">
        <f t="shared" si="6"/>
        <v>0</v>
      </c>
      <c r="AE61" s="216">
        <v>74.349999999999994</v>
      </c>
      <c r="AF61" s="216">
        <v>0</v>
      </c>
      <c r="AG61" s="217">
        <f t="shared" si="7"/>
        <v>18</v>
      </c>
      <c r="AH61" s="216">
        <v>0</v>
      </c>
      <c r="AI61" s="216">
        <v>18</v>
      </c>
    </row>
    <row r="62" spans="2:35">
      <c r="B62" s="211" t="str">
        <f t="shared" si="8"/>
        <v>C&amp;I_C&amp;I Prescriptive_Lighting_CFL Lamp (≥33W)</v>
      </c>
      <c r="C62" s="211" t="s">
        <v>256</v>
      </c>
      <c r="D62" s="211" t="s">
        <v>255</v>
      </c>
      <c r="E62" s="211" t="s">
        <v>23</v>
      </c>
      <c r="F62" s="211">
        <v>0</v>
      </c>
      <c r="G62" s="211" t="s">
        <v>279</v>
      </c>
      <c r="H62" s="212">
        <v>0</v>
      </c>
      <c r="I62" s="212">
        <v>0</v>
      </c>
      <c r="J62" s="213">
        <f t="shared" si="2"/>
        <v>0</v>
      </c>
      <c r="K62" s="235">
        <v>0</v>
      </c>
      <c r="L62" s="235"/>
      <c r="N62" s="211">
        <v>2</v>
      </c>
      <c r="O62" s="211">
        <v>0</v>
      </c>
      <c r="Q62" s="214">
        <v>602.93658568000012</v>
      </c>
      <c r="R62" s="214">
        <v>0</v>
      </c>
      <c r="S62" s="215">
        <v>0.13392744000000001</v>
      </c>
      <c r="T62" s="215">
        <v>0</v>
      </c>
      <c r="V62" s="236">
        <f t="shared" si="3"/>
        <v>0</v>
      </c>
      <c r="W62" s="236">
        <f t="shared" si="3"/>
        <v>0</v>
      </c>
      <c r="X62" s="237">
        <f t="shared" si="4"/>
        <v>0</v>
      </c>
      <c r="Y62" s="237">
        <f t="shared" si="4"/>
        <v>0</v>
      </c>
      <c r="Z62" s="236">
        <f t="shared" si="5"/>
        <v>0</v>
      </c>
      <c r="AA62" s="236">
        <f t="shared" si="5"/>
        <v>0</v>
      </c>
      <c r="AB62" s="237">
        <f t="shared" si="6"/>
        <v>0</v>
      </c>
      <c r="AC62" s="237">
        <f t="shared" si="6"/>
        <v>0</v>
      </c>
      <c r="AE62" s="216">
        <v>108.23</v>
      </c>
      <c r="AF62" s="216">
        <v>0</v>
      </c>
      <c r="AG62" s="217">
        <f t="shared" si="7"/>
        <v>24</v>
      </c>
      <c r="AH62" s="216">
        <v>0</v>
      </c>
      <c r="AI62" s="216">
        <v>24</v>
      </c>
    </row>
    <row r="63" spans="2:35">
      <c r="B63" s="211" t="str">
        <f t="shared" si="8"/>
        <v xml:space="preserve">C&amp;I_C&amp;I Prescriptive_Lighting_Low-Wattage T8 </v>
      </c>
      <c r="C63" s="211" t="s">
        <v>256</v>
      </c>
      <c r="D63" s="211" t="s">
        <v>255</v>
      </c>
      <c r="E63" s="211" t="s">
        <v>23</v>
      </c>
      <c r="F63" s="211">
        <v>0</v>
      </c>
      <c r="G63" s="211" t="s">
        <v>280</v>
      </c>
      <c r="H63" s="212">
        <v>680</v>
      </c>
      <c r="I63" s="212">
        <v>850</v>
      </c>
      <c r="J63" s="213">
        <f t="shared" si="2"/>
        <v>0.25</v>
      </c>
      <c r="K63" s="235">
        <v>0</v>
      </c>
      <c r="L63" s="235"/>
      <c r="N63" s="211">
        <v>8</v>
      </c>
      <c r="O63" s="211">
        <v>0</v>
      </c>
      <c r="Q63" s="214">
        <v>38.086619999999996</v>
      </c>
      <c r="R63" s="214">
        <v>0</v>
      </c>
      <c r="S63" s="215">
        <v>8.4600000000000005E-3</v>
      </c>
      <c r="T63" s="215">
        <v>0</v>
      </c>
      <c r="V63" s="236">
        <f t="shared" si="3"/>
        <v>25898.901599999997</v>
      </c>
      <c r="W63" s="236">
        <f t="shared" si="3"/>
        <v>32373.626999999997</v>
      </c>
      <c r="X63" s="237">
        <f t="shared" si="4"/>
        <v>5.7528000000000006</v>
      </c>
      <c r="Y63" s="237">
        <f t="shared" si="4"/>
        <v>7.1910000000000007</v>
      </c>
      <c r="Z63" s="236">
        <f t="shared" si="5"/>
        <v>0</v>
      </c>
      <c r="AA63" s="236">
        <f t="shared" si="5"/>
        <v>0</v>
      </c>
      <c r="AB63" s="237">
        <f t="shared" si="6"/>
        <v>0</v>
      </c>
      <c r="AC63" s="237">
        <f t="shared" si="6"/>
        <v>0</v>
      </c>
      <c r="AE63" s="216">
        <v>2</v>
      </c>
      <c r="AF63" s="216">
        <v>0</v>
      </c>
      <c r="AG63" s="217">
        <f t="shared" si="7"/>
        <v>0.5</v>
      </c>
      <c r="AH63" s="216">
        <v>0</v>
      </c>
      <c r="AI63" s="216">
        <v>0.5</v>
      </c>
    </row>
    <row r="64" spans="2:35">
      <c r="B64" s="211" t="str">
        <f t="shared" si="8"/>
        <v>C&amp;I_C&amp;I Prescriptive_Lighting_Ceramic Metal Halide Fixture (≤150W)</v>
      </c>
      <c r="C64" s="211" t="s">
        <v>256</v>
      </c>
      <c r="D64" s="211" t="s">
        <v>255</v>
      </c>
      <c r="E64" s="211" t="s">
        <v>23</v>
      </c>
      <c r="F64" s="211">
        <v>0</v>
      </c>
      <c r="G64" s="211" t="s">
        <v>281</v>
      </c>
      <c r="H64" s="212">
        <v>40</v>
      </c>
      <c r="I64" s="212">
        <v>50</v>
      </c>
      <c r="J64" s="213">
        <f t="shared" si="2"/>
        <v>0.25</v>
      </c>
      <c r="K64" s="235">
        <v>0</v>
      </c>
      <c r="L64" s="235"/>
      <c r="N64" s="211">
        <v>13</v>
      </c>
      <c r="O64" s="211">
        <v>0</v>
      </c>
      <c r="Q64" s="214">
        <v>355.47512</v>
      </c>
      <c r="R64" s="214">
        <v>0</v>
      </c>
      <c r="S64" s="215">
        <v>7.8960000000000002E-2</v>
      </c>
      <c r="T64" s="215">
        <v>0</v>
      </c>
      <c r="V64" s="236">
        <f t="shared" si="3"/>
        <v>14219.004800000001</v>
      </c>
      <c r="W64" s="236">
        <f t="shared" si="3"/>
        <v>17773.756000000001</v>
      </c>
      <c r="X64" s="237">
        <f t="shared" si="4"/>
        <v>3.1584000000000003</v>
      </c>
      <c r="Y64" s="237">
        <f t="shared" si="4"/>
        <v>3.948</v>
      </c>
      <c r="Z64" s="236">
        <f t="shared" si="5"/>
        <v>0</v>
      </c>
      <c r="AA64" s="236">
        <f t="shared" si="5"/>
        <v>0</v>
      </c>
      <c r="AB64" s="237">
        <f t="shared" si="6"/>
        <v>0</v>
      </c>
      <c r="AC64" s="237">
        <f t="shared" si="6"/>
        <v>0</v>
      </c>
      <c r="AE64" s="216">
        <v>72</v>
      </c>
      <c r="AF64" s="216">
        <v>0</v>
      </c>
      <c r="AG64" s="217">
        <f t="shared" si="7"/>
        <v>17</v>
      </c>
      <c r="AH64" s="216">
        <v>0</v>
      </c>
      <c r="AI64" s="216">
        <v>17</v>
      </c>
    </row>
    <row r="65" spans="2:35">
      <c r="B65" s="211" t="str">
        <f t="shared" si="8"/>
        <v>C&amp;I_C&amp;I Prescriptive_Lighting_Ceramic Metal Halide Fixture (150-250W)</v>
      </c>
      <c r="C65" s="211" t="s">
        <v>256</v>
      </c>
      <c r="D65" s="211" t="s">
        <v>255</v>
      </c>
      <c r="E65" s="211" t="s">
        <v>23</v>
      </c>
      <c r="F65" s="211">
        <v>0</v>
      </c>
      <c r="G65" s="211" t="s">
        <v>282</v>
      </c>
      <c r="H65" s="212">
        <v>40</v>
      </c>
      <c r="I65" s="212">
        <v>50</v>
      </c>
      <c r="J65" s="213">
        <f t="shared" si="2"/>
        <v>0.25</v>
      </c>
      <c r="K65" s="235">
        <v>0</v>
      </c>
      <c r="L65" s="235"/>
      <c r="N65" s="211">
        <v>13</v>
      </c>
      <c r="O65" s="211">
        <v>0</v>
      </c>
      <c r="Q65" s="214">
        <v>672.86361999999997</v>
      </c>
      <c r="R65" s="214">
        <v>0</v>
      </c>
      <c r="S65" s="215">
        <v>0.14945999999999998</v>
      </c>
      <c r="T65" s="215">
        <v>0</v>
      </c>
      <c r="V65" s="236">
        <f t="shared" si="3"/>
        <v>26914.5448</v>
      </c>
      <c r="W65" s="236">
        <f t="shared" si="3"/>
        <v>33643.180999999997</v>
      </c>
      <c r="X65" s="237">
        <f t="shared" si="4"/>
        <v>5.9783999999999988</v>
      </c>
      <c r="Y65" s="237">
        <f t="shared" si="4"/>
        <v>7.472999999999999</v>
      </c>
      <c r="Z65" s="236">
        <f t="shared" si="5"/>
        <v>0</v>
      </c>
      <c r="AA65" s="236">
        <f t="shared" si="5"/>
        <v>0</v>
      </c>
      <c r="AB65" s="237">
        <f t="shared" si="6"/>
        <v>0</v>
      </c>
      <c r="AC65" s="237">
        <f t="shared" si="6"/>
        <v>0</v>
      </c>
      <c r="AE65" s="216">
        <v>142.12</v>
      </c>
      <c r="AF65" s="216">
        <v>0</v>
      </c>
      <c r="AG65" s="217">
        <f t="shared" si="7"/>
        <v>28</v>
      </c>
      <c r="AH65" s="216">
        <v>0</v>
      </c>
      <c r="AI65" s="216">
        <v>28</v>
      </c>
    </row>
    <row r="66" spans="2:35">
      <c r="B66" s="211" t="str">
        <f t="shared" si="8"/>
        <v>C&amp;I_C&amp;I Prescriptive_Lighting_Ceramic Metal Halide Fixture (≥250W)</v>
      </c>
      <c r="C66" s="211" t="s">
        <v>256</v>
      </c>
      <c r="D66" s="211" t="s">
        <v>255</v>
      </c>
      <c r="E66" s="211" t="s">
        <v>23</v>
      </c>
      <c r="F66" s="211">
        <v>0</v>
      </c>
      <c r="G66" s="211" t="s">
        <v>283</v>
      </c>
      <c r="H66" s="212">
        <v>40</v>
      </c>
      <c r="I66" s="212">
        <v>50</v>
      </c>
      <c r="J66" s="213">
        <f t="shared" si="2"/>
        <v>0.25</v>
      </c>
      <c r="K66" s="235">
        <v>0</v>
      </c>
      <c r="L66" s="235"/>
      <c r="N66" s="211">
        <v>13</v>
      </c>
      <c r="O66" s="211">
        <v>0</v>
      </c>
      <c r="Q66" s="214">
        <v>679.21138999999994</v>
      </c>
      <c r="R66" s="214">
        <v>0</v>
      </c>
      <c r="S66" s="215">
        <v>0.15086999999999998</v>
      </c>
      <c r="T66" s="215">
        <v>0</v>
      </c>
      <c r="V66" s="236">
        <f t="shared" si="3"/>
        <v>27168.455599999998</v>
      </c>
      <c r="W66" s="236">
        <f t="shared" si="3"/>
        <v>33960.569499999998</v>
      </c>
      <c r="X66" s="237">
        <f t="shared" si="4"/>
        <v>6.0347999999999988</v>
      </c>
      <c r="Y66" s="237">
        <f t="shared" si="4"/>
        <v>7.543499999999999</v>
      </c>
      <c r="Z66" s="236">
        <f t="shared" si="5"/>
        <v>0</v>
      </c>
      <c r="AA66" s="236">
        <f t="shared" si="5"/>
        <v>0</v>
      </c>
      <c r="AB66" s="237">
        <f t="shared" si="6"/>
        <v>0</v>
      </c>
      <c r="AC66" s="237">
        <f t="shared" si="6"/>
        <v>0</v>
      </c>
      <c r="AE66" s="216">
        <v>117</v>
      </c>
      <c r="AF66" s="216">
        <v>0</v>
      </c>
      <c r="AG66" s="217">
        <f t="shared" si="7"/>
        <v>45</v>
      </c>
      <c r="AH66" s="216">
        <v>0</v>
      </c>
      <c r="AI66" s="216">
        <v>45</v>
      </c>
    </row>
    <row r="67" spans="2:35">
      <c r="B67" s="211" t="str">
        <f t="shared" si="8"/>
        <v>C&amp;I_C&amp;I Prescriptive_Lighting_Pulse Start Metal Halide Fixture (≤175W)</v>
      </c>
      <c r="C67" s="211" t="s">
        <v>256</v>
      </c>
      <c r="D67" s="211" t="s">
        <v>255</v>
      </c>
      <c r="E67" s="211" t="s">
        <v>23</v>
      </c>
      <c r="F67" s="211">
        <v>0</v>
      </c>
      <c r="G67" s="211" t="s">
        <v>284</v>
      </c>
      <c r="H67" s="212">
        <v>40</v>
      </c>
      <c r="I67" s="212">
        <v>50</v>
      </c>
      <c r="J67" s="213">
        <f t="shared" si="2"/>
        <v>0.25</v>
      </c>
      <c r="K67" s="235">
        <v>0</v>
      </c>
      <c r="L67" s="235"/>
      <c r="N67" s="211">
        <v>15</v>
      </c>
      <c r="O67" s="211">
        <v>0</v>
      </c>
      <c r="Q67" s="214">
        <v>133.30316999999999</v>
      </c>
      <c r="R67" s="214">
        <v>0</v>
      </c>
      <c r="S67" s="215">
        <v>2.9610000000000001E-2</v>
      </c>
      <c r="T67" s="215">
        <v>0</v>
      </c>
      <c r="V67" s="236">
        <f t="shared" si="3"/>
        <v>5332.1268</v>
      </c>
      <c r="W67" s="236">
        <f t="shared" si="3"/>
        <v>6665.1584999999995</v>
      </c>
      <c r="X67" s="237">
        <f t="shared" si="4"/>
        <v>1.1844000000000001</v>
      </c>
      <c r="Y67" s="237">
        <f t="shared" si="4"/>
        <v>1.4805000000000001</v>
      </c>
      <c r="Z67" s="236">
        <f t="shared" si="5"/>
        <v>0</v>
      </c>
      <c r="AA67" s="236">
        <f t="shared" si="5"/>
        <v>0</v>
      </c>
      <c r="AB67" s="237">
        <f t="shared" si="6"/>
        <v>0</v>
      </c>
      <c r="AC67" s="237">
        <f t="shared" si="6"/>
        <v>0</v>
      </c>
      <c r="AE67" s="216">
        <v>69.180000000000007</v>
      </c>
      <c r="AF67" s="216">
        <v>0</v>
      </c>
      <c r="AG67" s="217">
        <f t="shared" si="7"/>
        <v>25</v>
      </c>
      <c r="AH67" s="216">
        <v>0</v>
      </c>
      <c r="AI67" s="216">
        <v>25</v>
      </c>
    </row>
    <row r="68" spans="2:35">
      <c r="B68" s="211" t="str">
        <f t="shared" si="8"/>
        <v>C&amp;I_C&amp;I Prescriptive_Lighting_Pulse Start Metal Halide Fixture (175-320W)</v>
      </c>
      <c r="C68" s="211" t="s">
        <v>256</v>
      </c>
      <c r="D68" s="211" t="s">
        <v>255</v>
      </c>
      <c r="E68" s="211" t="s">
        <v>23</v>
      </c>
      <c r="F68" s="211">
        <v>0</v>
      </c>
      <c r="G68" s="211" t="s">
        <v>285</v>
      </c>
      <c r="H68" s="212">
        <v>40</v>
      </c>
      <c r="I68" s="212">
        <v>50</v>
      </c>
      <c r="J68" s="213">
        <f t="shared" si="2"/>
        <v>0.25</v>
      </c>
      <c r="K68" s="235">
        <v>0</v>
      </c>
      <c r="L68" s="235"/>
      <c r="N68" s="211">
        <v>15</v>
      </c>
      <c r="O68" s="211">
        <v>0</v>
      </c>
      <c r="Q68" s="214">
        <v>399.90950999999995</v>
      </c>
      <c r="R68" s="214">
        <v>0</v>
      </c>
      <c r="S68" s="215">
        <v>8.8829999999999992E-2</v>
      </c>
      <c r="T68" s="215">
        <v>0</v>
      </c>
      <c r="V68" s="236">
        <f t="shared" si="3"/>
        <v>15996.380399999998</v>
      </c>
      <c r="W68" s="236">
        <f t="shared" si="3"/>
        <v>19995.475499999997</v>
      </c>
      <c r="X68" s="237">
        <f t="shared" si="4"/>
        <v>3.5531999999999995</v>
      </c>
      <c r="Y68" s="237">
        <f t="shared" si="4"/>
        <v>4.4414999999999996</v>
      </c>
      <c r="Z68" s="236">
        <f t="shared" si="5"/>
        <v>0</v>
      </c>
      <c r="AA68" s="236">
        <f t="shared" si="5"/>
        <v>0</v>
      </c>
      <c r="AB68" s="237">
        <f t="shared" si="6"/>
        <v>0</v>
      </c>
      <c r="AC68" s="237">
        <f t="shared" si="6"/>
        <v>0</v>
      </c>
      <c r="AE68" s="216">
        <v>132.12</v>
      </c>
      <c r="AF68" s="216">
        <v>0</v>
      </c>
      <c r="AG68" s="217">
        <f t="shared" si="7"/>
        <v>40</v>
      </c>
      <c r="AH68" s="216">
        <v>0</v>
      </c>
      <c r="AI68" s="216">
        <v>40</v>
      </c>
    </row>
    <row r="69" spans="2:35">
      <c r="B69" s="211" t="str">
        <f t="shared" si="8"/>
        <v>C&amp;I_C&amp;I Prescriptive_Lighting_Pulse Start Metal Halide Fixture (320-750W)</v>
      </c>
      <c r="C69" s="211" t="s">
        <v>256</v>
      </c>
      <c r="D69" s="211" t="s">
        <v>255</v>
      </c>
      <c r="E69" s="211" t="s">
        <v>23</v>
      </c>
      <c r="F69" s="211">
        <v>0</v>
      </c>
      <c r="G69" s="211" t="s">
        <v>286</v>
      </c>
      <c r="H69" s="212">
        <v>40</v>
      </c>
      <c r="I69" s="212">
        <v>50</v>
      </c>
      <c r="J69" s="213">
        <f t="shared" ref="J69:J104" si="19">IF(H69&lt;&gt;0, I69/H69-1, 0)</f>
        <v>0.25</v>
      </c>
      <c r="K69" s="235">
        <v>0</v>
      </c>
      <c r="L69" s="235"/>
      <c r="N69" s="211">
        <v>15</v>
      </c>
      <c r="O69" s="211">
        <v>0</v>
      </c>
      <c r="Q69" s="214">
        <v>545.90821999999991</v>
      </c>
      <c r="R69" s="214">
        <v>0</v>
      </c>
      <c r="S69" s="215">
        <v>0.12125999999999998</v>
      </c>
      <c r="T69" s="215">
        <v>0</v>
      </c>
      <c r="V69" s="236">
        <f t="shared" ref="V69:W104" si="20">$Q69*H69</f>
        <v>21836.328799999996</v>
      </c>
      <c r="W69" s="236">
        <f t="shared" si="20"/>
        <v>27295.410999999996</v>
      </c>
      <c r="X69" s="237">
        <f t="shared" ref="X69:Y104" si="21">$S69*H69</f>
        <v>4.8503999999999987</v>
      </c>
      <c r="Y69" s="237">
        <f t="shared" si="21"/>
        <v>6.0629999999999988</v>
      </c>
      <c r="Z69" s="236">
        <f t="shared" ref="Z69:AA104" si="22">$Q69*K69</f>
        <v>0</v>
      </c>
      <c r="AA69" s="236">
        <f t="shared" si="22"/>
        <v>0</v>
      </c>
      <c r="AB69" s="237">
        <f t="shared" ref="AB69:AC104" si="23">$S69*K69</f>
        <v>0</v>
      </c>
      <c r="AC69" s="237">
        <f t="shared" si="23"/>
        <v>0</v>
      </c>
      <c r="AE69" s="216">
        <v>108</v>
      </c>
      <c r="AF69" s="216">
        <v>0</v>
      </c>
      <c r="AG69" s="217">
        <f t="shared" ref="AG69:AG104" si="24">SUM(AH69:AI69)</f>
        <v>55</v>
      </c>
      <c r="AH69" s="216">
        <v>0</v>
      </c>
      <c r="AI69" s="216">
        <v>55</v>
      </c>
    </row>
    <row r="70" spans="2:35">
      <c r="B70" s="211" t="str">
        <f t="shared" ref="B70:B104" si="25">C70&amp;"_"&amp;D70&amp;"_"&amp;E70&amp;"_"&amp;G70</f>
        <v>C&amp;I_C&amp;I Prescriptive_Lighting_Pulse Start Metal Halide Fixture (≥750W)</v>
      </c>
      <c r="C70" s="211" t="s">
        <v>256</v>
      </c>
      <c r="D70" s="211" t="s">
        <v>255</v>
      </c>
      <c r="E70" s="211" t="s">
        <v>23</v>
      </c>
      <c r="F70" s="211">
        <v>0</v>
      </c>
      <c r="G70" s="211" t="s">
        <v>287</v>
      </c>
      <c r="H70" s="212">
        <v>40</v>
      </c>
      <c r="I70" s="212">
        <v>50</v>
      </c>
      <c r="J70" s="213">
        <f t="shared" si="19"/>
        <v>0.25</v>
      </c>
      <c r="K70" s="235">
        <v>0</v>
      </c>
      <c r="L70" s="235"/>
      <c r="N70" s="211">
        <v>15</v>
      </c>
      <c r="O70" s="211">
        <v>0</v>
      </c>
      <c r="Q70" s="214">
        <v>1701.20236</v>
      </c>
      <c r="R70" s="214">
        <v>0</v>
      </c>
      <c r="S70" s="215">
        <v>0.37787999999999999</v>
      </c>
      <c r="T70" s="215">
        <v>0</v>
      </c>
      <c r="V70" s="236">
        <f t="shared" si="20"/>
        <v>68048.094400000002</v>
      </c>
      <c r="W70" s="236">
        <f t="shared" si="20"/>
        <v>85060.118000000002</v>
      </c>
      <c r="X70" s="237">
        <f t="shared" si="21"/>
        <v>15.1152</v>
      </c>
      <c r="Y70" s="237">
        <f t="shared" si="21"/>
        <v>18.893999999999998</v>
      </c>
      <c r="Z70" s="236">
        <f t="shared" si="22"/>
        <v>0</v>
      </c>
      <c r="AA70" s="236">
        <f t="shared" si="22"/>
        <v>0</v>
      </c>
      <c r="AB70" s="237">
        <f t="shared" si="23"/>
        <v>0</v>
      </c>
      <c r="AC70" s="237">
        <f t="shared" si="23"/>
        <v>0</v>
      </c>
      <c r="AE70" s="216">
        <v>10</v>
      </c>
      <c r="AF70" s="216">
        <v>0</v>
      </c>
      <c r="AG70" s="217">
        <f t="shared" si="24"/>
        <v>65</v>
      </c>
      <c r="AH70" s="216">
        <v>0</v>
      </c>
      <c r="AI70" s="216">
        <v>65</v>
      </c>
    </row>
    <row r="71" spans="2:35">
      <c r="B71" s="211" t="str">
        <f t="shared" si="25"/>
        <v>C&amp;I_C&amp;I Prescriptive_Lighting_Energy Star LED Lamp (≤5W)</v>
      </c>
      <c r="C71" s="211" t="s">
        <v>256</v>
      </c>
      <c r="D71" s="211" t="s">
        <v>255</v>
      </c>
      <c r="E71" s="211" t="s">
        <v>23</v>
      </c>
      <c r="F71" s="211">
        <v>0</v>
      </c>
      <c r="G71" s="211" t="s">
        <v>288</v>
      </c>
      <c r="H71" s="212">
        <v>120</v>
      </c>
      <c r="I71" s="212">
        <v>150</v>
      </c>
      <c r="J71" s="213">
        <f t="shared" si="19"/>
        <v>0.25</v>
      </c>
      <c r="K71" s="235">
        <v>0</v>
      </c>
      <c r="L71" s="235"/>
      <c r="N71" s="211">
        <v>8</v>
      </c>
      <c r="O71" s="211">
        <v>0</v>
      </c>
      <c r="Q71" s="214">
        <v>101.56432</v>
      </c>
      <c r="R71" s="214">
        <v>0</v>
      </c>
      <c r="S71" s="215">
        <v>2.256E-2</v>
      </c>
      <c r="T71" s="215">
        <v>0</v>
      </c>
      <c r="V71" s="236">
        <f t="shared" si="20"/>
        <v>12187.7184</v>
      </c>
      <c r="W71" s="236">
        <f t="shared" si="20"/>
        <v>15234.647999999999</v>
      </c>
      <c r="X71" s="237">
        <f t="shared" si="21"/>
        <v>2.7071999999999998</v>
      </c>
      <c r="Y71" s="237">
        <f t="shared" si="21"/>
        <v>3.3839999999999999</v>
      </c>
      <c r="Z71" s="236">
        <f t="shared" si="22"/>
        <v>0</v>
      </c>
      <c r="AA71" s="236">
        <f t="shared" si="22"/>
        <v>0</v>
      </c>
      <c r="AB71" s="237">
        <f t="shared" si="23"/>
        <v>0</v>
      </c>
      <c r="AC71" s="237">
        <f t="shared" si="23"/>
        <v>0</v>
      </c>
      <c r="AE71" s="216">
        <v>31.909999999999997</v>
      </c>
      <c r="AF71" s="216">
        <v>0</v>
      </c>
      <c r="AG71" s="217">
        <f t="shared" si="24"/>
        <v>5</v>
      </c>
      <c r="AH71" s="216">
        <v>0</v>
      </c>
      <c r="AI71" s="216">
        <v>5</v>
      </c>
    </row>
    <row r="72" spans="2:35">
      <c r="B72" s="211" t="str">
        <f t="shared" si="25"/>
        <v>C&amp;I_C&amp;I Prescriptive_Lighting_Energy Star LED Lamp (6-10W)</v>
      </c>
      <c r="C72" s="211" t="s">
        <v>256</v>
      </c>
      <c r="D72" s="211" t="s">
        <v>255</v>
      </c>
      <c r="E72" s="211" t="s">
        <v>23</v>
      </c>
      <c r="F72" s="211">
        <v>0</v>
      </c>
      <c r="G72" s="211" t="s">
        <v>358</v>
      </c>
      <c r="H72" s="212">
        <v>160</v>
      </c>
      <c r="I72" s="212">
        <v>200</v>
      </c>
      <c r="J72" s="213">
        <f t="shared" si="19"/>
        <v>0.25</v>
      </c>
      <c r="K72" s="235">
        <v>0</v>
      </c>
      <c r="L72" s="235"/>
      <c r="N72" s="211">
        <v>8</v>
      </c>
      <c r="O72" s="211">
        <v>0</v>
      </c>
      <c r="Q72" s="214">
        <v>152.34647999999999</v>
      </c>
      <c r="R72" s="214">
        <v>0</v>
      </c>
      <c r="S72" s="215">
        <v>3.3840000000000002E-2</v>
      </c>
      <c r="T72" s="215">
        <v>0</v>
      </c>
      <c r="V72" s="236">
        <f t="shared" si="20"/>
        <v>24375.436799999996</v>
      </c>
      <c r="W72" s="236">
        <f t="shared" si="20"/>
        <v>30469.295999999998</v>
      </c>
      <c r="X72" s="237">
        <f t="shared" si="21"/>
        <v>5.4144000000000005</v>
      </c>
      <c r="Y72" s="237">
        <f t="shared" si="21"/>
        <v>6.7680000000000007</v>
      </c>
      <c r="Z72" s="236">
        <f t="shared" si="22"/>
        <v>0</v>
      </c>
      <c r="AA72" s="236">
        <f t="shared" si="22"/>
        <v>0</v>
      </c>
      <c r="AB72" s="237">
        <f t="shared" si="23"/>
        <v>0</v>
      </c>
      <c r="AC72" s="237">
        <f t="shared" si="23"/>
        <v>0</v>
      </c>
      <c r="AE72" s="216">
        <v>37.79</v>
      </c>
      <c r="AF72" s="216">
        <v>0</v>
      </c>
      <c r="AG72" s="217">
        <f t="shared" si="24"/>
        <v>8.5</v>
      </c>
      <c r="AH72" s="216">
        <v>0</v>
      </c>
      <c r="AI72" s="216">
        <v>8.5</v>
      </c>
    </row>
    <row r="73" spans="2:35">
      <c r="B73" s="211" t="str">
        <f t="shared" si="25"/>
        <v>C&amp;I_C&amp;I Prescriptive_Lighting_Energy Star LED Lamp (11 to 20W)</v>
      </c>
      <c r="C73" s="211" t="s">
        <v>256</v>
      </c>
      <c r="D73" s="211" t="s">
        <v>255</v>
      </c>
      <c r="E73" s="211" t="s">
        <v>23</v>
      </c>
      <c r="F73" s="211">
        <v>0</v>
      </c>
      <c r="G73" s="211" t="s">
        <v>357</v>
      </c>
      <c r="H73" s="212">
        <v>80</v>
      </c>
      <c r="I73" s="212">
        <v>100</v>
      </c>
      <c r="J73" s="213">
        <f t="shared" si="19"/>
        <v>0.25</v>
      </c>
      <c r="K73" s="235">
        <v>0</v>
      </c>
      <c r="L73" s="235"/>
      <c r="N73" s="211">
        <v>8</v>
      </c>
      <c r="O73" s="211">
        <v>0</v>
      </c>
      <c r="Q73" s="214">
        <v>241.21525999999997</v>
      </c>
      <c r="R73" s="214">
        <v>0</v>
      </c>
      <c r="S73" s="215">
        <v>5.3579999999999996E-2</v>
      </c>
      <c r="T73" s="215">
        <v>0</v>
      </c>
      <c r="V73" s="236">
        <f t="shared" si="20"/>
        <v>19297.220799999999</v>
      </c>
      <c r="W73" s="236">
        <f t="shared" si="20"/>
        <v>24121.525999999998</v>
      </c>
      <c r="X73" s="237">
        <f t="shared" si="21"/>
        <v>4.2863999999999995</v>
      </c>
      <c r="Y73" s="237">
        <f t="shared" si="21"/>
        <v>5.3579999999999997</v>
      </c>
      <c r="Z73" s="236">
        <f t="shared" si="22"/>
        <v>0</v>
      </c>
      <c r="AA73" s="236">
        <f t="shared" si="22"/>
        <v>0</v>
      </c>
      <c r="AB73" s="237">
        <f t="shared" si="23"/>
        <v>0</v>
      </c>
      <c r="AC73" s="237">
        <f t="shared" si="23"/>
        <v>0</v>
      </c>
      <c r="AE73" s="216">
        <v>62.959999999999994</v>
      </c>
      <c r="AF73" s="216">
        <v>0</v>
      </c>
      <c r="AG73" s="217">
        <f t="shared" si="24"/>
        <v>12.5</v>
      </c>
      <c r="AH73" s="216">
        <v>0</v>
      </c>
      <c r="AI73" s="216">
        <v>12.5</v>
      </c>
    </row>
    <row r="74" spans="2:35">
      <c r="B74" s="211" t="str">
        <f t="shared" si="25"/>
        <v>C&amp;I_C&amp;I Prescriptive_Lighting_High Performance T8 (1-2 Lamp)</v>
      </c>
      <c r="C74" s="211" t="s">
        <v>256</v>
      </c>
      <c r="D74" s="211" t="s">
        <v>255</v>
      </c>
      <c r="E74" s="211" t="s">
        <v>23</v>
      </c>
      <c r="F74" s="211">
        <v>0</v>
      </c>
      <c r="G74" s="211" t="s">
        <v>289</v>
      </c>
      <c r="H74" s="212">
        <v>120</v>
      </c>
      <c r="I74" s="212">
        <v>150</v>
      </c>
      <c r="J74" s="213">
        <f t="shared" si="19"/>
        <v>0.25</v>
      </c>
      <c r="K74" s="235">
        <v>0</v>
      </c>
      <c r="L74" s="235"/>
      <c r="N74" s="211">
        <v>15</v>
      </c>
      <c r="O74" s="211">
        <v>0</v>
      </c>
      <c r="Q74" s="214">
        <v>63.477699999999999</v>
      </c>
      <c r="R74" s="214">
        <v>0</v>
      </c>
      <c r="S74" s="215">
        <v>1.41E-2</v>
      </c>
      <c r="T74" s="215">
        <v>0</v>
      </c>
      <c r="V74" s="236">
        <f t="shared" si="20"/>
        <v>7617.3239999999996</v>
      </c>
      <c r="W74" s="236">
        <f t="shared" si="20"/>
        <v>9521.6550000000007</v>
      </c>
      <c r="X74" s="237">
        <f t="shared" si="21"/>
        <v>1.6919999999999999</v>
      </c>
      <c r="Y74" s="237">
        <f t="shared" si="21"/>
        <v>2.1149999999999998</v>
      </c>
      <c r="Z74" s="236">
        <f t="shared" si="22"/>
        <v>0</v>
      </c>
      <c r="AA74" s="236">
        <f t="shared" si="22"/>
        <v>0</v>
      </c>
      <c r="AB74" s="237">
        <f t="shared" si="23"/>
        <v>0</v>
      </c>
      <c r="AC74" s="237">
        <f t="shared" si="23"/>
        <v>0</v>
      </c>
      <c r="AE74" s="216">
        <v>15</v>
      </c>
      <c r="AF74" s="216">
        <v>0</v>
      </c>
      <c r="AG74" s="217">
        <f t="shared" si="24"/>
        <v>9</v>
      </c>
      <c r="AH74" s="216">
        <v>0</v>
      </c>
      <c r="AI74" s="216">
        <v>9</v>
      </c>
    </row>
    <row r="75" spans="2:35">
      <c r="B75" s="211" t="str">
        <f t="shared" si="25"/>
        <v>C&amp;I_C&amp;I Prescriptive_Lighting_High Performance T8 (3-4 Lamp)</v>
      </c>
      <c r="C75" s="211" t="s">
        <v>256</v>
      </c>
      <c r="D75" s="211" t="s">
        <v>255</v>
      </c>
      <c r="E75" s="211" t="s">
        <v>23</v>
      </c>
      <c r="F75" s="211">
        <v>0</v>
      </c>
      <c r="G75" s="211" t="s">
        <v>290</v>
      </c>
      <c r="H75" s="212">
        <v>120</v>
      </c>
      <c r="I75" s="212">
        <v>150</v>
      </c>
      <c r="J75" s="213">
        <f t="shared" si="19"/>
        <v>0.25</v>
      </c>
      <c r="K75" s="235">
        <v>0</v>
      </c>
      <c r="L75" s="235"/>
      <c r="N75" s="211">
        <v>15</v>
      </c>
      <c r="O75" s="211">
        <v>0</v>
      </c>
      <c r="Q75" s="214">
        <v>63.477699999999999</v>
      </c>
      <c r="R75" s="214">
        <v>0</v>
      </c>
      <c r="S75" s="215">
        <v>1.41E-2</v>
      </c>
      <c r="T75" s="215">
        <v>0</v>
      </c>
      <c r="V75" s="236">
        <f t="shared" si="20"/>
        <v>7617.3239999999996</v>
      </c>
      <c r="W75" s="236">
        <f t="shared" si="20"/>
        <v>9521.6550000000007</v>
      </c>
      <c r="X75" s="237">
        <f t="shared" si="21"/>
        <v>1.6919999999999999</v>
      </c>
      <c r="Y75" s="237">
        <f t="shared" si="21"/>
        <v>2.1149999999999998</v>
      </c>
      <c r="Z75" s="236">
        <f t="shared" si="22"/>
        <v>0</v>
      </c>
      <c r="AA75" s="236">
        <f t="shared" si="22"/>
        <v>0</v>
      </c>
      <c r="AB75" s="237">
        <f t="shared" si="23"/>
        <v>0</v>
      </c>
      <c r="AC75" s="237">
        <f t="shared" si="23"/>
        <v>0</v>
      </c>
      <c r="AE75" s="216">
        <v>18</v>
      </c>
      <c r="AF75" s="216">
        <v>0</v>
      </c>
      <c r="AG75" s="217">
        <f t="shared" si="24"/>
        <v>18</v>
      </c>
      <c r="AH75" s="216">
        <v>0</v>
      </c>
      <c r="AI75" s="216">
        <v>18</v>
      </c>
    </row>
    <row r="76" spans="2:35">
      <c r="B76" s="211" t="str">
        <f t="shared" si="25"/>
        <v>C&amp;I_C&amp;I Prescriptive_Lighting_LED Parking Garage/Canopy (&lt;30W)</v>
      </c>
      <c r="C76" s="211" t="s">
        <v>256</v>
      </c>
      <c r="D76" s="211" t="s">
        <v>255</v>
      </c>
      <c r="E76" s="211" t="s">
        <v>23</v>
      </c>
      <c r="F76" s="211">
        <v>0</v>
      </c>
      <c r="G76" s="211" t="s">
        <v>291</v>
      </c>
      <c r="H76" s="212">
        <v>200</v>
      </c>
      <c r="I76" s="212">
        <v>250</v>
      </c>
      <c r="J76" s="213">
        <f t="shared" si="19"/>
        <v>0.25</v>
      </c>
      <c r="K76" s="235">
        <v>0</v>
      </c>
      <c r="L76" s="235"/>
      <c r="N76" s="211">
        <v>16</v>
      </c>
      <c r="O76" s="211">
        <v>0</v>
      </c>
      <c r="Q76" s="214">
        <v>670.9592889999999</v>
      </c>
      <c r="R76" s="214">
        <v>0</v>
      </c>
      <c r="S76" s="215">
        <v>0.14903699999999998</v>
      </c>
      <c r="T76" s="215">
        <v>0</v>
      </c>
      <c r="V76" s="236">
        <f t="shared" si="20"/>
        <v>134191.85779999997</v>
      </c>
      <c r="W76" s="236">
        <f t="shared" si="20"/>
        <v>167739.82224999997</v>
      </c>
      <c r="X76" s="237">
        <f t="shared" si="21"/>
        <v>29.807399999999994</v>
      </c>
      <c r="Y76" s="237">
        <f t="shared" si="21"/>
        <v>37.259249999999994</v>
      </c>
      <c r="Z76" s="236">
        <f t="shared" si="22"/>
        <v>0</v>
      </c>
      <c r="AA76" s="236">
        <f t="shared" si="22"/>
        <v>0</v>
      </c>
      <c r="AB76" s="237">
        <f t="shared" si="23"/>
        <v>0</v>
      </c>
      <c r="AC76" s="237">
        <f t="shared" si="23"/>
        <v>0</v>
      </c>
      <c r="AE76" s="216">
        <v>125</v>
      </c>
      <c r="AF76" s="216">
        <v>0</v>
      </c>
      <c r="AG76" s="217">
        <f t="shared" si="24"/>
        <v>35</v>
      </c>
      <c r="AH76" s="216">
        <v>0</v>
      </c>
      <c r="AI76" s="216">
        <v>35</v>
      </c>
    </row>
    <row r="77" spans="2:35">
      <c r="B77" s="211" t="str">
        <f t="shared" si="25"/>
        <v>C&amp;I_C&amp;I Prescriptive_Lighting_LED Parking Garage/Canopy (30-75W)</v>
      </c>
      <c r="C77" s="211" t="s">
        <v>256</v>
      </c>
      <c r="D77" s="211" t="s">
        <v>255</v>
      </c>
      <c r="E77" s="211" t="s">
        <v>23</v>
      </c>
      <c r="F77" s="211">
        <v>0</v>
      </c>
      <c r="G77" s="211" t="s">
        <v>292</v>
      </c>
      <c r="H77" s="212">
        <v>80</v>
      </c>
      <c r="I77" s="212">
        <v>100</v>
      </c>
      <c r="J77" s="213">
        <f t="shared" si="19"/>
        <v>0.25</v>
      </c>
      <c r="K77" s="235">
        <v>0</v>
      </c>
      <c r="L77" s="235"/>
      <c r="N77" s="211">
        <v>16</v>
      </c>
      <c r="O77" s="211">
        <v>0</v>
      </c>
      <c r="Q77" s="214">
        <v>827.74920800000007</v>
      </c>
      <c r="R77" s="214">
        <v>0</v>
      </c>
      <c r="S77" s="215">
        <v>0.183864</v>
      </c>
      <c r="T77" s="215">
        <v>0</v>
      </c>
      <c r="V77" s="236">
        <f t="shared" si="20"/>
        <v>66219.93664</v>
      </c>
      <c r="W77" s="236">
        <f t="shared" si="20"/>
        <v>82774.920800000007</v>
      </c>
      <c r="X77" s="237">
        <f t="shared" si="21"/>
        <v>14.70912</v>
      </c>
      <c r="Y77" s="237">
        <f t="shared" si="21"/>
        <v>18.386399999999998</v>
      </c>
      <c r="Z77" s="236">
        <f t="shared" si="22"/>
        <v>0</v>
      </c>
      <c r="AA77" s="236">
        <f t="shared" si="22"/>
        <v>0</v>
      </c>
      <c r="AB77" s="237">
        <f t="shared" si="23"/>
        <v>0</v>
      </c>
      <c r="AC77" s="237">
        <f t="shared" si="23"/>
        <v>0</v>
      </c>
      <c r="AE77" s="216">
        <v>250</v>
      </c>
      <c r="AF77" s="216">
        <v>0</v>
      </c>
      <c r="AG77" s="217">
        <f t="shared" si="24"/>
        <v>75</v>
      </c>
      <c r="AH77" s="216">
        <v>0</v>
      </c>
      <c r="AI77" s="216">
        <v>75</v>
      </c>
    </row>
    <row r="78" spans="2:35">
      <c r="B78" s="211" t="str">
        <f t="shared" si="25"/>
        <v>C&amp;I_C&amp;I Prescriptive_Lighting_LED Parking Garage/Canopy (≥75W)</v>
      </c>
      <c r="C78" s="211" t="s">
        <v>256</v>
      </c>
      <c r="D78" s="211" t="s">
        <v>255</v>
      </c>
      <c r="E78" s="211" t="s">
        <v>23</v>
      </c>
      <c r="F78" s="211">
        <v>0</v>
      </c>
      <c r="G78" s="211" t="s">
        <v>293</v>
      </c>
      <c r="H78" s="212">
        <v>200</v>
      </c>
      <c r="I78" s="212">
        <v>250</v>
      </c>
      <c r="J78" s="213">
        <f t="shared" si="19"/>
        <v>0.25</v>
      </c>
      <c r="K78" s="235">
        <v>0</v>
      </c>
      <c r="L78" s="235"/>
      <c r="N78" s="211">
        <v>16</v>
      </c>
      <c r="O78" s="211">
        <v>0</v>
      </c>
      <c r="Q78" s="214">
        <v>1552.6645419999998</v>
      </c>
      <c r="R78" s="214">
        <v>0</v>
      </c>
      <c r="S78" s="215">
        <v>0.34488599999999991</v>
      </c>
      <c r="T78" s="215">
        <v>0</v>
      </c>
      <c r="V78" s="236">
        <f t="shared" si="20"/>
        <v>310532.90839999996</v>
      </c>
      <c r="W78" s="236">
        <f t="shared" si="20"/>
        <v>388166.13549999992</v>
      </c>
      <c r="X78" s="237">
        <f t="shared" si="21"/>
        <v>68.977199999999982</v>
      </c>
      <c r="Y78" s="237">
        <f t="shared" si="21"/>
        <v>86.221499999999978</v>
      </c>
      <c r="Z78" s="236">
        <f t="shared" si="22"/>
        <v>0</v>
      </c>
      <c r="AA78" s="236">
        <f t="shared" si="22"/>
        <v>0</v>
      </c>
      <c r="AB78" s="237">
        <f t="shared" si="23"/>
        <v>0</v>
      </c>
      <c r="AC78" s="237">
        <f t="shared" si="23"/>
        <v>0</v>
      </c>
      <c r="AE78" s="216">
        <v>375</v>
      </c>
      <c r="AF78" s="216">
        <v>0</v>
      </c>
      <c r="AG78" s="217">
        <f t="shared" si="24"/>
        <v>100</v>
      </c>
      <c r="AH78" s="216">
        <v>0</v>
      </c>
      <c r="AI78" s="216">
        <v>100</v>
      </c>
    </row>
    <row r="79" spans="2:35">
      <c r="B79" s="211" t="str">
        <f t="shared" si="25"/>
        <v>C&amp;I_C&amp;I Prescriptive_Lighting_Lighting Optimization - Remove Lamp from T8 System</v>
      </c>
      <c r="C79" s="211" t="s">
        <v>256</v>
      </c>
      <c r="D79" s="211" t="s">
        <v>255</v>
      </c>
      <c r="E79" s="211" t="s">
        <v>23</v>
      </c>
      <c r="F79" s="211">
        <v>0</v>
      </c>
      <c r="G79" s="211" t="s">
        <v>294</v>
      </c>
      <c r="H79" s="212">
        <v>120</v>
      </c>
      <c r="I79" s="212">
        <v>150</v>
      </c>
      <c r="J79" s="213">
        <f t="shared" si="19"/>
        <v>0.25</v>
      </c>
      <c r="K79" s="235">
        <v>0</v>
      </c>
      <c r="L79" s="235"/>
      <c r="N79" s="211">
        <v>15</v>
      </c>
      <c r="O79" s="211">
        <v>0</v>
      </c>
      <c r="Q79" s="214">
        <v>193.05345945599998</v>
      </c>
      <c r="R79" s="214">
        <v>0</v>
      </c>
      <c r="S79" s="215">
        <v>4.2882047999999999E-2</v>
      </c>
      <c r="T79" s="215">
        <v>0</v>
      </c>
      <c r="V79" s="236">
        <f t="shared" si="20"/>
        <v>23166.415134719999</v>
      </c>
      <c r="W79" s="236">
        <f t="shared" si="20"/>
        <v>28958.018918399997</v>
      </c>
      <c r="X79" s="237">
        <f t="shared" si="21"/>
        <v>5.1458457600000003</v>
      </c>
      <c r="Y79" s="237">
        <f t="shared" si="21"/>
        <v>6.4323071999999994</v>
      </c>
      <c r="Z79" s="236">
        <f t="shared" si="22"/>
        <v>0</v>
      </c>
      <c r="AA79" s="236">
        <f t="shared" si="22"/>
        <v>0</v>
      </c>
      <c r="AB79" s="237">
        <f t="shared" si="23"/>
        <v>0</v>
      </c>
      <c r="AC79" s="237">
        <f t="shared" si="23"/>
        <v>0</v>
      </c>
      <c r="AE79" s="216">
        <v>12</v>
      </c>
      <c r="AF79" s="216">
        <v>0</v>
      </c>
      <c r="AG79" s="217">
        <f t="shared" si="24"/>
        <v>8</v>
      </c>
      <c r="AH79" s="216">
        <v>0</v>
      </c>
      <c r="AI79" s="216">
        <v>8</v>
      </c>
    </row>
    <row r="80" spans="2:35">
      <c r="B80" s="211" t="str">
        <f t="shared" si="25"/>
        <v>C&amp;I_C&amp;I Prescriptive_Lighting_Lighting Optimization - Remove 2 Lamps from T8 System</v>
      </c>
      <c r="C80" s="211" t="s">
        <v>256</v>
      </c>
      <c r="D80" s="211" t="s">
        <v>255</v>
      </c>
      <c r="E80" s="211" t="s">
        <v>23</v>
      </c>
      <c r="F80" s="211">
        <v>0</v>
      </c>
      <c r="G80" s="211" t="s">
        <v>295</v>
      </c>
      <c r="H80" s="212">
        <v>80</v>
      </c>
      <c r="I80" s="212">
        <v>100</v>
      </c>
      <c r="J80" s="213">
        <f t="shared" si="19"/>
        <v>0.25</v>
      </c>
      <c r="K80" s="235">
        <v>0</v>
      </c>
      <c r="L80" s="235"/>
      <c r="N80" s="211">
        <v>15</v>
      </c>
      <c r="O80" s="211">
        <v>0</v>
      </c>
      <c r="Q80" s="214">
        <v>386.10691891199997</v>
      </c>
      <c r="R80" s="214">
        <v>0</v>
      </c>
      <c r="S80" s="215">
        <v>8.5764095999999998E-2</v>
      </c>
      <c r="T80" s="215">
        <v>0</v>
      </c>
      <c r="V80" s="236">
        <f t="shared" si="20"/>
        <v>30888.553512959996</v>
      </c>
      <c r="W80" s="236">
        <f t="shared" si="20"/>
        <v>38610.691891199996</v>
      </c>
      <c r="X80" s="237">
        <f t="shared" si="21"/>
        <v>6.8611276800000001</v>
      </c>
      <c r="Y80" s="237">
        <f t="shared" si="21"/>
        <v>8.5764095999999999</v>
      </c>
      <c r="Z80" s="236">
        <f t="shared" si="22"/>
        <v>0</v>
      </c>
      <c r="AA80" s="236">
        <f t="shared" si="22"/>
        <v>0</v>
      </c>
      <c r="AB80" s="237">
        <f t="shared" si="23"/>
        <v>0</v>
      </c>
      <c r="AC80" s="237">
        <f t="shared" si="23"/>
        <v>0</v>
      </c>
      <c r="AE80" s="216">
        <v>24</v>
      </c>
      <c r="AF80" s="216">
        <v>0</v>
      </c>
      <c r="AG80" s="217">
        <f t="shared" si="24"/>
        <v>16</v>
      </c>
      <c r="AH80" s="216">
        <v>0</v>
      </c>
      <c r="AI80" s="216">
        <v>16</v>
      </c>
    </row>
    <row r="81" spans="2:35">
      <c r="B81" s="211" t="str">
        <f t="shared" si="25"/>
        <v>C&amp;I_C&amp;I Prescriptive_Lighting_T8 (≤4 ft, 1-2 Lamp)</v>
      </c>
      <c r="C81" s="211" t="s">
        <v>256</v>
      </c>
      <c r="D81" s="211" t="s">
        <v>255</v>
      </c>
      <c r="E81" s="211" t="s">
        <v>23</v>
      </c>
      <c r="F81" s="211">
        <v>0</v>
      </c>
      <c r="G81" s="211" t="s">
        <v>296</v>
      </c>
      <c r="H81" s="212">
        <v>40</v>
      </c>
      <c r="I81" s="212">
        <v>50</v>
      </c>
      <c r="J81" s="213">
        <f t="shared" si="19"/>
        <v>0.25</v>
      </c>
      <c r="K81" s="235">
        <v>0</v>
      </c>
      <c r="L81" s="235"/>
      <c r="N81" s="211">
        <v>18</v>
      </c>
      <c r="O81" s="211">
        <v>0</v>
      </c>
      <c r="Q81" s="214">
        <v>260.25856999999996</v>
      </c>
      <c r="R81" s="214">
        <v>0</v>
      </c>
      <c r="S81" s="215">
        <v>5.781E-2</v>
      </c>
      <c r="T81" s="215">
        <v>0</v>
      </c>
      <c r="V81" s="236">
        <f t="shared" si="20"/>
        <v>10410.342799999999</v>
      </c>
      <c r="W81" s="236">
        <f t="shared" si="20"/>
        <v>13012.928499999998</v>
      </c>
      <c r="X81" s="237">
        <f t="shared" si="21"/>
        <v>2.3124000000000002</v>
      </c>
      <c r="Y81" s="237">
        <f t="shared" si="21"/>
        <v>2.8904999999999998</v>
      </c>
      <c r="Z81" s="236">
        <f t="shared" si="22"/>
        <v>0</v>
      </c>
      <c r="AA81" s="236">
        <f t="shared" si="22"/>
        <v>0</v>
      </c>
      <c r="AB81" s="237">
        <f t="shared" si="23"/>
        <v>0</v>
      </c>
      <c r="AC81" s="237">
        <f t="shared" si="23"/>
        <v>0</v>
      </c>
      <c r="AE81" s="216">
        <v>43</v>
      </c>
      <c r="AF81" s="216">
        <v>0</v>
      </c>
      <c r="AG81" s="217">
        <f t="shared" si="24"/>
        <v>5</v>
      </c>
      <c r="AH81" s="216">
        <v>0</v>
      </c>
      <c r="AI81" s="216">
        <v>5</v>
      </c>
    </row>
    <row r="82" spans="2:35">
      <c r="B82" s="211" t="str">
        <f t="shared" si="25"/>
        <v>C&amp;I_C&amp;I Prescriptive_Lighting_T8 (≤4 ft, 3-4 Lamp)</v>
      </c>
      <c r="C82" s="211" t="s">
        <v>256</v>
      </c>
      <c r="D82" s="211" t="s">
        <v>255</v>
      </c>
      <c r="E82" s="211" t="s">
        <v>23</v>
      </c>
      <c r="F82" s="211">
        <v>0</v>
      </c>
      <c r="G82" s="211" t="s">
        <v>297</v>
      </c>
      <c r="H82" s="212">
        <v>200</v>
      </c>
      <c r="I82" s="212">
        <v>250</v>
      </c>
      <c r="J82" s="213">
        <f t="shared" si="19"/>
        <v>0.25</v>
      </c>
      <c r="K82" s="235">
        <v>0</v>
      </c>
      <c r="L82" s="235"/>
      <c r="N82" s="211">
        <v>18</v>
      </c>
      <c r="O82" s="211">
        <v>0</v>
      </c>
      <c r="Q82" s="214">
        <v>399.90950999999995</v>
      </c>
      <c r="R82" s="214">
        <v>0</v>
      </c>
      <c r="S82" s="215">
        <v>8.8829999999999992E-2</v>
      </c>
      <c r="T82" s="215">
        <v>0</v>
      </c>
      <c r="V82" s="236">
        <f t="shared" si="20"/>
        <v>79981.901999999987</v>
      </c>
      <c r="W82" s="236">
        <f t="shared" si="20"/>
        <v>99977.377499999988</v>
      </c>
      <c r="X82" s="237">
        <f t="shared" si="21"/>
        <v>17.765999999999998</v>
      </c>
      <c r="Y82" s="237">
        <f t="shared" si="21"/>
        <v>22.2075</v>
      </c>
      <c r="Z82" s="236">
        <f t="shared" si="22"/>
        <v>0</v>
      </c>
      <c r="AA82" s="236">
        <f t="shared" si="22"/>
        <v>0</v>
      </c>
      <c r="AB82" s="237">
        <f t="shared" si="23"/>
        <v>0</v>
      </c>
      <c r="AC82" s="237">
        <f t="shared" si="23"/>
        <v>0</v>
      </c>
      <c r="AE82" s="216">
        <v>55</v>
      </c>
      <c r="AF82" s="216">
        <v>0</v>
      </c>
      <c r="AG82" s="217">
        <f t="shared" si="24"/>
        <v>9</v>
      </c>
      <c r="AH82" s="216">
        <v>0</v>
      </c>
      <c r="AI82" s="216">
        <v>9</v>
      </c>
    </row>
    <row r="83" spans="2:35">
      <c r="B83" s="211" t="str">
        <f t="shared" si="25"/>
        <v>C&amp;I_C&amp;I Prescriptive_Lighting_T8 (5-8 ft, 1-2 Lamp)</v>
      </c>
      <c r="C83" s="211" t="s">
        <v>256</v>
      </c>
      <c r="D83" s="211" t="s">
        <v>255</v>
      </c>
      <c r="E83" s="211" t="s">
        <v>23</v>
      </c>
      <c r="F83" s="211">
        <v>0</v>
      </c>
      <c r="G83" s="211" t="s">
        <v>298</v>
      </c>
      <c r="H83" s="212">
        <v>120</v>
      </c>
      <c r="I83" s="212">
        <v>150</v>
      </c>
      <c r="J83" s="213">
        <f t="shared" si="19"/>
        <v>0.25</v>
      </c>
      <c r="K83" s="235">
        <v>0</v>
      </c>
      <c r="L83" s="235"/>
      <c r="N83" s="211">
        <v>18</v>
      </c>
      <c r="O83" s="211">
        <v>0</v>
      </c>
      <c r="Q83" s="214">
        <v>380.86619999999994</v>
      </c>
      <c r="R83" s="214">
        <v>0</v>
      </c>
      <c r="S83" s="215">
        <v>8.4599999999999995E-2</v>
      </c>
      <c r="T83" s="215">
        <v>0</v>
      </c>
      <c r="V83" s="236">
        <f t="shared" si="20"/>
        <v>45703.943999999989</v>
      </c>
      <c r="W83" s="236">
        <f t="shared" si="20"/>
        <v>57129.929999999993</v>
      </c>
      <c r="X83" s="237">
        <f t="shared" si="21"/>
        <v>10.151999999999999</v>
      </c>
      <c r="Y83" s="237">
        <f t="shared" si="21"/>
        <v>12.69</v>
      </c>
      <c r="Z83" s="236">
        <f t="shared" si="22"/>
        <v>0</v>
      </c>
      <c r="AA83" s="236">
        <f t="shared" si="22"/>
        <v>0</v>
      </c>
      <c r="AB83" s="237">
        <f t="shared" si="23"/>
        <v>0</v>
      </c>
      <c r="AC83" s="237">
        <f t="shared" si="23"/>
        <v>0</v>
      </c>
      <c r="AE83" s="216">
        <v>93</v>
      </c>
      <c r="AF83" s="216">
        <v>0</v>
      </c>
      <c r="AG83" s="217">
        <f t="shared" si="24"/>
        <v>8</v>
      </c>
      <c r="AH83" s="216">
        <v>0</v>
      </c>
      <c r="AI83" s="216">
        <v>8</v>
      </c>
    </row>
    <row r="84" spans="2:35">
      <c r="B84" s="211" t="str">
        <f t="shared" si="25"/>
        <v>C&amp;I_C&amp;I Prescriptive_Lighting_LED Linear Replacement Lamp (≤4ft)</v>
      </c>
      <c r="C84" s="211" t="s">
        <v>256</v>
      </c>
      <c r="D84" s="211" t="s">
        <v>255</v>
      </c>
      <c r="E84" s="211" t="s">
        <v>23</v>
      </c>
      <c r="F84" s="211">
        <v>0</v>
      </c>
      <c r="G84" s="211" t="s">
        <v>299</v>
      </c>
      <c r="H84" s="212">
        <v>3200</v>
      </c>
      <c r="I84" s="212">
        <v>4000</v>
      </c>
      <c r="J84" s="213">
        <f t="shared" si="19"/>
        <v>0.25</v>
      </c>
      <c r="K84" s="235">
        <v>0</v>
      </c>
      <c r="L84" s="235"/>
      <c r="N84" s="211">
        <v>16</v>
      </c>
      <c r="O84" s="211">
        <v>0</v>
      </c>
      <c r="Q84" s="214">
        <v>285.64965000000001</v>
      </c>
      <c r="R84" s="214">
        <v>0</v>
      </c>
      <c r="S84" s="215">
        <v>6.3449999999999993E-2</v>
      </c>
      <c r="T84" s="215">
        <v>0</v>
      </c>
      <c r="V84" s="236">
        <f t="shared" si="20"/>
        <v>914078.88</v>
      </c>
      <c r="W84" s="236">
        <f t="shared" si="20"/>
        <v>1142598.6000000001</v>
      </c>
      <c r="X84" s="237">
        <f t="shared" si="21"/>
        <v>203.03999999999996</v>
      </c>
      <c r="Y84" s="237">
        <f t="shared" si="21"/>
        <v>253.79999999999998</v>
      </c>
      <c r="Z84" s="236">
        <f t="shared" si="22"/>
        <v>0</v>
      </c>
      <c r="AA84" s="236">
        <f t="shared" si="22"/>
        <v>0</v>
      </c>
      <c r="AB84" s="237">
        <f t="shared" si="23"/>
        <v>0</v>
      </c>
      <c r="AC84" s="237">
        <f t="shared" si="23"/>
        <v>0</v>
      </c>
      <c r="AE84" s="216">
        <v>9.5</v>
      </c>
      <c r="AF84" s="216">
        <v>0</v>
      </c>
      <c r="AG84" s="217">
        <f t="shared" si="24"/>
        <v>16</v>
      </c>
      <c r="AH84" s="216">
        <v>0</v>
      </c>
      <c r="AI84" s="216">
        <v>16</v>
      </c>
    </row>
    <row r="85" spans="2:35">
      <c r="B85" s="211" t="str">
        <f t="shared" si="25"/>
        <v>C&amp;I_C&amp;I Prescriptive_Lighting_LED Linear Replacement Lamp (5-8ft)</v>
      </c>
      <c r="C85" s="211" t="s">
        <v>256</v>
      </c>
      <c r="D85" s="211" t="s">
        <v>255</v>
      </c>
      <c r="E85" s="211" t="s">
        <v>23</v>
      </c>
      <c r="F85" s="211">
        <v>0</v>
      </c>
      <c r="G85" s="211" t="s">
        <v>300</v>
      </c>
      <c r="H85" s="212">
        <v>280</v>
      </c>
      <c r="I85" s="212">
        <v>350</v>
      </c>
      <c r="J85" s="213">
        <f t="shared" si="19"/>
        <v>0.25</v>
      </c>
      <c r="K85" s="235">
        <v>0</v>
      </c>
      <c r="L85" s="235"/>
      <c r="N85" s="211">
        <v>16</v>
      </c>
      <c r="O85" s="211">
        <v>0</v>
      </c>
      <c r="Q85" s="214">
        <v>349.12734999999998</v>
      </c>
      <c r="R85" s="214">
        <v>0</v>
      </c>
      <c r="S85" s="215">
        <v>7.7549999999999994E-2</v>
      </c>
      <c r="T85" s="215">
        <v>0</v>
      </c>
      <c r="V85" s="236">
        <f t="shared" si="20"/>
        <v>97755.657999999996</v>
      </c>
      <c r="W85" s="236">
        <f t="shared" si="20"/>
        <v>122194.57249999999</v>
      </c>
      <c r="X85" s="237">
        <f t="shared" si="21"/>
        <v>21.713999999999999</v>
      </c>
      <c r="Y85" s="237">
        <f t="shared" si="21"/>
        <v>27.142499999999998</v>
      </c>
      <c r="Z85" s="236">
        <f t="shared" si="22"/>
        <v>0</v>
      </c>
      <c r="AA85" s="236">
        <f t="shared" si="22"/>
        <v>0</v>
      </c>
      <c r="AB85" s="237">
        <f t="shared" si="23"/>
        <v>0</v>
      </c>
      <c r="AC85" s="237">
        <f t="shared" si="23"/>
        <v>0</v>
      </c>
      <c r="AE85" s="216">
        <v>9.5</v>
      </c>
      <c r="AF85" s="216">
        <v>0</v>
      </c>
      <c r="AG85" s="217">
        <f t="shared" si="24"/>
        <v>23</v>
      </c>
      <c r="AH85" s="216">
        <v>0</v>
      </c>
      <c r="AI85" s="216">
        <v>23</v>
      </c>
    </row>
    <row r="86" spans="2:35">
      <c r="B86" s="211" t="str">
        <f t="shared" si="25"/>
        <v>C&amp;I_C&amp;I Prescriptive_Lighting_Fluorescent Fixture Specular Reflector 4-ft</v>
      </c>
      <c r="C86" s="211" t="s">
        <v>256</v>
      </c>
      <c r="D86" s="211" t="s">
        <v>255</v>
      </c>
      <c r="E86" s="211" t="s">
        <v>23</v>
      </c>
      <c r="F86" s="211">
        <v>0</v>
      </c>
      <c r="G86" s="211" t="s">
        <v>301</v>
      </c>
      <c r="H86" s="212">
        <v>0</v>
      </c>
      <c r="I86" s="212">
        <v>0</v>
      </c>
      <c r="J86" s="213">
        <f t="shared" si="19"/>
        <v>0</v>
      </c>
      <c r="K86" s="235">
        <v>0</v>
      </c>
      <c r="L86" s="235"/>
      <c r="N86" s="211">
        <v>15</v>
      </c>
      <c r="O86" s="211">
        <v>0</v>
      </c>
      <c r="Q86" s="214">
        <v>0</v>
      </c>
      <c r="R86" s="214">
        <v>0</v>
      </c>
      <c r="S86" s="215">
        <v>0</v>
      </c>
      <c r="T86" s="215">
        <v>0</v>
      </c>
      <c r="V86" s="236">
        <f t="shared" si="20"/>
        <v>0</v>
      </c>
      <c r="W86" s="236">
        <f t="shared" si="20"/>
        <v>0</v>
      </c>
      <c r="X86" s="237">
        <f t="shared" si="21"/>
        <v>0</v>
      </c>
      <c r="Y86" s="237">
        <f t="shared" si="21"/>
        <v>0</v>
      </c>
      <c r="Z86" s="236">
        <f t="shared" si="22"/>
        <v>0</v>
      </c>
      <c r="AA86" s="236">
        <f t="shared" si="22"/>
        <v>0</v>
      </c>
      <c r="AB86" s="237">
        <f t="shared" si="23"/>
        <v>0</v>
      </c>
      <c r="AC86" s="237">
        <f t="shared" si="23"/>
        <v>0</v>
      </c>
      <c r="AE86" s="216">
        <v>30</v>
      </c>
      <c r="AF86" s="216">
        <v>0</v>
      </c>
      <c r="AG86" s="217">
        <f t="shared" si="24"/>
        <v>0</v>
      </c>
      <c r="AH86" s="216">
        <v>0</v>
      </c>
      <c r="AI86" s="216">
        <v>0</v>
      </c>
    </row>
    <row r="87" spans="2:35">
      <c r="B87" s="211" t="str">
        <f t="shared" si="25"/>
        <v>C&amp;I_C&amp;I Prescriptive_Lighting_Fluorescent Fixture Specular Reflector two 4-ft</v>
      </c>
      <c r="C87" s="211" t="s">
        <v>256</v>
      </c>
      <c r="D87" s="211" t="s">
        <v>255</v>
      </c>
      <c r="E87" s="211" t="s">
        <v>23</v>
      </c>
      <c r="F87" s="211">
        <v>0</v>
      </c>
      <c r="G87" s="211" t="s">
        <v>302</v>
      </c>
      <c r="H87" s="212">
        <v>0</v>
      </c>
      <c r="I87" s="212">
        <v>0</v>
      </c>
      <c r="J87" s="213">
        <f t="shared" si="19"/>
        <v>0</v>
      </c>
      <c r="K87" s="235">
        <v>0</v>
      </c>
      <c r="L87" s="235"/>
      <c r="N87" s="211">
        <v>15</v>
      </c>
      <c r="O87" s="211">
        <v>0</v>
      </c>
      <c r="Q87" s="214">
        <v>0</v>
      </c>
      <c r="R87" s="214">
        <v>0</v>
      </c>
      <c r="S87" s="215">
        <v>0</v>
      </c>
      <c r="T87" s="215">
        <v>0</v>
      </c>
      <c r="V87" s="236">
        <f t="shared" si="20"/>
        <v>0</v>
      </c>
      <c r="W87" s="236">
        <f t="shared" si="20"/>
        <v>0</v>
      </c>
      <c r="X87" s="237">
        <f t="shared" si="21"/>
        <v>0</v>
      </c>
      <c r="Y87" s="237">
        <f t="shared" si="21"/>
        <v>0</v>
      </c>
      <c r="Z87" s="236">
        <f t="shared" si="22"/>
        <v>0</v>
      </c>
      <c r="AA87" s="236">
        <f t="shared" si="22"/>
        <v>0</v>
      </c>
      <c r="AB87" s="237">
        <f t="shared" si="23"/>
        <v>0</v>
      </c>
      <c r="AC87" s="237">
        <f t="shared" si="23"/>
        <v>0</v>
      </c>
      <c r="AE87" s="216">
        <v>30</v>
      </c>
      <c r="AF87" s="216">
        <v>0</v>
      </c>
      <c r="AG87" s="217">
        <f t="shared" si="24"/>
        <v>0</v>
      </c>
      <c r="AH87" s="216">
        <v>0</v>
      </c>
      <c r="AI87" s="216">
        <v>0</v>
      </c>
    </row>
    <row r="88" spans="2:35">
      <c r="B88" s="211" t="str">
        <f t="shared" si="25"/>
        <v>C&amp;I_C&amp;I Prescriptive_Lighting_Fluorescent Fixture Specular Reflector 8-ft</v>
      </c>
      <c r="C88" s="211" t="s">
        <v>256</v>
      </c>
      <c r="D88" s="211" t="s">
        <v>255</v>
      </c>
      <c r="E88" s="211" t="s">
        <v>23</v>
      </c>
      <c r="F88" s="211">
        <v>0</v>
      </c>
      <c r="G88" s="211" t="s">
        <v>303</v>
      </c>
      <c r="H88" s="212">
        <v>0</v>
      </c>
      <c r="I88" s="212">
        <v>0</v>
      </c>
      <c r="J88" s="213">
        <f t="shared" si="19"/>
        <v>0</v>
      </c>
      <c r="K88" s="235">
        <v>0</v>
      </c>
      <c r="L88" s="235"/>
      <c r="N88" s="211">
        <v>15</v>
      </c>
      <c r="O88" s="211">
        <v>0</v>
      </c>
      <c r="Q88" s="214">
        <v>0</v>
      </c>
      <c r="R88" s="214">
        <v>0</v>
      </c>
      <c r="S88" s="215">
        <v>0</v>
      </c>
      <c r="T88" s="215">
        <v>0</v>
      </c>
      <c r="V88" s="236">
        <f t="shared" si="20"/>
        <v>0</v>
      </c>
      <c r="W88" s="236">
        <f t="shared" si="20"/>
        <v>0</v>
      </c>
      <c r="X88" s="237">
        <f t="shared" si="21"/>
        <v>0</v>
      </c>
      <c r="Y88" s="237">
        <f t="shared" si="21"/>
        <v>0</v>
      </c>
      <c r="Z88" s="236">
        <f t="shared" si="22"/>
        <v>0</v>
      </c>
      <c r="AA88" s="236">
        <f t="shared" si="22"/>
        <v>0</v>
      </c>
      <c r="AB88" s="237">
        <f t="shared" si="23"/>
        <v>0</v>
      </c>
      <c r="AC88" s="237">
        <f t="shared" si="23"/>
        <v>0</v>
      </c>
      <c r="AE88" s="216">
        <v>50</v>
      </c>
      <c r="AF88" s="216">
        <v>0</v>
      </c>
      <c r="AG88" s="217">
        <f t="shared" si="24"/>
        <v>0</v>
      </c>
      <c r="AH88" s="216">
        <v>0</v>
      </c>
      <c r="AI88" s="216">
        <v>0</v>
      </c>
    </row>
    <row r="89" spans="2:35">
      <c r="B89" s="211" t="str">
        <f t="shared" si="25"/>
        <v>C&amp;I_C&amp;I Prescriptive_Lighting_Fluorescent Fixture Specular Reflector two 8-ft</v>
      </c>
      <c r="C89" s="211" t="s">
        <v>256</v>
      </c>
      <c r="D89" s="211" t="s">
        <v>255</v>
      </c>
      <c r="E89" s="211" t="s">
        <v>23</v>
      </c>
      <c r="F89" s="211">
        <v>0</v>
      </c>
      <c r="G89" s="211" t="s">
        <v>304</v>
      </c>
      <c r="H89" s="212">
        <v>0</v>
      </c>
      <c r="I89" s="212">
        <v>0</v>
      </c>
      <c r="J89" s="213">
        <f t="shared" si="19"/>
        <v>0</v>
      </c>
      <c r="K89" s="235">
        <v>0</v>
      </c>
      <c r="L89" s="235"/>
      <c r="N89" s="211">
        <v>15</v>
      </c>
      <c r="O89" s="211">
        <v>0</v>
      </c>
      <c r="Q89" s="214">
        <v>0</v>
      </c>
      <c r="R89" s="214">
        <v>0</v>
      </c>
      <c r="S89" s="215">
        <v>0</v>
      </c>
      <c r="T89" s="215">
        <v>0</v>
      </c>
      <c r="V89" s="236">
        <f t="shared" si="20"/>
        <v>0</v>
      </c>
      <c r="W89" s="236">
        <f t="shared" si="20"/>
        <v>0</v>
      </c>
      <c r="X89" s="237">
        <f t="shared" si="21"/>
        <v>0</v>
      </c>
      <c r="Y89" s="237">
        <f t="shared" si="21"/>
        <v>0</v>
      </c>
      <c r="Z89" s="236">
        <f t="shared" si="22"/>
        <v>0</v>
      </c>
      <c r="AA89" s="236">
        <f t="shared" si="22"/>
        <v>0</v>
      </c>
      <c r="AB89" s="237">
        <f t="shared" si="23"/>
        <v>0</v>
      </c>
      <c r="AC89" s="237">
        <f t="shared" si="23"/>
        <v>0</v>
      </c>
      <c r="AE89" s="216">
        <v>50</v>
      </c>
      <c r="AF89" s="216">
        <v>0</v>
      </c>
      <c r="AG89" s="217">
        <f t="shared" si="24"/>
        <v>0</v>
      </c>
      <c r="AH89" s="216">
        <v>0</v>
      </c>
      <c r="AI89" s="216">
        <v>0</v>
      </c>
    </row>
    <row r="90" spans="2:35">
      <c r="B90" s="211" t="str">
        <f t="shared" si="25"/>
        <v>C&amp;I_C&amp;I Prescriptive_Lighting_Multi-CFL Fixture</v>
      </c>
      <c r="C90" s="211" t="s">
        <v>256</v>
      </c>
      <c r="D90" s="211" t="s">
        <v>255</v>
      </c>
      <c r="E90" s="211" t="s">
        <v>23</v>
      </c>
      <c r="F90" s="211">
        <v>0</v>
      </c>
      <c r="G90" s="211" t="s">
        <v>305</v>
      </c>
      <c r="H90" s="212">
        <v>0</v>
      </c>
      <c r="I90" s="212">
        <v>0</v>
      </c>
      <c r="J90" s="213">
        <f t="shared" si="19"/>
        <v>0</v>
      </c>
      <c r="K90" s="235">
        <v>0</v>
      </c>
      <c r="L90" s="235"/>
      <c r="N90" s="211">
        <v>0</v>
      </c>
      <c r="O90" s="211">
        <v>0</v>
      </c>
      <c r="Q90" s="214">
        <v>0</v>
      </c>
      <c r="R90" s="214">
        <v>0</v>
      </c>
      <c r="S90" s="215">
        <v>0</v>
      </c>
      <c r="T90" s="215">
        <v>0</v>
      </c>
      <c r="V90" s="236">
        <f t="shared" si="20"/>
        <v>0</v>
      </c>
      <c r="W90" s="236">
        <f t="shared" si="20"/>
        <v>0</v>
      </c>
      <c r="X90" s="237">
        <f t="shared" si="21"/>
        <v>0</v>
      </c>
      <c r="Y90" s="237">
        <f t="shared" si="21"/>
        <v>0</v>
      </c>
      <c r="Z90" s="236">
        <f t="shared" si="22"/>
        <v>0</v>
      </c>
      <c r="AA90" s="236">
        <f t="shared" si="22"/>
        <v>0</v>
      </c>
      <c r="AB90" s="237">
        <f t="shared" si="23"/>
        <v>0</v>
      </c>
      <c r="AC90" s="237">
        <f t="shared" si="23"/>
        <v>0</v>
      </c>
      <c r="AE90" s="216">
        <v>0</v>
      </c>
      <c r="AF90" s="216">
        <v>0</v>
      </c>
      <c r="AG90" s="217">
        <f t="shared" si="24"/>
        <v>25</v>
      </c>
      <c r="AH90" s="216">
        <v>0</v>
      </c>
      <c r="AI90" s="216">
        <v>25</v>
      </c>
    </row>
    <row r="91" spans="2:35">
      <c r="B91" s="211" t="str">
        <f t="shared" si="25"/>
        <v>C&amp;I_C&amp;I Prescriptive_Lighting_Indirect Fixture</v>
      </c>
      <c r="C91" s="211" t="s">
        <v>256</v>
      </c>
      <c r="D91" s="211" t="s">
        <v>255</v>
      </c>
      <c r="E91" s="211" t="s">
        <v>23</v>
      </c>
      <c r="F91" s="211">
        <v>0</v>
      </c>
      <c r="G91" s="211" t="s">
        <v>306</v>
      </c>
      <c r="H91" s="212">
        <v>0</v>
      </c>
      <c r="I91" s="212">
        <v>0</v>
      </c>
      <c r="J91" s="213">
        <f t="shared" si="19"/>
        <v>0</v>
      </c>
      <c r="K91" s="235">
        <v>0</v>
      </c>
      <c r="L91" s="235"/>
      <c r="N91" s="211">
        <v>0</v>
      </c>
      <c r="O91" s="211">
        <v>0</v>
      </c>
      <c r="Q91" s="214">
        <v>0</v>
      </c>
      <c r="R91" s="214">
        <v>0</v>
      </c>
      <c r="S91" s="215">
        <v>0</v>
      </c>
      <c r="T91" s="215">
        <v>0</v>
      </c>
      <c r="V91" s="236">
        <f t="shared" si="20"/>
        <v>0</v>
      </c>
      <c r="W91" s="236">
        <f t="shared" si="20"/>
        <v>0</v>
      </c>
      <c r="X91" s="237">
        <f t="shared" si="21"/>
        <v>0</v>
      </c>
      <c r="Y91" s="237">
        <f t="shared" si="21"/>
        <v>0</v>
      </c>
      <c r="Z91" s="236">
        <f t="shared" si="22"/>
        <v>0</v>
      </c>
      <c r="AA91" s="236">
        <f t="shared" si="22"/>
        <v>0</v>
      </c>
      <c r="AB91" s="237">
        <f t="shared" si="23"/>
        <v>0</v>
      </c>
      <c r="AC91" s="237">
        <f t="shared" si="23"/>
        <v>0</v>
      </c>
      <c r="AE91" s="216">
        <v>0</v>
      </c>
      <c r="AF91" s="216">
        <v>0</v>
      </c>
      <c r="AG91" s="217">
        <f t="shared" si="24"/>
        <v>24</v>
      </c>
      <c r="AH91" s="216">
        <v>0</v>
      </c>
      <c r="AI91" s="216">
        <v>24</v>
      </c>
    </row>
    <row r="92" spans="2:35">
      <c r="B92" s="211" t="str">
        <f t="shared" si="25"/>
        <v>C&amp;I_C&amp;I Prescriptive_Lighting_Ceiling Mount Occupancy</v>
      </c>
      <c r="C92" s="211" t="s">
        <v>256</v>
      </c>
      <c r="D92" s="211" t="s">
        <v>255</v>
      </c>
      <c r="E92" s="211" t="s">
        <v>23</v>
      </c>
      <c r="F92" s="211">
        <v>0</v>
      </c>
      <c r="G92" s="211" t="s">
        <v>307</v>
      </c>
      <c r="H92" s="212">
        <v>24</v>
      </c>
      <c r="I92" s="212">
        <v>30</v>
      </c>
      <c r="J92" s="213">
        <f t="shared" si="19"/>
        <v>0.25</v>
      </c>
      <c r="K92" s="235">
        <v>0</v>
      </c>
      <c r="L92" s="235"/>
      <c r="N92" s="211">
        <v>8</v>
      </c>
      <c r="O92" s="211">
        <v>0</v>
      </c>
      <c r="Q92" s="214">
        <v>362.79300000000001</v>
      </c>
      <c r="R92" s="214">
        <v>0</v>
      </c>
      <c r="S92" s="215">
        <v>1.1585969999999999E-2</v>
      </c>
      <c r="T92" s="215">
        <v>0</v>
      </c>
      <c r="V92" s="236">
        <f t="shared" si="20"/>
        <v>8707.0319999999992</v>
      </c>
      <c r="W92" s="236">
        <f t="shared" si="20"/>
        <v>10883.79</v>
      </c>
      <c r="X92" s="237">
        <f t="shared" si="21"/>
        <v>0.27806327999999997</v>
      </c>
      <c r="Y92" s="237">
        <f t="shared" si="21"/>
        <v>0.34757909999999997</v>
      </c>
      <c r="Z92" s="236">
        <f t="shared" si="22"/>
        <v>0</v>
      </c>
      <c r="AA92" s="236">
        <f t="shared" si="22"/>
        <v>0</v>
      </c>
      <c r="AB92" s="237">
        <f t="shared" si="23"/>
        <v>0</v>
      </c>
      <c r="AC92" s="237">
        <f t="shared" si="23"/>
        <v>0</v>
      </c>
      <c r="AE92" s="216">
        <v>125</v>
      </c>
      <c r="AF92" s="216">
        <v>0</v>
      </c>
      <c r="AG92" s="217">
        <f t="shared" si="24"/>
        <v>30</v>
      </c>
      <c r="AH92" s="216">
        <v>0</v>
      </c>
      <c r="AI92" s="216">
        <v>30</v>
      </c>
    </row>
    <row r="93" spans="2:35">
      <c r="B93" s="211" t="str">
        <f t="shared" si="25"/>
        <v>C&amp;I_C&amp;I Prescriptive_Lighting_Wall Mount Occupancy</v>
      </c>
      <c r="C93" s="211" t="s">
        <v>256</v>
      </c>
      <c r="D93" s="211" t="s">
        <v>255</v>
      </c>
      <c r="E93" s="211" t="s">
        <v>23</v>
      </c>
      <c r="F93" s="211">
        <v>0</v>
      </c>
      <c r="G93" s="211" t="s">
        <v>308</v>
      </c>
      <c r="H93" s="212">
        <v>16</v>
      </c>
      <c r="I93" s="212">
        <v>20</v>
      </c>
      <c r="J93" s="213">
        <f t="shared" si="19"/>
        <v>0.25</v>
      </c>
      <c r="K93" s="235">
        <v>0</v>
      </c>
      <c r="L93" s="235"/>
      <c r="N93" s="211">
        <v>8</v>
      </c>
      <c r="O93" s="211">
        <v>0</v>
      </c>
      <c r="Q93" s="214">
        <v>362.79300000000001</v>
      </c>
      <c r="R93" s="214">
        <v>0</v>
      </c>
      <c r="S93" s="215">
        <v>1.1585969999999999E-2</v>
      </c>
      <c r="T93" s="215">
        <v>0</v>
      </c>
      <c r="V93" s="236">
        <f t="shared" si="20"/>
        <v>5804.6880000000001</v>
      </c>
      <c r="W93" s="236">
        <f t="shared" si="20"/>
        <v>7255.8600000000006</v>
      </c>
      <c r="X93" s="237">
        <f t="shared" si="21"/>
        <v>0.18537551999999999</v>
      </c>
      <c r="Y93" s="237">
        <f t="shared" si="21"/>
        <v>0.23171939999999999</v>
      </c>
      <c r="Z93" s="236">
        <f t="shared" si="22"/>
        <v>0</v>
      </c>
      <c r="AA93" s="236">
        <f t="shared" si="22"/>
        <v>0</v>
      </c>
      <c r="AB93" s="237">
        <f t="shared" si="23"/>
        <v>0</v>
      </c>
      <c r="AC93" s="237">
        <f t="shared" si="23"/>
        <v>0</v>
      </c>
      <c r="AE93" s="216">
        <v>55</v>
      </c>
      <c r="AF93" s="216">
        <v>0</v>
      </c>
      <c r="AG93" s="217">
        <f t="shared" si="24"/>
        <v>12</v>
      </c>
      <c r="AH93" s="216">
        <v>0</v>
      </c>
      <c r="AI93" s="216">
        <v>12</v>
      </c>
    </row>
    <row r="94" spans="2:35">
      <c r="B94" s="211" t="str">
        <f t="shared" si="25"/>
        <v>C&amp;I_C&amp;I Prescriptive_Lighting_Fixture Mount Occupancy</v>
      </c>
      <c r="C94" s="211" t="s">
        <v>256</v>
      </c>
      <c r="D94" s="211" t="s">
        <v>255</v>
      </c>
      <c r="E94" s="211" t="s">
        <v>23</v>
      </c>
      <c r="F94" s="211">
        <v>0</v>
      </c>
      <c r="G94" s="211" t="s">
        <v>309</v>
      </c>
      <c r="H94" s="212">
        <v>16</v>
      </c>
      <c r="I94" s="212">
        <v>20</v>
      </c>
      <c r="J94" s="213">
        <f t="shared" si="19"/>
        <v>0.25</v>
      </c>
      <c r="K94" s="235">
        <v>0</v>
      </c>
      <c r="L94" s="235"/>
      <c r="N94" s="211">
        <v>8</v>
      </c>
      <c r="O94" s="211">
        <v>0</v>
      </c>
      <c r="Q94" s="214">
        <v>362.79300000000001</v>
      </c>
      <c r="R94" s="214">
        <v>0</v>
      </c>
      <c r="S94" s="215">
        <v>1.1585969999999999E-2</v>
      </c>
      <c r="T94" s="215">
        <v>0</v>
      </c>
      <c r="V94" s="236">
        <f t="shared" si="20"/>
        <v>5804.6880000000001</v>
      </c>
      <c r="W94" s="236">
        <f t="shared" si="20"/>
        <v>7255.8600000000006</v>
      </c>
      <c r="X94" s="237">
        <f t="shared" si="21"/>
        <v>0.18537551999999999</v>
      </c>
      <c r="Y94" s="237">
        <f t="shared" si="21"/>
        <v>0.23171939999999999</v>
      </c>
      <c r="Z94" s="236">
        <f t="shared" si="22"/>
        <v>0</v>
      </c>
      <c r="AA94" s="236">
        <f t="shared" si="22"/>
        <v>0</v>
      </c>
      <c r="AB94" s="237">
        <f t="shared" si="23"/>
        <v>0</v>
      </c>
      <c r="AC94" s="237">
        <f t="shared" si="23"/>
        <v>0</v>
      </c>
      <c r="AE94" s="216">
        <v>55</v>
      </c>
      <c r="AF94" s="216">
        <v>0</v>
      </c>
      <c r="AG94" s="217">
        <f t="shared" si="24"/>
        <v>12</v>
      </c>
      <c r="AH94" s="216">
        <v>0</v>
      </c>
      <c r="AI94" s="216">
        <v>12</v>
      </c>
    </row>
    <row r="95" spans="2:35">
      <c r="B95" s="211" t="str">
        <f t="shared" si="25"/>
        <v>C&amp;I_C&amp;I Prescriptive_Lighting_Fixture Mount Photo Sensor</v>
      </c>
      <c r="C95" s="211" t="s">
        <v>256</v>
      </c>
      <c r="D95" s="211" t="s">
        <v>255</v>
      </c>
      <c r="E95" s="211" t="s">
        <v>23</v>
      </c>
      <c r="F95" s="211">
        <v>0</v>
      </c>
      <c r="G95" s="211" t="s">
        <v>310</v>
      </c>
      <c r="H95" s="212">
        <v>0</v>
      </c>
      <c r="I95" s="212">
        <v>0</v>
      </c>
      <c r="J95" s="213">
        <f t="shared" si="19"/>
        <v>0</v>
      </c>
      <c r="K95" s="235">
        <v>0</v>
      </c>
      <c r="L95" s="235"/>
      <c r="N95" s="211">
        <v>8</v>
      </c>
      <c r="O95" s="211">
        <v>0</v>
      </c>
      <c r="Q95" s="214">
        <v>423.98699999999997</v>
      </c>
      <c r="R95" s="214">
        <v>0</v>
      </c>
      <c r="S95" s="215">
        <v>2.2567050000000002E-2</v>
      </c>
      <c r="T95" s="215">
        <v>0</v>
      </c>
      <c r="V95" s="236">
        <f t="shared" si="20"/>
        <v>0</v>
      </c>
      <c r="W95" s="236">
        <f t="shared" si="20"/>
        <v>0</v>
      </c>
      <c r="X95" s="237">
        <f t="shared" si="21"/>
        <v>0</v>
      </c>
      <c r="Y95" s="237">
        <f t="shared" si="21"/>
        <v>0</v>
      </c>
      <c r="Z95" s="236">
        <f t="shared" si="22"/>
        <v>0</v>
      </c>
      <c r="AA95" s="236">
        <f t="shared" si="22"/>
        <v>0</v>
      </c>
      <c r="AB95" s="237">
        <f t="shared" si="23"/>
        <v>0</v>
      </c>
      <c r="AC95" s="237">
        <f t="shared" si="23"/>
        <v>0</v>
      </c>
      <c r="AE95" s="216">
        <v>65</v>
      </c>
      <c r="AF95" s="216">
        <v>0</v>
      </c>
      <c r="AG95" s="217">
        <f t="shared" si="24"/>
        <v>28</v>
      </c>
      <c r="AH95" s="216">
        <v>0</v>
      </c>
      <c r="AI95" s="216">
        <v>28</v>
      </c>
    </row>
    <row r="96" spans="2:35">
      <c r="B96" s="211" t="str">
        <f t="shared" si="25"/>
        <v>C&amp;I_C&amp;I Prescriptive_Lighting_Exit Sign</v>
      </c>
      <c r="C96" s="211" t="s">
        <v>256</v>
      </c>
      <c r="D96" s="211" t="s">
        <v>255</v>
      </c>
      <c r="E96" s="211" t="s">
        <v>23</v>
      </c>
      <c r="F96" s="211">
        <v>0</v>
      </c>
      <c r="G96" s="211" t="s">
        <v>311</v>
      </c>
      <c r="H96" s="212">
        <v>128</v>
      </c>
      <c r="I96" s="212">
        <v>160</v>
      </c>
      <c r="J96" s="213">
        <f t="shared" si="19"/>
        <v>0.25</v>
      </c>
      <c r="K96" s="235">
        <v>0</v>
      </c>
      <c r="L96" s="235"/>
      <c r="N96" s="211">
        <v>15</v>
      </c>
      <c r="O96" s="211">
        <v>0</v>
      </c>
      <c r="Q96" s="214">
        <v>551.17919999999992</v>
      </c>
      <c r="R96" s="214">
        <v>0</v>
      </c>
      <c r="S96" s="215">
        <v>6.2039999999999991E-2</v>
      </c>
      <c r="T96" s="215">
        <v>0</v>
      </c>
      <c r="V96" s="236">
        <f t="shared" si="20"/>
        <v>70550.93759999999</v>
      </c>
      <c r="W96" s="236">
        <f t="shared" si="20"/>
        <v>88188.671999999991</v>
      </c>
      <c r="X96" s="237">
        <f t="shared" si="21"/>
        <v>7.9411199999999988</v>
      </c>
      <c r="Y96" s="237">
        <f t="shared" si="21"/>
        <v>9.9263999999999992</v>
      </c>
      <c r="Z96" s="236">
        <f t="shared" si="22"/>
        <v>0</v>
      </c>
      <c r="AA96" s="236">
        <f t="shared" si="22"/>
        <v>0</v>
      </c>
      <c r="AB96" s="237">
        <f t="shared" si="23"/>
        <v>0</v>
      </c>
      <c r="AC96" s="237">
        <f t="shared" si="23"/>
        <v>0</v>
      </c>
      <c r="AE96" s="216">
        <v>25</v>
      </c>
      <c r="AF96" s="216">
        <v>0</v>
      </c>
      <c r="AG96" s="217">
        <f t="shared" si="24"/>
        <v>6</v>
      </c>
      <c r="AH96" s="216">
        <v>0</v>
      </c>
      <c r="AI96" s="216">
        <v>6</v>
      </c>
    </row>
    <row r="97" spans="2:35">
      <c r="B97" s="225" t="str">
        <f t="shared" si="25"/>
        <v>C&amp;I_C&amp;I Prescriptive_HVAC_HVAC</v>
      </c>
      <c r="C97" s="225" t="s">
        <v>256</v>
      </c>
      <c r="D97" s="225" t="s">
        <v>255</v>
      </c>
      <c r="E97" s="225" t="s">
        <v>162</v>
      </c>
      <c r="F97" s="225">
        <v>0</v>
      </c>
      <c r="G97" s="225" t="s">
        <v>162</v>
      </c>
      <c r="H97" s="226">
        <v>24</v>
      </c>
      <c r="I97" s="226">
        <v>24</v>
      </c>
      <c r="J97" s="227">
        <f t="shared" si="19"/>
        <v>0</v>
      </c>
      <c r="K97" s="228">
        <v>0</v>
      </c>
      <c r="L97" s="228"/>
      <c r="N97" s="225">
        <v>0</v>
      </c>
      <c r="O97" s="225">
        <v>0</v>
      </c>
      <c r="Q97" s="229">
        <v>0</v>
      </c>
      <c r="R97" s="229">
        <v>0</v>
      </c>
      <c r="S97" s="230">
        <v>0</v>
      </c>
      <c r="T97" s="230">
        <v>0</v>
      </c>
      <c r="V97" s="231">
        <f t="shared" si="20"/>
        <v>0</v>
      </c>
      <c r="W97" s="231">
        <f t="shared" si="20"/>
        <v>0</v>
      </c>
      <c r="X97" s="232">
        <f t="shared" si="21"/>
        <v>0</v>
      </c>
      <c r="Y97" s="232">
        <f t="shared" si="21"/>
        <v>0</v>
      </c>
      <c r="Z97" s="231">
        <f t="shared" si="22"/>
        <v>0</v>
      </c>
      <c r="AA97" s="231">
        <f t="shared" si="22"/>
        <v>0</v>
      </c>
      <c r="AB97" s="232">
        <f t="shared" si="23"/>
        <v>0</v>
      </c>
      <c r="AC97" s="232">
        <f t="shared" si="23"/>
        <v>0</v>
      </c>
      <c r="AE97" s="233">
        <v>0</v>
      </c>
      <c r="AF97" s="233">
        <v>0</v>
      </c>
      <c r="AG97" s="234">
        <f t="shared" si="24"/>
        <v>0</v>
      </c>
      <c r="AH97" s="233">
        <v>0</v>
      </c>
      <c r="AI97" s="233">
        <v>0</v>
      </c>
    </row>
    <row r="98" spans="2:35">
      <c r="B98" s="211" t="str">
        <f t="shared" si="25"/>
        <v>C&amp;I_C&amp;I Prescriptive_0_Split Package Heat Pump</v>
      </c>
      <c r="C98" s="211" t="s">
        <v>256</v>
      </c>
      <c r="D98" s="211" t="s">
        <v>255</v>
      </c>
      <c r="E98" s="211">
        <v>0</v>
      </c>
      <c r="F98" s="211">
        <v>0</v>
      </c>
      <c r="G98" s="211" t="s">
        <v>312</v>
      </c>
      <c r="H98" s="212">
        <v>4</v>
      </c>
      <c r="I98" s="212">
        <v>4</v>
      </c>
      <c r="J98" s="213">
        <f t="shared" si="19"/>
        <v>0</v>
      </c>
      <c r="K98" s="235">
        <v>0</v>
      </c>
      <c r="L98" s="235"/>
      <c r="N98" s="211">
        <v>15</v>
      </c>
      <c r="O98" s="211">
        <v>0</v>
      </c>
      <c r="Q98" s="214">
        <v>1980.5518011400352</v>
      </c>
      <c r="R98" s="214">
        <v>0</v>
      </c>
      <c r="S98" s="215">
        <v>0.30098901098901143</v>
      </c>
      <c r="T98" s="215">
        <v>0</v>
      </c>
      <c r="V98" s="236">
        <f t="shared" si="20"/>
        <v>7922.2072045601408</v>
      </c>
      <c r="W98" s="236">
        <f t="shared" si="20"/>
        <v>7922.2072045601408</v>
      </c>
      <c r="X98" s="237">
        <f t="shared" si="21"/>
        <v>1.2039560439560457</v>
      </c>
      <c r="Y98" s="237">
        <f t="shared" si="21"/>
        <v>1.2039560439560457</v>
      </c>
      <c r="Z98" s="236">
        <f t="shared" si="22"/>
        <v>0</v>
      </c>
      <c r="AA98" s="236">
        <f t="shared" si="22"/>
        <v>0</v>
      </c>
      <c r="AB98" s="237">
        <f t="shared" si="23"/>
        <v>0</v>
      </c>
      <c r="AC98" s="237">
        <f t="shared" si="23"/>
        <v>0</v>
      </c>
      <c r="AE98" s="216">
        <v>370</v>
      </c>
      <c r="AF98" s="216">
        <v>0</v>
      </c>
      <c r="AG98" s="217">
        <f t="shared" si="24"/>
        <v>250</v>
      </c>
      <c r="AH98" s="216">
        <v>0</v>
      </c>
      <c r="AI98" s="216">
        <v>250</v>
      </c>
    </row>
    <row r="99" spans="2:35">
      <c r="B99" s="211" t="str">
        <f t="shared" si="25"/>
        <v>C&amp;I_C&amp;I Prescriptive_0_Single System Heat Pump</v>
      </c>
      <c r="C99" s="211" t="s">
        <v>256</v>
      </c>
      <c r="D99" s="211" t="s">
        <v>255</v>
      </c>
      <c r="E99" s="211">
        <v>0</v>
      </c>
      <c r="F99" s="211">
        <v>0</v>
      </c>
      <c r="G99" s="211" t="s">
        <v>313</v>
      </c>
      <c r="H99" s="212">
        <v>8</v>
      </c>
      <c r="I99" s="212">
        <v>8</v>
      </c>
      <c r="J99" s="213">
        <f t="shared" si="19"/>
        <v>0</v>
      </c>
      <c r="K99" s="235">
        <v>0</v>
      </c>
      <c r="L99" s="235"/>
      <c r="N99" s="211">
        <v>15</v>
      </c>
      <c r="O99" s="211">
        <v>0</v>
      </c>
      <c r="Q99" s="214">
        <v>906.72827172827022</v>
      </c>
      <c r="R99" s="214">
        <v>0</v>
      </c>
      <c r="S99" s="215">
        <v>0.30098901098901143</v>
      </c>
      <c r="T99" s="215">
        <v>0</v>
      </c>
      <c r="V99" s="236">
        <f t="shared" si="20"/>
        <v>7253.8261738261617</v>
      </c>
      <c r="W99" s="236">
        <f t="shared" si="20"/>
        <v>7253.8261738261617</v>
      </c>
      <c r="X99" s="237">
        <f t="shared" si="21"/>
        <v>2.4079120879120914</v>
      </c>
      <c r="Y99" s="237">
        <f t="shared" si="21"/>
        <v>2.4079120879120914</v>
      </c>
      <c r="Z99" s="236">
        <f t="shared" si="22"/>
        <v>0</v>
      </c>
      <c r="AA99" s="236">
        <f t="shared" si="22"/>
        <v>0</v>
      </c>
      <c r="AB99" s="237">
        <f t="shared" si="23"/>
        <v>0</v>
      </c>
      <c r="AC99" s="237">
        <f t="shared" si="23"/>
        <v>0</v>
      </c>
      <c r="AE99" s="216">
        <v>370</v>
      </c>
      <c r="AF99" s="216">
        <v>0</v>
      </c>
      <c r="AG99" s="217">
        <f t="shared" si="24"/>
        <v>250</v>
      </c>
      <c r="AH99" s="216">
        <v>0</v>
      </c>
      <c r="AI99" s="216">
        <v>250</v>
      </c>
    </row>
    <row r="100" spans="2:35">
      <c r="B100" s="211" t="str">
        <f t="shared" si="25"/>
        <v>C&amp;I_C&amp;I Prescriptive_0_Geothermal Heat Pump</v>
      </c>
      <c r="C100" s="211" t="s">
        <v>256</v>
      </c>
      <c r="D100" s="211" t="s">
        <v>255</v>
      </c>
      <c r="E100" s="211">
        <v>0</v>
      </c>
      <c r="F100" s="211">
        <v>0</v>
      </c>
      <c r="G100" s="211" t="s">
        <v>314</v>
      </c>
      <c r="H100" s="212">
        <v>4</v>
      </c>
      <c r="I100" s="212">
        <v>4</v>
      </c>
      <c r="J100" s="213">
        <f t="shared" si="19"/>
        <v>0</v>
      </c>
      <c r="K100" s="235">
        <v>0</v>
      </c>
      <c r="L100" s="235"/>
      <c r="N100" s="211">
        <v>15</v>
      </c>
      <c r="O100" s="211">
        <v>0</v>
      </c>
      <c r="Q100" s="214">
        <v>22212.788976876138</v>
      </c>
      <c r="R100" s="214">
        <v>0</v>
      </c>
      <c r="S100" s="215">
        <v>2.0962664680349605</v>
      </c>
      <c r="T100" s="215">
        <v>0</v>
      </c>
      <c r="V100" s="236">
        <f t="shared" si="20"/>
        <v>88851.155907504552</v>
      </c>
      <c r="W100" s="236">
        <f t="shared" si="20"/>
        <v>88851.155907504552</v>
      </c>
      <c r="X100" s="237">
        <f t="shared" si="21"/>
        <v>8.3850658721398421</v>
      </c>
      <c r="Y100" s="237">
        <f t="shared" si="21"/>
        <v>8.3850658721398421</v>
      </c>
      <c r="Z100" s="236">
        <f t="shared" si="22"/>
        <v>0</v>
      </c>
      <c r="AA100" s="236">
        <f t="shared" si="22"/>
        <v>0</v>
      </c>
      <c r="AB100" s="237">
        <f t="shared" si="23"/>
        <v>0</v>
      </c>
      <c r="AC100" s="237">
        <f t="shared" si="23"/>
        <v>0</v>
      </c>
      <c r="AE100" s="216">
        <v>4100</v>
      </c>
      <c r="AF100" s="216">
        <v>0</v>
      </c>
      <c r="AG100" s="217">
        <f t="shared" si="24"/>
        <v>700</v>
      </c>
      <c r="AH100" s="216">
        <v>0</v>
      </c>
      <c r="AI100" s="216">
        <v>700</v>
      </c>
    </row>
    <row r="101" spans="2:35">
      <c r="B101" s="211" t="str">
        <f t="shared" si="25"/>
        <v>C&amp;I_C&amp;I Prescriptive_0_Heat Pump Water Heater</v>
      </c>
      <c r="C101" s="211" t="s">
        <v>256</v>
      </c>
      <c r="D101" s="211" t="s">
        <v>255</v>
      </c>
      <c r="E101" s="211">
        <v>0</v>
      </c>
      <c r="F101" s="211">
        <v>0</v>
      </c>
      <c r="G101" s="211" t="s">
        <v>260</v>
      </c>
      <c r="H101" s="212">
        <v>8</v>
      </c>
      <c r="I101" s="212">
        <v>8</v>
      </c>
      <c r="J101" s="213">
        <f t="shared" si="19"/>
        <v>0</v>
      </c>
      <c r="K101" s="235">
        <v>0</v>
      </c>
      <c r="L101" s="235"/>
      <c r="N101" s="211">
        <v>15</v>
      </c>
      <c r="O101" s="211">
        <v>0</v>
      </c>
      <c r="Q101" s="214">
        <v>1733.7090342339393</v>
      </c>
      <c r="R101" s="214">
        <v>0</v>
      </c>
      <c r="S101" s="215">
        <v>8.2133866604055542E-2</v>
      </c>
      <c r="T101" s="215">
        <v>0</v>
      </c>
      <c r="V101" s="236">
        <f t="shared" si="20"/>
        <v>13869.672273871514</v>
      </c>
      <c r="W101" s="236">
        <f t="shared" si="20"/>
        <v>13869.672273871514</v>
      </c>
      <c r="X101" s="237">
        <f t="shared" si="21"/>
        <v>0.65707093283244433</v>
      </c>
      <c r="Y101" s="237">
        <f t="shared" si="21"/>
        <v>0.65707093283244433</v>
      </c>
      <c r="Z101" s="236">
        <f t="shared" si="22"/>
        <v>0</v>
      </c>
      <c r="AA101" s="236">
        <f t="shared" si="22"/>
        <v>0</v>
      </c>
      <c r="AB101" s="237">
        <f t="shared" si="23"/>
        <v>0</v>
      </c>
      <c r="AC101" s="237">
        <f t="shared" si="23"/>
        <v>0</v>
      </c>
      <c r="AE101" s="216">
        <v>700</v>
      </c>
      <c r="AF101" s="216">
        <v>0</v>
      </c>
      <c r="AG101" s="217">
        <f t="shared" si="24"/>
        <v>200</v>
      </c>
      <c r="AH101" s="216">
        <v>0</v>
      </c>
      <c r="AI101" s="216">
        <v>200</v>
      </c>
    </row>
    <row r="102" spans="2:35">
      <c r="B102" s="225" t="str">
        <f t="shared" si="25"/>
        <v>C&amp;I_C&amp;I Prescriptive_Motors_Motors</v>
      </c>
      <c r="C102" s="225" t="s">
        <v>256</v>
      </c>
      <c r="D102" s="225" t="s">
        <v>255</v>
      </c>
      <c r="E102" s="225" t="s">
        <v>315</v>
      </c>
      <c r="F102" s="225">
        <v>0</v>
      </c>
      <c r="G102" s="225" t="s">
        <v>315</v>
      </c>
      <c r="H102" s="226">
        <v>10</v>
      </c>
      <c r="I102" s="226">
        <v>12</v>
      </c>
      <c r="J102" s="227">
        <f t="shared" si="19"/>
        <v>0.19999999999999996</v>
      </c>
      <c r="K102" s="228">
        <v>2</v>
      </c>
      <c r="L102" s="228"/>
      <c r="N102" s="225">
        <v>0</v>
      </c>
      <c r="O102" s="225">
        <v>0</v>
      </c>
      <c r="Q102" s="229">
        <v>0</v>
      </c>
      <c r="R102" s="229">
        <v>0</v>
      </c>
      <c r="S102" s="230">
        <v>0</v>
      </c>
      <c r="T102" s="230">
        <v>0</v>
      </c>
      <c r="V102" s="231">
        <f t="shared" si="20"/>
        <v>0</v>
      </c>
      <c r="W102" s="231">
        <f t="shared" si="20"/>
        <v>0</v>
      </c>
      <c r="X102" s="232">
        <f t="shared" si="21"/>
        <v>0</v>
      </c>
      <c r="Y102" s="232">
        <f t="shared" si="21"/>
        <v>0</v>
      </c>
      <c r="Z102" s="231">
        <f t="shared" si="22"/>
        <v>0</v>
      </c>
      <c r="AA102" s="231">
        <f t="shared" si="22"/>
        <v>0</v>
      </c>
      <c r="AB102" s="232">
        <f t="shared" si="23"/>
        <v>0</v>
      </c>
      <c r="AC102" s="232">
        <f t="shared" si="23"/>
        <v>0</v>
      </c>
      <c r="AE102" s="233">
        <v>0</v>
      </c>
      <c r="AF102" s="233">
        <v>0</v>
      </c>
      <c r="AG102" s="234">
        <f t="shared" si="24"/>
        <v>0</v>
      </c>
      <c r="AH102" s="233">
        <v>0</v>
      </c>
      <c r="AI102" s="233">
        <v>0</v>
      </c>
    </row>
    <row r="103" spans="2:35">
      <c r="B103" s="211" t="str">
        <f t="shared" si="25"/>
        <v>C&amp;I_C&amp;I Prescriptive_0_ODC Motor</v>
      </c>
      <c r="C103" s="211" t="s">
        <v>256</v>
      </c>
      <c r="D103" s="211" t="s">
        <v>255</v>
      </c>
      <c r="E103" s="211">
        <v>0</v>
      </c>
      <c r="F103" s="211">
        <v>0</v>
      </c>
      <c r="G103" s="211" t="s">
        <v>316</v>
      </c>
      <c r="H103" s="212">
        <v>5</v>
      </c>
      <c r="I103" s="212">
        <v>6</v>
      </c>
      <c r="J103" s="213">
        <f t="shared" si="19"/>
        <v>0.19999999999999996</v>
      </c>
      <c r="K103" s="236">
        <f>ROUND(H103/$H$102*K$102, 0)</f>
        <v>1</v>
      </c>
      <c r="L103" s="235"/>
      <c r="N103" s="211">
        <v>15</v>
      </c>
      <c r="O103" s="211">
        <v>0</v>
      </c>
      <c r="Q103" s="214">
        <v>353.7219425735546</v>
      </c>
      <c r="R103" s="214">
        <v>0</v>
      </c>
      <c r="S103" s="215">
        <v>8.0391350584898769E-2</v>
      </c>
      <c r="T103" s="215">
        <v>0</v>
      </c>
      <c r="V103" s="236">
        <f t="shared" si="20"/>
        <v>1768.6097128677729</v>
      </c>
      <c r="W103" s="236">
        <f t="shared" si="20"/>
        <v>2122.3316554413277</v>
      </c>
      <c r="X103" s="237">
        <f t="shared" si="21"/>
        <v>0.40195675292449384</v>
      </c>
      <c r="Y103" s="237">
        <f t="shared" si="21"/>
        <v>0.48234810350939261</v>
      </c>
      <c r="Z103" s="236">
        <f t="shared" si="22"/>
        <v>353.7219425735546</v>
      </c>
      <c r="AA103" s="236">
        <f t="shared" si="22"/>
        <v>0</v>
      </c>
      <c r="AB103" s="237">
        <f t="shared" si="23"/>
        <v>8.0391350584898769E-2</v>
      </c>
      <c r="AC103" s="237">
        <f t="shared" si="23"/>
        <v>0</v>
      </c>
      <c r="AE103" s="216">
        <v>115</v>
      </c>
      <c r="AF103" s="216">
        <v>0</v>
      </c>
      <c r="AG103" s="217">
        <f t="shared" si="24"/>
        <v>50</v>
      </c>
      <c r="AH103" s="216">
        <v>0</v>
      </c>
      <c r="AI103" s="216">
        <v>50</v>
      </c>
    </row>
    <row r="104" spans="2:35">
      <c r="B104" s="211" t="str">
        <f t="shared" si="25"/>
        <v>C&amp;I_C&amp;I Prescriptive_0_TEFC Motor</v>
      </c>
      <c r="C104" s="211" t="s">
        <v>256</v>
      </c>
      <c r="D104" s="211" t="s">
        <v>255</v>
      </c>
      <c r="E104" s="211">
        <v>0</v>
      </c>
      <c r="F104" s="211">
        <v>0</v>
      </c>
      <c r="G104" s="211" t="s">
        <v>317</v>
      </c>
      <c r="H104" s="212">
        <v>5</v>
      </c>
      <c r="I104" s="212">
        <v>6</v>
      </c>
      <c r="J104" s="213">
        <f t="shared" si="19"/>
        <v>0.19999999999999996</v>
      </c>
      <c r="K104" s="236">
        <f t="shared" ref="K104" si="26">ROUND(H104/$H$102*K$102, 0)</f>
        <v>1</v>
      </c>
      <c r="L104" s="235"/>
      <c r="N104" s="211">
        <v>15</v>
      </c>
      <c r="O104" s="211">
        <v>0</v>
      </c>
      <c r="Q104" s="214">
        <v>249.21318681318502</v>
      </c>
      <c r="R104" s="214">
        <v>0</v>
      </c>
      <c r="S104" s="215">
        <v>5.6639360639360231E-2</v>
      </c>
      <c r="T104" s="215">
        <v>0</v>
      </c>
      <c r="V104" s="236">
        <f t="shared" si="20"/>
        <v>1246.0659340659251</v>
      </c>
      <c r="W104" s="236">
        <f t="shared" si="20"/>
        <v>1495.27912087911</v>
      </c>
      <c r="X104" s="237">
        <f t="shared" si="21"/>
        <v>0.28319680319680118</v>
      </c>
      <c r="Y104" s="237">
        <f t="shared" si="21"/>
        <v>0.33983616383616139</v>
      </c>
      <c r="Z104" s="236">
        <f t="shared" si="22"/>
        <v>249.21318681318502</v>
      </c>
      <c r="AA104" s="236">
        <f t="shared" si="22"/>
        <v>0</v>
      </c>
      <c r="AB104" s="237">
        <f t="shared" si="23"/>
        <v>5.6639360639360231E-2</v>
      </c>
      <c r="AC104" s="237">
        <f t="shared" si="23"/>
        <v>0</v>
      </c>
      <c r="AE104" s="216">
        <v>115</v>
      </c>
      <c r="AF104" s="216">
        <v>0</v>
      </c>
      <c r="AG104" s="217">
        <f t="shared" si="24"/>
        <v>50</v>
      </c>
      <c r="AH104" s="216">
        <v>0</v>
      </c>
      <c r="AI104" s="216">
        <v>50</v>
      </c>
    </row>
  </sheetData>
  <mergeCells count="3">
    <mergeCell ref="H2:L2"/>
    <mergeCell ref="Q2:T2"/>
    <mergeCell ref="V2:AC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5"/>
    <outlinePr summaryBelow="0"/>
  </sheetPr>
  <dimension ref="A1:GD276"/>
  <sheetViews>
    <sheetView showGridLines="0" zoomScale="75" zoomScaleNormal="75" workbookViewId="0">
      <pane xSplit="8" ySplit="9" topLeftCell="I10" activePane="bottomRight" state="frozen"/>
      <selection pane="topRight" activeCell="K1" sqref="K1"/>
      <selection pane="bottomLeft" activeCell="A10" sqref="A10"/>
      <selection pane="bottomRight" activeCell="H17" sqref="H17"/>
    </sheetView>
  </sheetViews>
  <sheetFormatPr defaultColWidth="9.140625" defaultRowHeight="15"/>
  <cols>
    <col min="1" max="1" width="4.7109375" customWidth="1"/>
    <col min="2" max="2" width="101.7109375" hidden="1" customWidth="1"/>
    <col min="3" max="3" width="0.140625" customWidth="1"/>
    <col min="4" max="4" width="15.5703125" customWidth="1"/>
    <col min="5" max="5" width="30.42578125" bestFit="1" customWidth="1"/>
    <col min="6" max="6" width="4.7109375" bestFit="1" customWidth="1"/>
    <col min="7" max="7" width="64.140625" bestFit="1" customWidth="1"/>
    <col min="8" max="8" width="14.85546875" bestFit="1" customWidth="1"/>
    <col min="9" max="9" width="1" customWidth="1"/>
    <col min="10" max="11" width="10" customWidth="1"/>
    <col min="12" max="12" width="10.28515625" customWidth="1"/>
    <col min="13" max="14" width="10" customWidth="1"/>
    <col min="15" max="15" width="2" customWidth="1"/>
    <col min="16" max="16" width="12.5703125" bestFit="1" customWidth="1"/>
    <col min="17" max="17" width="12.5703125" customWidth="1"/>
    <col min="18" max="18" width="14" bestFit="1" customWidth="1"/>
    <col min="19" max="19" width="2.42578125" customWidth="1"/>
    <col min="20" max="20" width="10.5703125" bestFit="1" customWidth="1"/>
    <col min="21" max="22" width="7.5703125" hidden="1" customWidth="1"/>
    <col min="23" max="23" width="2.7109375" customWidth="1"/>
    <col min="24" max="24" width="12.85546875" bestFit="1" customWidth="1"/>
    <col min="25" max="25" width="11.28515625" customWidth="1"/>
    <col min="26" max="26" width="14.28515625" hidden="1" customWidth="1"/>
    <col min="27" max="27" width="2" customWidth="1"/>
    <col min="28" max="28" width="15.7109375" bestFit="1" customWidth="1"/>
    <col min="29" max="29" width="11.28515625" customWidth="1"/>
    <col min="30" max="30" width="14.28515625" hidden="1" customWidth="1"/>
    <col min="31" max="31" width="2" customWidth="1"/>
    <col min="32" max="32" width="11.5703125" customWidth="1"/>
    <col min="33" max="33" width="14" bestFit="1" customWidth="1"/>
    <col min="34" max="40" width="16" customWidth="1"/>
    <col min="41" max="41" width="2" customWidth="1"/>
    <col min="42" max="43" width="14.42578125" hidden="1" customWidth="1"/>
    <col min="44" max="45" width="14.42578125" customWidth="1"/>
    <col min="46" max="46" width="15.42578125" customWidth="1"/>
    <col min="47" max="47" width="15.85546875" bestFit="1" customWidth="1"/>
    <col min="48" max="48" width="15.85546875" customWidth="1"/>
    <col min="49" max="49" width="16.28515625" customWidth="1"/>
    <col min="50" max="50" width="13.42578125" customWidth="1"/>
    <col min="51" max="51" width="2" customWidth="1"/>
    <col min="52" max="52" width="13.7109375" hidden="1" customWidth="1"/>
    <col min="53" max="53" width="16" hidden="1" customWidth="1"/>
    <col min="54" max="55" width="15.140625" hidden="1" customWidth="1"/>
    <col min="56" max="56" width="15.5703125" hidden="1" customWidth="1"/>
    <col min="57" max="57" width="1.5703125" hidden="1" customWidth="1"/>
    <col min="58" max="58" width="17.28515625" hidden="1" customWidth="1"/>
    <col min="59" max="59" width="15" hidden="1" customWidth="1"/>
    <col min="60" max="60" width="15.140625" hidden="1" customWidth="1"/>
    <col min="61" max="61" width="14.42578125" hidden="1" customWidth="1"/>
    <col min="62" max="62" width="2" hidden="1" customWidth="1"/>
    <col min="63" max="69" width="14.42578125" hidden="1" customWidth="1"/>
    <col min="70" max="70" width="2" hidden="1" customWidth="1"/>
    <col min="71" max="73" width="17.28515625" hidden="1" customWidth="1"/>
    <col min="74" max="74" width="14.140625" hidden="1" customWidth="1"/>
    <col min="75" max="76" width="14.42578125" hidden="1" customWidth="1"/>
    <col min="77" max="77" width="17.28515625" hidden="1" customWidth="1"/>
    <col min="78" max="78" width="2" hidden="1" customWidth="1"/>
    <col min="79" max="81" width="12" bestFit="1" customWidth="1"/>
    <col min="82" max="92" width="12" hidden="1" customWidth="1"/>
    <col min="93" max="113" width="10.7109375" hidden="1" customWidth="1"/>
    <col min="114" max="114" width="0.7109375" bestFit="1" customWidth="1"/>
    <col min="115" max="117" width="10.7109375" bestFit="1" customWidth="1"/>
    <col min="118" max="149" width="10.7109375" hidden="1" customWidth="1"/>
    <col min="150" max="150" width="0.7109375" bestFit="1" customWidth="1"/>
    <col min="151" max="153" width="10.7109375" bestFit="1" customWidth="1"/>
    <col min="154" max="185" width="10.7109375" hidden="1" customWidth="1"/>
    <col min="186" max="186" width="0.7109375" bestFit="1" customWidth="1"/>
  </cols>
  <sheetData>
    <row r="1" spans="1:186" s="61" customFormat="1">
      <c r="A1" s="154"/>
      <c r="B1" s="61" t="b">
        <v>1</v>
      </c>
      <c r="C1" s="61" t="b">
        <v>1</v>
      </c>
      <c r="D1" s="62"/>
      <c r="E1" s="62"/>
      <c r="K1" s="61" t="b">
        <v>1</v>
      </c>
      <c r="L1" s="61" t="b">
        <v>1</v>
      </c>
      <c r="M1" s="61" t="b">
        <v>1</v>
      </c>
      <c r="N1" s="61" t="b">
        <v>1</v>
      </c>
      <c r="U1" s="61" t="b">
        <v>1</v>
      </c>
      <c r="V1" s="61" t="b">
        <v>1</v>
      </c>
      <c r="Z1" s="61" t="b">
        <v>1</v>
      </c>
      <c r="AD1" s="61" t="b">
        <v>1</v>
      </c>
      <c r="AP1" s="61" t="b">
        <v>1</v>
      </c>
      <c r="AQ1" s="61" t="b">
        <v>1</v>
      </c>
      <c r="AZ1" s="61" t="b">
        <v>1</v>
      </c>
      <c r="BA1" s="61" t="b">
        <v>1</v>
      </c>
      <c r="BB1" s="61" t="b">
        <v>1</v>
      </c>
      <c r="BC1" s="61" t="b">
        <v>1</v>
      </c>
      <c r="BD1" s="61" t="b">
        <v>1</v>
      </c>
      <c r="BE1" s="61" t="b">
        <v>1</v>
      </c>
      <c r="BF1" s="61" t="b">
        <v>1</v>
      </c>
      <c r="BG1" s="61" t="b">
        <v>1</v>
      </c>
      <c r="BH1" s="61" t="b">
        <v>1</v>
      </c>
      <c r="BI1" s="61" t="b">
        <v>1</v>
      </c>
      <c r="BJ1" s="61" t="b">
        <v>1</v>
      </c>
      <c r="BK1" s="61" t="b">
        <v>1</v>
      </c>
      <c r="BL1" s="61" t="b">
        <v>1</v>
      </c>
      <c r="BM1" s="61" t="b">
        <v>1</v>
      </c>
      <c r="BN1" s="61" t="b">
        <v>1</v>
      </c>
      <c r="BO1" s="61" t="b">
        <v>1</v>
      </c>
      <c r="BP1" s="61" t="b">
        <v>1</v>
      </c>
      <c r="BQ1" s="61" t="b">
        <v>1</v>
      </c>
      <c r="BR1" s="61" t="b">
        <v>1</v>
      </c>
      <c r="BS1" s="61" t="b">
        <v>1</v>
      </c>
      <c r="BT1" s="61" t="b">
        <v>1</v>
      </c>
      <c r="BU1" s="61" t="b">
        <v>1</v>
      </c>
      <c r="BV1" s="61" t="b">
        <v>1</v>
      </c>
      <c r="BW1" s="61" t="b">
        <v>1</v>
      </c>
      <c r="BX1" s="61" t="b">
        <v>1</v>
      </c>
      <c r="BY1" s="61" t="b">
        <v>1</v>
      </c>
      <c r="BZ1" s="61" t="b">
        <v>1</v>
      </c>
      <c r="CD1" s="61" t="b">
        <v>1</v>
      </c>
      <c r="CE1" s="61" t="b">
        <v>1</v>
      </c>
      <c r="CF1" s="61" t="b">
        <v>1</v>
      </c>
      <c r="CG1" s="61" t="b">
        <v>1</v>
      </c>
      <c r="CH1" s="61" t="b">
        <v>1</v>
      </c>
      <c r="CI1" s="61" t="b">
        <v>1</v>
      </c>
      <c r="CJ1" s="61" t="b">
        <v>1</v>
      </c>
      <c r="CK1" s="61" t="b">
        <v>1</v>
      </c>
      <c r="CL1" s="61" t="b">
        <v>1</v>
      </c>
      <c r="CM1" s="61" t="b">
        <v>1</v>
      </c>
      <c r="CN1" s="61" t="b">
        <v>1</v>
      </c>
      <c r="CO1" s="61" t="b">
        <v>1</v>
      </c>
      <c r="CP1" s="61" t="b">
        <v>1</v>
      </c>
      <c r="CQ1" s="61" t="b">
        <v>1</v>
      </c>
      <c r="CR1" s="61" t="b">
        <v>1</v>
      </c>
      <c r="CS1" s="61" t="b">
        <v>1</v>
      </c>
      <c r="CT1" s="61" t="b">
        <v>1</v>
      </c>
      <c r="CU1" s="61" t="b">
        <v>1</v>
      </c>
      <c r="CV1" s="61" t="b">
        <v>1</v>
      </c>
      <c r="CW1" s="61" t="b">
        <v>1</v>
      </c>
      <c r="CX1" s="61" t="b">
        <v>1</v>
      </c>
      <c r="CY1" s="61" t="b">
        <v>1</v>
      </c>
      <c r="CZ1" s="61" t="b">
        <v>1</v>
      </c>
      <c r="DA1" s="61" t="b">
        <v>1</v>
      </c>
      <c r="DB1" s="61" t="b">
        <v>1</v>
      </c>
      <c r="DC1" s="61" t="b">
        <v>1</v>
      </c>
      <c r="DD1" s="61" t="b">
        <v>1</v>
      </c>
      <c r="DE1" s="61" t="b">
        <v>1</v>
      </c>
      <c r="DF1" s="61" t="b">
        <v>1</v>
      </c>
      <c r="DG1" s="61" t="b">
        <v>1</v>
      </c>
      <c r="DH1" s="61" t="b">
        <v>1</v>
      </c>
      <c r="DI1" s="61" t="b">
        <v>1</v>
      </c>
      <c r="DN1" s="61" t="b">
        <v>1</v>
      </c>
      <c r="DO1" s="61" t="b">
        <v>1</v>
      </c>
      <c r="DP1" s="61" t="b">
        <v>1</v>
      </c>
      <c r="DQ1" s="61" t="b">
        <v>1</v>
      </c>
      <c r="DR1" s="61" t="b">
        <v>1</v>
      </c>
      <c r="DS1" s="61" t="b">
        <v>1</v>
      </c>
      <c r="DT1" s="61" t="b">
        <v>1</v>
      </c>
      <c r="DU1" s="61" t="b">
        <v>1</v>
      </c>
      <c r="DV1" s="61" t="b">
        <v>1</v>
      </c>
      <c r="DW1" s="61" t="b">
        <v>1</v>
      </c>
      <c r="DX1" s="61" t="b">
        <v>1</v>
      </c>
      <c r="DY1" s="61" t="b">
        <v>1</v>
      </c>
      <c r="DZ1" s="61" t="b">
        <v>1</v>
      </c>
      <c r="EA1" s="61" t="b">
        <v>1</v>
      </c>
      <c r="EB1" s="61" t="b">
        <v>1</v>
      </c>
      <c r="EC1" s="61" t="b">
        <v>1</v>
      </c>
      <c r="ED1" s="61" t="b">
        <v>1</v>
      </c>
      <c r="EE1" s="61" t="b">
        <v>1</v>
      </c>
      <c r="EF1" s="61" t="b">
        <v>1</v>
      </c>
      <c r="EG1" s="61" t="b">
        <v>1</v>
      </c>
      <c r="EH1" s="61" t="b">
        <v>1</v>
      </c>
      <c r="EI1" s="61" t="b">
        <v>1</v>
      </c>
      <c r="EJ1" s="61" t="b">
        <v>1</v>
      </c>
      <c r="EK1" s="61" t="b">
        <v>1</v>
      </c>
      <c r="EL1" s="61" t="b">
        <v>1</v>
      </c>
      <c r="EM1" s="61" t="b">
        <v>1</v>
      </c>
      <c r="EN1" s="61" t="b">
        <v>1</v>
      </c>
      <c r="EO1" s="61" t="b">
        <v>1</v>
      </c>
      <c r="EP1" s="61" t="b">
        <v>1</v>
      </c>
      <c r="EQ1" s="61" t="b">
        <v>1</v>
      </c>
      <c r="ER1" s="61" t="b">
        <v>1</v>
      </c>
      <c r="ES1" s="61" t="b">
        <v>1</v>
      </c>
      <c r="EX1" s="61" t="b">
        <v>1</v>
      </c>
      <c r="EY1" s="61" t="b">
        <v>1</v>
      </c>
      <c r="EZ1" s="61" t="b">
        <v>1</v>
      </c>
      <c r="FA1" s="61" t="b">
        <v>1</v>
      </c>
      <c r="FB1" s="61" t="b">
        <v>1</v>
      </c>
      <c r="FC1" s="61" t="b">
        <v>1</v>
      </c>
      <c r="FD1" s="61" t="b">
        <v>1</v>
      </c>
      <c r="FE1" s="61" t="b">
        <v>1</v>
      </c>
      <c r="FF1" s="61" t="b">
        <v>1</v>
      </c>
      <c r="FG1" s="61" t="b">
        <v>1</v>
      </c>
      <c r="FH1" s="61" t="b">
        <v>1</v>
      </c>
      <c r="FI1" s="61" t="b">
        <v>1</v>
      </c>
      <c r="FJ1" s="61" t="b">
        <v>1</v>
      </c>
      <c r="FK1" s="61" t="b">
        <v>1</v>
      </c>
      <c r="FL1" s="61" t="b">
        <v>1</v>
      </c>
      <c r="FM1" s="61" t="b">
        <v>1</v>
      </c>
      <c r="FN1" s="61" t="b">
        <v>1</v>
      </c>
      <c r="FO1" s="61" t="b">
        <v>1</v>
      </c>
      <c r="FP1" s="61" t="b">
        <v>1</v>
      </c>
      <c r="FQ1" s="61" t="b">
        <v>1</v>
      </c>
      <c r="FR1" s="61" t="b">
        <v>1</v>
      </c>
      <c r="FS1" s="61" t="b">
        <v>1</v>
      </c>
      <c r="FT1" s="61" t="b">
        <v>1</v>
      </c>
      <c r="FU1" s="61" t="b">
        <v>1</v>
      </c>
      <c r="FV1" s="61" t="b">
        <v>1</v>
      </c>
      <c r="FW1" s="61" t="b">
        <v>1</v>
      </c>
      <c r="FX1" s="61" t="b">
        <v>1</v>
      </c>
      <c r="FY1" s="61" t="b">
        <v>1</v>
      </c>
      <c r="FZ1" s="61" t="b">
        <v>1</v>
      </c>
      <c r="GA1" s="61" t="b">
        <v>1</v>
      </c>
      <c r="GB1" s="61" t="b">
        <v>1</v>
      </c>
      <c r="GC1" s="61" t="b">
        <v>1</v>
      </c>
    </row>
    <row r="2" spans="1:186" s="61" customFormat="1">
      <c r="A2" s="154" t="s">
        <v>40</v>
      </c>
      <c r="D2" s="62"/>
      <c r="E2" s="62"/>
    </row>
    <row r="3" spans="1:186" s="54" customFormat="1">
      <c r="A3" s="52" t="str">
        <f>HYPERLINK("#'Contents'!a1","Return to Contents")</f>
        <v>Return to Contents</v>
      </c>
      <c r="C3" s="132"/>
      <c r="D3" s="53"/>
      <c r="E3"/>
      <c r="F3" s="52"/>
      <c r="H3" s="52"/>
      <c r="J3" s="51"/>
      <c r="K3" s="51"/>
      <c r="L3" s="51"/>
      <c r="M3" s="51"/>
      <c r="N3" s="51"/>
      <c r="P3"/>
      <c r="Q3"/>
      <c r="R3"/>
      <c r="T3"/>
      <c r="U3"/>
      <c r="V3" s="132"/>
      <c r="X3" s="51"/>
      <c r="Y3" s="51"/>
      <c r="Z3" s="51"/>
      <c r="AB3" s="51"/>
      <c r="AC3" s="51"/>
      <c r="AD3" s="51"/>
      <c r="AF3" s="51"/>
      <c r="AG3" s="51"/>
      <c r="AH3" s="51"/>
      <c r="AI3" s="51"/>
      <c r="AJ3" s="51"/>
      <c r="AK3" s="51"/>
      <c r="AL3" s="51"/>
      <c r="AM3" s="51"/>
      <c r="AN3" s="51"/>
      <c r="AP3" s="51"/>
      <c r="AQ3" s="51"/>
      <c r="AR3" s="51"/>
      <c r="AS3" s="51"/>
      <c r="AT3" s="51"/>
      <c r="AU3" s="51"/>
      <c r="AV3" s="51"/>
      <c r="AW3" s="51"/>
      <c r="AX3" s="51"/>
      <c r="AZ3" s="51"/>
      <c r="BA3" s="51"/>
      <c r="BB3" s="51"/>
      <c r="BC3" s="51"/>
      <c r="BD3" s="51"/>
      <c r="BF3" s="51"/>
      <c r="BG3" s="51"/>
      <c r="BH3" s="51"/>
      <c r="BI3" s="51"/>
      <c r="BK3" s="51"/>
      <c r="BL3" s="51"/>
      <c r="BM3" s="51"/>
      <c r="BN3" s="51"/>
      <c r="BO3" s="51"/>
      <c r="BP3" s="51"/>
      <c r="BQ3" s="51"/>
      <c r="BS3" s="51"/>
      <c r="BT3" s="51"/>
      <c r="BU3" s="51"/>
      <c r="BV3" s="51"/>
      <c r="BW3" s="51"/>
      <c r="BX3" s="51"/>
      <c r="BY3" s="163"/>
      <c r="CA3" s="51"/>
      <c r="DK3" s="51"/>
      <c r="EU3" s="51"/>
    </row>
    <row r="4" spans="1:186" s="54" customFormat="1">
      <c r="A4" s="61"/>
      <c r="C4" s="133"/>
      <c r="D4" s="53"/>
      <c r="E4" s="53"/>
      <c r="F4" s="53"/>
      <c r="G4" s="53"/>
      <c r="H4" s="53"/>
      <c r="P4"/>
      <c r="Q4"/>
      <c r="R4"/>
      <c r="T4"/>
      <c r="U4"/>
      <c r="V4" s="133"/>
      <c r="BF4" s="173"/>
    </row>
    <row r="5" spans="1:186" s="54" customFormat="1">
      <c r="A5" s="61"/>
      <c r="C5" s="133"/>
      <c r="D5" s="53"/>
      <c r="E5" s="53"/>
      <c r="F5" s="53"/>
      <c r="G5" s="53"/>
      <c r="H5" s="53"/>
      <c r="P5"/>
      <c r="Q5"/>
      <c r="R5"/>
      <c r="T5"/>
      <c r="U5"/>
      <c r="V5" s="133"/>
    </row>
    <row r="6" spans="1:186" s="185" customFormat="1" ht="29.45" customHeight="1">
      <c r="A6" s="180"/>
      <c r="B6" s="181"/>
      <c r="C6" s="182"/>
      <c r="D6" s="182"/>
      <c r="E6" s="182"/>
      <c r="F6" s="182"/>
      <c r="G6" s="182"/>
      <c r="H6" s="182"/>
      <c r="I6" s="183">
        <v>0</v>
      </c>
      <c r="J6" s="837" t="s">
        <v>129</v>
      </c>
      <c r="K6" s="838"/>
      <c r="L6" s="838"/>
      <c r="M6" s="838"/>
      <c r="N6" s="839"/>
      <c r="O6" s="183">
        <v>0</v>
      </c>
      <c r="P6" s="837"/>
      <c r="Q6" s="838"/>
      <c r="R6" s="206"/>
      <c r="S6" s="183"/>
      <c r="T6" s="838"/>
      <c r="U6" s="838"/>
      <c r="V6" s="839"/>
      <c r="W6" s="183"/>
      <c r="X6" s="830" t="s">
        <v>167</v>
      </c>
      <c r="Y6" s="831"/>
      <c r="Z6" s="832"/>
      <c r="AA6" s="183">
        <v>0</v>
      </c>
      <c r="AB6" s="830" t="s">
        <v>168</v>
      </c>
      <c r="AC6" s="831"/>
      <c r="AD6" s="832"/>
      <c r="AE6" s="183">
        <v>0</v>
      </c>
      <c r="AF6" s="837" t="s">
        <v>99</v>
      </c>
      <c r="AG6" s="838"/>
      <c r="AH6" s="838"/>
      <c r="AI6" s="838"/>
      <c r="AJ6" s="838"/>
      <c r="AK6" s="838"/>
      <c r="AL6" s="838"/>
      <c r="AM6" s="838"/>
      <c r="AN6" s="206"/>
      <c r="AO6" s="184">
        <v>0</v>
      </c>
      <c r="AP6" s="837" t="s">
        <v>130</v>
      </c>
      <c r="AQ6" s="838"/>
      <c r="AR6" s="838"/>
      <c r="AS6" s="838"/>
      <c r="AT6" s="838"/>
      <c r="AU6" s="838"/>
      <c r="AV6" s="838"/>
      <c r="AW6" s="838"/>
      <c r="AX6" s="839"/>
      <c r="AY6" s="183">
        <v>0</v>
      </c>
      <c r="AZ6" s="830" t="s">
        <v>131</v>
      </c>
      <c r="BA6" s="831"/>
      <c r="BB6" s="831"/>
      <c r="BC6" s="831"/>
      <c r="BD6" s="832"/>
      <c r="BE6" s="183">
        <v>0</v>
      </c>
      <c r="BF6" s="840" t="s">
        <v>134</v>
      </c>
      <c r="BG6" s="840"/>
      <c r="BH6" s="840"/>
      <c r="BI6" s="840"/>
      <c r="BJ6" s="183">
        <v>0</v>
      </c>
      <c r="BK6" s="840" t="s">
        <v>132</v>
      </c>
      <c r="BL6" s="840"/>
      <c r="BM6" s="840"/>
      <c r="BN6" s="840"/>
      <c r="BO6" s="840"/>
      <c r="BP6" s="840"/>
      <c r="BQ6" s="840"/>
      <c r="BR6" s="183">
        <v>0</v>
      </c>
      <c r="BS6" s="830" t="s">
        <v>133</v>
      </c>
      <c r="BT6" s="831"/>
      <c r="BU6" s="831"/>
      <c r="BV6" s="831"/>
      <c r="BW6" s="831"/>
      <c r="BX6" s="831"/>
      <c r="BY6" s="832"/>
      <c r="BZ6" s="183">
        <v>0</v>
      </c>
      <c r="CA6" s="833" t="s">
        <v>208</v>
      </c>
      <c r="CB6" s="834"/>
      <c r="CC6" s="834"/>
      <c r="CD6" s="834"/>
      <c r="CE6" s="834"/>
      <c r="CF6" s="834"/>
      <c r="CG6" s="834"/>
      <c r="CH6" s="834"/>
      <c r="CI6" s="834"/>
      <c r="CJ6" s="834"/>
      <c r="CK6" s="834"/>
      <c r="CL6" s="834"/>
      <c r="CM6" s="834"/>
      <c r="CN6" s="834"/>
      <c r="CO6" s="834"/>
      <c r="CP6" s="834"/>
      <c r="CQ6" s="834"/>
      <c r="CR6" s="834"/>
      <c r="CS6" s="834"/>
      <c r="CT6" s="834"/>
      <c r="CU6" s="834"/>
      <c r="CV6" s="834"/>
      <c r="CW6" s="834"/>
      <c r="CX6" s="834"/>
      <c r="CY6" s="834"/>
      <c r="CZ6" s="834"/>
      <c r="DA6" s="834"/>
      <c r="DB6" s="834"/>
      <c r="DC6" s="834"/>
      <c r="DD6" s="834"/>
      <c r="DE6" s="834"/>
      <c r="DF6" s="834"/>
      <c r="DG6" s="834"/>
      <c r="DH6" s="834"/>
      <c r="DI6" s="834"/>
      <c r="DJ6" s="184"/>
      <c r="DK6" s="833" t="s">
        <v>209</v>
      </c>
      <c r="DL6" s="834"/>
      <c r="DM6" s="834"/>
      <c r="DN6" s="834"/>
      <c r="DO6" s="834"/>
      <c r="DP6" s="834"/>
      <c r="DQ6" s="834"/>
      <c r="DR6" s="834"/>
      <c r="DS6" s="834"/>
      <c r="DT6" s="834"/>
      <c r="DU6" s="834"/>
      <c r="DV6" s="834"/>
      <c r="DW6" s="834"/>
      <c r="DX6" s="834"/>
      <c r="DY6" s="834"/>
      <c r="DZ6" s="834"/>
      <c r="EA6" s="834"/>
      <c r="EB6" s="834"/>
      <c r="EC6" s="834"/>
      <c r="ED6" s="834"/>
      <c r="EE6" s="834"/>
      <c r="EF6" s="834"/>
      <c r="EG6" s="834"/>
      <c r="EH6" s="834"/>
      <c r="EI6" s="834"/>
      <c r="EJ6" s="834"/>
      <c r="EK6" s="834"/>
      <c r="EL6" s="834"/>
      <c r="EM6" s="834"/>
      <c r="EN6" s="834"/>
      <c r="EO6" s="834"/>
      <c r="EP6" s="834"/>
      <c r="EQ6" s="834"/>
      <c r="ER6" s="834"/>
      <c r="ES6" s="834"/>
      <c r="ET6" s="184"/>
      <c r="EU6" s="833" t="s">
        <v>210</v>
      </c>
      <c r="EV6" s="834"/>
      <c r="EW6" s="834"/>
      <c r="EX6" s="834"/>
      <c r="EY6" s="834"/>
      <c r="EZ6" s="834"/>
      <c r="FA6" s="834"/>
      <c r="FB6" s="834"/>
      <c r="FC6" s="834"/>
      <c r="FD6" s="834"/>
      <c r="FE6" s="834"/>
      <c r="FF6" s="834"/>
      <c r="FG6" s="834"/>
      <c r="FH6" s="834"/>
      <c r="FI6" s="834"/>
      <c r="FJ6" s="834"/>
      <c r="FK6" s="834"/>
      <c r="FL6" s="834"/>
      <c r="FM6" s="834"/>
      <c r="FN6" s="834"/>
      <c r="FO6" s="834"/>
      <c r="FP6" s="834"/>
      <c r="FQ6" s="834"/>
      <c r="FR6" s="834"/>
      <c r="FS6" s="834"/>
      <c r="FT6" s="834"/>
      <c r="FU6" s="834"/>
      <c r="FV6" s="834"/>
      <c r="FW6" s="834"/>
      <c r="FX6" s="834"/>
      <c r="FY6" s="834"/>
      <c r="FZ6" s="834"/>
      <c r="GA6" s="834"/>
      <c r="GB6" s="834"/>
      <c r="GC6" s="834"/>
      <c r="GD6" s="184"/>
    </row>
    <row r="7" spans="1:186" s="185" customFormat="1">
      <c r="A7" s="180"/>
      <c r="B7" s="186"/>
      <c r="C7" s="187"/>
      <c r="D7" s="187"/>
      <c r="E7" s="187"/>
      <c r="F7" s="187"/>
      <c r="G7" s="187"/>
      <c r="H7" s="187"/>
      <c r="I7" s="183"/>
      <c r="J7" s="188"/>
      <c r="K7" s="189"/>
      <c r="L7" s="189"/>
      <c r="M7" s="189"/>
      <c r="N7" s="190"/>
      <c r="O7" s="183"/>
      <c r="P7" s="188"/>
      <c r="Q7" s="191"/>
      <c r="R7" s="191"/>
      <c r="S7" s="183"/>
      <c r="T7" s="191"/>
      <c r="U7" s="191"/>
      <c r="V7" s="192"/>
      <c r="W7" s="183"/>
      <c r="X7" s="193" t="s">
        <v>138</v>
      </c>
      <c r="Y7" s="193" t="s">
        <v>138</v>
      </c>
      <c r="Z7" s="193" t="s">
        <v>139</v>
      </c>
      <c r="AA7" s="183"/>
      <c r="AB7" s="193" t="s">
        <v>138</v>
      </c>
      <c r="AC7" s="193" t="s">
        <v>138</v>
      </c>
      <c r="AD7" s="193" t="s">
        <v>139</v>
      </c>
      <c r="AE7" s="183"/>
      <c r="AF7" s="189"/>
      <c r="AG7" s="189"/>
      <c r="AH7" s="189"/>
      <c r="AI7" s="189"/>
      <c r="AJ7" s="189"/>
      <c r="AK7" s="189"/>
      <c r="AL7" s="189"/>
      <c r="AM7" s="189"/>
      <c r="AN7" s="189"/>
      <c r="AO7" s="194"/>
      <c r="AP7" s="189"/>
      <c r="AQ7" s="189"/>
      <c r="AR7" s="195" t="s">
        <v>124</v>
      </c>
      <c r="AS7" s="195" t="s">
        <v>124</v>
      </c>
      <c r="AT7" s="195" t="s">
        <v>124</v>
      </c>
      <c r="AU7" s="195" t="s">
        <v>124</v>
      </c>
      <c r="AV7" s="195"/>
      <c r="AW7" s="195" t="s">
        <v>125</v>
      </c>
      <c r="AX7" s="195" t="s">
        <v>125</v>
      </c>
      <c r="AY7" s="183"/>
      <c r="AZ7" s="195" t="s">
        <v>124</v>
      </c>
      <c r="BA7" s="195" t="s">
        <v>124</v>
      </c>
      <c r="BB7" s="195" t="s">
        <v>124</v>
      </c>
      <c r="BC7" s="195" t="s">
        <v>125</v>
      </c>
      <c r="BD7" s="195" t="s">
        <v>125</v>
      </c>
      <c r="BE7" s="183"/>
      <c r="BF7" s="195" t="s">
        <v>124</v>
      </c>
      <c r="BG7" s="195" t="s">
        <v>124</v>
      </c>
      <c r="BH7" s="195" t="s">
        <v>124</v>
      </c>
      <c r="BI7" s="195" t="s">
        <v>125</v>
      </c>
      <c r="BJ7" s="183"/>
      <c r="BK7" s="195" t="s">
        <v>124</v>
      </c>
      <c r="BL7" s="195" t="s">
        <v>124</v>
      </c>
      <c r="BM7" s="195" t="s">
        <v>124</v>
      </c>
      <c r="BN7" s="195" t="s">
        <v>124</v>
      </c>
      <c r="BO7" s="195" t="s">
        <v>124</v>
      </c>
      <c r="BP7" s="195" t="s">
        <v>125</v>
      </c>
      <c r="BQ7" s="195" t="s">
        <v>125</v>
      </c>
      <c r="BR7" s="183"/>
      <c r="BS7" s="195" t="s">
        <v>124</v>
      </c>
      <c r="BT7" s="195" t="s">
        <v>124</v>
      </c>
      <c r="BU7" s="195" t="s">
        <v>124</v>
      </c>
      <c r="BV7" s="195" t="s">
        <v>125</v>
      </c>
      <c r="BW7" s="195" t="s">
        <v>125</v>
      </c>
      <c r="BX7" s="195" t="s">
        <v>125</v>
      </c>
      <c r="BY7" s="195" t="s">
        <v>125</v>
      </c>
      <c r="BZ7" s="183"/>
      <c r="CA7" s="835"/>
      <c r="CB7" s="836"/>
      <c r="CC7" s="836"/>
      <c r="CD7" s="836"/>
      <c r="CE7" s="836"/>
      <c r="CF7" s="836"/>
      <c r="CG7" s="836"/>
      <c r="CH7" s="836"/>
      <c r="CI7" s="836"/>
      <c r="CJ7" s="836"/>
      <c r="CK7" s="836"/>
      <c r="CL7" s="836"/>
      <c r="CM7" s="836"/>
      <c r="CN7" s="836"/>
      <c r="CO7" s="836"/>
      <c r="CP7" s="836"/>
      <c r="CQ7" s="836"/>
      <c r="CR7" s="836"/>
      <c r="CS7" s="836"/>
      <c r="CT7" s="836"/>
      <c r="CU7" s="836"/>
      <c r="CV7" s="836"/>
      <c r="CW7" s="836"/>
      <c r="CX7" s="836"/>
      <c r="CY7" s="836"/>
      <c r="CZ7" s="836"/>
      <c r="DA7" s="836"/>
      <c r="DB7" s="836"/>
      <c r="DC7" s="836"/>
      <c r="DD7" s="836"/>
      <c r="DE7" s="836"/>
      <c r="DF7" s="836"/>
      <c r="DG7" s="836"/>
      <c r="DH7" s="836"/>
      <c r="DI7" s="836"/>
      <c r="DJ7" s="196"/>
      <c r="DK7" s="835"/>
      <c r="DL7" s="836"/>
      <c r="DM7" s="836"/>
      <c r="DN7" s="836"/>
      <c r="DO7" s="836"/>
      <c r="DP7" s="836"/>
      <c r="DQ7" s="836"/>
      <c r="DR7" s="836"/>
      <c r="DS7" s="836"/>
      <c r="DT7" s="836"/>
      <c r="DU7" s="836"/>
      <c r="DV7" s="836"/>
      <c r="DW7" s="836"/>
      <c r="DX7" s="836"/>
      <c r="DY7" s="836"/>
      <c r="DZ7" s="836"/>
      <c r="EA7" s="836"/>
      <c r="EB7" s="836"/>
      <c r="EC7" s="836"/>
      <c r="ED7" s="836"/>
      <c r="EE7" s="836"/>
      <c r="EF7" s="836"/>
      <c r="EG7" s="836"/>
      <c r="EH7" s="836"/>
      <c r="EI7" s="836"/>
      <c r="EJ7" s="836"/>
      <c r="EK7" s="836"/>
      <c r="EL7" s="836"/>
      <c r="EM7" s="836"/>
      <c r="EN7" s="836"/>
      <c r="EO7" s="836"/>
      <c r="EP7" s="836"/>
      <c r="EQ7" s="836"/>
      <c r="ER7" s="836"/>
      <c r="ES7" s="836"/>
      <c r="ET7" s="196"/>
      <c r="EU7" s="835"/>
      <c r="EV7" s="836"/>
      <c r="EW7" s="836"/>
      <c r="EX7" s="836"/>
      <c r="EY7" s="836"/>
      <c r="EZ7" s="836"/>
      <c r="FA7" s="836"/>
      <c r="FB7" s="836"/>
      <c r="FC7" s="836"/>
      <c r="FD7" s="836"/>
      <c r="FE7" s="836"/>
      <c r="FF7" s="836"/>
      <c r="FG7" s="836"/>
      <c r="FH7" s="836"/>
      <c r="FI7" s="836"/>
      <c r="FJ7" s="836"/>
      <c r="FK7" s="836"/>
      <c r="FL7" s="836"/>
      <c r="FM7" s="836"/>
      <c r="FN7" s="836"/>
      <c r="FO7" s="836"/>
      <c r="FP7" s="836"/>
      <c r="FQ7" s="836"/>
      <c r="FR7" s="836"/>
      <c r="FS7" s="836"/>
      <c r="FT7" s="836"/>
      <c r="FU7" s="836"/>
      <c r="FV7" s="836"/>
      <c r="FW7" s="836"/>
      <c r="FX7" s="836"/>
      <c r="FY7" s="836"/>
      <c r="FZ7" s="836"/>
      <c r="GA7" s="836"/>
      <c r="GB7" s="836"/>
      <c r="GC7" s="836"/>
      <c r="GD7" s="196"/>
    </row>
    <row r="8" spans="1:186" s="205" customFormat="1" ht="180">
      <c r="A8" s="180"/>
      <c r="B8" s="197" t="str">
        <f t="shared" ref="B8:B71" si="0">D8&amp;"_"&amp;E8&amp;"_"&amp;F8&amp;"_"&amp;G8&amp;"_"&amp;H8</f>
        <v>Sector_Program_Tier_Measure_Program Year</v>
      </c>
      <c r="C8" s="197" t="s">
        <v>169</v>
      </c>
      <c r="D8" s="197" t="s">
        <v>4</v>
      </c>
      <c r="E8" s="197" t="s">
        <v>6</v>
      </c>
      <c r="F8" s="197" t="s">
        <v>177</v>
      </c>
      <c r="G8" s="197" t="s">
        <v>3</v>
      </c>
      <c r="H8" s="197" t="s">
        <v>161</v>
      </c>
      <c r="I8" s="198" t="s">
        <v>47</v>
      </c>
      <c r="J8" s="199" t="s">
        <v>5</v>
      </c>
      <c r="K8" s="199" t="s">
        <v>34</v>
      </c>
      <c r="L8" s="199" t="s">
        <v>36</v>
      </c>
      <c r="M8" s="199" t="s">
        <v>35</v>
      </c>
      <c r="N8" s="199" t="s">
        <v>7</v>
      </c>
      <c r="O8" s="198" t="s">
        <v>47</v>
      </c>
      <c r="P8" s="199" t="s">
        <v>191</v>
      </c>
      <c r="Q8" s="199" t="s">
        <v>192</v>
      </c>
      <c r="R8" s="199" t="s">
        <v>240</v>
      </c>
      <c r="S8" s="198" t="s">
        <v>47</v>
      </c>
      <c r="T8" s="199" t="s">
        <v>206</v>
      </c>
      <c r="U8" s="199" t="s">
        <v>178</v>
      </c>
      <c r="V8" s="199" t="s">
        <v>25</v>
      </c>
      <c r="W8" s="198" t="s">
        <v>47</v>
      </c>
      <c r="X8" s="200" t="s">
        <v>26</v>
      </c>
      <c r="Y8" s="200" t="s">
        <v>226</v>
      </c>
      <c r="Z8" s="200" t="s">
        <v>140</v>
      </c>
      <c r="AA8" s="198" t="s">
        <v>47</v>
      </c>
      <c r="AB8" s="200" t="s">
        <v>26</v>
      </c>
      <c r="AC8" s="200" t="s">
        <v>226</v>
      </c>
      <c r="AD8" s="200" t="s">
        <v>140</v>
      </c>
      <c r="AE8" s="198" t="s">
        <v>47</v>
      </c>
      <c r="AF8" s="199" t="s">
        <v>180</v>
      </c>
      <c r="AG8" s="199" t="s">
        <v>18</v>
      </c>
      <c r="AH8" s="199" t="s">
        <v>207</v>
      </c>
      <c r="AI8" s="199" t="s">
        <v>24</v>
      </c>
      <c r="AJ8" s="199" t="s">
        <v>188</v>
      </c>
      <c r="AK8" s="199" t="s">
        <v>0</v>
      </c>
      <c r="AL8" s="199" t="s">
        <v>193</v>
      </c>
      <c r="AM8" s="199" t="s">
        <v>190</v>
      </c>
      <c r="AN8" s="199" t="s">
        <v>225</v>
      </c>
      <c r="AO8" s="198" t="s">
        <v>47</v>
      </c>
      <c r="AP8" s="201" t="s">
        <v>186</v>
      </c>
      <c r="AQ8" s="201" t="s">
        <v>187</v>
      </c>
      <c r="AR8" s="201" t="s">
        <v>143</v>
      </c>
      <c r="AS8" s="201" t="s">
        <v>142</v>
      </c>
      <c r="AT8" s="202" t="s">
        <v>123</v>
      </c>
      <c r="AU8" s="201" t="s">
        <v>188</v>
      </c>
      <c r="AV8" s="201" t="s">
        <v>24</v>
      </c>
      <c r="AW8" s="202" t="s">
        <v>12</v>
      </c>
      <c r="AX8" s="201" t="s">
        <v>196</v>
      </c>
      <c r="AY8" s="198" t="s">
        <v>47</v>
      </c>
      <c r="AZ8" s="201" t="s">
        <v>143</v>
      </c>
      <c r="BA8" s="201" t="s">
        <v>142</v>
      </c>
      <c r="BB8" s="201" t="s">
        <v>123</v>
      </c>
      <c r="BC8" s="201" t="s">
        <v>24</v>
      </c>
      <c r="BD8" s="201" t="s">
        <v>12</v>
      </c>
      <c r="BE8" s="198" t="s">
        <v>47</v>
      </c>
      <c r="BF8" s="203" t="s">
        <v>127</v>
      </c>
      <c r="BG8" s="203" t="s">
        <v>126</v>
      </c>
      <c r="BH8" s="203" t="s">
        <v>24</v>
      </c>
      <c r="BI8" s="201" t="s">
        <v>196</v>
      </c>
      <c r="BJ8" s="198" t="s">
        <v>47</v>
      </c>
      <c r="BK8" s="201" t="s">
        <v>143</v>
      </c>
      <c r="BL8" s="201" t="s">
        <v>142</v>
      </c>
      <c r="BM8" s="202" t="s">
        <v>123</v>
      </c>
      <c r="BN8" s="202" t="s">
        <v>188</v>
      </c>
      <c r="BO8" s="202" t="s">
        <v>197</v>
      </c>
      <c r="BP8" s="202" t="s">
        <v>12</v>
      </c>
      <c r="BQ8" s="201" t="s">
        <v>196</v>
      </c>
      <c r="BR8" s="198" t="s">
        <v>47</v>
      </c>
      <c r="BS8" s="201" t="s">
        <v>143</v>
      </c>
      <c r="BT8" s="201" t="s">
        <v>142</v>
      </c>
      <c r="BU8" s="201" t="s">
        <v>123</v>
      </c>
      <c r="BV8" s="203" t="s">
        <v>127</v>
      </c>
      <c r="BW8" s="203" t="s">
        <v>126</v>
      </c>
      <c r="BX8" s="203" t="s">
        <v>24</v>
      </c>
      <c r="BY8" s="203" t="s">
        <v>164</v>
      </c>
      <c r="BZ8" s="198"/>
      <c r="CA8" s="203">
        <f>BaseYear</f>
        <v>2017</v>
      </c>
      <c r="CB8" s="203">
        <f>CA8+1</f>
        <v>2018</v>
      </c>
      <c r="CC8" s="203">
        <f t="shared" ref="CC8" si="1">CB8+1</f>
        <v>2019</v>
      </c>
      <c r="CD8" s="203">
        <f t="shared" ref="CD8" si="2">CC8+1</f>
        <v>2020</v>
      </c>
      <c r="CE8" s="203">
        <f t="shared" ref="CE8" si="3">CD8+1</f>
        <v>2021</v>
      </c>
      <c r="CF8" s="203">
        <f t="shared" ref="CF8" si="4">CE8+1</f>
        <v>2022</v>
      </c>
      <c r="CG8" s="203">
        <f t="shared" ref="CG8" si="5">CF8+1</f>
        <v>2023</v>
      </c>
      <c r="CH8" s="203">
        <f t="shared" ref="CH8" si="6">CG8+1</f>
        <v>2024</v>
      </c>
      <c r="CI8" s="203">
        <f t="shared" ref="CI8" si="7">CH8+1</f>
        <v>2025</v>
      </c>
      <c r="CJ8" s="203">
        <f t="shared" ref="CJ8" si="8">CI8+1</f>
        <v>2026</v>
      </c>
      <c r="CK8" s="203">
        <f t="shared" ref="CK8" si="9">CJ8+1</f>
        <v>2027</v>
      </c>
      <c r="CL8" s="203">
        <f t="shared" ref="CL8" si="10">CK8+1</f>
        <v>2028</v>
      </c>
      <c r="CM8" s="203">
        <f t="shared" ref="CM8" si="11">CL8+1</f>
        <v>2029</v>
      </c>
      <c r="CN8" s="203">
        <f t="shared" ref="CN8" si="12">CM8+1</f>
        <v>2030</v>
      </c>
      <c r="CO8" s="203">
        <f t="shared" ref="CO8" si="13">CN8+1</f>
        <v>2031</v>
      </c>
      <c r="CP8" s="203">
        <f t="shared" ref="CP8" si="14">CO8+1</f>
        <v>2032</v>
      </c>
      <c r="CQ8" s="203">
        <f t="shared" ref="CQ8" si="15">CP8+1</f>
        <v>2033</v>
      </c>
      <c r="CR8" s="203">
        <f t="shared" ref="CR8" si="16">CQ8+1</f>
        <v>2034</v>
      </c>
      <c r="CS8" s="203">
        <f t="shared" ref="CS8" si="17">CR8+1</f>
        <v>2035</v>
      </c>
      <c r="CT8" s="203">
        <f t="shared" ref="CT8" si="18">CS8+1</f>
        <v>2036</v>
      </c>
      <c r="CU8" s="203">
        <f t="shared" ref="CU8" si="19">CT8+1</f>
        <v>2037</v>
      </c>
      <c r="CV8" s="203">
        <f t="shared" ref="CV8" si="20">CU8+1</f>
        <v>2038</v>
      </c>
      <c r="CW8" s="203">
        <f t="shared" ref="CW8" si="21">CV8+1</f>
        <v>2039</v>
      </c>
      <c r="CX8" s="203">
        <f t="shared" ref="CX8" si="22">CW8+1</f>
        <v>2040</v>
      </c>
      <c r="CY8" s="203">
        <f t="shared" ref="CY8" si="23">CX8+1</f>
        <v>2041</v>
      </c>
      <c r="CZ8" s="203">
        <f t="shared" ref="CZ8" si="24">CY8+1</f>
        <v>2042</v>
      </c>
      <c r="DA8" s="203">
        <f t="shared" ref="DA8" si="25">CZ8+1</f>
        <v>2043</v>
      </c>
      <c r="DB8" s="203">
        <f t="shared" ref="DB8" si="26">DA8+1</f>
        <v>2044</v>
      </c>
      <c r="DC8" s="203">
        <f t="shared" ref="DC8" si="27">DB8+1</f>
        <v>2045</v>
      </c>
      <c r="DD8" s="203">
        <f t="shared" ref="DD8" si="28">DC8+1</f>
        <v>2046</v>
      </c>
      <c r="DE8" s="203">
        <f t="shared" ref="DE8" si="29">DD8+1</f>
        <v>2047</v>
      </c>
      <c r="DF8" s="203">
        <f t="shared" ref="DF8" si="30">DE8+1</f>
        <v>2048</v>
      </c>
      <c r="DG8" s="203">
        <f t="shared" ref="DG8" si="31">DF8+1</f>
        <v>2049</v>
      </c>
      <c r="DH8" s="203">
        <f t="shared" ref="DH8" si="32">DG8+1</f>
        <v>2050</v>
      </c>
      <c r="DI8" s="203">
        <f t="shared" ref="DI8" si="33">DH8+1</f>
        <v>2051</v>
      </c>
      <c r="DJ8" s="204"/>
      <c r="DK8" s="203">
        <f>BaseYear</f>
        <v>2017</v>
      </c>
      <c r="DL8" s="203">
        <f>DK8+1</f>
        <v>2018</v>
      </c>
      <c r="DM8" s="203">
        <f t="shared" ref="DM8" si="34">DL8+1</f>
        <v>2019</v>
      </c>
      <c r="DN8" s="203">
        <f t="shared" ref="DN8" si="35">DM8+1</f>
        <v>2020</v>
      </c>
      <c r="DO8" s="203">
        <f t="shared" ref="DO8" si="36">DN8+1</f>
        <v>2021</v>
      </c>
      <c r="DP8" s="203">
        <f t="shared" ref="DP8" si="37">DO8+1</f>
        <v>2022</v>
      </c>
      <c r="DQ8" s="203">
        <f t="shared" ref="DQ8" si="38">DP8+1</f>
        <v>2023</v>
      </c>
      <c r="DR8" s="203">
        <f t="shared" ref="DR8" si="39">DQ8+1</f>
        <v>2024</v>
      </c>
      <c r="DS8" s="203">
        <f t="shared" ref="DS8" si="40">DR8+1</f>
        <v>2025</v>
      </c>
      <c r="DT8" s="203">
        <f t="shared" ref="DT8" si="41">DS8+1</f>
        <v>2026</v>
      </c>
      <c r="DU8" s="203">
        <f t="shared" ref="DU8" si="42">DT8+1</f>
        <v>2027</v>
      </c>
      <c r="DV8" s="203">
        <f t="shared" ref="DV8" si="43">DU8+1</f>
        <v>2028</v>
      </c>
      <c r="DW8" s="203">
        <f t="shared" ref="DW8" si="44">DV8+1</f>
        <v>2029</v>
      </c>
      <c r="DX8" s="203">
        <f t="shared" ref="DX8" si="45">DW8+1</f>
        <v>2030</v>
      </c>
      <c r="DY8" s="203">
        <f t="shared" ref="DY8" si="46">DX8+1</f>
        <v>2031</v>
      </c>
      <c r="DZ8" s="203">
        <f t="shared" ref="DZ8" si="47">DY8+1</f>
        <v>2032</v>
      </c>
      <c r="EA8" s="203">
        <f t="shared" ref="EA8" si="48">DZ8+1</f>
        <v>2033</v>
      </c>
      <c r="EB8" s="203">
        <f t="shared" ref="EB8" si="49">EA8+1</f>
        <v>2034</v>
      </c>
      <c r="EC8" s="203">
        <f t="shared" ref="EC8" si="50">EB8+1</f>
        <v>2035</v>
      </c>
      <c r="ED8" s="203">
        <f t="shared" ref="ED8" si="51">EC8+1</f>
        <v>2036</v>
      </c>
      <c r="EE8" s="203">
        <f t="shared" ref="EE8" si="52">ED8+1</f>
        <v>2037</v>
      </c>
      <c r="EF8" s="203">
        <f t="shared" ref="EF8" si="53">EE8+1</f>
        <v>2038</v>
      </c>
      <c r="EG8" s="203">
        <f t="shared" ref="EG8" si="54">EF8+1</f>
        <v>2039</v>
      </c>
      <c r="EH8" s="203">
        <f t="shared" ref="EH8" si="55">EG8+1</f>
        <v>2040</v>
      </c>
      <c r="EI8" s="203">
        <f t="shared" ref="EI8" si="56">EH8+1</f>
        <v>2041</v>
      </c>
      <c r="EJ8" s="203">
        <f t="shared" ref="EJ8" si="57">EI8+1</f>
        <v>2042</v>
      </c>
      <c r="EK8" s="203">
        <f t="shared" ref="EK8" si="58">EJ8+1</f>
        <v>2043</v>
      </c>
      <c r="EL8" s="203">
        <f t="shared" ref="EL8" si="59">EK8+1</f>
        <v>2044</v>
      </c>
      <c r="EM8" s="203">
        <f t="shared" ref="EM8" si="60">EL8+1</f>
        <v>2045</v>
      </c>
      <c r="EN8" s="203">
        <f t="shared" ref="EN8" si="61">EM8+1</f>
        <v>2046</v>
      </c>
      <c r="EO8" s="203">
        <f t="shared" ref="EO8" si="62">EN8+1</f>
        <v>2047</v>
      </c>
      <c r="EP8" s="203">
        <f t="shared" ref="EP8" si="63">EO8+1</f>
        <v>2048</v>
      </c>
      <c r="EQ8" s="203">
        <f t="shared" ref="EQ8" si="64">EP8+1</f>
        <v>2049</v>
      </c>
      <c r="ER8" s="203">
        <f t="shared" ref="ER8" si="65">EQ8+1</f>
        <v>2050</v>
      </c>
      <c r="ES8" s="203">
        <f t="shared" ref="ES8" si="66">ER8+1</f>
        <v>2051</v>
      </c>
      <c r="ET8" s="204"/>
      <c r="EU8" s="203">
        <f>BaseYear</f>
        <v>2017</v>
      </c>
      <c r="EV8" s="203">
        <f>EU8+1</f>
        <v>2018</v>
      </c>
      <c r="EW8" s="203">
        <f t="shared" ref="EW8" si="67">EV8+1</f>
        <v>2019</v>
      </c>
      <c r="EX8" s="203">
        <f t="shared" ref="EX8" si="68">EW8+1</f>
        <v>2020</v>
      </c>
      <c r="EY8" s="203">
        <f t="shared" ref="EY8" si="69">EX8+1</f>
        <v>2021</v>
      </c>
      <c r="EZ8" s="203">
        <f t="shared" ref="EZ8" si="70">EY8+1</f>
        <v>2022</v>
      </c>
      <c r="FA8" s="203">
        <f t="shared" ref="FA8" si="71">EZ8+1</f>
        <v>2023</v>
      </c>
      <c r="FB8" s="203">
        <f t="shared" ref="FB8" si="72">FA8+1</f>
        <v>2024</v>
      </c>
      <c r="FC8" s="203">
        <f t="shared" ref="FC8" si="73">FB8+1</f>
        <v>2025</v>
      </c>
      <c r="FD8" s="203">
        <f t="shared" ref="FD8" si="74">FC8+1</f>
        <v>2026</v>
      </c>
      <c r="FE8" s="203">
        <f t="shared" ref="FE8" si="75">FD8+1</f>
        <v>2027</v>
      </c>
      <c r="FF8" s="203">
        <f t="shared" ref="FF8" si="76">FE8+1</f>
        <v>2028</v>
      </c>
      <c r="FG8" s="203">
        <f t="shared" ref="FG8" si="77">FF8+1</f>
        <v>2029</v>
      </c>
      <c r="FH8" s="203">
        <f t="shared" ref="FH8" si="78">FG8+1</f>
        <v>2030</v>
      </c>
      <c r="FI8" s="203">
        <f t="shared" ref="FI8" si="79">FH8+1</f>
        <v>2031</v>
      </c>
      <c r="FJ8" s="203">
        <f t="shared" ref="FJ8" si="80">FI8+1</f>
        <v>2032</v>
      </c>
      <c r="FK8" s="203">
        <f t="shared" ref="FK8" si="81">FJ8+1</f>
        <v>2033</v>
      </c>
      <c r="FL8" s="203">
        <f t="shared" ref="FL8" si="82">FK8+1</f>
        <v>2034</v>
      </c>
      <c r="FM8" s="203">
        <f t="shared" ref="FM8" si="83">FL8+1</f>
        <v>2035</v>
      </c>
      <c r="FN8" s="203">
        <f t="shared" ref="FN8" si="84">FM8+1</f>
        <v>2036</v>
      </c>
      <c r="FO8" s="203">
        <f t="shared" ref="FO8" si="85">FN8+1</f>
        <v>2037</v>
      </c>
      <c r="FP8" s="203">
        <f t="shared" ref="FP8" si="86">FO8+1</f>
        <v>2038</v>
      </c>
      <c r="FQ8" s="203">
        <f t="shared" ref="FQ8" si="87">FP8+1</f>
        <v>2039</v>
      </c>
      <c r="FR8" s="203">
        <f t="shared" ref="FR8" si="88">FQ8+1</f>
        <v>2040</v>
      </c>
      <c r="FS8" s="203">
        <f t="shared" ref="FS8" si="89">FR8+1</f>
        <v>2041</v>
      </c>
      <c r="FT8" s="203">
        <f t="shared" ref="FT8" si="90">FS8+1</f>
        <v>2042</v>
      </c>
      <c r="FU8" s="203">
        <f t="shared" ref="FU8" si="91">FT8+1</f>
        <v>2043</v>
      </c>
      <c r="FV8" s="203">
        <f t="shared" ref="FV8" si="92">FU8+1</f>
        <v>2044</v>
      </c>
      <c r="FW8" s="203">
        <f t="shared" ref="FW8" si="93">FV8+1</f>
        <v>2045</v>
      </c>
      <c r="FX8" s="203">
        <f t="shared" ref="FX8" si="94">FW8+1</f>
        <v>2046</v>
      </c>
      <c r="FY8" s="203">
        <f t="shared" ref="FY8" si="95">FX8+1</f>
        <v>2047</v>
      </c>
      <c r="FZ8" s="203">
        <f t="shared" ref="FZ8" si="96">FY8+1</f>
        <v>2048</v>
      </c>
      <c r="GA8" s="203">
        <f>FZ8+1</f>
        <v>2049</v>
      </c>
      <c r="GB8" s="203">
        <f>GA8+1</f>
        <v>2050</v>
      </c>
      <c r="GC8" s="203">
        <f>GB8+1</f>
        <v>2051</v>
      </c>
      <c r="GD8" s="204"/>
    </row>
    <row r="9" spans="1:186" s="178" customFormat="1">
      <c r="A9" s="176"/>
      <c r="B9" s="177" t="str">
        <f t="shared" si="0"/>
        <v>____</v>
      </c>
      <c r="C9" s="177"/>
      <c r="D9" s="177"/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77"/>
      <c r="AN9" s="177"/>
      <c r="AO9" s="177"/>
      <c r="AP9" s="177"/>
      <c r="AQ9" s="177"/>
      <c r="AR9" s="177"/>
      <c r="AS9" s="177"/>
      <c r="AT9" s="177"/>
      <c r="AU9" s="177"/>
      <c r="AV9" s="177"/>
      <c r="AW9" s="177"/>
      <c r="AX9" s="177"/>
      <c r="AY9" s="177"/>
      <c r="AZ9" s="177"/>
      <c r="BA9" s="177"/>
      <c r="BB9" s="177"/>
      <c r="BC9" s="177"/>
      <c r="BD9" s="177"/>
      <c r="BE9" s="177"/>
      <c r="BF9" s="177"/>
      <c r="BG9" s="177"/>
      <c r="BH9" s="177"/>
      <c r="BI9" s="177"/>
      <c r="BJ9" s="177"/>
      <c r="BK9" s="177"/>
      <c r="BL9" s="177"/>
      <c r="BM9" s="177"/>
      <c r="BN9" s="177"/>
      <c r="BO9" s="177"/>
      <c r="BP9" s="177"/>
      <c r="BQ9" s="177"/>
      <c r="BR9" s="177"/>
      <c r="BS9" s="177"/>
      <c r="BT9" s="177"/>
      <c r="BU9" s="177"/>
      <c r="BV9" s="177"/>
      <c r="BW9" s="177"/>
      <c r="BX9" s="177"/>
      <c r="BY9" s="177"/>
      <c r="BZ9" s="177"/>
      <c r="CA9" s="177"/>
      <c r="CB9" s="177"/>
      <c r="CC9" s="177"/>
      <c r="CD9" s="177"/>
      <c r="CE9" s="177"/>
      <c r="CF9" s="177"/>
      <c r="CG9" s="177"/>
      <c r="CH9" s="177"/>
      <c r="CI9" s="177"/>
      <c r="CJ9" s="177"/>
      <c r="CK9" s="177"/>
      <c r="CL9" s="177"/>
      <c r="CM9" s="177"/>
      <c r="CN9" s="177"/>
      <c r="CO9" s="177"/>
      <c r="CP9" s="177"/>
      <c r="CQ9" s="177"/>
      <c r="CR9" s="177"/>
      <c r="CS9" s="177"/>
      <c r="CT9" s="177"/>
      <c r="CU9" s="177"/>
      <c r="CV9" s="177"/>
      <c r="CW9" s="177"/>
      <c r="CX9" s="177"/>
      <c r="CY9" s="177"/>
      <c r="CZ9" s="177"/>
      <c r="DA9" s="177"/>
      <c r="DB9" s="177"/>
      <c r="DC9" s="177"/>
      <c r="DD9" s="177"/>
      <c r="DE9" s="177"/>
      <c r="DF9" s="177"/>
      <c r="DG9" s="177"/>
      <c r="DH9" s="177"/>
      <c r="DI9" s="177"/>
      <c r="DJ9" s="177"/>
      <c r="DK9" s="177"/>
      <c r="DL9" s="177"/>
      <c r="DM9" s="177"/>
      <c r="DN9" s="177"/>
      <c r="DO9" s="177"/>
      <c r="DP9" s="177"/>
      <c r="DQ9" s="177"/>
      <c r="DR9" s="177"/>
      <c r="DS9" s="177"/>
      <c r="DT9" s="177"/>
      <c r="DU9" s="177"/>
      <c r="DV9" s="177"/>
      <c r="DW9" s="177"/>
      <c r="DX9" s="177"/>
      <c r="DY9" s="177"/>
      <c r="DZ9" s="177"/>
      <c r="EA9" s="177"/>
      <c r="EB9" s="177"/>
      <c r="EC9" s="177"/>
      <c r="ED9" s="177"/>
      <c r="EE9" s="177"/>
      <c r="EF9" s="177"/>
      <c r="EG9" s="177"/>
      <c r="EH9" s="177"/>
      <c r="EI9" s="177"/>
      <c r="EJ9" s="177"/>
      <c r="EK9" s="177"/>
      <c r="EL9" s="177"/>
      <c r="EM9" s="177"/>
      <c r="EN9" s="177"/>
      <c r="EO9" s="177"/>
      <c r="EP9" s="177"/>
      <c r="EQ9" s="177"/>
      <c r="ER9" s="177"/>
      <c r="ES9" s="177"/>
      <c r="ET9" s="177"/>
      <c r="EU9" s="177"/>
      <c r="EV9" s="177"/>
      <c r="EW9" s="177"/>
      <c r="EX9" s="177"/>
      <c r="EY9" s="177"/>
      <c r="EZ9" s="177"/>
      <c r="FA9" s="177"/>
      <c r="FB9" s="177"/>
      <c r="FC9" s="177"/>
      <c r="FD9" s="177"/>
      <c r="FE9" s="177"/>
      <c r="FF9" s="177"/>
      <c r="FG9" s="177"/>
      <c r="FH9" s="177"/>
      <c r="FI9" s="177"/>
      <c r="FJ9" s="177"/>
      <c r="FK9" s="177"/>
      <c r="FL9" s="177"/>
      <c r="FM9" s="177"/>
      <c r="FN9" s="177"/>
      <c r="FO9" s="177"/>
      <c r="FP9" s="177"/>
      <c r="FQ9" s="177"/>
      <c r="FR9" s="177"/>
      <c r="FS9" s="177"/>
      <c r="FT9" s="177"/>
      <c r="FU9" s="177"/>
      <c r="FV9" s="177"/>
      <c r="FW9" s="177"/>
      <c r="FX9" s="177"/>
      <c r="FY9" s="177"/>
      <c r="FZ9" s="177"/>
      <c r="GA9" s="177"/>
      <c r="GB9" s="177"/>
      <c r="GC9" s="177"/>
      <c r="GD9" s="177"/>
    </row>
    <row r="10" spans="1:186" s="54" customFormat="1">
      <c r="A10" s="61"/>
      <c r="B10" s="100" t="str">
        <f t="shared" si="0"/>
        <v>All_All_All_All_2017</v>
      </c>
      <c r="C10" s="146"/>
      <c r="D10" s="136" t="s">
        <v>98</v>
      </c>
      <c r="E10" s="136" t="s">
        <v>98</v>
      </c>
      <c r="F10" s="136" t="s">
        <v>98</v>
      </c>
      <c r="G10" s="136" t="s">
        <v>98</v>
      </c>
      <c r="H10" s="136">
        <v>2017</v>
      </c>
      <c r="I10" s="55"/>
      <c r="J10" s="58">
        <f ca="1">IFERROR(SUMIFS($AR10:$AX10,$AR$7:$AX$7,"BENEFIT")/SUMIFS($AR10:$AX10,$AR$7:$AX$7,"COST"),"n/a")</f>
        <v>0.99888002364991146</v>
      </c>
      <c r="K10" s="58">
        <f ca="1">IFERROR(SUMIFS($AZ10:$BD10,$AZ$7:$BD$7,"BENEFIT")/SUMIFS($AZ10:$BD10,$AZ$7:$BD$7,"COST"),"n/a")</f>
        <v>1.6878919217232105</v>
      </c>
      <c r="L10" s="58">
        <f t="shared" ref="L10:L12" ca="1" si="97">IFERROR(SUMIFS($BF10:$BI10,$BF$7:$BI$7,"BENEFIT")/SUMIFS($BF10:$BI10,$BF$7:$BI$7,"COST"),"n/a")</f>
        <v>1.2158342447632131</v>
      </c>
      <c r="M10" s="58">
        <f ca="1">IFERROR(SUMIFS($BK10:$BQ10,$BK$7:$BQ$7,"BENEFIT")/SUMIFS($BK10:$BQ10,$BK$7:$BQ$7,"COST"),"n/a")</f>
        <v>1.3273376081376846</v>
      </c>
      <c r="N10" s="58">
        <f t="shared" ref="N10:N12" ca="1" si="98">IFERROR(SUMIFS($BS10:$BY10,$BS$7:$BY$7,"BENEFIT")/SUMIFS($BS10:$BY10,$BS$7:$BY$7,"COST"),"n/a")</f>
        <v>0.86599654543734672</v>
      </c>
      <c r="O10" s="55"/>
      <c r="P10" s="175">
        <f ca="1">IFERROR(($AW10+AV10)/SUMPRODUCT($CA10:$DI10,'General Inputs'!$F$51:$AN$51),"n/a")</f>
        <v>2.1552683392686053E-2</v>
      </c>
      <c r="Q10" s="175">
        <f ca="1">IFERROR($AN10/X10,"n/a")</f>
        <v>0.16884222895687281</v>
      </c>
      <c r="R10" s="56">
        <f ca="1">SUM(CA10:DI10)/1000</f>
        <v>68008.024661601026</v>
      </c>
      <c r="S10" s="55"/>
      <c r="T10" s="56"/>
      <c r="U10" s="146"/>
      <c r="V10" s="137"/>
      <c r="W10" s="55"/>
      <c r="X10" s="138">
        <f t="shared" ref="X10:Z12" ca="1" si="99">SUMIFS(OFFSET(X$49,,,InputRows),OFFSET($B$49,,,InputRows),SUBSTITUTE($B10,"All","*"))</f>
        <v>5417721.1657970408</v>
      </c>
      <c r="Y10" s="138">
        <f t="shared" ca="1" si="99"/>
        <v>1250.4055123885378</v>
      </c>
      <c r="Z10" s="138">
        <f t="shared" ca="1" si="99"/>
        <v>0</v>
      </c>
      <c r="AA10" s="55"/>
      <c r="AB10" s="138">
        <f t="shared" ref="AB10:AD12" ca="1" si="100">SUMIFS(OFFSET(AB$49,,,InputRows),OFFSET($B$49,,,InputRows),SUBSTITUTE($B10,"All","*"))</f>
        <v>0</v>
      </c>
      <c r="AC10" s="138">
        <f t="shared" ca="1" si="100"/>
        <v>0</v>
      </c>
      <c r="AD10" s="138">
        <f t="shared" ca="1" si="100"/>
        <v>0</v>
      </c>
      <c r="AE10" s="55"/>
      <c r="AF10" s="57">
        <f t="shared" ref="AF10:AJ12" ca="1" si="101">SUMIFS(OFFSET(AF$49,,,InputRows),OFFSET($B$49,,,InputRows),SUBSTITUTE($B10,"All","*"))</f>
        <v>0</v>
      </c>
      <c r="AG10" s="57">
        <f t="shared" ca="1" si="101"/>
        <v>1098913.5</v>
      </c>
      <c r="AH10" s="57">
        <f t="shared" ca="1" si="101"/>
        <v>0</v>
      </c>
      <c r="AI10" s="57">
        <f t="shared" ca="1" si="101"/>
        <v>467940</v>
      </c>
      <c r="AJ10" s="57">
        <f t="shared" ca="1" si="101"/>
        <v>0</v>
      </c>
      <c r="AK10" s="63"/>
      <c r="AL10" s="88"/>
      <c r="AM10" s="57">
        <f ca="1">SUMIFS(OFFSET('Program Inputs'!$N$5,,,TotalPrograms),OFFSET('Program Inputs'!$B$5,,,TotalPrograms),SUBSTITUTE($B10,"All","*"))+AF10</f>
        <v>446800.11749999999</v>
      </c>
      <c r="AN10" s="57">
        <f ca="1">AM10+AI10</f>
        <v>914740.11749999993</v>
      </c>
      <c r="AO10" s="55"/>
      <c r="AP10" s="59">
        <f t="shared" ref="AP10" ca="1" si="102">SUMIFS(AR10:AX10,$AR$7:$AX$7,"BENEFIT")</f>
        <v>1543982.4548043902</v>
      </c>
      <c r="AQ10" s="59">
        <f t="shared" ref="AQ10" ca="1" si="103">SUMIFS(AR10:AX10,$AR$7:$AX$7,"COST")</f>
        <v>1545713.6174999999</v>
      </c>
      <c r="AR10" s="59">
        <f t="shared" ref="AR10:AV12" ca="1" si="104">SUMIFS(OFFSET(AR$49,,,InputRows),OFFSET($B$49,,,InputRows),SUBSTITUTE($B10,"All","*"))</f>
        <v>1318878.2910468469</v>
      </c>
      <c r="AS10" s="59">
        <f t="shared" ca="1" si="104"/>
        <v>225104.16375754323</v>
      </c>
      <c r="AT10" s="59">
        <f t="shared" ca="1" si="104"/>
        <v>0</v>
      </c>
      <c r="AU10" s="59">
        <f t="shared" ca="1" si="104"/>
        <v>0</v>
      </c>
      <c r="AV10" s="59">
        <f t="shared" ca="1" si="104"/>
        <v>467940</v>
      </c>
      <c r="AW10" s="57">
        <f ca="1">INDEX('General Inputs'!$F$51:$AN$51,MATCH($H10,'General Inputs'!$F$50:$AN$50,0))*$AM10</f>
        <v>446800.11749999999</v>
      </c>
      <c r="AX10" s="59">
        <f ca="1">SUMIFS(OFFSET(AX$49,,,InputRows),OFFSET($B$49,,,InputRows),SUBSTITUTE($B10,"All","*"))</f>
        <v>1098913.5</v>
      </c>
      <c r="AY10" s="55"/>
      <c r="AZ10" s="59">
        <f t="shared" ref="AZ10:BC12" ca="1" si="105">SUMIFS(OFFSET(AZ$49,,,InputRows),OFFSET($B$49,,,InputRows),SUBSTITUTE($B10,"All","*"))</f>
        <v>1318878.2910468469</v>
      </c>
      <c r="BA10" s="59">
        <f t="shared" ca="1" si="105"/>
        <v>225104.16375754323</v>
      </c>
      <c r="BB10" s="59">
        <f t="shared" ca="1" si="105"/>
        <v>0</v>
      </c>
      <c r="BC10" s="59">
        <f t="shared" ca="1" si="105"/>
        <v>467940</v>
      </c>
      <c r="BD10" s="57">
        <f ca="1">INDEX('General Inputs'!$F$51:$AN$51,MATCH($H10,'General Inputs'!$F$50:$AN$50,0))*$AM10</f>
        <v>446800.11749999999</v>
      </c>
      <c r="BE10" s="55"/>
      <c r="BF10" s="59">
        <f t="shared" ref="BF10:BI12" ca="1" si="106">SUMIFS(OFFSET(BF$49,,,InputRows),OFFSET($B$49,,,InputRows),SUBSTITUTE($B10,"All","*"))</f>
        <v>868156.66533259908</v>
      </c>
      <c r="BG10" s="59">
        <f t="shared" ca="1" si="106"/>
        <v>0</v>
      </c>
      <c r="BH10" s="57">
        <f t="shared" ca="1" si="106"/>
        <v>467940</v>
      </c>
      <c r="BI10" s="59">
        <f t="shared" ca="1" si="106"/>
        <v>1098913.5</v>
      </c>
      <c r="BJ10" s="55"/>
      <c r="BK10" s="59">
        <f t="shared" ref="BK10:BO12" ca="1" si="107">SUMIFS(OFFSET(BK$49,,,InputRows),OFFSET($B$49,,,InputRows),SUBSTITUTE($B10,"All","*"))</f>
        <v>1318878.2910468469</v>
      </c>
      <c r="BL10" s="59">
        <f t="shared" ca="1" si="107"/>
        <v>225104.16375754323</v>
      </c>
      <c r="BM10" s="59">
        <f t="shared" ca="1" si="107"/>
        <v>0</v>
      </c>
      <c r="BN10" s="59">
        <f t="shared" ca="1" si="107"/>
        <v>0</v>
      </c>
      <c r="BO10" s="59">
        <f t="shared" ca="1" si="107"/>
        <v>507701.36111390759</v>
      </c>
      <c r="BP10" s="57">
        <f ca="1">INDEX('General Inputs'!$F$51:$AN$51,MATCH($H10,'General Inputs'!$F$50:$AN$50,0))*$AM10</f>
        <v>446800.11749999999</v>
      </c>
      <c r="BQ10" s="59">
        <f ca="1">SUMIFS(OFFSET(BQ$49,,,InputRows),OFFSET($B$49,,,InputRows),SUBSTITUTE($B10,"All","*"))</f>
        <v>1098913.5</v>
      </c>
      <c r="BR10" s="55"/>
      <c r="BS10" s="59">
        <f t="shared" ref="BS10:BX12" ca="1" si="108">SUMIFS(OFFSET(BS$49,,,InputRows),OFFSET($B$49,,,InputRows),SUBSTITUTE($B10,"All","*"))</f>
        <v>1318878.2910468469</v>
      </c>
      <c r="BT10" s="59">
        <f t="shared" ca="1" si="108"/>
        <v>225104.16375754323</v>
      </c>
      <c r="BU10" s="59">
        <f t="shared" ca="1" si="108"/>
        <v>0</v>
      </c>
      <c r="BV10" s="59">
        <f t="shared" ca="1" si="108"/>
        <v>868156.66533259908</v>
      </c>
      <c r="BW10" s="59">
        <f t="shared" ca="1" si="108"/>
        <v>0</v>
      </c>
      <c r="BX10" s="59">
        <f t="shared" ca="1" si="108"/>
        <v>467940</v>
      </c>
      <c r="BY10" s="57">
        <f ca="1">INDEX('General Inputs'!$F$51:$AN$51,MATCH($H10,'General Inputs'!$F$50:$AN$50,0))*$AM10</f>
        <v>446800.11749999999</v>
      </c>
      <c r="BZ10" s="55"/>
      <c r="CA10" s="88">
        <f t="shared" ref="CA10:CJ12" ca="1" si="109">SUMIFS(OFFSET(CA$49,,,InputRows),OFFSET($B$49,,,InputRows),SUBSTITUTE($B10,"All","*"))</f>
        <v>5417721.1657970408</v>
      </c>
      <c r="CB10" s="88">
        <f t="shared" ca="1" si="109"/>
        <v>5417721.1657970408</v>
      </c>
      <c r="CC10" s="88">
        <f t="shared" ca="1" si="109"/>
        <v>5416964.59573639</v>
      </c>
      <c r="CD10" s="88">
        <f t="shared" ca="1" si="109"/>
        <v>5416964.59573639</v>
      </c>
      <c r="CE10" s="88">
        <f t="shared" ca="1" si="109"/>
        <v>5416964.59573639</v>
      </c>
      <c r="CF10" s="88">
        <f t="shared" ca="1" si="109"/>
        <v>4934129.5957363909</v>
      </c>
      <c r="CG10" s="88">
        <f t="shared" ca="1" si="109"/>
        <v>4934129.5957363909</v>
      </c>
      <c r="CH10" s="88">
        <f t="shared" ca="1" si="109"/>
        <v>4934129.5957363909</v>
      </c>
      <c r="CI10" s="88">
        <f t="shared" ca="1" si="109"/>
        <v>4188737.6197583936</v>
      </c>
      <c r="CJ10" s="88">
        <f t="shared" ca="1" si="109"/>
        <v>4160269.1463593105</v>
      </c>
      <c r="CK10" s="88">
        <f t="shared" ref="CK10:CT12" ca="1" si="110">SUMIFS(OFFSET(CK$49,,,InputRows),OFFSET($B$49,,,InputRows),SUBSTITUTE($B10,"All","*"))</f>
        <v>3465873.5489410306</v>
      </c>
      <c r="CL10" s="88">
        <f t="shared" ca="1" si="110"/>
        <v>3465873.5489410306</v>
      </c>
      <c r="CM10" s="88">
        <f t="shared" ca="1" si="110"/>
        <v>3465873.5489410306</v>
      </c>
      <c r="CN10" s="88">
        <f t="shared" ca="1" si="110"/>
        <v>3433775.5604647398</v>
      </c>
      <c r="CO10" s="88">
        <f t="shared" ca="1" si="110"/>
        <v>3247288.8903447394</v>
      </c>
      <c r="CP10" s="88">
        <f t="shared" ca="1" si="110"/>
        <v>276994.33194610948</v>
      </c>
      <c r="CQ10" s="88">
        <f t="shared" ca="1" si="110"/>
        <v>207306.77994610951</v>
      </c>
      <c r="CR10" s="88">
        <f t="shared" ca="1" si="110"/>
        <v>207306.77994610951</v>
      </c>
      <c r="CS10" s="88">
        <f t="shared" ca="1" si="110"/>
        <v>0</v>
      </c>
      <c r="CT10" s="88">
        <f t="shared" ca="1" si="110"/>
        <v>0</v>
      </c>
      <c r="CU10" s="88">
        <f t="shared" ref="CU10:DI12" ca="1" si="111">SUMIFS(OFFSET(CU$49,,,InputRows),OFFSET($B$49,,,InputRows),SUBSTITUTE($B10,"All","*"))</f>
        <v>0</v>
      </c>
      <c r="CV10" s="88">
        <f t="shared" ca="1" si="111"/>
        <v>0</v>
      </c>
      <c r="CW10" s="88">
        <f t="shared" ca="1" si="111"/>
        <v>0</v>
      </c>
      <c r="CX10" s="88">
        <f t="shared" ca="1" si="111"/>
        <v>0</v>
      </c>
      <c r="CY10" s="88">
        <f t="shared" ca="1" si="111"/>
        <v>0</v>
      </c>
      <c r="CZ10" s="88">
        <f t="shared" ca="1" si="111"/>
        <v>0</v>
      </c>
      <c r="DA10" s="88">
        <f t="shared" ca="1" si="111"/>
        <v>0</v>
      </c>
      <c r="DB10" s="88">
        <f t="shared" ca="1" si="111"/>
        <v>0</v>
      </c>
      <c r="DC10" s="88">
        <f t="shared" ca="1" si="111"/>
        <v>0</v>
      </c>
      <c r="DD10" s="88">
        <f t="shared" ca="1" si="111"/>
        <v>0</v>
      </c>
      <c r="DE10" s="88">
        <f t="shared" ca="1" si="111"/>
        <v>0</v>
      </c>
      <c r="DF10" s="88">
        <f t="shared" ca="1" si="111"/>
        <v>0</v>
      </c>
      <c r="DG10" s="88">
        <f t="shared" ca="1" si="111"/>
        <v>0</v>
      </c>
      <c r="DH10" s="88">
        <f t="shared" ca="1" si="111"/>
        <v>0</v>
      </c>
      <c r="DI10" s="88">
        <f t="shared" ca="1" si="111"/>
        <v>0</v>
      </c>
      <c r="DJ10" s="169"/>
      <c r="DK10" s="88">
        <f t="shared" ref="DK10:DT12" ca="1" si="112">SUMIFS(OFFSET(DK$49,,,InputRows),OFFSET($B$49,,,InputRows),SUBSTITUTE($B10,"All","*"))</f>
        <v>1250.4055123885378</v>
      </c>
      <c r="DL10" s="88">
        <f t="shared" ca="1" si="112"/>
        <v>1250.4055123885378</v>
      </c>
      <c r="DM10" s="88">
        <f t="shared" ca="1" si="112"/>
        <v>1250.3192050578682</v>
      </c>
      <c r="DN10" s="88">
        <f t="shared" ca="1" si="112"/>
        <v>1250.3192050578682</v>
      </c>
      <c r="DO10" s="88">
        <f t="shared" ca="1" si="112"/>
        <v>1250.3192050578682</v>
      </c>
      <c r="DP10" s="88">
        <f t="shared" ca="1" si="112"/>
        <v>1201.5812050578681</v>
      </c>
      <c r="DQ10" s="88">
        <f t="shared" ca="1" si="112"/>
        <v>1201.5812050578681</v>
      </c>
      <c r="DR10" s="88">
        <f t="shared" ca="1" si="112"/>
        <v>1201.5812050578681</v>
      </c>
      <c r="DS10" s="88">
        <f t="shared" ca="1" si="112"/>
        <v>994.39186373366738</v>
      </c>
      <c r="DT10" s="88">
        <f t="shared" ca="1" si="112"/>
        <v>982.34750960328608</v>
      </c>
      <c r="DU10" s="88">
        <f t="shared" ref="DU10:ED12" ca="1" si="113">SUMIFS(OFFSET(DU$49,,,InputRows),OFFSET($B$49,,,InputRows),SUBSTITUTE($B10,"All","*"))</f>
        <v>851.05184252659626</v>
      </c>
      <c r="DV10" s="88">
        <f t="shared" ca="1" si="113"/>
        <v>851.05184252659626</v>
      </c>
      <c r="DW10" s="88">
        <f t="shared" ca="1" si="113"/>
        <v>851.05184252659626</v>
      </c>
      <c r="DX10" s="88">
        <f t="shared" ca="1" si="113"/>
        <v>849.53121141046722</v>
      </c>
      <c r="DY10" s="88">
        <f t="shared" ca="1" si="113"/>
        <v>810.0852994104672</v>
      </c>
      <c r="DZ10" s="88">
        <f t="shared" ca="1" si="113"/>
        <v>87.995264652338221</v>
      </c>
      <c r="EA10" s="88">
        <f t="shared" ca="1" si="113"/>
        <v>78.632064652338215</v>
      </c>
      <c r="EB10" s="88">
        <f t="shared" ca="1" si="113"/>
        <v>78.632064652338215</v>
      </c>
      <c r="EC10" s="88">
        <f t="shared" ca="1" si="113"/>
        <v>0</v>
      </c>
      <c r="ED10" s="88">
        <f t="shared" ca="1" si="113"/>
        <v>0</v>
      </c>
      <c r="EE10" s="88">
        <f t="shared" ref="EE10:ES12" ca="1" si="114">SUMIFS(OFFSET(EE$49,,,InputRows),OFFSET($B$49,,,InputRows),SUBSTITUTE($B10,"All","*"))</f>
        <v>0</v>
      </c>
      <c r="EF10" s="88">
        <f t="shared" ca="1" si="114"/>
        <v>0</v>
      </c>
      <c r="EG10" s="88">
        <f t="shared" ca="1" si="114"/>
        <v>0</v>
      </c>
      <c r="EH10" s="88">
        <f t="shared" ca="1" si="114"/>
        <v>0</v>
      </c>
      <c r="EI10" s="88">
        <f t="shared" ca="1" si="114"/>
        <v>0</v>
      </c>
      <c r="EJ10" s="88">
        <f t="shared" ca="1" si="114"/>
        <v>0</v>
      </c>
      <c r="EK10" s="88">
        <f t="shared" ca="1" si="114"/>
        <v>0</v>
      </c>
      <c r="EL10" s="88">
        <f t="shared" ca="1" si="114"/>
        <v>0</v>
      </c>
      <c r="EM10" s="88">
        <f t="shared" ca="1" si="114"/>
        <v>0</v>
      </c>
      <c r="EN10" s="88">
        <f t="shared" ca="1" si="114"/>
        <v>0</v>
      </c>
      <c r="EO10" s="88">
        <f t="shared" ca="1" si="114"/>
        <v>0</v>
      </c>
      <c r="EP10" s="88">
        <f t="shared" ca="1" si="114"/>
        <v>0</v>
      </c>
      <c r="EQ10" s="88">
        <f t="shared" ca="1" si="114"/>
        <v>0</v>
      </c>
      <c r="ER10" s="88">
        <f t="shared" ca="1" si="114"/>
        <v>0</v>
      </c>
      <c r="ES10" s="88">
        <f t="shared" ca="1" si="114"/>
        <v>0</v>
      </c>
      <c r="ET10" s="169"/>
      <c r="EU10" s="88">
        <f t="shared" ref="EU10:FD12" ca="1" si="115">SUMIFS(OFFSET(EU$49,,,InputRows),OFFSET($B$49,,,InputRows),SUBSTITUTE($B10,"All","*"))</f>
        <v>0</v>
      </c>
      <c r="EV10" s="88">
        <f t="shared" ca="1" si="115"/>
        <v>0</v>
      </c>
      <c r="EW10" s="88">
        <f t="shared" ca="1" si="115"/>
        <v>0</v>
      </c>
      <c r="EX10" s="88">
        <f t="shared" ca="1" si="115"/>
        <v>0</v>
      </c>
      <c r="EY10" s="88">
        <f t="shared" ca="1" si="115"/>
        <v>0</v>
      </c>
      <c r="EZ10" s="88">
        <f t="shared" ca="1" si="115"/>
        <v>0</v>
      </c>
      <c r="FA10" s="88">
        <f t="shared" ca="1" si="115"/>
        <v>0</v>
      </c>
      <c r="FB10" s="88">
        <f t="shared" ca="1" si="115"/>
        <v>0</v>
      </c>
      <c r="FC10" s="88">
        <f t="shared" ca="1" si="115"/>
        <v>0</v>
      </c>
      <c r="FD10" s="88">
        <f t="shared" ca="1" si="115"/>
        <v>0</v>
      </c>
      <c r="FE10" s="88">
        <f t="shared" ref="FE10:FN12" ca="1" si="116">SUMIFS(OFFSET(FE$49,,,InputRows),OFFSET($B$49,,,InputRows),SUBSTITUTE($B10,"All","*"))</f>
        <v>0</v>
      </c>
      <c r="FF10" s="88">
        <f t="shared" ca="1" si="116"/>
        <v>0</v>
      </c>
      <c r="FG10" s="88">
        <f t="shared" ca="1" si="116"/>
        <v>0</v>
      </c>
      <c r="FH10" s="88">
        <f t="shared" ca="1" si="116"/>
        <v>0</v>
      </c>
      <c r="FI10" s="88">
        <f t="shared" ca="1" si="116"/>
        <v>0</v>
      </c>
      <c r="FJ10" s="88">
        <f t="shared" ca="1" si="116"/>
        <v>0</v>
      </c>
      <c r="FK10" s="88">
        <f t="shared" ca="1" si="116"/>
        <v>0</v>
      </c>
      <c r="FL10" s="88">
        <f t="shared" ca="1" si="116"/>
        <v>0</v>
      </c>
      <c r="FM10" s="88">
        <f t="shared" ca="1" si="116"/>
        <v>0</v>
      </c>
      <c r="FN10" s="88">
        <f t="shared" ca="1" si="116"/>
        <v>0</v>
      </c>
      <c r="FO10" s="88">
        <f t="shared" ref="FO10:GC12" ca="1" si="117">SUMIFS(OFFSET(FO$49,,,InputRows),OFFSET($B$49,,,InputRows),SUBSTITUTE($B10,"All","*"))</f>
        <v>0</v>
      </c>
      <c r="FP10" s="88">
        <f t="shared" ca="1" si="117"/>
        <v>0</v>
      </c>
      <c r="FQ10" s="88">
        <f t="shared" ca="1" si="117"/>
        <v>0</v>
      </c>
      <c r="FR10" s="88">
        <f t="shared" ca="1" si="117"/>
        <v>0</v>
      </c>
      <c r="FS10" s="88">
        <f t="shared" ca="1" si="117"/>
        <v>0</v>
      </c>
      <c r="FT10" s="88">
        <f t="shared" ca="1" si="117"/>
        <v>0</v>
      </c>
      <c r="FU10" s="88">
        <f t="shared" ca="1" si="117"/>
        <v>0</v>
      </c>
      <c r="FV10" s="88">
        <f t="shared" ca="1" si="117"/>
        <v>0</v>
      </c>
      <c r="FW10" s="88">
        <f t="shared" ca="1" si="117"/>
        <v>0</v>
      </c>
      <c r="FX10" s="88">
        <f t="shared" ca="1" si="117"/>
        <v>0</v>
      </c>
      <c r="FY10" s="88">
        <f t="shared" ca="1" si="117"/>
        <v>0</v>
      </c>
      <c r="FZ10" s="88">
        <f t="shared" ca="1" si="117"/>
        <v>0</v>
      </c>
      <c r="GA10" s="88">
        <f t="shared" ca="1" si="117"/>
        <v>0</v>
      </c>
      <c r="GB10" s="88">
        <f t="shared" ca="1" si="117"/>
        <v>0</v>
      </c>
      <c r="GC10" s="88">
        <f t="shared" ca="1" si="117"/>
        <v>0</v>
      </c>
      <c r="GD10" s="60"/>
    </row>
    <row r="11" spans="1:186" s="54" customFormat="1">
      <c r="A11" s="61"/>
      <c r="B11" s="100" t="str">
        <f t="shared" si="0"/>
        <v>All_All_All_All_2018</v>
      </c>
      <c r="C11" s="146"/>
      <c r="D11" s="136" t="s">
        <v>98</v>
      </c>
      <c r="E11" s="136" t="s">
        <v>98</v>
      </c>
      <c r="F11" s="136" t="s">
        <v>98</v>
      </c>
      <c r="G11" s="136" t="s">
        <v>98</v>
      </c>
      <c r="H11" s="136">
        <v>2018</v>
      </c>
      <c r="I11" s="55"/>
      <c r="J11" s="58">
        <f t="shared" ref="J11:J12" ca="1" si="118">IFERROR(SUMIFS($AR11:$AX11,$AR$7:$AX$7,"BENEFIT")/SUMIFS($AR11:$AX11,$AR$7:$AX$7,"COST"),"n/a")</f>
        <v>1.0116285610608486</v>
      </c>
      <c r="K11" s="58">
        <f t="shared" ref="K11:K12" ca="1" si="119">IFERROR(SUMIFS($AZ11:$BD11,$AZ$7:$BD$7,"BENEFIT")/SUMIFS($AZ11:$BD11,$AZ$7:$BD$7,"COST"),"n/a")</f>
        <v>1.7096470422042318</v>
      </c>
      <c r="L11" s="58">
        <f t="shared" ca="1" si="97"/>
        <v>1.2419282215574625</v>
      </c>
      <c r="M11" s="58">
        <f t="shared" ref="M11:M12" ca="1" si="120">IFERROR(SUMIFS($BK11:$BQ11,$BK$7:$BQ$7,"BENEFIT")/SUMIFS($BK11:$BQ11,$BK$7:$BQ$7,"COST"),"n/a")</f>
        <v>1.3390804450158496</v>
      </c>
      <c r="N11" s="58">
        <f t="shared" ca="1" si="98"/>
        <v>0.86290182073183808</v>
      </c>
      <c r="O11" s="55"/>
      <c r="P11" s="175">
        <f ca="1">IFERROR(($AW11+AV11)/SUMPRODUCT($CA11:$DI11,'General Inputs'!$F$51:$AN$51),"n/a")</f>
        <v>2.1616186574065176E-2</v>
      </c>
      <c r="Q11" s="175">
        <f ca="1">IFERROR($AN11/X11,"n/a")</f>
        <v>0.16963277358122089</v>
      </c>
      <c r="R11" s="56">
        <f t="shared" ref="R11:R12" ca="1" si="121">SUM(CA11:DI11)/1000</f>
        <v>68942.28939243342</v>
      </c>
      <c r="S11" s="55"/>
      <c r="T11" s="56"/>
      <c r="U11" s="146"/>
      <c r="V11" s="137"/>
      <c r="W11" s="55"/>
      <c r="X11" s="138">
        <f t="shared" ca="1" si="99"/>
        <v>5475952.5113538168</v>
      </c>
      <c r="Y11" s="138">
        <f t="shared" ca="1" si="99"/>
        <v>1269.383567603114</v>
      </c>
      <c r="Z11" s="138">
        <f t="shared" ca="1" si="99"/>
        <v>0</v>
      </c>
      <c r="AA11" s="55"/>
      <c r="AB11" s="138">
        <f t="shared" ca="1" si="100"/>
        <v>0</v>
      </c>
      <c r="AC11" s="138">
        <f t="shared" ca="1" si="100"/>
        <v>0</v>
      </c>
      <c r="AD11" s="138">
        <f t="shared" ca="1" si="100"/>
        <v>0</v>
      </c>
      <c r="AE11" s="55"/>
      <c r="AF11" s="57">
        <f t="shared" ca="1" si="101"/>
        <v>0</v>
      </c>
      <c r="AG11" s="57">
        <f t="shared" ca="1" si="101"/>
        <v>1118396.8999999999</v>
      </c>
      <c r="AH11" s="57">
        <f t="shared" ca="1" si="101"/>
        <v>0</v>
      </c>
      <c r="AI11" s="57">
        <f t="shared" ca="1" si="101"/>
        <v>477460</v>
      </c>
      <c r="AJ11" s="57">
        <f t="shared" ca="1" si="101"/>
        <v>0</v>
      </c>
      <c r="AK11" s="63"/>
      <c r="AL11" s="88"/>
      <c r="AM11" s="57">
        <f ca="1">SUMIFS(OFFSET('Program Inputs'!$N$5,,,TotalPrograms),OFFSET('Program Inputs'!$B$5,,,TotalPrograms),SUBSTITUTE($B11,"All","*"))+AF11</f>
        <v>451441.01250000001</v>
      </c>
      <c r="AN11" s="57">
        <f t="shared" ref="AN11:AN12" ca="1" si="122">AM11+AI11</f>
        <v>928901.01249999995</v>
      </c>
      <c r="AO11" s="55"/>
      <c r="AP11" s="59">
        <f t="shared" ref="AP11:AP12" ca="1" si="123">SUMIFS(AR11:AX11,$AR$7:$AX$7,"BENEFIT")</f>
        <v>1459107.7439554769</v>
      </c>
      <c r="AQ11" s="59">
        <f t="shared" ref="AQ11:AQ12" ca="1" si="124">SUMIFS(AR11:AX11,$AR$7:$AX$7,"COST")</f>
        <v>1442335.4580117601</v>
      </c>
      <c r="AR11" s="59">
        <f t="shared" ca="1" si="104"/>
        <v>1245465.9200606875</v>
      </c>
      <c r="AS11" s="59">
        <f t="shared" ca="1" si="104"/>
        <v>213641.82389478941</v>
      </c>
      <c r="AT11" s="59">
        <f t="shared" ca="1" si="104"/>
        <v>0</v>
      </c>
      <c r="AU11" s="59">
        <f t="shared" ca="1" si="104"/>
        <v>0</v>
      </c>
      <c r="AV11" s="59">
        <f t="shared" ca="1" si="104"/>
        <v>438680.63212054386</v>
      </c>
      <c r="AW11" s="57">
        <f ca="1">INDEX('General Inputs'!$F$51:$AN$51,MATCH($H11,'General Inputs'!$F$50:$AN$50,0))*$AM11</f>
        <v>414774.91041896364</v>
      </c>
      <c r="AX11" s="59">
        <f ca="1">SUMIFS(OFFSET(AX$49,,,InputRows),OFFSET($B$49,,,InputRows),SUBSTITUTE($B11,"All","*"))</f>
        <v>1027560.5475927965</v>
      </c>
      <c r="AY11" s="55"/>
      <c r="AZ11" s="59">
        <f t="shared" ca="1" si="105"/>
        <v>1245465.9200606875</v>
      </c>
      <c r="BA11" s="59">
        <f t="shared" ca="1" si="105"/>
        <v>213641.82389478941</v>
      </c>
      <c r="BB11" s="59">
        <f t="shared" ca="1" si="105"/>
        <v>0</v>
      </c>
      <c r="BC11" s="59">
        <f t="shared" ca="1" si="105"/>
        <v>438680.63212054386</v>
      </c>
      <c r="BD11" s="57">
        <f ca="1">INDEX('General Inputs'!$F$51:$AN$51,MATCH($H11,'General Inputs'!$F$50:$AN$50,0))*$AM11</f>
        <v>414774.91041896364</v>
      </c>
      <c r="BE11" s="55"/>
      <c r="BF11" s="59">
        <f t="shared" ca="1" si="106"/>
        <v>837475.81129399023</v>
      </c>
      <c r="BG11" s="59">
        <f t="shared" ca="1" si="106"/>
        <v>0</v>
      </c>
      <c r="BH11" s="57">
        <f t="shared" ca="1" si="106"/>
        <v>438680.63212054386</v>
      </c>
      <c r="BI11" s="59">
        <f t="shared" ca="1" si="106"/>
        <v>1027560.5475927965</v>
      </c>
      <c r="BJ11" s="55"/>
      <c r="BK11" s="59">
        <f t="shared" ca="1" si="107"/>
        <v>1245465.9200606875</v>
      </c>
      <c r="BL11" s="59">
        <f t="shared" ca="1" si="107"/>
        <v>213641.82389478941</v>
      </c>
      <c r="BM11" s="59">
        <f t="shared" ca="1" si="107"/>
        <v>0</v>
      </c>
      <c r="BN11" s="59">
        <f t="shared" ca="1" si="107"/>
        <v>0</v>
      </c>
      <c r="BO11" s="59">
        <f t="shared" ca="1" si="107"/>
        <v>472295.46302105021</v>
      </c>
      <c r="BP11" s="57">
        <f ca="1">INDEX('General Inputs'!$F$51:$AN$51,MATCH($H11,'General Inputs'!$F$50:$AN$50,0))*$AM11</f>
        <v>414774.91041896364</v>
      </c>
      <c r="BQ11" s="59">
        <f ca="1">SUMIFS(OFFSET(BQ$49,,,InputRows),OFFSET($B$49,,,InputRows),SUBSTITUTE($B11,"All","*"))</f>
        <v>1027560.5475927965</v>
      </c>
      <c r="BR11" s="55"/>
      <c r="BS11" s="59">
        <f t="shared" ca="1" si="108"/>
        <v>1245465.9200606875</v>
      </c>
      <c r="BT11" s="59">
        <f t="shared" ca="1" si="108"/>
        <v>213641.82389478941</v>
      </c>
      <c r="BU11" s="59">
        <f t="shared" ca="1" si="108"/>
        <v>0</v>
      </c>
      <c r="BV11" s="59">
        <f t="shared" ca="1" si="108"/>
        <v>837475.81129399023</v>
      </c>
      <c r="BW11" s="59">
        <f t="shared" ca="1" si="108"/>
        <v>0</v>
      </c>
      <c r="BX11" s="59">
        <f t="shared" ca="1" si="108"/>
        <v>438680.63212054386</v>
      </c>
      <c r="BY11" s="57">
        <f ca="1">INDEX('General Inputs'!$F$51:$AN$51,MATCH($H11,'General Inputs'!$F$50:$AN$50,0))*$AM11</f>
        <v>414774.91041896364</v>
      </c>
      <c r="BZ11" s="55"/>
      <c r="CA11" s="88">
        <f t="shared" ca="1" si="109"/>
        <v>0</v>
      </c>
      <c r="CB11" s="88">
        <f t="shared" ca="1" si="109"/>
        <v>5475952.5113538168</v>
      </c>
      <c r="CC11" s="88">
        <f t="shared" ca="1" si="109"/>
        <v>5475952.5113538168</v>
      </c>
      <c r="CD11" s="88">
        <f t="shared" ca="1" si="109"/>
        <v>5475195.941293167</v>
      </c>
      <c r="CE11" s="88">
        <f t="shared" ca="1" si="109"/>
        <v>5475195.941293167</v>
      </c>
      <c r="CF11" s="88">
        <f t="shared" ca="1" si="109"/>
        <v>5475195.941293167</v>
      </c>
      <c r="CG11" s="88">
        <f t="shared" ca="1" si="109"/>
        <v>4992360.9412931679</v>
      </c>
      <c r="CH11" s="88">
        <f t="shared" ca="1" si="109"/>
        <v>4992360.9412931679</v>
      </c>
      <c r="CI11" s="88">
        <f t="shared" ca="1" si="109"/>
        <v>4992360.9412931679</v>
      </c>
      <c r="CJ11" s="88">
        <f t="shared" ca="1" si="109"/>
        <v>4246968.9653151697</v>
      </c>
      <c r="CK11" s="88">
        <f t="shared" ca="1" si="110"/>
        <v>4218500.4919160865</v>
      </c>
      <c r="CL11" s="88">
        <f t="shared" ca="1" si="110"/>
        <v>3522156.8764874069</v>
      </c>
      <c r="CM11" s="88">
        <f t="shared" ca="1" si="110"/>
        <v>3522156.8764874069</v>
      </c>
      <c r="CN11" s="88">
        <f t="shared" ca="1" si="110"/>
        <v>3522156.8764874069</v>
      </c>
      <c r="CO11" s="88">
        <f t="shared" ca="1" si="110"/>
        <v>3490058.8880111165</v>
      </c>
      <c r="CP11" s="88">
        <f t="shared" ca="1" si="110"/>
        <v>3303572.2178911162</v>
      </c>
      <c r="CQ11" s="88">
        <f t="shared" ca="1" si="110"/>
        <v>300505.87779035809</v>
      </c>
      <c r="CR11" s="88">
        <f t="shared" ca="1" si="110"/>
        <v>230818.32579035813</v>
      </c>
      <c r="CS11" s="88">
        <f t="shared" ca="1" si="110"/>
        <v>230818.32579035813</v>
      </c>
      <c r="CT11" s="88">
        <f t="shared" ca="1" si="110"/>
        <v>0</v>
      </c>
      <c r="CU11" s="88">
        <f t="shared" ca="1" si="111"/>
        <v>0</v>
      </c>
      <c r="CV11" s="88">
        <f t="shared" ca="1" si="111"/>
        <v>0</v>
      </c>
      <c r="CW11" s="88">
        <f t="shared" ca="1" si="111"/>
        <v>0</v>
      </c>
      <c r="CX11" s="88">
        <f t="shared" ca="1" si="111"/>
        <v>0</v>
      </c>
      <c r="CY11" s="88">
        <f t="shared" ca="1" si="111"/>
        <v>0</v>
      </c>
      <c r="CZ11" s="88">
        <f t="shared" ca="1" si="111"/>
        <v>0</v>
      </c>
      <c r="DA11" s="88">
        <f t="shared" ca="1" si="111"/>
        <v>0</v>
      </c>
      <c r="DB11" s="88">
        <f t="shared" ca="1" si="111"/>
        <v>0</v>
      </c>
      <c r="DC11" s="88">
        <f t="shared" ca="1" si="111"/>
        <v>0</v>
      </c>
      <c r="DD11" s="88">
        <f t="shared" ca="1" si="111"/>
        <v>0</v>
      </c>
      <c r="DE11" s="88">
        <f t="shared" ca="1" si="111"/>
        <v>0</v>
      </c>
      <c r="DF11" s="88">
        <f t="shared" ca="1" si="111"/>
        <v>0</v>
      </c>
      <c r="DG11" s="88">
        <f t="shared" ca="1" si="111"/>
        <v>0</v>
      </c>
      <c r="DH11" s="88">
        <f t="shared" ca="1" si="111"/>
        <v>0</v>
      </c>
      <c r="DI11" s="88">
        <f t="shared" ca="1" si="111"/>
        <v>0</v>
      </c>
      <c r="DJ11" s="169"/>
      <c r="DK11" s="88">
        <f t="shared" ca="1" si="112"/>
        <v>0</v>
      </c>
      <c r="DL11" s="88">
        <f t="shared" ca="1" si="112"/>
        <v>1269.383567603114</v>
      </c>
      <c r="DM11" s="88">
        <f t="shared" ca="1" si="112"/>
        <v>1269.383567603114</v>
      </c>
      <c r="DN11" s="88">
        <f t="shared" ca="1" si="112"/>
        <v>1269.2972602724442</v>
      </c>
      <c r="DO11" s="88">
        <f t="shared" ca="1" si="112"/>
        <v>1269.2972602724442</v>
      </c>
      <c r="DP11" s="88">
        <f t="shared" ca="1" si="112"/>
        <v>1269.2972602724442</v>
      </c>
      <c r="DQ11" s="88">
        <f t="shared" ca="1" si="112"/>
        <v>1220.5592602724441</v>
      </c>
      <c r="DR11" s="88">
        <f t="shared" ca="1" si="112"/>
        <v>1220.5592602724441</v>
      </c>
      <c r="DS11" s="88">
        <f t="shared" ca="1" si="112"/>
        <v>1220.5592602724441</v>
      </c>
      <c r="DT11" s="88">
        <f t="shared" ca="1" si="112"/>
        <v>1013.3699189482434</v>
      </c>
      <c r="DU11" s="88">
        <f t="shared" ca="1" si="113"/>
        <v>1001.3255648178622</v>
      </c>
      <c r="DV11" s="88">
        <f t="shared" ca="1" si="113"/>
        <v>869.85890210797231</v>
      </c>
      <c r="DW11" s="88">
        <f t="shared" ca="1" si="113"/>
        <v>869.85890210797231</v>
      </c>
      <c r="DX11" s="88">
        <f t="shared" ca="1" si="113"/>
        <v>869.85890210797231</v>
      </c>
      <c r="DY11" s="88">
        <f t="shared" ca="1" si="113"/>
        <v>868.33827099184327</v>
      </c>
      <c r="DZ11" s="88">
        <f t="shared" ca="1" si="113"/>
        <v>828.89235899184325</v>
      </c>
      <c r="EA11" s="88">
        <f t="shared" ca="1" si="113"/>
        <v>98.862983808182378</v>
      </c>
      <c r="EB11" s="88">
        <f t="shared" ca="1" si="113"/>
        <v>89.499783808182372</v>
      </c>
      <c r="EC11" s="88">
        <f t="shared" ca="1" si="113"/>
        <v>89.499783808182372</v>
      </c>
      <c r="ED11" s="88">
        <f t="shared" ca="1" si="113"/>
        <v>0</v>
      </c>
      <c r="EE11" s="88">
        <f t="shared" ca="1" si="114"/>
        <v>0</v>
      </c>
      <c r="EF11" s="88">
        <f t="shared" ca="1" si="114"/>
        <v>0</v>
      </c>
      <c r="EG11" s="88">
        <f t="shared" ca="1" si="114"/>
        <v>0</v>
      </c>
      <c r="EH11" s="88">
        <f t="shared" ca="1" si="114"/>
        <v>0</v>
      </c>
      <c r="EI11" s="88">
        <f t="shared" ca="1" si="114"/>
        <v>0</v>
      </c>
      <c r="EJ11" s="88">
        <f t="shared" ca="1" si="114"/>
        <v>0</v>
      </c>
      <c r="EK11" s="88">
        <f t="shared" ca="1" si="114"/>
        <v>0</v>
      </c>
      <c r="EL11" s="88">
        <f t="shared" ca="1" si="114"/>
        <v>0</v>
      </c>
      <c r="EM11" s="88">
        <f t="shared" ca="1" si="114"/>
        <v>0</v>
      </c>
      <c r="EN11" s="88">
        <f t="shared" ca="1" si="114"/>
        <v>0</v>
      </c>
      <c r="EO11" s="88">
        <f t="shared" ca="1" si="114"/>
        <v>0</v>
      </c>
      <c r="EP11" s="88">
        <f t="shared" ca="1" si="114"/>
        <v>0</v>
      </c>
      <c r="EQ11" s="88">
        <f t="shared" ca="1" si="114"/>
        <v>0</v>
      </c>
      <c r="ER11" s="88">
        <f t="shared" ca="1" si="114"/>
        <v>0</v>
      </c>
      <c r="ES11" s="88">
        <f t="shared" ca="1" si="114"/>
        <v>0</v>
      </c>
      <c r="ET11" s="169"/>
      <c r="EU11" s="88">
        <f t="shared" ca="1" si="115"/>
        <v>0</v>
      </c>
      <c r="EV11" s="88">
        <f t="shared" ca="1" si="115"/>
        <v>0</v>
      </c>
      <c r="EW11" s="88">
        <f t="shared" ca="1" si="115"/>
        <v>0</v>
      </c>
      <c r="EX11" s="88">
        <f t="shared" ca="1" si="115"/>
        <v>0</v>
      </c>
      <c r="EY11" s="88">
        <f t="shared" ca="1" si="115"/>
        <v>0</v>
      </c>
      <c r="EZ11" s="88">
        <f t="shared" ca="1" si="115"/>
        <v>0</v>
      </c>
      <c r="FA11" s="88">
        <f t="shared" ca="1" si="115"/>
        <v>0</v>
      </c>
      <c r="FB11" s="88">
        <f t="shared" ca="1" si="115"/>
        <v>0</v>
      </c>
      <c r="FC11" s="88">
        <f t="shared" ca="1" si="115"/>
        <v>0</v>
      </c>
      <c r="FD11" s="88">
        <f t="shared" ca="1" si="115"/>
        <v>0</v>
      </c>
      <c r="FE11" s="88">
        <f t="shared" ca="1" si="116"/>
        <v>0</v>
      </c>
      <c r="FF11" s="88">
        <f t="shared" ca="1" si="116"/>
        <v>0</v>
      </c>
      <c r="FG11" s="88">
        <f t="shared" ca="1" si="116"/>
        <v>0</v>
      </c>
      <c r="FH11" s="88">
        <f t="shared" ca="1" si="116"/>
        <v>0</v>
      </c>
      <c r="FI11" s="88">
        <f t="shared" ca="1" si="116"/>
        <v>0</v>
      </c>
      <c r="FJ11" s="88">
        <f t="shared" ca="1" si="116"/>
        <v>0</v>
      </c>
      <c r="FK11" s="88">
        <f t="shared" ca="1" si="116"/>
        <v>0</v>
      </c>
      <c r="FL11" s="88">
        <f t="shared" ca="1" si="116"/>
        <v>0</v>
      </c>
      <c r="FM11" s="88">
        <f t="shared" ca="1" si="116"/>
        <v>0</v>
      </c>
      <c r="FN11" s="88">
        <f t="shared" ca="1" si="116"/>
        <v>0</v>
      </c>
      <c r="FO11" s="88">
        <f t="shared" ca="1" si="117"/>
        <v>0</v>
      </c>
      <c r="FP11" s="88">
        <f t="shared" ca="1" si="117"/>
        <v>0</v>
      </c>
      <c r="FQ11" s="88">
        <f t="shared" ca="1" si="117"/>
        <v>0</v>
      </c>
      <c r="FR11" s="88">
        <f t="shared" ca="1" si="117"/>
        <v>0</v>
      </c>
      <c r="FS11" s="88">
        <f t="shared" ca="1" si="117"/>
        <v>0</v>
      </c>
      <c r="FT11" s="88">
        <f t="shared" ca="1" si="117"/>
        <v>0</v>
      </c>
      <c r="FU11" s="88">
        <f t="shared" ca="1" si="117"/>
        <v>0</v>
      </c>
      <c r="FV11" s="88">
        <f t="shared" ca="1" si="117"/>
        <v>0</v>
      </c>
      <c r="FW11" s="88">
        <f t="shared" ca="1" si="117"/>
        <v>0</v>
      </c>
      <c r="FX11" s="88">
        <f t="shared" ca="1" si="117"/>
        <v>0</v>
      </c>
      <c r="FY11" s="88">
        <f t="shared" ca="1" si="117"/>
        <v>0</v>
      </c>
      <c r="FZ11" s="88">
        <f t="shared" ca="1" si="117"/>
        <v>0</v>
      </c>
      <c r="GA11" s="88">
        <f t="shared" ca="1" si="117"/>
        <v>0</v>
      </c>
      <c r="GB11" s="88">
        <f t="shared" ca="1" si="117"/>
        <v>0</v>
      </c>
      <c r="GC11" s="88">
        <f t="shared" ca="1" si="117"/>
        <v>0</v>
      </c>
      <c r="GD11" s="60"/>
    </row>
    <row r="12" spans="1:186" s="54" customFormat="1">
      <c r="A12" s="61"/>
      <c r="B12" s="100" t="str">
        <f t="shared" si="0"/>
        <v>All_All_All_All_2019</v>
      </c>
      <c r="C12" s="146"/>
      <c r="D12" s="136" t="s">
        <v>98</v>
      </c>
      <c r="E12" s="136" t="s">
        <v>98</v>
      </c>
      <c r="F12" s="136" t="s">
        <v>98</v>
      </c>
      <c r="G12" s="136" t="s">
        <v>98</v>
      </c>
      <c r="H12" s="136">
        <v>2019</v>
      </c>
      <c r="I12" s="55"/>
      <c r="J12" s="58">
        <f t="shared" ca="1" si="118"/>
        <v>1.0245544859401563</v>
      </c>
      <c r="K12" s="58">
        <f t="shared" ca="1" si="119"/>
        <v>1.7317008746991509</v>
      </c>
      <c r="L12" s="58">
        <f t="shared" ca="1" si="97"/>
        <v>1.2679220651098924</v>
      </c>
      <c r="M12" s="58">
        <f t="shared" ca="1" si="120"/>
        <v>1.3510311115099092</v>
      </c>
      <c r="N12" s="58">
        <f t="shared" ca="1" si="98"/>
        <v>0.86005858643554256</v>
      </c>
      <c r="O12" s="55"/>
      <c r="P12" s="175">
        <f ca="1">IFERROR(($AW12+AV12)/SUMPRODUCT($CA12:$DI12,'General Inputs'!$F$51:$AN$51),"n/a")</f>
        <v>2.167814119408458E-2</v>
      </c>
      <c r="Q12" s="175">
        <f ca="1">IFERROR($AN12/X12,"n/a")</f>
        <v>0.17040668179507423</v>
      </c>
      <c r="R12" s="56">
        <f t="shared" ca="1" si="121"/>
        <v>69876.5541232658</v>
      </c>
      <c r="S12" s="55"/>
      <c r="T12" s="56"/>
      <c r="U12" s="146"/>
      <c r="V12" s="137"/>
      <c r="W12" s="55"/>
      <c r="X12" s="138">
        <f t="shared" ca="1" si="99"/>
        <v>5534183.8569105929</v>
      </c>
      <c r="Y12" s="138">
        <f t="shared" ca="1" si="99"/>
        <v>1288.36162281769</v>
      </c>
      <c r="Z12" s="138">
        <f t="shared" ca="1" si="99"/>
        <v>0</v>
      </c>
      <c r="AA12" s="55"/>
      <c r="AB12" s="138">
        <f t="shared" ca="1" si="100"/>
        <v>0</v>
      </c>
      <c r="AC12" s="138">
        <f t="shared" ca="1" si="100"/>
        <v>0</v>
      </c>
      <c r="AD12" s="138">
        <f t="shared" ca="1" si="100"/>
        <v>0</v>
      </c>
      <c r="AE12" s="55"/>
      <c r="AF12" s="57">
        <f t="shared" ca="1" si="101"/>
        <v>0</v>
      </c>
      <c r="AG12" s="57">
        <f t="shared" ca="1" si="101"/>
        <v>1137880.3</v>
      </c>
      <c r="AH12" s="57">
        <f t="shared" ca="1" si="101"/>
        <v>0</v>
      </c>
      <c r="AI12" s="57">
        <f t="shared" ca="1" si="101"/>
        <v>486980</v>
      </c>
      <c r="AJ12" s="57">
        <f t="shared" ca="1" si="101"/>
        <v>0</v>
      </c>
      <c r="AK12" s="63"/>
      <c r="AL12" s="88"/>
      <c r="AM12" s="57">
        <f ca="1">SUMIFS(OFFSET('Program Inputs'!$N$5,,,TotalPrograms),OFFSET('Program Inputs'!$B$5,,,TotalPrograms),SUBSTITUTE($B12,"All","*"))+AF12</f>
        <v>456081.90750000003</v>
      </c>
      <c r="AN12" s="57">
        <f t="shared" ca="1" si="122"/>
        <v>943061.90749999997</v>
      </c>
      <c r="AO12" s="55"/>
      <c r="AP12" s="59">
        <f t="shared" ca="1" si="123"/>
        <v>1378592.8227264059</v>
      </c>
      <c r="AQ12" s="59">
        <f t="shared" ca="1" si="124"/>
        <v>1345553.4494696741</v>
      </c>
      <c r="AR12" s="59">
        <f t="shared" ca="1" si="104"/>
        <v>1175904.7577801351</v>
      </c>
      <c r="AS12" s="59">
        <f t="shared" ca="1" si="104"/>
        <v>202688.06494627069</v>
      </c>
      <c r="AT12" s="59">
        <f t="shared" ca="1" si="104"/>
        <v>0</v>
      </c>
      <c r="AU12" s="59">
        <f t="shared" ca="1" si="104"/>
        <v>0</v>
      </c>
      <c r="AV12" s="59">
        <f t="shared" ca="1" si="104"/>
        <v>411087.29914648342</v>
      </c>
      <c r="AW12" s="57">
        <f ca="1">INDEX('General Inputs'!$F$51:$AN$51,MATCH($H12,'General Inputs'!$F$50:$AN$50,0))*$AM12</f>
        <v>385004.47563298565</v>
      </c>
      <c r="AX12" s="59">
        <f ca="1">SUMIFS(OFFSET(AX$49,,,InputRows),OFFSET($B$49,,,InputRows),SUBSTITUTE($B12,"All","*"))</f>
        <v>960548.97383668844</v>
      </c>
      <c r="AY12" s="55"/>
      <c r="AZ12" s="59">
        <f t="shared" ca="1" si="105"/>
        <v>1175904.7577801351</v>
      </c>
      <c r="BA12" s="59">
        <f t="shared" ca="1" si="105"/>
        <v>202688.06494627069</v>
      </c>
      <c r="BB12" s="59">
        <f t="shared" ca="1" si="105"/>
        <v>0</v>
      </c>
      <c r="BC12" s="59">
        <f t="shared" ca="1" si="105"/>
        <v>411087.29914648342</v>
      </c>
      <c r="BD12" s="57">
        <f ca="1">INDEX('General Inputs'!$F$51:$AN$51,MATCH($H12,'General Inputs'!$F$50:$AN$50,0))*$AM12</f>
        <v>385004.47563298565</v>
      </c>
      <c r="BE12" s="55"/>
      <c r="BF12" s="59">
        <f t="shared" ca="1" si="106"/>
        <v>806813.93939971854</v>
      </c>
      <c r="BG12" s="59">
        <f t="shared" ca="1" si="106"/>
        <v>0</v>
      </c>
      <c r="BH12" s="57">
        <f t="shared" ca="1" si="106"/>
        <v>411087.29914648342</v>
      </c>
      <c r="BI12" s="59">
        <f t="shared" ca="1" si="106"/>
        <v>960548.97383668844</v>
      </c>
      <c r="BJ12" s="55"/>
      <c r="BK12" s="59">
        <f t="shared" ca="1" si="107"/>
        <v>1175904.7577801351</v>
      </c>
      <c r="BL12" s="59">
        <f t="shared" ca="1" si="107"/>
        <v>202688.06494627069</v>
      </c>
      <c r="BM12" s="59">
        <f t="shared" ca="1" si="107"/>
        <v>0</v>
      </c>
      <c r="BN12" s="59">
        <f t="shared" ca="1" si="107"/>
        <v>0</v>
      </c>
      <c r="BO12" s="59">
        <f t="shared" ca="1" si="107"/>
        <v>439291.74970660027</v>
      </c>
      <c r="BP12" s="57">
        <f ca="1">INDEX('General Inputs'!$F$51:$AN$51,MATCH($H12,'General Inputs'!$F$50:$AN$50,0))*$AM12</f>
        <v>385004.47563298565</v>
      </c>
      <c r="BQ12" s="59">
        <f ca="1">SUMIFS(OFFSET(BQ$49,,,InputRows),OFFSET($B$49,,,InputRows),SUBSTITUTE($B12,"All","*"))</f>
        <v>960548.97383668844</v>
      </c>
      <c r="BR12" s="55"/>
      <c r="BS12" s="59">
        <f t="shared" ca="1" si="108"/>
        <v>1175904.7577801351</v>
      </c>
      <c r="BT12" s="59">
        <f t="shared" ca="1" si="108"/>
        <v>202688.06494627069</v>
      </c>
      <c r="BU12" s="59">
        <f t="shared" ca="1" si="108"/>
        <v>0</v>
      </c>
      <c r="BV12" s="59">
        <f t="shared" ca="1" si="108"/>
        <v>806813.93939971854</v>
      </c>
      <c r="BW12" s="59">
        <f t="shared" ca="1" si="108"/>
        <v>0</v>
      </c>
      <c r="BX12" s="59">
        <f t="shared" ca="1" si="108"/>
        <v>411087.29914648342</v>
      </c>
      <c r="BY12" s="57">
        <f ca="1">INDEX('General Inputs'!$F$51:$AN$51,MATCH($H12,'General Inputs'!$F$50:$AN$50,0))*$AM12</f>
        <v>385004.47563298565</v>
      </c>
      <c r="BZ12" s="55"/>
      <c r="CA12" s="88">
        <f t="shared" ca="1" si="109"/>
        <v>0</v>
      </c>
      <c r="CB12" s="88">
        <f t="shared" ca="1" si="109"/>
        <v>0</v>
      </c>
      <c r="CC12" s="88">
        <f t="shared" ca="1" si="109"/>
        <v>5534183.8569105929</v>
      </c>
      <c r="CD12" s="88">
        <f t="shared" ca="1" si="109"/>
        <v>5534183.8569105929</v>
      </c>
      <c r="CE12" s="88">
        <f t="shared" ca="1" si="109"/>
        <v>5533427.286849943</v>
      </c>
      <c r="CF12" s="88">
        <f t="shared" ca="1" si="109"/>
        <v>5533427.286849943</v>
      </c>
      <c r="CG12" s="88">
        <f t="shared" ca="1" si="109"/>
        <v>5533427.286849943</v>
      </c>
      <c r="CH12" s="88">
        <f t="shared" ca="1" si="109"/>
        <v>5050592.2868499439</v>
      </c>
      <c r="CI12" s="88">
        <f t="shared" ca="1" si="109"/>
        <v>5050592.2868499439</v>
      </c>
      <c r="CJ12" s="88">
        <f t="shared" ca="1" si="109"/>
        <v>5050592.2868499439</v>
      </c>
      <c r="CK12" s="88">
        <f t="shared" ca="1" si="110"/>
        <v>4305200.3108719457</v>
      </c>
      <c r="CL12" s="88">
        <f t="shared" ca="1" si="110"/>
        <v>4276731.8374728626</v>
      </c>
      <c r="CM12" s="88">
        <f t="shared" ca="1" si="110"/>
        <v>3578440.2040337832</v>
      </c>
      <c r="CN12" s="88">
        <f t="shared" ca="1" si="110"/>
        <v>3578440.2040337832</v>
      </c>
      <c r="CO12" s="88">
        <f t="shared" ca="1" si="110"/>
        <v>3578440.2040337832</v>
      </c>
      <c r="CP12" s="88">
        <f t="shared" ca="1" si="110"/>
        <v>3546342.2155574923</v>
      </c>
      <c r="CQ12" s="88">
        <f t="shared" ca="1" si="110"/>
        <v>3359855.545437492</v>
      </c>
      <c r="CR12" s="88">
        <f t="shared" ca="1" si="110"/>
        <v>324017.42363460676</v>
      </c>
      <c r="CS12" s="88">
        <f t="shared" ca="1" si="110"/>
        <v>254329.87163460677</v>
      </c>
      <c r="CT12" s="88">
        <f t="shared" ca="1" si="110"/>
        <v>254329.87163460677</v>
      </c>
      <c r="CU12" s="88">
        <f t="shared" ca="1" si="111"/>
        <v>0</v>
      </c>
      <c r="CV12" s="88">
        <f t="shared" ca="1" si="111"/>
        <v>0</v>
      </c>
      <c r="CW12" s="88">
        <f t="shared" ca="1" si="111"/>
        <v>0</v>
      </c>
      <c r="CX12" s="88">
        <f t="shared" ca="1" si="111"/>
        <v>0</v>
      </c>
      <c r="CY12" s="88">
        <f t="shared" ca="1" si="111"/>
        <v>0</v>
      </c>
      <c r="CZ12" s="88">
        <f t="shared" ca="1" si="111"/>
        <v>0</v>
      </c>
      <c r="DA12" s="88">
        <f t="shared" ca="1" si="111"/>
        <v>0</v>
      </c>
      <c r="DB12" s="88">
        <f t="shared" ca="1" si="111"/>
        <v>0</v>
      </c>
      <c r="DC12" s="88">
        <f t="shared" ca="1" si="111"/>
        <v>0</v>
      </c>
      <c r="DD12" s="88">
        <f t="shared" ca="1" si="111"/>
        <v>0</v>
      </c>
      <c r="DE12" s="88">
        <f t="shared" ca="1" si="111"/>
        <v>0</v>
      </c>
      <c r="DF12" s="88">
        <f t="shared" ca="1" si="111"/>
        <v>0</v>
      </c>
      <c r="DG12" s="88">
        <f t="shared" ca="1" si="111"/>
        <v>0</v>
      </c>
      <c r="DH12" s="88">
        <f t="shared" ca="1" si="111"/>
        <v>0</v>
      </c>
      <c r="DI12" s="88">
        <f t="shared" ca="1" si="111"/>
        <v>0</v>
      </c>
      <c r="DJ12" s="169"/>
      <c r="DK12" s="88">
        <f t="shared" ca="1" si="112"/>
        <v>0</v>
      </c>
      <c r="DL12" s="88">
        <f t="shared" ca="1" si="112"/>
        <v>0</v>
      </c>
      <c r="DM12" s="88">
        <f t="shared" ca="1" si="112"/>
        <v>1288.36162281769</v>
      </c>
      <c r="DN12" s="88">
        <f t="shared" ca="1" si="112"/>
        <v>1288.36162281769</v>
      </c>
      <c r="DO12" s="88">
        <f t="shared" ca="1" si="112"/>
        <v>1288.2753154870204</v>
      </c>
      <c r="DP12" s="88">
        <f t="shared" ca="1" si="112"/>
        <v>1288.2753154870204</v>
      </c>
      <c r="DQ12" s="88">
        <f t="shared" ca="1" si="112"/>
        <v>1288.2753154870204</v>
      </c>
      <c r="DR12" s="88">
        <f t="shared" ca="1" si="112"/>
        <v>1239.5373154870204</v>
      </c>
      <c r="DS12" s="88">
        <f t="shared" ca="1" si="112"/>
        <v>1239.5373154870204</v>
      </c>
      <c r="DT12" s="88">
        <f t="shared" ca="1" si="112"/>
        <v>1239.5373154870204</v>
      </c>
      <c r="DU12" s="88">
        <f t="shared" ca="1" si="113"/>
        <v>1032.3479741628191</v>
      </c>
      <c r="DV12" s="88">
        <f t="shared" ca="1" si="113"/>
        <v>1020.3036200324382</v>
      </c>
      <c r="DW12" s="88">
        <f t="shared" ca="1" si="113"/>
        <v>888.66596168934836</v>
      </c>
      <c r="DX12" s="88">
        <f t="shared" ca="1" si="113"/>
        <v>888.66596168934836</v>
      </c>
      <c r="DY12" s="88">
        <f t="shared" ca="1" si="113"/>
        <v>888.66596168934836</v>
      </c>
      <c r="DZ12" s="88">
        <f t="shared" ca="1" si="113"/>
        <v>887.14533057321933</v>
      </c>
      <c r="EA12" s="88">
        <f t="shared" ca="1" si="113"/>
        <v>847.6994185732193</v>
      </c>
      <c r="EB12" s="88">
        <f t="shared" ca="1" si="113"/>
        <v>109.73070296402653</v>
      </c>
      <c r="EC12" s="88">
        <f t="shared" ca="1" si="113"/>
        <v>100.36750296402653</v>
      </c>
      <c r="ED12" s="88">
        <f t="shared" ca="1" si="113"/>
        <v>100.36750296402653</v>
      </c>
      <c r="EE12" s="88">
        <f t="shared" ca="1" si="114"/>
        <v>0</v>
      </c>
      <c r="EF12" s="88">
        <f t="shared" ca="1" si="114"/>
        <v>0</v>
      </c>
      <c r="EG12" s="88">
        <f t="shared" ca="1" si="114"/>
        <v>0</v>
      </c>
      <c r="EH12" s="88">
        <f t="shared" ca="1" si="114"/>
        <v>0</v>
      </c>
      <c r="EI12" s="88">
        <f t="shared" ca="1" si="114"/>
        <v>0</v>
      </c>
      <c r="EJ12" s="88">
        <f t="shared" ca="1" si="114"/>
        <v>0</v>
      </c>
      <c r="EK12" s="88">
        <f t="shared" ca="1" si="114"/>
        <v>0</v>
      </c>
      <c r="EL12" s="88">
        <f t="shared" ca="1" si="114"/>
        <v>0</v>
      </c>
      <c r="EM12" s="88">
        <f t="shared" ca="1" si="114"/>
        <v>0</v>
      </c>
      <c r="EN12" s="88">
        <f t="shared" ca="1" si="114"/>
        <v>0</v>
      </c>
      <c r="EO12" s="88">
        <f t="shared" ca="1" si="114"/>
        <v>0</v>
      </c>
      <c r="EP12" s="88">
        <f t="shared" ca="1" si="114"/>
        <v>0</v>
      </c>
      <c r="EQ12" s="88">
        <f t="shared" ca="1" si="114"/>
        <v>0</v>
      </c>
      <c r="ER12" s="88">
        <f t="shared" ca="1" si="114"/>
        <v>0</v>
      </c>
      <c r="ES12" s="88">
        <f t="shared" ca="1" si="114"/>
        <v>0</v>
      </c>
      <c r="ET12" s="169"/>
      <c r="EU12" s="88">
        <f t="shared" ca="1" si="115"/>
        <v>0</v>
      </c>
      <c r="EV12" s="88">
        <f t="shared" ca="1" si="115"/>
        <v>0</v>
      </c>
      <c r="EW12" s="88">
        <f t="shared" ca="1" si="115"/>
        <v>0</v>
      </c>
      <c r="EX12" s="88">
        <f t="shared" ca="1" si="115"/>
        <v>0</v>
      </c>
      <c r="EY12" s="88">
        <f t="shared" ca="1" si="115"/>
        <v>0</v>
      </c>
      <c r="EZ12" s="88">
        <f t="shared" ca="1" si="115"/>
        <v>0</v>
      </c>
      <c r="FA12" s="88">
        <f t="shared" ca="1" si="115"/>
        <v>0</v>
      </c>
      <c r="FB12" s="88">
        <f t="shared" ca="1" si="115"/>
        <v>0</v>
      </c>
      <c r="FC12" s="88">
        <f t="shared" ca="1" si="115"/>
        <v>0</v>
      </c>
      <c r="FD12" s="88">
        <f t="shared" ca="1" si="115"/>
        <v>0</v>
      </c>
      <c r="FE12" s="88">
        <f t="shared" ca="1" si="116"/>
        <v>0</v>
      </c>
      <c r="FF12" s="88">
        <f t="shared" ca="1" si="116"/>
        <v>0</v>
      </c>
      <c r="FG12" s="88">
        <f t="shared" ca="1" si="116"/>
        <v>0</v>
      </c>
      <c r="FH12" s="88">
        <f t="shared" ca="1" si="116"/>
        <v>0</v>
      </c>
      <c r="FI12" s="88">
        <f t="shared" ca="1" si="116"/>
        <v>0</v>
      </c>
      <c r="FJ12" s="88">
        <f t="shared" ca="1" si="116"/>
        <v>0</v>
      </c>
      <c r="FK12" s="88">
        <f t="shared" ca="1" si="116"/>
        <v>0</v>
      </c>
      <c r="FL12" s="88">
        <f t="shared" ca="1" si="116"/>
        <v>0</v>
      </c>
      <c r="FM12" s="88">
        <f t="shared" ca="1" si="116"/>
        <v>0</v>
      </c>
      <c r="FN12" s="88">
        <f t="shared" ca="1" si="116"/>
        <v>0</v>
      </c>
      <c r="FO12" s="88">
        <f t="shared" ca="1" si="117"/>
        <v>0</v>
      </c>
      <c r="FP12" s="88">
        <f t="shared" ca="1" si="117"/>
        <v>0</v>
      </c>
      <c r="FQ12" s="88">
        <f t="shared" ca="1" si="117"/>
        <v>0</v>
      </c>
      <c r="FR12" s="88">
        <f t="shared" ca="1" si="117"/>
        <v>0</v>
      </c>
      <c r="FS12" s="88">
        <f t="shared" ca="1" si="117"/>
        <v>0</v>
      </c>
      <c r="FT12" s="88">
        <f t="shared" ca="1" si="117"/>
        <v>0</v>
      </c>
      <c r="FU12" s="88">
        <f t="shared" ca="1" si="117"/>
        <v>0</v>
      </c>
      <c r="FV12" s="88">
        <f t="shared" ca="1" si="117"/>
        <v>0</v>
      </c>
      <c r="FW12" s="88">
        <f t="shared" ca="1" si="117"/>
        <v>0</v>
      </c>
      <c r="FX12" s="88">
        <f t="shared" ca="1" si="117"/>
        <v>0</v>
      </c>
      <c r="FY12" s="88">
        <f t="shared" ca="1" si="117"/>
        <v>0</v>
      </c>
      <c r="FZ12" s="88">
        <f t="shared" ca="1" si="117"/>
        <v>0</v>
      </c>
      <c r="GA12" s="88">
        <f t="shared" ca="1" si="117"/>
        <v>0</v>
      </c>
      <c r="GB12" s="88">
        <f t="shared" ca="1" si="117"/>
        <v>0</v>
      </c>
      <c r="GC12" s="88">
        <f t="shared" ca="1" si="117"/>
        <v>0</v>
      </c>
      <c r="GD12" s="60"/>
    </row>
    <row r="13" spans="1:186" s="178" customFormat="1">
      <c r="A13" s="176"/>
      <c r="B13" s="177" t="str">
        <f t="shared" si="0"/>
        <v>____</v>
      </c>
      <c r="C13" s="177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  <c r="AN13" s="177"/>
      <c r="AO13" s="177"/>
      <c r="AP13" s="177"/>
      <c r="AQ13" s="177"/>
      <c r="AR13" s="177"/>
      <c r="AS13" s="177"/>
      <c r="AT13" s="177"/>
      <c r="AU13" s="177"/>
      <c r="AV13" s="177"/>
      <c r="AW13" s="177"/>
      <c r="AX13" s="177"/>
      <c r="AY13" s="177"/>
      <c r="AZ13" s="177"/>
      <c r="BA13" s="177"/>
      <c r="BB13" s="177"/>
      <c r="BC13" s="177"/>
      <c r="BD13" s="177"/>
      <c r="BE13" s="177"/>
      <c r="BF13" s="177"/>
      <c r="BG13" s="177"/>
      <c r="BH13" s="177"/>
      <c r="BI13" s="177"/>
      <c r="BJ13" s="177"/>
      <c r="BK13" s="177"/>
      <c r="BL13" s="177"/>
      <c r="BM13" s="177"/>
      <c r="BN13" s="177"/>
      <c r="BO13" s="177"/>
      <c r="BP13" s="177"/>
      <c r="BQ13" s="177"/>
      <c r="BR13" s="177"/>
      <c r="BS13" s="177"/>
      <c r="BT13" s="177"/>
      <c r="BU13" s="177"/>
      <c r="BV13" s="177"/>
      <c r="BW13" s="177"/>
      <c r="BX13" s="177"/>
      <c r="BY13" s="177"/>
      <c r="BZ13" s="177"/>
      <c r="CA13" s="179"/>
      <c r="CB13" s="179"/>
      <c r="CC13" s="179"/>
      <c r="CD13" s="179"/>
      <c r="CE13" s="179"/>
      <c r="CF13" s="179"/>
      <c r="CG13" s="179"/>
      <c r="CH13" s="179"/>
      <c r="CI13" s="179"/>
      <c r="CJ13" s="179"/>
      <c r="CK13" s="179"/>
      <c r="CL13" s="179"/>
      <c r="CM13" s="179"/>
      <c r="CN13" s="179"/>
      <c r="CO13" s="179"/>
      <c r="CP13" s="179"/>
      <c r="CQ13" s="179"/>
      <c r="CR13" s="179"/>
      <c r="CS13" s="179"/>
      <c r="CT13" s="179"/>
      <c r="CU13" s="179"/>
      <c r="CV13" s="179"/>
      <c r="CW13" s="179"/>
      <c r="CX13" s="179"/>
      <c r="CY13" s="179"/>
      <c r="CZ13" s="179"/>
      <c r="DA13" s="179"/>
      <c r="DB13" s="179"/>
      <c r="DC13" s="179"/>
      <c r="DD13" s="179"/>
      <c r="DE13" s="179"/>
      <c r="DF13" s="179"/>
      <c r="DG13" s="179"/>
      <c r="DH13" s="179"/>
      <c r="DI13" s="179"/>
      <c r="DJ13" s="179"/>
      <c r="DK13" s="179"/>
      <c r="DL13" s="179"/>
      <c r="DM13" s="179"/>
      <c r="DN13" s="179"/>
      <c r="DO13" s="179"/>
      <c r="DP13" s="179"/>
      <c r="DQ13" s="179"/>
      <c r="DR13" s="179"/>
      <c r="DS13" s="179"/>
      <c r="DT13" s="179"/>
      <c r="DU13" s="179"/>
      <c r="DV13" s="179"/>
      <c r="DW13" s="179"/>
      <c r="DX13" s="179"/>
      <c r="DY13" s="179"/>
      <c r="DZ13" s="179"/>
      <c r="EA13" s="179"/>
      <c r="EB13" s="179"/>
      <c r="EC13" s="179"/>
      <c r="ED13" s="179"/>
      <c r="EE13" s="179"/>
      <c r="EF13" s="179"/>
      <c r="EG13" s="179"/>
      <c r="EH13" s="179"/>
      <c r="EI13" s="179"/>
      <c r="EJ13" s="179"/>
      <c r="EK13" s="179"/>
      <c r="EL13" s="179"/>
      <c r="EM13" s="179"/>
      <c r="EN13" s="179"/>
      <c r="EO13" s="179"/>
      <c r="EP13" s="179"/>
      <c r="EQ13" s="179"/>
      <c r="ER13" s="179"/>
      <c r="ES13" s="179"/>
      <c r="ET13" s="179"/>
      <c r="EU13" s="179"/>
      <c r="EV13" s="179"/>
      <c r="EW13" s="179"/>
      <c r="EX13" s="179"/>
      <c r="EY13" s="179"/>
      <c r="EZ13" s="179"/>
      <c r="FA13" s="179"/>
      <c r="FB13" s="179"/>
      <c r="FC13" s="179"/>
      <c r="FD13" s="179"/>
      <c r="FE13" s="179"/>
      <c r="FF13" s="179"/>
      <c r="FG13" s="179"/>
      <c r="FH13" s="179"/>
      <c r="FI13" s="179"/>
      <c r="FJ13" s="179"/>
      <c r="FK13" s="179"/>
      <c r="FL13" s="179"/>
      <c r="FM13" s="179"/>
      <c r="FN13" s="179"/>
      <c r="FO13" s="179"/>
      <c r="FP13" s="179"/>
      <c r="FQ13" s="179"/>
      <c r="FR13" s="179"/>
      <c r="FS13" s="179"/>
      <c r="FT13" s="179"/>
      <c r="FU13" s="179"/>
      <c r="FV13" s="179"/>
      <c r="FW13" s="179"/>
      <c r="FX13" s="179"/>
      <c r="FY13" s="179"/>
      <c r="FZ13" s="179"/>
      <c r="GA13" s="179"/>
      <c r="GB13" s="179"/>
      <c r="GC13" s="179"/>
      <c r="GD13" s="177"/>
    </row>
    <row r="14" spans="1:186" s="54" customFormat="1">
      <c r="A14" s="61"/>
      <c r="B14" s="100" t="str">
        <f t="shared" si="0"/>
        <v>Residential_All_All_All_2017</v>
      </c>
      <c r="C14" s="146"/>
      <c r="D14" s="136" t="s">
        <v>2</v>
      </c>
      <c r="E14" s="136" t="s">
        <v>98</v>
      </c>
      <c r="F14" s="136" t="s">
        <v>98</v>
      </c>
      <c r="G14" s="136" t="s">
        <v>98</v>
      </c>
      <c r="H14" s="136">
        <v>2017</v>
      </c>
      <c r="I14" s="55"/>
      <c r="J14" s="58">
        <f t="shared" ref="J14:J19" ca="1" si="125">IFERROR(SUMIFS($AR14:$AX14,$AR$7:$AX$7,"BENEFIT")/SUMIFS($AR14:$AX14,$AR$7:$AX$7,"COST"),"n/a")</f>
        <v>0.84603815515064318</v>
      </c>
      <c r="K14" s="58">
        <f ca="1">IFERROR(SUMIFS($AZ14:$BD14,$AZ$7:$BD$7,"BENEFIT")/SUMIFS($AZ14:$BD14,$AZ$7:$BD$7,"COST"),"n/a")</f>
        <v>1.131643208014129</v>
      </c>
      <c r="L14" s="58">
        <f t="shared" ref="L14:L19" ca="1" si="126">IFERROR(SUMIFS($BF14:$BI14,$BF$7:$BI$7,"BENEFIT")/SUMIFS($BF14:$BI14,$BF$7:$BI$7,"COST"),"n/a")</f>
        <v>6.9326871117599733</v>
      </c>
      <c r="M14" s="58">
        <f t="shared" ref="M14:M19" ca="1" si="127">IFERROR(SUMIFS($BK14:$BQ14,$BK$7:$BQ$7,"BENEFIT")/SUMIFS($BK14:$BQ14,$BK$7:$BQ$7,"COST"),"n/a")</f>
        <v>1.1367301627859132</v>
      </c>
      <c r="N14" s="58">
        <f t="shared" ref="N14:N19" ca="1" si="128">IFERROR(SUMIFS($BS14:$BY14,$BS$7:$BY$7,"BENEFIT")/SUMIFS($BS14:$BY14,$BS$7:$BY$7,"COST"),"n/a")</f>
        <v>0.22894686298848629</v>
      </c>
      <c r="O14" s="55"/>
      <c r="P14" s="175">
        <f ca="1">IFERROR(($AW14+AV14)/SUMPRODUCT($CA14:$DI14,'General Inputs'!$F$51:$AN$51),"n/a")</f>
        <v>3.0765167770355189E-2</v>
      </c>
      <c r="Q14" s="175">
        <f t="shared" ref="Q14:Q19" ca="1" si="129">IFERROR($AN14/X14,"n/a")</f>
        <v>0.19385754834634292</v>
      </c>
      <c r="R14" s="56">
        <f ca="1">SUM(CA14:DI14)/1000</f>
        <v>10606.219454653299</v>
      </c>
      <c r="S14" s="55"/>
      <c r="T14" s="56"/>
      <c r="U14" s="146"/>
      <c r="V14" s="137"/>
      <c r="W14" s="55"/>
      <c r="X14" s="138">
        <f t="shared" ref="X14:Z19" ca="1" si="130">SUMIFS(OFFSET(X$49,,,InputRows),OFFSET($B$49,,,InputRows),SUBSTITUTE($B14,"All","*"))</f>
        <v>1135817.0954819762</v>
      </c>
      <c r="Y14" s="138">
        <f t="shared" ca="1" si="130"/>
        <v>180.37218208977751</v>
      </c>
      <c r="Z14" s="138">
        <f t="shared" ca="1" si="130"/>
        <v>0</v>
      </c>
      <c r="AA14" s="55"/>
      <c r="AB14" s="138">
        <f t="shared" ref="AB14:AD19" ca="1" si="131">SUMIFS(OFFSET(AB$49,,,InputRows),OFFSET($B$49,,,InputRows),SUBSTITUTE($B14,"All","*"))</f>
        <v>0</v>
      </c>
      <c r="AC14" s="138">
        <f t="shared" ca="1" si="131"/>
        <v>0</v>
      </c>
      <c r="AD14" s="138">
        <f t="shared" ca="1" si="131"/>
        <v>0</v>
      </c>
      <c r="AE14" s="55"/>
      <c r="AF14" s="57">
        <f t="shared" ref="AF14:AJ19" ca="1" si="132">SUMIFS(OFFSET(AF$49,,,InputRows),OFFSET($B$49,,,InputRows),SUBSTITUTE($B14,"All","*"))</f>
        <v>0</v>
      </c>
      <c r="AG14" s="57">
        <f t="shared" ca="1" si="132"/>
        <v>133805.5</v>
      </c>
      <c r="AH14" s="57">
        <f t="shared" ca="1" si="132"/>
        <v>0</v>
      </c>
      <c r="AI14" s="57">
        <f t="shared" ca="1" si="132"/>
        <v>59475</v>
      </c>
      <c r="AJ14" s="57">
        <f t="shared" ca="1" si="132"/>
        <v>0</v>
      </c>
      <c r="AK14" s="63"/>
      <c r="AL14" s="88"/>
      <c r="AM14" s="57">
        <f ca="1">SUMIFS(OFFSET('Program Inputs'!$N$5,,,TotalPrograms),OFFSET('Program Inputs'!$B$5,,,TotalPrograms),SUBSTITUTE($B14,"All","*"))+AF14</f>
        <v>160711.7175</v>
      </c>
      <c r="AN14" s="57">
        <f ca="1">AM14+AI14</f>
        <v>220186.7175</v>
      </c>
      <c r="AO14" s="55"/>
      <c r="AP14" s="59">
        <f t="shared" ref="AP14:AP17" ca="1" si="133">SUMIFS(AR14:AX14,$AR$7:$AX$7,"BENEFIT")</f>
        <v>249172.80335380076</v>
      </c>
      <c r="AQ14" s="59">
        <f t="shared" ref="AQ14:AQ17" ca="1" si="134">SUMIFS(AR14:AX14,$AR$7:$AX$7,"COST")</f>
        <v>294517.21750000003</v>
      </c>
      <c r="AR14" s="59">
        <f t="shared" ref="AR14:AV19" ca="1" si="135">SUMIFS(OFFSET(AR$49,,,InputRows),OFFSET($B$49,,,InputRows),SUBSTITUTE($B14,"All","*"))</f>
        <v>219395.15684106544</v>
      </c>
      <c r="AS14" s="59">
        <f t="shared" ca="1" si="135"/>
        <v>29777.646512735311</v>
      </c>
      <c r="AT14" s="59">
        <f t="shared" ca="1" si="135"/>
        <v>0</v>
      </c>
      <c r="AU14" s="59">
        <f t="shared" ca="1" si="135"/>
        <v>0</v>
      </c>
      <c r="AV14" s="59">
        <f t="shared" ca="1" si="135"/>
        <v>59475</v>
      </c>
      <c r="AW14" s="57">
        <f ca="1">INDEX('General Inputs'!$F$51:$AN$51,MATCH($H14,'General Inputs'!$F$50:$AN$50,0))*$AM14</f>
        <v>160711.7175</v>
      </c>
      <c r="AX14" s="59">
        <f t="shared" ref="AX14:AX19" ca="1" si="136">SUMIFS(OFFSET(AX$49,,,InputRows),OFFSET($B$49,,,InputRows),SUBSTITUTE($B14,"All","*"))</f>
        <v>133805.5</v>
      </c>
      <c r="AY14" s="55"/>
      <c r="AZ14" s="59">
        <f t="shared" ref="AZ14:BC19" ca="1" si="137">SUMIFS(OFFSET(AZ$49,,,InputRows),OFFSET($B$49,,,InputRows),SUBSTITUTE($B14,"All","*"))</f>
        <v>219395.15684106544</v>
      </c>
      <c r="BA14" s="59">
        <f t="shared" ca="1" si="137"/>
        <v>29777.646512735311</v>
      </c>
      <c r="BB14" s="59">
        <f t="shared" ca="1" si="137"/>
        <v>0</v>
      </c>
      <c r="BC14" s="59">
        <f t="shared" ca="1" si="137"/>
        <v>59475</v>
      </c>
      <c r="BD14" s="57">
        <f ca="1">INDEX('General Inputs'!$F$51:$AN$51,MATCH($H14,'General Inputs'!$F$50:$AN$50,0))*$AM14</f>
        <v>160711.7175</v>
      </c>
      <c r="BE14" s="55"/>
      <c r="BF14" s="59">
        <f t="shared" ref="BF14:BI19" ca="1" si="138">SUMIFS(OFFSET(BF$49,,,InputRows),OFFSET($B$49,,,InputRows),SUBSTITUTE($B14,"All","*"))</f>
        <v>868156.66533259908</v>
      </c>
      <c r="BG14" s="59">
        <f t="shared" ca="1" si="138"/>
        <v>0</v>
      </c>
      <c r="BH14" s="57">
        <f t="shared" ca="1" si="138"/>
        <v>59475</v>
      </c>
      <c r="BI14" s="59">
        <f t="shared" ca="1" si="138"/>
        <v>133805.5</v>
      </c>
      <c r="BJ14" s="55"/>
      <c r="BK14" s="59">
        <f t="shared" ref="BK14:BO19" ca="1" si="139">SUMIFS(OFFSET(BK$49,,,InputRows),OFFSET($B$49,,,InputRows),SUBSTITUTE($B14,"All","*"))</f>
        <v>219395.15684106544</v>
      </c>
      <c r="BL14" s="59">
        <f t="shared" ca="1" si="139"/>
        <v>29777.646512735311</v>
      </c>
      <c r="BM14" s="59">
        <f t="shared" ca="1" si="139"/>
        <v>0</v>
      </c>
      <c r="BN14" s="59">
        <f t="shared" ca="1" si="139"/>
        <v>0</v>
      </c>
      <c r="BO14" s="59">
        <f t="shared" ca="1" si="139"/>
        <v>85613.801238228451</v>
      </c>
      <c r="BP14" s="57">
        <f ca="1">INDEX('General Inputs'!$F$51:$AN$51,MATCH($H14,'General Inputs'!$F$50:$AN$50,0))*$AM14</f>
        <v>160711.7175</v>
      </c>
      <c r="BQ14" s="59">
        <f t="shared" ref="BQ14:BQ19" ca="1" si="140">SUMIFS(OFFSET(BQ$49,,,InputRows),OFFSET($B$49,,,InputRows),SUBSTITUTE($B14,"All","*"))</f>
        <v>133805.5</v>
      </c>
      <c r="BR14" s="55"/>
      <c r="BS14" s="59">
        <f t="shared" ref="BS14:BX19" ca="1" si="141">SUMIFS(OFFSET(BS$49,,,InputRows),OFFSET($B$49,,,InputRows),SUBSTITUTE($B14,"All","*"))</f>
        <v>219395.15684106544</v>
      </c>
      <c r="BT14" s="59">
        <f t="shared" ca="1" si="141"/>
        <v>29777.646512735311</v>
      </c>
      <c r="BU14" s="59">
        <f t="shared" ca="1" si="141"/>
        <v>0</v>
      </c>
      <c r="BV14" s="59">
        <f t="shared" ca="1" si="141"/>
        <v>868156.66533259908</v>
      </c>
      <c r="BW14" s="59">
        <f t="shared" ca="1" si="141"/>
        <v>0</v>
      </c>
      <c r="BX14" s="59">
        <f t="shared" ca="1" si="141"/>
        <v>59475</v>
      </c>
      <c r="BY14" s="57">
        <f ca="1">INDEX('General Inputs'!$F$51:$AN$51,MATCH($H14,'General Inputs'!$F$50:$AN$50,0))*$AM14</f>
        <v>160711.7175</v>
      </c>
      <c r="BZ14" s="55"/>
      <c r="CA14" s="88">
        <f t="shared" ref="CA14:CJ19" ca="1" si="142">SUMIFS(OFFSET(CA$49,,,InputRows),OFFSET($B$49,,,InputRows),SUBSTITUTE($B14,"All","*"))</f>
        <v>1135817.0954819762</v>
      </c>
      <c r="CB14" s="88">
        <f t="shared" ca="1" si="142"/>
        <v>1135817.0954819762</v>
      </c>
      <c r="CC14" s="88">
        <f t="shared" ca="1" si="142"/>
        <v>1135060.5254213258</v>
      </c>
      <c r="CD14" s="88">
        <f t="shared" ca="1" si="142"/>
        <v>1135060.5254213258</v>
      </c>
      <c r="CE14" s="88">
        <f t="shared" ca="1" si="142"/>
        <v>1135060.5254213258</v>
      </c>
      <c r="CF14" s="88">
        <f t="shared" ca="1" si="142"/>
        <v>652225.52542132617</v>
      </c>
      <c r="CG14" s="88">
        <f t="shared" ca="1" si="142"/>
        <v>652225.52542132617</v>
      </c>
      <c r="CH14" s="88">
        <f t="shared" ca="1" si="142"/>
        <v>652225.52542132617</v>
      </c>
      <c r="CI14" s="88">
        <f t="shared" ca="1" si="142"/>
        <v>546710.52542132628</v>
      </c>
      <c r="CJ14" s="88">
        <f t="shared" ca="1" si="142"/>
        <v>518242.05202224315</v>
      </c>
      <c r="CK14" s="88">
        <f t="shared" ref="CK14:CT19" ca="1" si="143">SUMIFS(OFFSET(CK$49,,,InputRows),OFFSET($B$49,,,InputRows),SUBSTITUTE($B14,"All","*"))</f>
        <v>264303.72510396352</v>
      </c>
      <c r="CL14" s="88">
        <f t="shared" ca="1" si="143"/>
        <v>264303.72510396352</v>
      </c>
      <c r="CM14" s="88">
        <f t="shared" ca="1" si="143"/>
        <v>264303.72510396352</v>
      </c>
      <c r="CN14" s="88">
        <f t="shared" ca="1" si="143"/>
        <v>246471.50928380212</v>
      </c>
      <c r="CO14" s="88">
        <f t="shared" ca="1" si="143"/>
        <v>246471.50928380212</v>
      </c>
      <c r="CP14" s="88">
        <f t="shared" ca="1" si="143"/>
        <v>207306.77994610951</v>
      </c>
      <c r="CQ14" s="88">
        <f t="shared" ca="1" si="143"/>
        <v>207306.77994610951</v>
      </c>
      <c r="CR14" s="88">
        <f t="shared" ca="1" si="143"/>
        <v>207306.77994610951</v>
      </c>
      <c r="CS14" s="88">
        <f t="shared" ca="1" si="143"/>
        <v>0</v>
      </c>
      <c r="CT14" s="88">
        <f t="shared" ca="1" si="143"/>
        <v>0</v>
      </c>
      <c r="CU14" s="88">
        <f t="shared" ref="CU14:DI19" ca="1" si="144">SUMIFS(OFFSET(CU$49,,,InputRows),OFFSET($B$49,,,InputRows),SUBSTITUTE($B14,"All","*"))</f>
        <v>0</v>
      </c>
      <c r="CV14" s="88">
        <f t="shared" ca="1" si="144"/>
        <v>0</v>
      </c>
      <c r="CW14" s="88">
        <f t="shared" ca="1" si="144"/>
        <v>0</v>
      </c>
      <c r="CX14" s="88">
        <f t="shared" ca="1" si="144"/>
        <v>0</v>
      </c>
      <c r="CY14" s="88">
        <f t="shared" ca="1" si="144"/>
        <v>0</v>
      </c>
      <c r="CZ14" s="88">
        <f t="shared" ca="1" si="144"/>
        <v>0</v>
      </c>
      <c r="DA14" s="88">
        <f t="shared" ca="1" si="144"/>
        <v>0</v>
      </c>
      <c r="DB14" s="88">
        <f t="shared" ca="1" si="144"/>
        <v>0</v>
      </c>
      <c r="DC14" s="88">
        <f t="shared" ca="1" si="144"/>
        <v>0</v>
      </c>
      <c r="DD14" s="88">
        <f t="shared" ca="1" si="144"/>
        <v>0</v>
      </c>
      <c r="DE14" s="88">
        <f t="shared" ca="1" si="144"/>
        <v>0</v>
      </c>
      <c r="DF14" s="88">
        <f t="shared" ca="1" si="144"/>
        <v>0</v>
      </c>
      <c r="DG14" s="88">
        <f t="shared" ca="1" si="144"/>
        <v>0</v>
      </c>
      <c r="DH14" s="88">
        <f t="shared" ca="1" si="144"/>
        <v>0</v>
      </c>
      <c r="DI14" s="88">
        <f t="shared" ca="1" si="144"/>
        <v>0</v>
      </c>
      <c r="DJ14" s="169"/>
      <c r="DK14" s="88">
        <f t="shared" ref="DK14:DT19" ca="1" si="145">SUMIFS(OFFSET(DK$49,,,InputRows),OFFSET($B$49,,,InputRows),SUBSTITUTE($B14,"All","*"))</f>
        <v>180.37218208977751</v>
      </c>
      <c r="DL14" s="88">
        <f t="shared" ca="1" si="145"/>
        <v>180.37218208977751</v>
      </c>
      <c r="DM14" s="88">
        <f t="shared" ca="1" si="145"/>
        <v>180.28587475910786</v>
      </c>
      <c r="DN14" s="88">
        <f t="shared" ca="1" si="145"/>
        <v>180.28587475910786</v>
      </c>
      <c r="DO14" s="88">
        <f t="shared" ca="1" si="145"/>
        <v>180.28587475910786</v>
      </c>
      <c r="DP14" s="88">
        <f t="shared" ca="1" si="145"/>
        <v>131.54787475910786</v>
      </c>
      <c r="DQ14" s="88">
        <f t="shared" ca="1" si="145"/>
        <v>131.54787475910786</v>
      </c>
      <c r="DR14" s="88">
        <f t="shared" ca="1" si="145"/>
        <v>131.54787475910786</v>
      </c>
      <c r="DS14" s="88">
        <f t="shared" ca="1" si="145"/>
        <v>119.50278343490697</v>
      </c>
      <c r="DT14" s="88">
        <f t="shared" ca="1" si="145"/>
        <v>107.45842930452572</v>
      </c>
      <c r="DU14" s="88">
        <f t="shared" ref="DU14:ED19" ca="1" si="146">SUMIFS(OFFSET(DU$49,,,InputRows),OFFSET($B$49,,,InputRows),SUBSTITUTE($B14,"All","*"))</f>
        <v>84.99426222783589</v>
      </c>
      <c r="DV14" s="88">
        <f t="shared" ca="1" si="146"/>
        <v>84.99426222783589</v>
      </c>
      <c r="DW14" s="88">
        <f t="shared" ca="1" si="146"/>
        <v>84.99426222783589</v>
      </c>
      <c r="DX14" s="88">
        <f t="shared" ca="1" si="146"/>
        <v>84.149467163319756</v>
      </c>
      <c r="DY14" s="88">
        <f t="shared" ca="1" si="146"/>
        <v>84.149467163319756</v>
      </c>
      <c r="DZ14" s="88">
        <f t="shared" ca="1" si="146"/>
        <v>78.632064652338215</v>
      </c>
      <c r="EA14" s="88">
        <f t="shared" ca="1" si="146"/>
        <v>78.632064652338215</v>
      </c>
      <c r="EB14" s="88">
        <f t="shared" ca="1" si="146"/>
        <v>78.632064652338215</v>
      </c>
      <c r="EC14" s="88">
        <f t="shared" ca="1" si="146"/>
        <v>0</v>
      </c>
      <c r="ED14" s="88">
        <f t="shared" ca="1" si="146"/>
        <v>0</v>
      </c>
      <c r="EE14" s="88">
        <f t="shared" ref="EE14:ES19" ca="1" si="147">SUMIFS(OFFSET(EE$49,,,InputRows),OFFSET($B$49,,,InputRows),SUBSTITUTE($B14,"All","*"))</f>
        <v>0</v>
      </c>
      <c r="EF14" s="88">
        <f t="shared" ca="1" si="147"/>
        <v>0</v>
      </c>
      <c r="EG14" s="88">
        <f t="shared" ca="1" si="147"/>
        <v>0</v>
      </c>
      <c r="EH14" s="88">
        <f t="shared" ca="1" si="147"/>
        <v>0</v>
      </c>
      <c r="EI14" s="88">
        <f t="shared" ca="1" si="147"/>
        <v>0</v>
      </c>
      <c r="EJ14" s="88">
        <f t="shared" ca="1" si="147"/>
        <v>0</v>
      </c>
      <c r="EK14" s="88">
        <f t="shared" ca="1" si="147"/>
        <v>0</v>
      </c>
      <c r="EL14" s="88">
        <f t="shared" ca="1" si="147"/>
        <v>0</v>
      </c>
      <c r="EM14" s="88">
        <f t="shared" ca="1" si="147"/>
        <v>0</v>
      </c>
      <c r="EN14" s="88">
        <f t="shared" ca="1" si="147"/>
        <v>0</v>
      </c>
      <c r="EO14" s="88">
        <f t="shared" ca="1" si="147"/>
        <v>0</v>
      </c>
      <c r="EP14" s="88">
        <f t="shared" ca="1" si="147"/>
        <v>0</v>
      </c>
      <c r="EQ14" s="88">
        <f t="shared" ca="1" si="147"/>
        <v>0</v>
      </c>
      <c r="ER14" s="88">
        <f t="shared" ca="1" si="147"/>
        <v>0</v>
      </c>
      <c r="ES14" s="88">
        <f t="shared" ca="1" si="147"/>
        <v>0</v>
      </c>
      <c r="ET14" s="169"/>
      <c r="EU14" s="88">
        <f t="shared" ref="EU14:FD19" ca="1" si="148">SUMIFS(OFFSET(EU$49,,,InputRows),OFFSET($B$49,,,InputRows),SUBSTITUTE($B14,"All","*"))</f>
        <v>0</v>
      </c>
      <c r="EV14" s="88">
        <f t="shared" ca="1" si="148"/>
        <v>0</v>
      </c>
      <c r="EW14" s="88">
        <f t="shared" ca="1" si="148"/>
        <v>0</v>
      </c>
      <c r="EX14" s="88">
        <f t="shared" ca="1" si="148"/>
        <v>0</v>
      </c>
      <c r="EY14" s="88">
        <f t="shared" ca="1" si="148"/>
        <v>0</v>
      </c>
      <c r="EZ14" s="88">
        <f t="shared" ca="1" si="148"/>
        <v>0</v>
      </c>
      <c r="FA14" s="88">
        <f t="shared" ca="1" si="148"/>
        <v>0</v>
      </c>
      <c r="FB14" s="88">
        <f t="shared" ca="1" si="148"/>
        <v>0</v>
      </c>
      <c r="FC14" s="88">
        <f t="shared" ca="1" si="148"/>
        <v>0</v>
      </c>
      <c r="FD14" s="88">
        <f t="shared" ca="1" si="148"/>
        <v>0</v>
      </c>
      <c r="FE14" s="88">
        <f t="shared" ref="FE14:FN19" ca="1" si="149">SUMIFS(OFFSET(FE$49,,,InputRows),OFFSET($B$49,,,InputRows),SUBSTITUTE($B14,"All","*"))</f>
        <v>0</v>
      </c>
      <c r="FF14" s="88">
        <f t="shared" ca="1" si="149"/>
        <v>0</v>
      </c>
      <c r="FG14" s="88">
        <f t="shared" ca="1" si="149"/>
        <v>0</v>
      </c>
      <c r="FH14" s="88">
        <f t="shared" ca="1" si="149"/>
        <v>0</v>
      </c>
      <c r="FI14" s="88">
        <f t="shared" ca="1" si="149"/>
        <v>0</v>
      </c>
      <c r="FJ14" s="88">
        <f t="shared" ca="1" si="149"/>
        <v>0</v>
      </c>
      <c r="FK14" s="88">
        <f t="shared" ca="1" si="149"/>
        <v>0</v>
      </c>
      <c r="FL14" s="88">
        <f t="shared" ca="1" si="149"/>
        <v>0</v>
      </c>
      <c r="FM14" s="88">
        <f t="shared" ca="1" si="149"/>
        <v>0</v>
      </c>
      <c r="FN14" s="88">
        <f t="shared" ca="1" si="149"/>
        <v>0</v>
      </c>
      <c r="FO14" s="88">
        <f t="shared" ref="FO14:GC19" ca="1" si="150">SUMIFS(OFFSET(FO$49,,,InputRows),OFFSET($B$49,,,InputRows),SUBSTITUTE($B14,"All","*"))</f>
        <v>0</v>
      </c>
      <c r="FP14" s="88">
        <f t="shared" ca="1" si="150"/>
        <v>0</v>
      </c>
      <c r="FQ14" s="88">
        <f t="shared" ca="1" si="150"/>
        <v>0</v>
      </c>
      <c r="FR14" s="88">
        <f t="shared" ca="1" si="150"/>
        <v>0</v>
      </c>
      <c r="FS14" s="88">
        <f t="shared" ca="1" si="150"/>
        <v>0</v>
      </c>
      <c r="FT14" s="88">
        <f t="shared" ca="1" si="150"/>
        <v>0</v>
      </c>
      <c r="FU14" s="88">
        <f t="shared" ca="1" si="150"/>
        <v>0</v>
      </c>
      <c r="FV14" s="88">
        <f t="shared" ca="1" si="150"/>
        <v>0</v>
      </c>
      <c r="FW14" s="88">
        <f t="shared" ca="1" si="150"/>
        <v>0</v>
      </c>
      <c r="FX14" s="88">
        <f t="shared" ca="1" si="150"/>
        <v>0</v>
      </c>
      <c r="FY14" s="88">
        <f t="shared" ca="1" si="150"/>
        <v>0</v>
      </c>
      <c r="FZ14" s="88">
        <f t="shared" ca="1" si="150"/>
        <v>0</v>
      </c>
      <c r="GA14" s="88">
        <f t="shared" ca="1" si="150"/>
        <v>0</v>
      </c>
      <c r="GB14" s="88">
        <f t="shared" ca="1" si="150"/>
        <v>0</v>
      </c>
      <c r="GC14" s="88">
        <f t="shared" ca="1" si="150"/>
        <v>0</v>
      </c>
      <c r="GD14" s="60"/>
    </row>
    <row r="15" spans="1:186" s="54" customFormat="1">
      <c r="A15" s="61"/>
      <c r="B15" s="100" t="str">
        <f t="shared" si="0"/>
        <v>Residential_All_All_All_2018</v>
      </c>
      <c r="C15" s="146"/>
      <c r="D15" s="136" t="s">
        <v>2</v>
      </c>
      <c r="E15" s="136" t="s">
        <v>98</v>
      </c>
      <c r="F15" s="136" t="s">
        <v>98</v>
      </c>
      <c r="G15" s="136" t="s">
        <v>98</v>
      </c>
      <c r="H15" s="136">
        <v>2018</v>
      </c>
      <c r="I15" s="55"/>
      <c r="J15" s="58">
        <f t="shared" ca="1" si="125"/>
        <v>0.85353151568360974</v>
      </c>
      <c r="K15" s="58">
        <f t="shared" ref="K15:K16" ca="1" si="151">IFERROR(SUMIFS($AZ15:$BD15,$AZ$7:$BD$7,"BENEFIT")/SUMIFS($AZ15:$BD15,$AZ$7:$BD$7,"COST"),"n/a")</f>
        <v>1.1544591514393701</v>
      </c>
      <c r="L15" s="58">
        <f t="shared" ca="1" si="126"/>
        <v>6.7185903694056943</v>
      </c>
      <c r="M15" s="58">
        <f t="shared" ca="1" si="127"/>
        <v>1.1406901907437343</v>
      </c>
      <c r="N15" s="58">
        <f t="shared" ca="1" si="128"/>
        <v>0.23084785343063294</v>
      </c>
      <c r="O15" s="55"/>
      <c r="P15" s="175">
        <f ca="1">IFERROR(($AW15+AV15)/SUMPRODUCT($CA15:$DI15,'General Inputs'!$F$51:$AN$51),"n/a")</f>
        <v>3.0798601792630286E-2</v>
      </c>
      <c r="Q15" s="175">
        <f t="shared" ca="1" si="129"/>
        <v>0.1961831538318724</v>
      </c>
      <c r="R15" s="56">
        <f t="shared" ref="R15:R16" ca="1" si="152">SUM(CA15:DI15)/1000</f>
        <v>11048.907459953782</v>
      </c>
      <c r="S15" s="55"/>
      <c r="T15" s="56"/>
      <c r="U15" s="146"/>
      <c r="V15" s="137"/>
      <c r="W15" s="55"/>
      <c r="X15" s="138">
        <f t="shared" ca="1" si="130"/>
        <v>1161276.6593366249</v>
      </c>
      <c r="Y15" s="138">
        <f t="shared" ca="1" si="130"/>
        <v>191.41089687882166</v>
      </c>
      <c r="Z15" s="138">
        <f t="shared" ca="1" si="130"/>
        <v>0</v>
      </c>
      <c r="AA15" s="55"/>
      <c r="AB15" s="138">
        <f t="shared" ca="1" si="131"/>
        <v>0</v>
      </c>
      <c r="AC15" s="138">
        <f t="shared" ca="1" si="131"/>
        <v>0</v>
      </c>
      <c r="AD15" s="138">
        <f t="shared" ca="1" si="131"/>
        <v>0</v>
      </c>
      <c r="AE15" s="55"/>
      <c r="AF15" s="57">
        <f t="shared" ca="1" si="132"/>
        <v>0</v>
      </c>
      <c r="AG15" s="57">
        <f t="shared" ca="1" si="132"/>
        <v>145348</v>
      </c>
      <c r="AH15" s="57">
        <f t="shared" ca="1" si="132"/>
        <v>0</v>
      </c>
      <c r="AI15" s="57">
        <f t="shared" ca="1" si="132"/>
        <v>65025</v>
      </c>
      <c r="AJ15" s="57">
        <f t="shared" ca="1" si="132"/>
        <v>0</v>
      </c>
      <c r="AK15" s="63"/>
      <c r="AL15" s="88"/>
      <c r="AM15" s="57">
        <f ca="1">SUMIFS(OFFSET('Program Inputs'!$N$5,,,TotalPrograms),OFFSET('Program Inputs'!$B$5,,,TotalPrograms),SUBSTITUTE($B15,"All","*"))+AF15</f>
        <v>162797.91749999998</v>
      </c>
      <c r="AN15" s="57">
        <f t="shared" ref="AN15:AN16" ca="1" si="153">AM15+AI15</f>
        <v>227822.91749999998</v>
      </c>
      <c r="AO15" s="55"/>
      <c r="AP15" s="59">
        <f t="shared" ref="AP15:AP16" ca="1" si="154">SUMIFS(AR15:AX15,$AR$7:$AX$7,"BENEFIT")</f>
        <v>241650.36017593861</v>
      </c>
      <c r="AQ15" s="59">
        <f t="shared" ref="AQ15:AQ16" ca="1" si="155">SUMIFS(AR15:AX15,$AR$7:$AX$7,"COST")</f>
        <v>283118.26304667402</v>
      </c>
      <c r="AR15" s="59">
        <f t="shared" ca="1" si="135"/>
        <v>211641.68209092959</v>
      </c>
      <c r="AS15" s="59">
        <f t="shared" ca="1" si="135"/>
        <v>30008.678085009022</v>
      </c>
      <c r="AT15" s="59">
        <f t="shared" ca="1" si="135"/>
        <v>0</v>
      </c>
      <c r="AU15" s="59">
        <f t="shared" ca="1" si="135"/>
        <v>0</v>
      </c>
      <c r="AV15" s="59">
        <f t="shared" ca="1" si="135"/>
        <v>59743.660418963613</v>
      </c>
      <c r="AW15" s="57">
        <f ca="1">INDEX('General Inputs'!$F$51:$AN$51,MATCH($H15,'General Inputs'!$F$50:$AN$50,0))*$AM15</f>
        <v>149575.44790518191</v>
      </c>
      <c r="AX15" s="59">
        <f t="shared" ca="1" si="136"/>
        <v>133542.81514149212</v>
      </c>
      <c r="AY15" s="55"/>
      <c r="AZ15" s="59">
        <f t="shared" ca="1" si="137"/>
        <v>211641.68209092959</v>
      </c>
      <c r="BA15" s="59">
        <f t="shared" ca="1" si="137"/>
        <v>30008.678085009022</v>
      </c>
      <c r="BB15" s="59">
        <f t="shared" ca="1" si="137"/>
        <v>0</v>
      </c>
      <c r="BC15" s="59">
        <f t="shared" ca="1" si="137"/>
        <v>59743.660418963613</v>
      </c>
      <c r="BD15" s="57">
        <f ca="1">INDEX('General Inputs'!$F$51:$AN$51,MATCH($H15,'General Inputs'!$F$50:$AN$50,0))*$AM15</f>
        <v>149575.44790518191</v>
      </c>
      <c r="BE15" s="55"/>
      <c r="BF15" s="59">
        <f t="shared" ca="1" si="138"/>
        <v>837475.81129399023</v>
      </c>
      <c r="BG15" s="59">
        <f t="shared" ca="1" si="138"/>
        <v>0</v>
      </c>
      <c r="BH15" s="57">
        <f t="shared" ca="1" si="138"/>
        <v>59743.660418963613</v>
      </c>
      <c r="BI15" s="59">
        <f t="shared" ca="1" si="138"/>
        <v>133542.81514149212</v>
      </c>
      <c r="BJ15" s="55"/>
      <c r="BK15" s="59">
        <f t="shared" ca="1" si="139"/>
        <v>211641.68209092959</v>
      </c>
      <c r="BL15" s="59">
        <f t="shared" ca="1" si="139"/>
        <v>30008.678085009022</v>
      </c>
      <c r="BM15" s="59">
        <f t="shared" ca="1" si="139"/>
        <v>0</v>
      </c>
      <c r="BN15" s="59">
        <f t="shared" ca="1" si="139"/>
        <v>0</v>
      </c>
      <c r="BO15" s="59">
        <f t="shared" ca="1" si="139"/>
        <v>81299.865301806727</v>
      </c>
      <c r="BP15" s="57">
        <f ca="1">INDEX('General Inputs'!$F$51:$AN$51,MATCH($H15,'General Inputs'!$F$50:$AN$50,0))*$AM15</f>
        <v>149575.44790518191</v>
      </c>
      <c r="BQ15" s="59">
        <f t="shared" ca="1" si="140"/>
        <v>133542.81514149212</v>
      </c>
      <c r="BR15" s="55"/>
      <c r="BS15" s="59">
        <f t="shared" ca="1" si="141"/>
        <v>211641.68209092959</v>
      </c>
      <c r="BT15" s="59">
        <f t="shared" ca="1" si="141"/>
        <v>30008.678085009022</v>
      </c>
      <c r="BU15" s="59">
        <f t="shared" ca="1" si="141"/>
        <v>0</v>
      </c>
      <c r="BV15" s="59">
        <f t="shared" ca="1" si="141"/>
        <v>837475.81129399023</v>
      </c>
      <c r="BW15" s="59">
        <f t="shared" ca="1" si="141"/>
        <v>0</v>
      </c>
      <c r="BX15" s="59">
        <f t="shared" ca="1" si="141"/>
        <v>59743.660418963613</v>
      </c>
      <c r="BY15" s="57">
        <f ca="1">INDEX('General Inputs'!$F$51:$AN$51,MATCH($H15,'General Inputs'!$F$50:$AN$50,0))*$AM15</f>
        <v>149575.44790518191</v>
      </c>
      <c r="BZ15" s="55"/>
      <c r="CA15" s="88">
        <f t="shared" ca="1" si="142"/>
        <v>0</v>
      </c>
      <c r="CB15" s="88">
        <f t="shared" ca="1" si="142"/>
        <v>1161276.6593366249</v>
      </c>
      <c r="CC15" s="88">
        <f t="shared" ca="1" si="142"/>
        <v>1161276.6593366249</v>
      </c>
      <c r="CD15" s="88">
        <f t="shared" ca="1" si="142"/>
        <v>1160520.0892759745</v>
      </c>
      <c r="CE15" s="88">
        <f t="shared" ca="1" si="142"/>
        <v>1160520.0892759745</v>
      </c>
      <c r="CF15" s="88">
        <f t="shared" ca="1" si="142"/>
        <v>1160520.0892759745</v>
      </c>
      <c r="CG15" s="88">
        <f t="shared" ca="1" si="142"/>
        <v>677685.08927597466</v>
      </c>
      <c r="CH15" s="88">
        <f t="shared" ca="1" si="142"/>
        <v>677685.08927597466</v>
      </c>
      <c r="CI15" s="88">
        <f t="shared" ca="1" si="142"/>
        <v>677685.08927597466</v>
      </c>
      <c r="CJ15" s="88">
        <f t="shared" ca="1" si="142"/>
        <v>572170.0892759749</v>
      </c>
      <c r="CK15" s="88">
        <f t="shared" ca="1" si="143"/>
        <v>543701.615876892</v>
      </c>
      <c r="CL15" s="88">
        <f t="shared" ca="1" si="143"/>
        <v>287815.27094821213</v>
      </c>
      <c r="CM15" s="88">
        <f t="shared" ca="1" si="143"/>
        <v>287815.27094821213</v>
      </c>
      <c r="CN15" s="88">
        <f t="shared" ca="1" si="143"/>
        <v>287815.27094821213</v>
      </c>
      <c r="CO15" s="88">
        <f t="shared" ca="1" si="143"/>
        <v>269983.05512805074</v>
      </c>
      <c r="CP15" s="88">
        <f t="shared" ca="1" si="143"/>
        <v>269983.05512805074</v>
      </c>
      <c r="CQ15" s="88">
        <f t="shared" ca="1" si="143"/>
        <v>230818.32579035813</v>
      </c>
      <c r="CR15" s="88">
        <f t="shared" ca="1" si="143"/>
        <v>230818.32579035813</v>
      </c>
      <c r="CS15" s="88">
        <f t="shared" ca="1" si="143"/>
        <v>230818.32579035813</v>
      </c>
      <c r="CT15" s="88">
        <f t="shared" ca="1" si="143"/>
        <v>0</v>
      </c>
      <c r="CU15" s="88">
        <f t="shared" ca="1" si="144"/>
        <v>0</v>
      </c>
      <c r="CV15" s="88">
        <f t="shared" ca="1" si="144"/>
        <v>0</v>
      </c>
      <c r="CW15" s="88">
        <f t="shared" ca="1" si="144"/>
        <v>0</v>
      </c>
      <c r="CX15" s="88">
        <f t="shared" ca="1" si="144"/>
        <v>0</v>
      </c>
      <c r="CY15" s="88">
        <f t="shared" ca="1" si="144"/>
        <v>0</v>
      </c>
      <c r="CZ15" s="88">
        <f t="shared" ca="1" si="144"/>
        <v>0</v>
      </c>
      <c r="DA15" s="88">
        <f t="shared" ca="1" si="144"/>
        <v>0</v>
      </c>
      <c r="DB15" s="88">
        <f t="shared" ca="1" si="144"/>
        <v>0</v>
      </c>
      <c r="DC15" s="88">
        <f t="shared" ca="1" si="144"/>
        <v>0</v>
      </c>
      <c r="DD15" s="88">
        <f t="shared" ca="1" si="144"/>
        <v>0</v>
      </c>
      <c r="DE15" s="88">
        <f t="shared" ca="1" si="144"/>
        <v>0</v>
      </c>
      <c r="DF15" s="88">
        <f t="shared" ca="1" si="144"/>
        <v>0</v>
      </c>
      <c r="DG15" s="88">
        <f t="shared" ca="1" si="144"/>
        <v>0</v>
      </c>
      <c r="DH15" s="88">
        <f t="shared" ca="1" si="144"/>
        <v>0</v>
      </c>
      <c r="DI15" s="88">
        <f t="shared" ca="1" si="144"/>
        <v>0</v>
      </c>
      <c r="DJ15" s="169"/>
      <c r="DK15" s="88">
        <f t="shared" ca="1" si="145"/>
        <v>0</v>
      </c>
      <c r="DL15" s="88">
        <f t="shared" ca="1" si="145"/>
        <v>191.41089687882166</v>
      </c>
      <c r="DM15" s="88">
        <f t="shared" ca="1" si="145"/>
        <v>191.41089687882166</v>
      </c>
      <c r="DN15" s="88">
        <f t="shared" ca="1" si="145"/>
        <v>191.32458954815201</v>
      </c>
      <c r="DO15" s="88">
        <f t="shared" ca="1" si="145"/>
        <v>191.32458954815201</v>
      </c>
      <c r="DP15" s="88">
        <f t="shared" ca="1" si="145"/>
        <v>191.32458954815201</v>
      </c>
      <c r="DQ15" s="88">
        <f t="shared" ca="1" si="145"/>
        <v>142.58658954815203</v>
      </c>
      <c r="DR15" s="88">
        <f t="shared" ca="1" si="145"/>
        <v>142.58658954815203</v>
      </c>
      <c r="DS15" s="88">
        <f t="shared" ca="1" si="145"/>
        <v>142.58658954815203</v>
      </c>
      <c r="DT15" s="88">
        <f t="shared" ca="1" si="145"/>
        <v>130.54149822395109</v>
      </c>
      <c r="DU15" s="88">
        <f t="shared" ca="1" si="146"/>
        <v>118.49714409356989</v>
      </c>
      <c r="DV15" s="88">
        <f t="shared" ca="1" si="146"/>
        <v>95.861981383680046</v>
      </c>
      <c r="DW15" s="88">
        <f t="shared" ca="1" si="146"/>
        <v>95.861981383680046</v>
      </c>
      <c r="DX15" s="88">
        <f t="shared" ca="1" si="146"/>
        <v>95.861981383680046</v>
      </c>
      <c r="DY15" s="88">
        <f t="shared" ca="1" si="146"/>
        <v>95.017186319163912</v>
      </c>
      <c r="DZ15" s="88">
        <f t="shared" ca="1" si="146"/>
        <v>95.017186319163912</v>
      </c>
      <c r="EA15" s="88">
        <f t="shared" ca="1" si="146"/>
        <v>89.499783808182372</v>
      </c>
      <c r="EB15" s="88">
        <f t="shared" ca="1" si="146"/>
        <v>89.499783808182372</v>
      </c>
      <c r="EC15" s="88">
        <f t="shared" ca="1" si="146"/>
        <v>89.499783808182372</v>
      </c>
      <c r="ED15" s="88">
        <f t="shared" ca="1" si="146"/>
        <v>0</v>
      </c>
      <c r="EE15" s="88">
        <f t="shared" ca="1" si="147"/>
        <v>0</v>
      </c>
      <c r="EF15" s="88">
        <f t="shared" ca="1" si="147"/>
        <v>0</v>
      </c>
      <c r="EG15" s="88">
        <f t="shared" ca="1" si="147"/>
        <v>0</v>
      </c>
      <c r="EH15" s="88">
        <f t="shared" ca="1" si="147"/>
        <v>0</v>
      </c>
      <c r="EI15" s="88">
        <f t="shared" ca="1" si="147"/>
        <v>0</v>
      </c>
      <c r="EJ15" s="88">
        <f t="shared" ca="1" si="147"/>
        <v>0</v>
      </c>
      <c r="EK15" s="88">
        <f t="shared" ca="1" si="147"/>
        <v>0</v>
      </c>
      <c r="EL15" s="88">
        <f t="shared" ca="1" si="147"/>
        <v>0</v>
      </c>
      <c r="EM15" s="88">
        <f t="shared" ca="1" si="147"/>
        <v>0</v>
      </c>
      <c r="EN15" s="88">
        <f t="shared" ca="1" si="147"/>
        <v>0</v>
      </c>
      <c r="EO15" s="88">
        <f t="shared" ca="1" si="147"/>
        <v>0</v>
      </c>
      <c r="EP15" s="88">
        <f t="shared" ca="1" si="147"/>
        <v>0</v>
      </c>
      <c r="EQ15" s="88">
        <f t="shared" ca="1" si="147"/>
        <v>0</v>
      </c>
      <c r="ER15" s="88">
        <f t="shared" ca="1" si="147"/>
        <v>0</v>
      </c>
      <c r="ES15" s="88">
        <f t="shared" ca="1" si="147"/>
        <v>0</v>
      </c>
      <c r="ET15" s="169"/>
      <c r="EU15" s="88">
        <f t="shared" ca="1" si="148"/>
        <v>0</v>
      </c>
      <c r="EV15" s="88">
        <f t="shared" ca="1" si="148"/>
        <v>0</v>
      </c>
      <c r="EW15" s="88">
        <f t="shared" ca="1" si="148"/>
        <v>0</v>
      </c>
      <c r="EX15" s="88">
        <f t="shared" ca="1" si="148"/>
        <v>0</v>
      </c>
      <c r="EY15" s="88">
        <f t="shared" ca="1" si="148"/>
        <v>0</v>
      </c>
      <c r="EZ15" s="88">
        <f t="shared" ca="1" si="148"/>
        <v>0</v>
      </c>
      <c r="FA15" s="88">
        <f t="shared" ca="1" si="148"/>
        <v>0</v>
      </c>
      <c r="FB15" s="88">
        <f t="shared" ca="1" si="148"/>
        <v>0</v>
      </c>
      <c r="FC15" s="88">
        <f t="shared" ca="1" si="148"/>
        <v>0</v>
      </c>
      <c r="FD15" s="88">
        <f t="shared" ca="1" si="148"/>
        <v>0</v>
      </c>
      <c r="FE15" s="88">
        <f t="shared" ca="1" si="149"/>
        <v>0</v>
      </c>
      <c r="FF15" s="88">
        <f t="shared" ca="1" si="149"/>
        <v>0</v>
      </c>
      <c r="FG15" s="88">
        <f t="shared" ca="1" si="149"/>
        <v>0</v>
      </c>
      <c r="FH15" s="88">
        <f t="shared" ca="1" si="149"/>
        <v>0</v>
      </c>
      <c r="FI15" s="88">
        <f t="shared" ca="1" si="149"/>
        <v>0</v>
      </c>
      <c r="FJ15" s="88">
        <f t="shared" ca="1" si="149"/>
        <v>0</v>
      </c>
      <c r="FK15" s="88">
        <f t="shared" ca="1" si="149"/>
        <v>0</v>
      </c>
      <c r="FL15" s="88">
        <f t="shared" ca="1" si="149"/>
        <v>0</v>
      </c>
      <c r="FM15" s="88">
        <f t="shared" ca="1" si="149"/>
        <v>0</v>
      </c>
      <c r="FN15" s="88">
        <f t="shared" ca="1" si="149"/>
        <v>0</v>
      </c>
      <c r="FO15" s="88">
        <f t="shared" ca="1" si="150"/>
        <v>0</v>
      </c>
      <c r="FP15" s="88">
        <f t="shared" ca="1" si="150"/>
        <v>0</v>
      </c>
      <c r="FQ15" s="88">
        <f t="shared" ca="1" si="150"/>
        <v>0</v>
      </c>
      <c r="FR15" s="88">
        <f t="shared" ca="1" si="150"/>
        <v>0</v>
      </c>
      <c r="FS15" s="88">
        <f t="shared" ca="1" si="150"/>
        <v>0</v>
      </c>
      <c r="FT15" s="88">
        <f t="shared" ca="1" si="150"/>
        <v>0</v>
      </c>
      <c r="FU15" s="88">
        <f t="shared" ca="1" si="150"/>
        <v>0</v>
      </c>
      <c r="FV15" s="88">
        <f t="shared" ca="1" si="150"/>
        <v>0</v>
      </c>
      <c r="FW15" s="88">
        <f t="shared" ca="1" si="150"/>
        <v>0</v>
      </c>
      <c r="FX15" s="88">
        <f t="shared" ca="1" si="150"/>
        <v>0</v>
      </c>
      <c r="FY15" s="88">
        <f t="shared" ca="1" si="150"/>
        <v>0</v>
      </c>
      <c r="FZ15" s="88">
        <f t="shared" ca="1" si="150"/>
        <v>0</v>
      </c>
      <c r="GA15" s="88">
        <f t="shared" ca="1" si="150"/>
        <v>0</v>
      </c>
      <c r="GB15" s="88">
        <f t="shared" ca="1" si="150"/>
        <v>0</v>
      </c>
      <c r="GC15" s="88">
        <f t="shared" ca="1" si="150"/>
        <v>0</v>
      </c>
      <c r="GD15" s="60"/>
    </row>
    <row r="16" spans="1:186" s="54" customFormat="1">
      <c r="A16" s="61"/>
      <c r="B16" s="100" t="str">
        <f t="shared" si="0"/>
        <v>Residential_All_All_All_2019</v>
      </c>
      <c r="C16" s="146"/>
      <c r="D16" s="136" t="s">
        <v>2</v>
      </c>
      <c r="E16" s="136" t="s">
        <v>98</v>
      </c>
      <c r="F16" s="136" t="s">
        <v>98</v>
      </c>
      <c r="G16" s="136" t="s">
        <v>98</v>
      </c>
      <c r="H16" s="136">
        <v>2019</v>
      </c>
      <c r="I16" s="55"/>
      <c r="J16" s="58">
        <f t="shared" ca="1" si="125"/>
        <v>0.86130016983458602</v>
      </c>
      <c r="K16" s="58">
        <f t="shared" ca="1" si="151"/>
        <v>1.1770388662108571</v>
      </c>
      <c r="L16" s="58">
        <f t="shared" ca="1" si="126"/>
        <v>6.5417507103608203</v>
      </c>
      <c r="M16" s="58">
        <f t="shared" ca="1" si="127"/>
        <v>1.1452248195181318</v>
      </c>
      <c r="N16" s="58">
        <f t="shared" ca="1" si="128"/>
        <v>0.23265552497450534</v>
      </c>
      <c r="O16" s="55"/>
      <c r="P16" s="175">
        <f ca="1">IFERROR(($AW16+AV16)/SUMPRODUCT($CA16:$DI16,'General Inputs'!$F$51:$AN$51),"n/a")</f>
        <v>3.0829933028508835E-2</v>
      </c>
      <c r="Q16" s="175">
        <f t="shared" ca="1" si="129"/>
        <v>0.19840897488308118</v>
      </c>
      <c r="R16" s="56">
        <f t="shared" ca="1" si="152"/>
        <v>11491.595465254248</v>
      </c>
      <c r="S16" s="55"/>
      <c r="T16" s="56"/>
      <c r="U16" s="146"/>
      <c r="V16" s="137"/>
      <c r="W16" s="55"/>
      <c r="X16" s="138">
        <f t="shared" ca="1" si="130"/>
        <v>1186736.2231912734</v>
      </c>
      <c r="Y16" s="138">
        <f t="shared" ca="1" si="130"/>
        <v>202.44961166786581</v>
      </c>
      <c r="Z16" s="138">
        <f t="shared" ca="1" si="130"/>
        <v>0</v>
      </c>
      <c r="AA16" s="55"/>
      <c r="AB16" s="138">
        <f t="shared" ca="1" si="131"/>
        <v>0</v>
      </c>
      <c r="AC16" s="138">
        <f t="shared" ca="1" si="131"/>
        <v>0</v>
      </c>
      <c r="AD16" s="138">
        <f t="shared" ca="1" si="131"/>
        <v>0</v>
      </c>
      <c r="AE16" s="55"/>
      <c r="AF16" s="57">
        <f t="shared" ca="1" si="132"/>
        <v>0</v>
      </c>
      <c r="AG16" s="57">
        <f t="shared" ca="1" si="132"/>
        <v>156890.5</v>
      </c>
      <c r="AH16" s="57">
        <f t="shared" ca="1" si="132"/>
        <v>0</v>
      </c>
      <c r="AI16" s="57">
        <f t="shared" ca="1" si="132"/>
        <v>70575</v>
      </c>
      <c r="AJ16" s="57">
        <f t="shared" ca="1" si="132"/>
        <v>0</v>
      </c>
      <c r="AK16" s="63"/>
      <c r="AL16" s="88"/>
      <c r="AM16" s="57">
        <f ca="1">SUMIFS(OFFSET('Program Inputs'!$N$5,,,TotalPrograms),OFFSET('Program Inputs'!$B$5,,,TotalPrograms),SUBSTITUTE($B16,"All","*"))+AF16</f>
        <v>164884.11749999999</v>
      </c>
      <c r="AN16" s="57">
        <f t="shared" ca="1" si="153"/>
        <v>235459.11749999999</v>
      </c>
      <c r="AO16" s="55"/>
      <c r="AP16" s="59">
        <f t="shared" ca="1" si="154"/>
        <v>233953.33981139731</v>
      </c>
      <c r="AQ16" s="59">
        <f t="shared" ca="1" si="155"/>
        <v>271628.11294502404</v>
      </c>
      <c r="AR16" s="59">
        <f t="shared" ca="1" si="135"/>
        <v>203893.00439033605</v>
      </c>
      <c r="AS16" s="59">
        <f t="shared" ca="1" si="135"/>
        <v>30060.335421061263</v>
      </c>
      <c r="AT16" s="59">
        <f t="shared" ca="1" si="135"/>
        <v>0</v>
      </c>
      <c r="AU16" s="59">
        <f t="shared" ca="1" si="135"/>
        <v>0</v>
      </c>
      <c r="AV16" s="59">
        <f t="shared" ca="1" si="135"/>
        <v>59576.340172621203</v>
      </c>
      <c r="AW16" s="57">
        <f ca="1">INDEX('General Inputs'!$F$51:$AN$51,MATCH($H16,'General Inputs'!$F$50:$AN$50,0))*$AM16</f>
        <v>139187.9882854048</v>
      </c>
      <c r="AX16" s="59">
        <f t="shared" ca="1" si="136"/>
        <v>132440.12465961924</v>
      </c>
      <c r="AY16" s="55"/>
      <c r="AZ16" s="59">
        <f t="shared" ca="1" si="137"/>
        <v>203893.00439033605</v>
      </c>
      <c r="BA16" s="59">
        <f t="shared" ca="1" si="137"/>
        <v>30060.335421061263</v>
      </c>
      <c r="BB16" s="59">
        <f t="shared" ca="1" si="137"/>
        <v>0</v>
      </c>
      <c r="BC16" s="59">
        <f t="shared" ca="1" si="137"/>
        <v>59576.340172621203</v>
      </c>
      <c r="BD16" s="57">
        <f ca="1">INDEX('General Inputs'!$F$51:$AN$51,MATCH($H16,'General Inputs'!$F$50:$AN$50,0))*$AM16</f>
        <v>139187.9882854048</v>
      </c>
      <c r="BE16" s="55"/>
      <c r="BF16" s="59">
        <f t="shared" ca="1" si="138"/>
        <v>806813.93939971854</v>
      </c>
      <c r="BG16" s="59">
        <f t="shared" ca="1" si="138"/>
        <v>0</v>
      </c>
      <c r="BH16" s="57">
        <f t="shared" ca="1" si="138"/>
        <v>59576.340172621203</v>
      </c>
      <c r="BI16" s="59">
        <f t="shared" ca="1" si="138"/>
        <v>132440.12465961924</v>
      </c>
      <c r="BJ16" s="55"/>
      <c r="BK16" s="59">
        <f t="shared" ca="1" si="139"/>
        <v>203893.00439033605</v>
      </c>
      <c r="BL16" s="59">
        <f t="shared" ca="1" si="139"/>
        <v>30060.335421061263</v>
      </c>
      <c r="BM16" s="59">
        <f t="shared" ca="1" si="139"/>
        <v>0</v>
      </c>
      <c r="BN16" s="59">
        <f t="shared" ca="1" si="139"/>
        <v>0</v>
      </c>
      <c r="BO16" s="59">
        <f t="shared" ca="1" si="139"/>
        <v>77121.916812118579</v>
      </c>
      <c r="BP16" s="57">
        <f ca="1">INDEX('General Inputs'!$F$51:$AN$51,MATCH($H16,'General Inputs'!$F$50:$AN$50,0))*$AM16</f>
        <v>139187.9882854048</v>
      </c>
      <c r="BQ16" s="59">
        <f t="shared" ca="1" si="140"/>
        <v>132440.12465961924</v>
      </c>
      <c r="BR16" s="55"/>
      <c r="BS16" s="59">
        <f t="shared" ca="1" si="141"/>
        <v>203893.00439033605</v>
      </c>
      <c r="BT16" s="59">
        <f t="shared" ca="1" si="141"/>
        <v>30060.335421061263</v>
      </c>
      <c r="BU16" s="59">
        <f t="shared" ca="1" si="141"/>
        <v>0</v>
      </c>
      <c r="BV16" s="59">
        <f t="shared" ca="1" si="141"/>
        <v>806813.93939971854</v>
      </c>
      <c r="BW16" s="59">
        <f t="shared" ca="1" si="141"/>
        <v>0</v>
      </c>
      <c r="BX16" s="59">
        <f t="shared" ca="1" si="141"/>
        <v>59576.340172621203</v>
      </c>
      <c r="BY16" s="57">
        <f ca="1">INDEX('General Inputs'!$F$51:$AN$51,MATCH($H16,'General Inputs'!$F$50:$AN$50,0))*$AM16</f>
        <v>139187.9882854048</v>
      </c>
      <c r="BZ16" s="55"/>
      <c r="CA16" s="88">
        <f t="shared" ca="1" si="142"/>
        <v>0</v>
      </c>
      <c r="CB16" s="88">
        <f t="shared" ca="1" si="142"/>
        <v>0</v>
      </c>
      <c r="CC16" s="88">
        <f t="shared" ca="1" si="142"/>
        <v>1186736.2231912734</v>
      </c>
      <c r="CD16" s="88">
        <f t="shared" ca="1" si="142"/>
        <v>1186736.2231912734</v>
      </c>
      <c r="CE16" s="88">
        <f t="shared" ca="1" si="142"/>
        <v>1185979.653130623</v>
      </c>
      <c r="CF16" s="88">
        <f t="shared" ca="1" si="142"/>
        <v>1185979.653130623</v>
      </c>
      <c r="CG16" s="88">
        <f t="shared" ca="1" si="142"/>
        <v>1185979.653130623</v>
      </c>
      <c r="CH16" s="88">
        <f t="shared" ca="1" si="142"/>
        <v>703144.65313062328</v>
      </c>
      <c r="CI16" s="88">
        <f t="shared" ca="1" si="142"/>
        <v>703144.65313062328</v>
      </c>
      <c r="CJ16" s="88">
        <f t="shared" ca="1" si="142"/>
        <v>703144.65313062328</v>
      </c>
      <c r="CK16" s="88">
        <f t="shared" ca="1" si="143"/>
        <v>597629.65313062351</v>
      </c>
      <c r="CL16" s="88">
        <f t="shared" ca="1" si="143"/>
        <v>569161.17973154061</v>
      </c>
      <c r="CM16" s="88">
        <f t="shared" ca="1" si="143"/>
        <v>311326.8167924608</v>
      </c>
      <c r="CN16" s="88">
        <f t="shared" ca="1" si="143"/>
        <v>311326.8167924608</v>
      </c>
      <c r="CO16" s="88">
        <f t="shared" ca="1" si="143"/>
        <v>311326.8167924608</v>
      </c>
      <c r="CP16" s="88">
        <f t="shared" ca="1" si="143"/>
        <v>293494.60097229941</v>
      </c>
      <c r="CQ16" s="88">
        <f t="shared" ca="1" si="143"/>
        <v>293494.60097229941</v>
      </c>
      <c r="CR16" s="88">
        <f t="shared" ca="1" si="143"/>
        <v>254329.87163460677</v>
      </c>
      <c r="CS16" s="88">
        <f t="shared" ca="1" si="143"/>
        <v>254329.87163460677</v>
      </c>
      <c r="CT16" s="88">
        <f t="shared" ca="1" si="143"/>
        <v>254329.87163460677</v>
      </c>
      <c r="CU16" s="88">
        <f t="shared" ca="1" si="144"/>
        <v>0</v>
      </c>
      <c r="CV16" s="88">
        <f t="shared" ca="1" si="144"/>
        <v>0</v>
      </c>
      <c r="CW16" s="88">
        <f t="shared" ca="1" si="144"/>
        <v>0</v>
      </c>
      <c r="CX16" s="88">
        <f t="shared" ca="1" si="144"/>
        <v>0</v>
      </c>
      <c r="CY16" s="88">
        <f t="shared" ca="1" si="144"/>
        <v>0</v>
      </c>
      <c r="CZ16" s="88">
        <f t="shared" ca="1" si="144"/>
        <v>0</v>
      </c>
      <c r="DA16" s="88">
        <f t="shared" ca="1" si="144"/>
        <v>0</v>
      </c>
      <c r="DB16" s="88">
        <f t="shared" ca="1" si="144"/>
        <v>0</v>
      </c>
      <c r="DC16" s="88">
        <f t="shared" ca="1" si="144"/>
        <v>0</v>
      </c>
      <c r="DD16" s="88">
        <f t="shared" ca="1" si="144"/>
        <v>0</v>
      </c>
      <c r="DE16" s="88">
        <f t="shared" ca="1" si="144"/>
        <v>0</v>
      </c>
      <c r="DF16" s="88">
        <f t="shared" ca="1" si="144"/>
        <v>0</v>
      </c>
      <c r="DG16" s="88">
        <f t="shared" ca="1" si="144"/>
        <v>0</v>
      </c>
      <c r="DH16" s="88">
        <f t="shared" ca="1" si="144"/>
        <v>0</v>
      </c>
      <c r="DI16" s="88">
        <f t="shared" ca="1" si="144"/>
        <v>0</v>
      </c>
      <c r="DJ16" s="169"/>
      <c r="DK16" s="88">
        <f t="shared" ca="1" si="145"/>
        <v>0</v>
      </c>
      <c r="DL16" s="88">
        <f t="shared" ca="1" si="145"/>
        <v>0</v>
      </c>
      <c r="DM16" s="88">
        <f t="shared" ca="1" si="145"/>
        <v>202.44961166786581</v>
      </c>
      <c r="DN16" s="88">
        <f t="shared" ca="1" si="145"/>
        <v>202.44961166786581</v>
      </c>
      <c r="DO16" s="88">
        <f t="shared" ca="1" si="145"/>
        <v>202.36330433719615</v>
      </c>
      <c r="DP16" s="88">
        <f t="shared" ca="1" si="145"/>
        <v>202.36330433719615</v>
      </c>
      <c r="DQ16" s="88">
        <f t="shared" ca="1" si="145"/>
        <v>202.36330433719615</v>
      </c>
      <c r="DR16" s="88">
        <f t="shared" ca="1" si="145"/>
        <v>153.62530433719618</v>
      </c>
      <c r="DS16" s="88">
        <f t="shared" ca="1" si="145"/>
        <v>153.62530433719618</v>
      </c>
      <c r="DT16" s="88">
        <f t="shared" ca="1" si="145"/>
        <v>153.62530433719618</v>
      </c>
      <c r="DU16" s="88">
        <f t="shared" ca="1" si="146"/>
        <v>141.58021301299524</v>
      </c>
      <c r="DV16" s="88">
        <f t="shared" ca="1" si="146"/>
        <v>129.53585888261401</v>
      </c>
      <c r="DW16" s="88">
        <f t="shared" ca="1" si="146"/>
        <v>106.7297005395242</v>
      </c>
      <c r="DX16" s="88">
        <f t="shared" ca="1" si="146"/>
        <v>106.7297005395242</v>
      </c>
      <c r="DY16" s="88">
        <f t="shared" ca="1" si="146"/>
        <v>106.7297005395242</v>
      </c>
      <c r="DZ16" s="88">
        <f t="shared" ca="1" si="146"/>
        <v>105.88490547500807</v>
      </c>
      <c r="EA16" s="88">
        <f t="shared" ca="1" si="146"/>
        <v>105.88490547500807</v>
      </c>
      <c r="EB16" s="88">
        <f t="shared" ca="1" si="146"/>
        <v>100.36750296402653</v>
      </c>
      <c r="EC16" s="88">
        <f t="shared" ca="1" si="146"/>
        <v>100.36750296402653</v>
      </c>
      <c r="ED16" s="88">
        <f t="shared" ca="1" si="146"/>
        <v>100.36750296402653</v>
      </c>
      <c r="EE16" s="88">
        <f t="shared" ca="1" si="147"/>
        <v>0</v>
      </c>
      <c r="EF16" s="88">
        <f t="shared" ca="1" si="147"/>
        <v>0</v>
      </c>
      <c r="EG16" s="88">
        <f t="shared" ca="1" si="147"/>
        <v>0</v>
      </c>
      <c r="EH16" s="88">
        <f t="shared" ca="1" si="147"/>
        <v>0</v>
      </c>
      <c r="EI16" s="88">
        <f t="shared" ca="1" si="147"/>
        <v>0</v>
      </c>
      <c r="EJ16" s="88">
        <f t="shared" ca="1" si="147"/>
        <v>0</v>
      </c>
      <c r="EK16" s="88">
        <f t="shared" ca="1" si="147"/>
        <v>0</v>
      </c>
      <c r="EL16" s="88">
        <f t="shared" ca="1" si="147"/>
        <v>0</v>
      </c>
      <c r="EM16" s="88">
        <f t="shared" ca="1" si="147"/>
        <v>0</v>
      </c>
      <c r="EN16" s="88">
        <f t="shared" ca="1" si="147"/>
        <v>0</v>
      </c>
      <c r="EO16" s="88">
        <f t="shared" ca="1" si="147"/>
        <v>0</v>
      </c>
      <c r="EP16" s="88">
        <f t="shared" ca="1" si="147"/>
        <v>0</v>
      </c>
      <c r="EQ16" s="88">
        <f t="shared" ca="1" si="147"/>
        <v>0</v>
      </c>
      <c r="ER16" s="88">
        <f t="shared" ca="1" si="147"/>
        <v>0</v>
      </c>
      <c r="ES16" s="88">
        <f t="shared" ca="1" si="147"/>
        <v>0</v>
      </c>
      <c r="ET16" s="169"/>
      <c r="EU16" s="88">
        <f t="shared" ca="1" si="148"/>
        <v>0</v>
      </c>
      <c r="EV16" s="88">
        <f t="shared" ca="1" si="148"/>
        <v>0</v>
      </c>
      <c r="EW16" s="88">
        <f t="shared" ca="1" si="148"/>
        <v>0</v>
      </c>
      <c r="EX16" s="88">
        <f t="shared" ca="1" si="148"/>
        <v>0</v>
      </c>
      <c r="EY16" s="88">
        <f t="shared" ca="1" si="148"/>
        <v>0</v>
      </c>
      <c r="EZ16" s="88">
        <f t="shared" ca="1" si="148"/>
        <v>0</v>
      </c>
      <c r="FA16" s="88">
        <f t="shared" ca="1" si="148"/>
        <v>0</v>
      </c>
      <c r="FB16" s="88">
        <f t="shared" ca="1" si="148"/>
        <v>0</v>
      </c>
      <c r="FC16" s="88">
        <f t="shared" ca="1" si="148"/>
        <v>0</v>
      </c>
      <c r="FD16" s="88">
        <f t="shared" ca="1" si="148"/>
        <v>0</v>
      </c>
      <c r="FE16" s="88">
        <f t="shared" ca="1" si="149"/>
        <v>0</v>
      </c>
      <c r="FF16" s="88">
        <f t="shared" ca="1" si="149"/>
        <v>0</v>
      </c>
      <c r="FG16" s="88">
        <f t="shared" ca="1" si="149"/>
        <v>0</v>
      </c>
      <c r="FH16" s="88">
        <f t="shared" ca="1" si="149"/>
        <v>0</v>
      </c>
      <c r="FI16" s="88">
        <f t="shared" ca="1" si="149"/>
        <v>0</v>
      </c>
      <c r="FJ16" s="88">
        <f t="shared" ca="1" si="149"/>
        <v>0</v>
      </c>
      <c r="FK16" s="88">
        <f t="shared" ca="1" si="149"/>
        <v>0</v>
      </c>
      <c r="FL16" s="88">
        <f t="shared" ca="1" si="149"/>
        <v>0</v>
      </c>
      <c r="FM16" s="88">
        <f t="shared" ca="1" si="149"/>
        <v>0</v>
      </c>
      <c r="FN16" s="88">
        <f t="shared" ca="1" si="149"/>
        <v>0</v>
      </c>
      <c r="FO16" s="88">
        <f t="shared" ca="1" si="150"/>
        <v>0</v>
      </c>
      <c r="FP16" s="88">
        <f t="shared" ca="1" si="150"/>
        <v>0</v>
      </c>
      <c r="FQ16" s="88">
        <f t="shared" ca="1" si="150"/>
        <v>0</v>
      </c>
      <c r="FR16" s="88">
        <f t="shared" ca="1" si="150"/>
        <v>0</v>
      </c>
      <c r="FS16" s="88">
        <f t="shared" ca="1" si="150"/>
        <v>0</v>
      </c>
      <c r="FT16" s="88">
        <f t="shared" ca="1" si="150"/>
        <v>0</v>
      </c>
      <c r="FU16" s="88">
        <f t="shared" ca="1" si="150"/>
        <v>0</v>
      </c>
      <c r="FV16" s="88">
        <f t="shared" ca="1" si="150"/>
        <v>0</v>
      </c>
      <c r="FW16" s="88">
        <f t="shared" ca="1" si="150"/>
        <v>0</v>
      </c>
      <c r="FX16" s="88">
        <f t="shared" ca="1" si="150"/>
        <v>0</v>
      </c>
      <c r="FY16" s="88">
        <f t="shared" ca="1" si="150"/>
        <v>0</v>
      </c>
      <c r="FZ16" s="88">
        <f t="shared" ca="1" si="150"/>
        <v>0</v>
      </c>
      <c r="GA16" s="88">
        <f t="shared" ca="1" si="150"/>
        <v>0</v>
      </c>
      <c r="GB16" s="88">
        <f t="shared" ca="1" si="150"/>
        <v>0</v>
      </c>
      <c r="GC16" s="88">
        <f t="shared" ca="1" si="150"/>
        <v>0</v>
      </c>
      <c r="GD16" s="60"/>
    </row>
    <row r="17" spans="1:186" s="54" customFormat="1">
      <c r="A17" s="61"/>
      <c r="B17" s="100" t="str">
        <f t="shared" si="0"/>
        <v>C&amp;I_All_All_All_2017</v>
      </c>
      <c r="C17" s="146"/>
      <c r="D17" s="136" t="s">
        <v>256</v>
      </c>
      <c r="E17" s="136" t="s">
        <v>98</v>
      </c>
      <c r="F17" s="136" t="s">
        <v>98</v>
      </c>
      <c r="G17" s="136" t="s">
        <v>98</v>
      </c>
      <c r="H17" s="136">
        <v>2017</v>
      </c>
      <c r="I17" s="55"/>
      <c r="J17" s="58">
        <f t="shared" ca="1" si="125"/>
        <v>1.0348572386002628</v>
      </c>
      <c r="K17" s="58">
        <f ca="1">IFERROR(SUMIFS($AZ17:$BD17,$AZ$7:$BD$7,"BENEFIT")/SUMIFS($AZ17:$BD17,$AZ$7:$BD$7,"COST"),"n/a")</f>
        <v>1.8642334073241738</v>
      </c>
      <c r="L17" s="58">
        <f t="shared" ca="1" si="126"/>
        <v>0.42323242580105025</v>
      </c>
      <c r="M17" s="58">
        <f t="shared" ca="1" si="127"/>
        <v>1.3722044047811113</v>
      </c>
      <c r="N17" s="58">
        <f t="shared" ca="1" si="128"/>
        <v>1.8642334073241738</v>
      </c>
      <c r="O17" s="55"/>
      <c r="P17" s="175">
        <f ca="1">IFERROR(($AW17+AV17)/SUMPRODUCT($CA17:$DI17,'General Inputs'!$F$51:$AN$51),"n/a")</f>
        <v>1.9684076304023315E-2</v>
      </c>
      <c r="Q17" s="175">
        <f t="shared" ca="1" si="129"/>
        <v>0.16220666988200277</v>
      </c>
      <c r="R17" s="56">
        <f t="shared" ref="R17" ca="1" si="156">SUM(CA17:DI17)/1000</f>
        <v>57401.805206947734</v>
      </c>
      <c r="S17" s="55"/>
      <c r="T17" s="56"/>
      <c r="U17" s="146"/>
      <c r="V17" s="137"/>
      <c r="W17" s="55"/>
      <c r="X17" s="138">
        <f t="shared" ca="1" si="130"/>
        <v>4281904.0703150667</v>
      </c>
      <c r="Y17" s="138">
        <f t="shared" ca="1" si="130"/>
        <v>1070.0333302987601</v>
      </c>
      <c r="Z17" s="138">
        <f t="shared" ca="1" si="130"/>
        <v>0</v>
      </c>
      <c r="AA17" s="55"/>
      <c r="AB17" s="138">
        <f t="shared" ca="1" si="131"/>
        <v>0</v>
      </c>
      <c r="AC17" s="138">
        <f t="shared" ca="1" si="131"/>
        <v>0</v>
      </c>
      <c r="AD17" s="138">
        <f t="shared" ca="1" si="131"/>
        <v>0</v>
      </c>
      <c r="AE17" s="55"/>
      <c r="AF17" s="57">
        <f t="shared" ca="1" si="132"/>
        <v>0</v>
      </c>
      <c r="AG17" s="57">
        <f t="shared" ca="1" si="132"/>
        <v>965108</v>
      </c>
      <c r="AH17" s="57">
        <f t="shared" ca="1" si="132"/>
        <v>0</v>
      </c>
      <c r="AI17" s="57">
        <f t="shared" ca="1" si="132"/>
        <v>408465</v>
      </c>
      <c r="AJ17" s="57">
        <f t="shared" ca="1" si="132"/>
        <v>0</v>
      </c>
      <c r="AK17" s="63"/>
      <c r="AL17" s="88"/>
      <c r="AM17" s="57">
        <f ca="1">SUMIFS(OFFSET('Program Inputs'!$N$5,,,TotalPrograms),OFFSET('Program Inputs'!$B$5,,,TotalPrograms),SUBSTITUTE($B17,"All","*"))+AF17</f>
        <v>286088.40000000002</v>
      </c>
      <c r="AN17" s="57">
        <f t="shared" ref="AN17" ca="1" si="157">AM17+AI17</f>
        <v>694553.4</v>
      </c>
      <c r="AO17" s="55"/>
      <c r="AP17" s="59">
        <f t="shared" ca="1" si="133"/>
        <v>1294809.6514505898</v>
      </c>
      <c r="AQ17" s="59">
        <f t="shared" ca="1" si="134"/>
        <v>1251196.3999999999</v>
      </c>
      <c r="AR17" s="59">
        <f t="shared" ca="1" si="135"/>
        <v>1099483.1342057819</v>
      </c>
      <c r="AS17" s="59">
        <f t="shared" ca="1" si="135"/>
        <v>195326.51724480788</v>
      </c>
      <c r="AT17" s="59">
        <f t="shared" ca="1" si="135"/>
        <v>0</v>
      </c>
      <c r="AU17" s="59">
        <f t="shared" ca="1" si="135"/>
        <v>0</v>
      </c>
      <c r="AV17" s="59">
        <f t="shared" ca="1" si="135"/>
        <v>408465</v>
      </c>
      <c r="AW17" s="57">
        <f ca="1">INDEX('General Inputs'!$F$51:$AN$51,MATCH($H17,'General Inputs'!$F$50:$AN$50,0))*$AM17</f>
        <v>286088.40000000002</v>
      </c>
      <c r="AX17" s="59">
        <f t="shared" ca="1" si="136"/>
        <v>965108</v>
      </c>
      <c r="AY17" s="55"/>
      <c r="AZ17" s="59">
        <f t="shared" ca="1" si="137"/>
        <v>1099483.1342057819</v>
      </c>
      <c r="BA17" s="59">
        <f t="shared" ca="1" si="137"/>
        <v>195326.51724480788</v>
      </c>
      <c r="BB17" s="59">
        <f t="shared" ca="1" si="137"/>
        <v>0</v>
      </c>
      <c r="BC17" s="59">
        <f t="shared" ca="1" si="137"/>
        <v>408465</v>
      </c>
      <c r="BD17" s="57">
        <f ca="1">INDEX('General Inputs'!$F$51:$AN$51,MATCH($H17,'General Inputs'!$F$50:$AN$50,0))*$AM17</f>
        <v>286088.40000000002</v>
      </c>
      <c r="BE17" s="55"/>
      <c r="BF17" s="59">
        <f t="shared" ca="1" si="138"/>
        <v>0</v>
      </c>
      <c r="BG17" s="59">
        <f t="shared" ca="1" si="138"/>
        <v>0</v>
      </c>
      <c r="BH17" s="57">
        <f t="shared" ca="1" si="138"/>
        <v>408465</v>
      </c>
      <c r="BI17" s="59">
        <f t="shared" ca="1" si="138"/>
        <v>965108</v>
      </c>
      <c r="BJ17" s="55"/>
      <c r="BK17" s="59">
        <f t="shared" ca="1" si="139"/>
        <v>1099483.1342057819</v>
      </c>
      <c r="BL17" s="59">
        <f t="shared" ca="1" si="139"/>
        <v>195326.51724480788</v>
      </c>
      <c r="BM17" s="59">
        <f t="shared" ca="1" si="139"/>
        <v>0</v>
      </c>
      <c r="BN17" s="59">
        <f t="shared" ca="1" si="139"/>
        <v>0</v>
      </c>
      <c r="BO17" s="59">
        <f t="shared" ca="1" si="139"/>
        <v>422087.55987567914</v>
      </c>
      <c r="BP17" s="57">
        <f ca="1">INDEX('General Inputs'!$F$51:$AN$51,MATCH($H17,'General Inputs'!$F$50:$AN$50,0))*$AM17</f>
        <v>286088.40000000002</v>
      </c>
      <c r="BQ17" s="59">
        <f t="shared" ca="1" si="140"/>
        <v>965108</v>
      </c>
      <c r="BR17" s="55"/>
      <c r="BS17" s="59">
        <f t="shared" ca="1" si="141"/>
        <v>1099483.1342057819</v>
      </c>
      <c r="BT17" s="59">
        <f t="shared" ca="1" si="141"/>
        <v>195326.51724480788</v>
      </c>
      <c r="BU17" s="59">
        <f t="shared" ca="1" si="141"/>
        <v>0</v>
      </c>
      <c r="BV17" s="59">
        <f t="shared" ca="1" si="141"/>
        <v>0</v>
      </c>
      <c r="BW17" s="59">
        <f t="shared" ca="1" si="141"/>
        <v>0</v>
      </c>
      <c r="BX17" s="59">
        <f t="shared" ca="1" si="141"/>
        <v>408465</v>
      </c>
      <c r="BY17" s="57">
        <f ca="1">INDEX('General Inputs'!$F$51:$AN$51,MATCH($H17,'General Inputs'!$F$50:$AN$50,0))*$AM17</f>
        <v>286088.40000000002</v>
      </c>
      <c r="BZ17" s="55"/>
      <c r="CA17" s="88">
        <f t="shared" ca="1" si="142"/>
        <v>4281904.0703150667</v>
      </c>
      <c r="CB17" s="88">
        <f t="shared" ca="1" si="142"/>
        <v>4281904.0703150667</v>
      </c>
      <c r="CC17" s="88">
        <f t="shared" ca="1" si="142"/>
        <v>4281904.0703150667</v>
      </c>
      <c r="CD17" s="88">
        <f t="shared" ca="1" si="142"/>
        <v>4281904.0703150667</v>
      </c>
      <c r="CE17" s="88">
        <f t="shared" ca="1" si="142"/>
        <v>4281904.0703150667</v>
      </c>
      <c r="CF17" s="88">
        <f t="shared" ca="1" si="142"/>
        <v>4281904.0703150667</v>
      </c>
      <c r="CG17" s="88">
        <f t="shared" ca="1" si="142"/>
        <v>4281904.0703150667</v>
      </c>
      <c r="CH17" s="88">
        <f t="shared" ca="1" si="142"/>
        <v>4281904.0703150667</v>
      </c>
      <c r="CI17" s="88">
        <f t="shared" ca="1" si="142"/>
        <v>3642027.0943370671</v>
      </c>
      <c r="CJ17" s="88">
        <f t="shared" ca="1" si="142"/>
        <v>3642027.0943370671</v>
      </c>
      <c r="CK17" s="88">
        <f t="shared" ca="1" si="143"/>
        <v>3201569.823837067</v>
      </c>
      <c r="CL17" s="88">
        <f t="shared" ca="1" si="143"/>
        <v>3201569.823837067</v>
      </c>
      <c r="CM17" s="88">
        <f t="shared" ca="1" si="143"/>
        <v>3201569.823837067</v>
      </c>
      <c r="CN17" s="88">
        <f t="shared" ca="1" si="143"/>
        <v>3187304.0511809378</v>
      </c>
      <c r="CO17" s="88">
        <f t="shared" ca="1" si="143"/>
        <v>3000817.3810609374</v>
      </c>
      <c r="CP17" s="88">
        <f t="shared" ca="1" si="143"/>
        <v>69687.551999999981</v>
      </c>
      <c r="CQ17" s="88">
        <f t="shared" ca="1" si="143"/>
        <v>0</v>
      </c>
      <c r="CR17" s="88">
        <f t="shared" ca="1" si="143"/>
        <v>0</v>
      </c>
      <c r="CS17" s="88">
        <f t="shared" ca="1" si="143"/>
        <v>0</v>
      </c>
      <c r="CT17" s="88">
        <f t="shared" ca="1" si="143"/>
        <v>0</v>
      </c>
      <c r="CU17" s="88">
        <f t="shared" ca="1" si="144"/>
        <v>0</v>
      </c>
      <c r="CV17" s="88">
        <f t="shared" ca="1" si="144"/>
        <v>0</v>
      </c>
      <c r="CW17" s="88">
        <f t="shared" ca="1" si="144"/>
        <v>0</v>
      </c>
      <c r="CX17" s="88">
        <f t="shared" ca="1" si="144"/>
        <v>0</v>
      </c>
      <c r="CY17" s="88">
        <f t="shared" ca="1" si="144"/>
        <v>0</v>
      </c>
      <c r="CZ17" s="88">
        <f t="shared" ca="1" si="144"/>
        <v>0</v>
      </c>
      <c r="DA17" s="88">
        <f t="shared" ca="1" si="144"/>
        <v>0</v>
      </c>
      <c r="DB17" s="88">
        <f t="shared" ca="1" si="144"/>
        <v>0</v>
      </c>
      <c r="DC17" s="88">
        <f t="shared" ca="1" si="144"/>
        <v>0</v>
      </c>
      <c r="DD17" s="88">
        <f t="shared" ca="1" si="144"/>
        <v>0</v>
      </c>
      <c r="DE17" s="88">
        <f t="shared" ca="1" si="144"/>
        <v>0</v>
      </c>
      <c r="DF17" s="88">
        <f t="shared" ca="1" si="144"/>
        <v>0</v>
      </c>
      <c r="DG17" s="88">
        <f t="shared" ca="1" si="144"/>
        <v>0</v>
      </c>
      <c r="DH17" s="88">
        <f t="shared" ca="1" si="144"/>
        <v>0</v>
      </c>
      <c r="DI17" s="88">
        <f t="shared" ca="1" si="144"/>
        <v>0</v>
      </c>
      <c r="DJ17" s="169"/>
      <c r="DK17" s="88">
        <f t="shared" ca="1" si="145"/>
        <v>1070.0333302987601</v>
      </c>
      <c r="DL17" s="88">
        <f t="shared" ca="1" si="145"/>
        <v>1070.0333302987601</v>
      </c>
      <c r="DM17" s="88">
        <f t="shared" ca="1" si="145"/>
        <v>1070.0333302987601</v>
      </c>
      <c r="DN17" s="88">
        <f t="shared" ca="1" si="145"/>
        <v>1070.0333302987601</v>
      </c>
      <c r="DO17" s="88">
        <f t="shared" ca="1" si="145"/>
        <v>1070.0333302987601</v>
      </c>
      <c r="DP17" s="88">
        <f t="shared" ca="1" si="145"/>
        <v>1070.0333302987601</v>
      </c>
      <c r="DQ17" s="88">
        <f t="shared" ca="1" si="145"/>
        <v>1070.0333302987601</v>
      </c>
      <c r="DR17" s="88">
        <f t="shared" ca="1" si="145"/>
        <v>1070.0333302987601</v>
      </c>
      <c r="DS17" s="88">
        <f t="shared" ca="1" si="145"/>
        <v>874.88908029876029</v>
      </c>
      <c r="DT17" s="88">
        <f t="shared" ca="1" si="145"/>
        <v>874.88908029876029</v>
      </c>
      <c r="DU17" s="88">
        <f t="shared" ca="1" si="146"/>
        <v>766.05758029876029</v>
      </c>
      <c r="DV17" s="88">
        <f t="shared" ca="1" si="146"/>
        <v>766.05758029876029</v>
      </c>
      <c r="DW17" s="88">
        <f t="shared" ca="1" si="146"/>
        <v>766.05758029876029</v>
      </c>
      <c r="DX17" s="88">
        <f t="shared" ca="1" si="146"/>
        <v>765.38174424714737</v>
      </c>
      <c r="DY17" s="88">
        <f t="shared" ca="1" si="146"/>
        <v>725.93583224714735</v>
      </c>
      <c r="DZ17" s="88">
        <f t="shared" ca="1" si="146"/>
        <v>9.3632000000000009</v>
      </c>
      <c r="EA17" s="88">
        <f t="shared" ca="1" si="146"/>
        <v>0</v>
      </c>
      <c r="EB17" s="88">
        <f t="shared" ca="1" si="146"/>
        <v>0</v>
      </c>
      <c r="EC17" s="88">
        <f t="shared" ca="1" si="146"/>
        <v>0</v>
      </c>
      <c r="ED17" s="88">
        <f t="shared" ca="1" si="146"/>
        <v>0</v>
      </c>
      <c r="EE17" s="88">
        <f t="shared" ca="1" si="147"/>
        <v>0</v>
      </c>
      <c r="EF17" s="88">
        <f t="shared" ca="1" si="147"/>
        <v>0</v>
      </c>
      <c r="EG17" s="88">
        <f t="shared" ca="1" si="147"/>
        <v>0</v>
      </c>
      <c r="EH17" s="88">
        <f t="shared" ca="1" si="147"/>
        <v>0</v>
      </c>
      <c r="EI17" s="88">
        <f t="shared" ca="1" si="147"/>
        <v>0</v>
      </c>
      <c r="EJ17" s="88">
        <f t="shared" ca="1" si="147"/>
        <v>0</v>
      </c>
      <c r="EK17" s="88">
        <f t="shared" ca="1" si="147"/>
        <v>0</v>
      </c>
      <c r="EL17" s="88">
        <f t="shared" ca="1" si="147"/>
        <v>0</v>
      </c>
      <c r="EM17" s="88">
        <f t="shared" ca="1" si="147"/>
        <v>0</v>
      </c>
      <c r="EN17" s="88">
        <f t="shared" ca="1" si="147"/>
        <v>0</v>
      </c>
      <c r="EO17" s="88">
        <f t="shared" ca="1" si="147"/>
        <v>0</v>
      </c>
      <c r="EP17" s="88">
        <f t="shared" ca="1" si="147"/>
        <v>0</v>
      </c>
      <c r="EQ17" s="88">
        <f t="shared" ca="1" si="147"/>
        <v>0</v>
      </c>
      <c r="ER17" s="88">
        <f t="shared" ca="1" si="147"/>
        <v>0</v>
      </c>
      <c r="ES17" s="88">
        <f t="shared" ca="1" si="147"/>
        <v>0</v>
      </c>
      <c r="ET17" s="169"/>
      <c r="EU17" s="88">
        <f t="shared" ca="1" si="148"/>
        <v>0</v>
      </c>
      <c r="EV17" s="88">
        <f t="shared" ca="1" si="148"/>
        <v>0</v>
      </c>
      <c r="EW17" s="88">
        <f t="shared" ca="1" si="148"/>
        <v>0</v>
      </c>
      <c r="EX17" s="88">
        <f t="shared" ca="1" si="148"/>
        <v>0</v>
      </c>
      <c r="EY17" s="88">
        <f t="shared" ca="1" si="148"/>
        <v>0</v>
      </c>
      <c r="EZ17" s="88">
        <f t="shared" ca="1" si="148"/>
        <v>0</v>
      </c>
      <c r="FA17" s="88">
        <f t="shared" ca="1" si="148"/>
        <v>0</v>
      </c>
      <c r="FB17" s="88">
        <f t="shared" ca="1" si="148"/>
        <v>0</v>
      </c>
      <c r="FC17" s="88">
        <f t="shared" ca="1" si="148"/>
        <v>0</v>
      </c>
      <c r="FD17" s="88">
        <f t="shared" ca="1" si="148"/>
        <v>0</v>
      </c>
      <c r="FE17" s="88">
        <f t="shared" ca="1" si="149"/>
        <v>0</v>
      </c>
      <c r="FF17" s="88">
        <f t="shared" ca="1" si="149"/>
        <v>0</v>
      </c>
      <c r="FG17" s="88">
        <f t="shared" ca="1" si="149"/>
        <v>0</v>
      </c>
      <c r="FH17" s="88">
        <f t="shared" ca="1" si="149"/>
        <v>0</v>
      </c>
      <c r="FI17" s="88">
        <f t="shared" ca="1" si="149"/>
        <v>0</v>
      </c>
      <c r="FJ17" s="88">
        <f t="shared" ca="1" si="149"/>
        <v>0</v>
      </c>
      <c r="FK17" s="88">
        <f t="shared" ca="1" si="149"/>
        <v>0</v>
      </c>
      <c r="FL17" s="88">
        <f t="shared" ca="1" si="149"/>
        <v>0</v>
      </c>
      <c r="FM17" s="88">
        <f t="shared" ca="1" si="149"/>
        <v>0</v>
      </c>
      <c r="FN17" s="88">
        <f t="shared" ca="1" si="149"/>
        <v>0</v>
      </c>
      <c r="FO17" s="88">
        <f t="shared" ca="1" si="150"/>
        <v>0</v>
      </c>
      <c r="FP17" s="88">
        <f t="shared" ca="1" si="150"/>
        <v>0</v>
      </c>
      <c r="FQ17" s="88">
        <f t="shared" ca="1" si="150"/>
        <v>0</v>
      </c>
      <c r="FR17" s="88">
        <f t="shared" ca="1" si="150"/>
        <v>0</v>
      </c>
      <c r="FS17" s="88">
        <f t="shared" ca="1" si="150"/>
        <v>0</v>
      </c>
      <c r="FT17" s="88">
        <f t="shared" ca="1" si="150"/>
        <v>0</v>
      </c>
      <c r="FU17" s="88">
        <f t="shared" ca="1" si="150"/>
        <v>0</v>
      </c>
      <c r="FV17" s="88">
        <f t="shared" ca="1" si="150"/>
        <v>0</v>
      </c>
      <c r="FW17" s="88">
        <f t="shared" ca="1" si="150"/>
        <v>0</v>
      </c>
      <c r="FX17" s="88">
        <f t="shared" ca="1" si="150"/>
        <v>0</v>
      </c>
      <c r="FY17" s="88">
        <f t="shared" ca="1" si="150"/>
        <v>0</v>
      </c>
      <c r="FZ17" s="88">
        <f t="shared" ca="1" si="150"/>
        <v>0</v>
      </c>
      <c r="GA17" s="88">
        <f t="shared" ca="1" si="150"/>
        <v>0</v>
      </c>
      <c r="GB17" s="88">
        <f t="shared" ca="1" si="150"/>
        <v>0</v>
      </c>
      <c r="GC17" s="88">
        <f t="shared" ca="1" si="150"/>
        <v>0</v>
      </c>
      <c r="GD17" s="60"/>
    </row>
    <row r="18" spans="1:186" s="54" customFormat="1">
      <c r="A18" s="61"/>
      <c r="B18" s="100" t="str">
        <f t="shared" si="0"/>
        <v>C&amp;I_All_All_All_2018</v>
      </c>
      <c r="C18" s="146"/>
      <c r="D18" s="136" t="s">
        <v>256</v>
      </c>
      <c r="E18" s="136" t="s">
        <v>98</v>
      </c>
      <c r="F18" s="136" t="s">
        <v>98</v>
      </c>
      <c r="G18" s="136" t="s">
        <v>98</v>
      </c>
      <c r="H18" s="136">
        <v>2018</v>
      </c>
      <c r="I18" s="55"/>
      <c r="J18" s="58">
        <f t="shared" ca="1" si="125"/>
        <v>1.0502409635290186</v>
      </c>
      <c r="K18" s="58">
        <f t="shared" ref="K18:K19" ca="1" si="158">IFERROR(SUMIFS($AZ18:$BD18,$AZ$7:$BD$7,"BENEFIT")/SUMIFS($AZ18:$BD18,$AZ$7:$BD$7,"COST"),"n/a")</f>
        <v>1.8900613582936856</v>
      </c>
      <c r="L18" s="58">
        <f t="shared" ca="1" si="126"/>
        <v>0.42385845151256013</v>
      </c>
      <c r="M18" s="58">
        <f t="shared" ca="1" si="127"/>
        <v>1.387533749917526</v>
      </c>
      <c r="N18" s="58">
        <f t="shared" ca="1" si="128"/>
        <v>1.8900613582936856</v>
      </c>
      <c r="O18" s="55"/>
      <c r="P18" s="175">
        <f ca="1">IFERROR(($AW18+AV18)/SUMPRODUCT($CA18:$DI18,'General Inputs'!$F$51:$AN$51),"n/a")</f>
        <v>1.970688343927475E-2</v>
      </c>
      <c r="Q18" s="175">
        <f t="shared" ca="1" si="129"/>
        <v>0.16248685163040288</v>
      </c>
      <c r="R18" s="56">
        <f t="shared" ref="R18:R19" ca="1" si="159">SUM(CA18:DI18)/1000</f>
        <v>57893.381932479657</v>
      </c>
      <c r="S18" s="55"/>
      <c r="T18" s="56"/>
      <c r="U18" s="146"/>
      <c r="V18" s="137"/>
      <c r="W18" s="55"/>
      <c r="X18" s="138">
        <f t="shared" ca="1" si="130"/>
        <v>4314675.852017194</v>
      </c>
      <c r="Y18" s="138">
        <f t="shared" ca="1" si="130"/>
        <v>1077.9726707242919</v>
      </c>
      <c r="Z18" s="138">
        <f t="shared" ca="1" si="130"/>
        <v>0</v>
      </c>
      <c r="AA18" s="55"/>
      <c r="AB18" s="138">
        <f t="shared" ca="1" si="131"/>
        <v>0</v>
      </c>
      <c r="AC18" s="138">
        <f t="shared" ca="1" si="131"/>
        <v>0</v>
      </c>
      <c r="AD18" s="138">
        <f t="shared" ca="1" si="131"/>
        <v>0</v>
      </c>
      <c r="AE18" s="55"/>
      <c r="AF18" s="57">
        <f t="shared" ca="1" si="132"/>
        <v>0</v>
      </c>
      <c r="AG18" s="57">
        <f t="shared" ca="1" si="132"/>
        <v>973048.89999999991</v>
      </c>
      <c r="AH18" s="57">
        <f t="shared" ca="1" si="132"/>
        <v>0</v>
      </c>
      <c r="AI18" s="57">
        <f t="shared" ca="1" si="132"/>
        <v>412435</v>
      </c>
      <c r="AJ18" s="57">
        <f t="shared" ca="1" si="132"/>
        <v>0</v>
      </c>
      <c r="AK18" s="63"/>
      <c r="AL18" s="88"/>
      <c r="AM18" s="57">
        <f ca="1">SUMIFS(OFFSET('Program Inputs'!$N$5,,,TotalPrograms),OFFSET('Program Inputs'!$B$5,,,TotalPrograms),SUBSTITUTE($B18,"All","*"))+AF18</f>
        <v>288643.09499999997</v>
      </c>
      <c r="AN18" s="57">
        <f t="shared" ref="AN18:AN19" ca="1" si="160">AM18+AI18</f>
        <v>701078.09499999997</v>
      </c>
      <c r="AO18" s="55"/>
      <c r="AP18" s="59">
        <f t="shared" ref="AP18:AP19" ca="1" si="161">SUMIFS(AR18:AX18,$AR$7:$AX$7,"BENEFIT")</f>
        <v>1217457.3837795383</v>
      </c>
      <c r="AQ18" s="59">
        <f t="shared" ref="AQ18:AQ19" ca="1" si="162">SUMIFS(AR18:AX18,$AR$7:$AX$7,"COST")</f>
        <v>1159217.1949650862</v>
      </c>
      <c r="AR18" s="59">
        <f t="shared" ca="1" si="135"/>
        <v>1033824.2379697579</v>
      </c>
      <c r="AS18" s="59">
        <f t="shared" ca="1" si="135"/>
        <v>183633.14580978037</v>
      </c>
      <c r="AT18" s="59">
        <f t="shared" ca="1" si="135"/>
        <v>0</v>
      </c>
      <c r="AU18" s="59">
        <f t="shared" ca="1" si="135"/>
        <v>0</v>
      </c>
      <c r="AV18" s="59">
        <f t="shared" ca="1" si="135"/>
        <v>378936.97170158022</v>
      </c>
      <c r="AW18" s="57">
        <f ca="1">INDEX('General Inputs'!$F$51:$AN$51,MATCH($H18,'General Inputs'!$F$50:$AN$50,0))*$AM18</f>
        <v>265199.46251378168</v>
      </c>
      <c r="AX18" s="59">
        <f t="shared" ca="1" si="136"/>
        <v>894017.73245130456</v>
      </c>
      <c r="AY18" s="55"/>
      <c r="AZ18" s="59">
        <f t="shared" ca="1" si="137"/>
        <v>1033824.2379697579</v>
      </c>
      <c r="BA18" s="59">
        <f t="shared" ca="1" si="137"/>
        <v>183633.14580978037</v>
      </c>
      <c r="BB18" s="59">
        <f t="shared" ca="1" si="137"/>
        <v>0</v>
      </c>
      <c r="BC18" s="59">
        <f t="shared" ca="1" si="137"/>
        <v>378936.97170158022</v>
      </c>
      <c r="BD18" s="57">
        <f ca="1">INDEX('General Inputs'!$F$51:$AN$51,MATCH($H18,'General Inputs'!$F$50:$AN$50,0))*$AM18</f>
        <v>265199.46251378168</v>
      </c>
      <c r="BE18" s="55"/>
      <c r="BF18" s="59">
        <f t="shared" ca="1" si="138"/>
        <v>0</v>
      </c>
      <c r="BG18" s="59">
        <f t="shared" ca="1" si="138"/>
        <v>0</v>
      </c>
      <c r="BH18" s="57">
        <f t="shared" ca="1" si="138"/>
        <v>378936.97170158022</v>
      </c>
      <c r="BI18" s="59">
        <f t="shared" ca="1" si="138"/>
        <v>894017.73245130456</v>
      </c>
      <c r="BJ18" s="55"/>
      <c r="BK18" s="59">
        <f t="shared" ca="1" si="139"/>
        <v>1033824.2379697579</v>
      </c>
      <c r="BL18" s="59">
        <f t="shared" ca="1" si="139"/>
        <v>183633.14580978037</v>
      </c>
      <c r="BM18" s="59">
        <f t="shared" ca="1" si="139"/>
        <v>0</v>
      </c>
      <c r="BN18" s="59">
        <f t="shared" ca="1" si="139"/>
        <v>0</v>
      </c>
      <c r="BO18" s="59">
        <f t="shared" ca="1" si="139"/>
        <v>390995.59771924349</v>
      </c>
      <c r="BP18" s="57">
        <f ca="1">INDEX('General Inputs'!$F$51:$AN$51,MATCH($H18,'General Inputs'!$F$50:$AN$50,0))*$AM18</f>
        <v>265199.46251378168</v>
      </c>
      <c r="BQ18" s="59">
        <f t="shared" ca="1" si="140"/>
        <v>894017.73245130456</v>
      </c>
      <c r="BR18" s="55"/>
      <c r="BS18" s="59">
        <f t="shared" ca="1" si="141"/>
        <v>1033824.2379697579</v>
      </c>
      <c r="BT18" s="59">
        <f t="shared" ca="1" si="141"/>
        <v>183633.14580978037</v>
      </c>
      <c r="BU18" s="59">
        <f t="shared" ca="1" si="141"/>
        <v>0</v>
      </c>
      <c r="BV18" s="59">
        <f t="shared" ca="1" si="141"/>
        <v>0</v>
      </c>
      <c r="BW18" s="59">
        <f t="shared" ca="1" si="141"/>
        <v>0</v>
      </c>
      <c r="BX18" s="59">
        <f t="shared" ca="1" si="141"/>
        <v>378936.97170158022</v>
      </c>
      <c r="BY18" s="57">
        <f ca="1">INDEX('General Inputs'!$F$51:$AN$51,MATCH($H18,'General Inputs'!$F$50:$AN$50,0))*$AM18</f>
        <v>265199.46251378168</v>
      </c>
      <c r="BZ18" s="55"/>
      <c r="CA18" s="88">
        <f t="shared" ca="1" si="142"/>
        <v>0</v>
      </c>
      <c r="CB18" s="88">
        <f t="shared" ca="1" si="142"/>
        <v>4314675.852017194</v>
      </c>
      <c r="CC18" s="88">
        <f t="shared" ca="1" si="142"/>
        <v>4314675.852017194</v>
      </c>
      <c r="CD18" s="88">
        <f t="shared" ca="1" si="142"/>
        <v>4314675.852017194</v>
      </c>
      <c r="CE18" s="88">
        <f t="shared" ca="1" si="142"/>
        <v>4314675.852017194</v>
      </c>
      <c r="CF18" s="88">
        <f t="shared" ca="1" si="142"/>
        <v>4314675.852017194</v>
      </c>
      <c r="CG18" s="88">
        <f t="shared" ca="1" si="142"/>
        <v>4314675.852017194</v>
      </c>
      <c r="CH18" s="88">
        <f t="shared" ca="1" si="142"/>
        <v>4314675.852017194</v>
      </c>
      <c r="CI18" s="88">
        <f t="shared" ca="1" si="142"/>
        <v>4314675.852017194</v>
      </c>
      <c r="CJ18" s="88">
        <f t="shared" ca="1" si="142"/>
        <v>3674798.8760391949</v>
      </c>
      <c r="CK18" s="88">
        <f t="shared" ca="1" si="143"/>
        <v>3674798.8760391949</v>
      </c>
      <c r="CL18" s="88">
        <f t="shared" ca="1" si="143"/>
        <v>3234341.6055391948</v>
      </c>
      <c r="CM18" s="88">
        <f t="shared" ca="1" si="143"/>
        <v>3234341.6055391948</v>
      </c>
      <c r="CN18" s="88">
        <f t="shared" ca="1" si="143"/>
        <v>3234341.6055391948</v>
      </c>
      <c r="CO18" s="88">
        <f t="shared" ca="1" si="143"/>
        <v>3220075.8328830656</v>
      </c>
      <c r="CP18" s="88">
        <f t="shared" ca="1" si="143"/>
        <v>3033589.1627630652</v>
      </c>
      <c r="CQ18" s="88">
        <f t="shared" ca="1" si="143"/>
        <v>69687.551999999981</v>
      </c>
      <c r="CR18" s="88">
        <f t="shared" ca="1" si="143"/>
        <v>0</v>
      </c>
      <c r="CS18" s="88">
        <f t="shared" ca="1" si="143"/>
        <v>0</v>
      </c>
      <c r="CT18" s="88">
        <f t="shared" ca="1" si="143"/>
        <v>0</v>
      </c>
      <c r="CU18" s="88">
        <f t="shared" ca="1" si="144"/>
        <v>0</v>
      </c>
      <c r="CV18" s="88">
        <f t="shared" ca="1" si="144"/>
        <v>0</v>
      </c>
      <c r="CW18" s="88">
        <f t="shared" ca="1" si="144"/>
        <v>0</v>
      </c>
      <c r="CX18" s="88">
        <f t="shared" ca="1" si="144"/>
        <v>0</v>
      </c>
      <c r="CY18" s="88">
        <f t="shared" ca="1" si="144"/>
        <v>0</v>
      </c>
      <c r="CZ18" s="88">
        <f t="shared" ca="1" si="144"/>
        <v>0</v>
      </c>
      <c r="DA18" s="88">
        <f t="shared" ca="1" si="144"/>
        <v>0</v>
      </c>
      <c r="DB18" s="88">
        <f t="shared" ca="1" si="144"/>
        <v>0</v>
      </c>
      <c r="DC18" s="88">
        <f t="shared" ca="1" si="144"/>
        <v>0</v>
      </c>
      <c r="DD18" s="88">
        <f t="shared" ca="1" si="144"/>
        <v>0</v>
      </c>
      <c r="DE18" s="88">
        <f t="shared" ca="1" si="144"/>
        <v>0</v>
      </c>
      <c r="DF18" s="88">
        <f t="shared" ca="1" si="144"/>
        <v>0</v>
      </c>
      <c r="DG18" s="88">
        <f t="shared" ca="1" si="144"/>
        <v>0</v>
      </c>
      <c r="DH18" s="88">
        <f t="shared" ca="1" si="144"/>
        <v>0</v>
      </c>
      <c r="DI18" s="88">
        <f t="shared" ca="1" si="144"/>
        <v>0</v>
      </c>
      <c r="DJ18" s="169"/>
      <c r="DK18" s="88">
        <f t="shared" ca="1" si="145"/>
        <v>0</v>
      </c>
      <c r="DL18" s="88">
        <f t="shared" ca="1" si="145"/>
        <v>1077.9726707242919</v>
      </c>
      <c r="DM18" s="88">
        <f t="shared" ca="1" si="145"/>
        <v>1077.9726707242919</v>
      </c>
      <c r="DN18" s="88">
        <f t="shared" ca="1" si="145"/>
        <v>1077.9726707242919</v>
      </c>
      <c r="DO18" s="88">
        <f t="shared" ca="1" si="145"/>
        <v>1077.9726707242919</v>
      </c>
      <c r="DP18" s="88">
        <f t="shared" ca="1" si="145"/>
        <v>1077.9726707242919</v>
      </c>
      <c r="DQ18" s="88">
        <f t="shared" ca="1" si="145"/>
        <v>1077.9726707242919</v>
      </c>
      <c r="DR18" s="88">
        <f t="shared" ca="1" si="145"/>
        <v>1077.9726707242919</v>
      </c>
      <c r="DS18" s="88">
        <f t="shared" ca="1" si="145"/>
        <v>1077.9726707242919</v>
      </c>
      <c r="DT18" s="88">
        <f t="shared" ca="1" si="145"/>
        <v>882.82842072429219</v>
      </c>
      <c r="DU18" s="88">
        <f t="shared" ca="1" si="146"/>
        <v>882.82842072429219</v>
      </c>
      <c r="DV18" s="88">
        <f t="shared" ca="1" si="146"/>
        <v>773.99692072429218</v>
      </c>
      <c r="DW18" s="88">
        <f t="shared" ca="1" si="146"/>
        <v>773.99692072429218</v>
      </c>
      <c r="DX18" s="88">
        <f t="shared" ca="1" si="146"/>
        <v>773.99692072429218</v>
      </c>
      <c r="DY18" s="88">
        <f t="shared" ca="1" si="146"/>
        <v>773.32108467267926</v>
      </c>
      <c r="DZ18" s="88">
        <f t="shared" ca="1" si="146"/>
        <v>733.87517267267924</v>
      </c>
      <c r="EA18" s="88">
        <f t="shared" ca="1" si="146"/>
        <v>9.3632000000000009</v>
      </c>
      <c r="EB18" s="88">
        <f t="shared" ca="1" si="146"/>
        <v>0</v>
      </c>
      <c r="EC18" s="88">
        <f t="shared" ca="1" si="146"/>
        <v>0</v>
      </c>
      <c r="ED18" s="88">
        <f t="shared" ca="1" si="146"/>
        <v>0</v>
      </c>
      <c r="EE18" s="88">
        <f t="shared" ca="1" si="147"/>
        <v>0</v>
      </c>
      <c r="EF18" s="88">
        <f t="shared" ca="1" si="147"/>
        <v>0</v>
      </c>
      <c r="EG18" s="88">
        <f t="shared" ca="1" si="147"/>
        <v>0</v>
      </c>
      <c r="EH18" s="88">
        <f t="shared" ca="1" si="147"/>
        <v>0</v>
      </c>
      <c r="EI18" s="88">
        <f t="shared" ca="1" si="147"/>
        <v>0</v>
      </c>
      <c r="EJ18" s="88">
        <f t="shared" ca="1" si="147"/>
        <v>0</v>
      </c>
      <c r="EK18" s="88">
        <f t="shared" ca="1" si="147"/>
        <v>0</v>
      </c>
      <c r="EL18" s="88">
        <f t="shared" ca="1" si="147"/>
        <v>0</v>
      </c>
      <c r="EM18" s="88">
        <f t="shared" ca="1" si="147"/>
        <v>0</v>
      </c>
      <c r="EN18" s="88">
        <f t="shared" ca="1" si="147"/>
        <v>0</v>
      </c>
      <c r="EO18" s="88">
        <f t="shared" ca="1" si="147"/>
        <v>0</v>
      </c>
      <c r="EP18" s="88">
        <f t="shared" ca="1" si="147"/>
        <v>0</v>
      </c>
      <c r="EQ18" s="88">
        <f t="shared" ca="1" si="147"/>
        <v>0</v>
      </c>
      <c r="ER18" s="88">
        <f t="shared" ca="1" si="147"/>
        <v>0</v>
      </c>
      <c r="ES18" s="88">
        <f t="shared" ca="1" si="147"/>
        <v>0</v>
      </c>
      <c r="ET18" s="169"/>
      <c r="EU18" s="88">
        <f t="shared" ca="1" si="148"/>
        <v>0</v>
      </c>
      <c r="EV18" s="88">
        <f t="shared" ca="1" si="148"/>
        <v>0</v>
      </c>
      <c r="EW18" s="88">
        <f t="shared" ca="1" si="148"/>
        <v>0</v>
      </c>
      <c r="EX18" s="88">
        <f t="shared" ca="1" si="148"/>
        <v>0</v>
      </c>
      <c r="EY18" s="88">
        <f t="shared" ca="1" si="148"/>
        <v>0</v>
      </c>
      <c r="EZ18" s="88">
        <f t="shared" ca="1" si="148"/>
        <v>0</v>
      </c>
      <c r="FA18" s="88">
        <f t="shared" ca="1" si="148"/>
        <v>0</v>
      </c>
      <c r="FB18" s="88">
        <f t="shared" ca="1" si="148"/>
        <v>0</v>
      </c>
      <c r="FC18" s="88">
        <f t="shared" ca="1" si="148"/>
        <v>0</v>
      </c>
      <c r="FD18" s="88">
        <f t="shared" ca="1" si="148"/>
        <v>0</v>
      </c>
      <c r="FE18" s="88">
        <f t="shared" ca="1" si="149"/>
        <v>0</v>
      </c>
      <c r="FF18" s="88">
        <f t="shared" ca="1" si="149"/>
        <v>0</v>
      </c>
      <c r="FG18" s="88">
        <f t="shared" ca="1" si="149"/>
        <v>0</v>
      </c>
      <c r="FH18" s="88">
        <f t="shared" ca="1" si="149"/>
        <v>0</v>
      </c>
      <c r="FI18" s="88">
        <f t="shared" ca="1" si="149"/>
        <v>0</v>
      </c>
      <c r="FJ18" s="88">
        <f t="shared" ca="1" si="149"/>
        <v>0</v>
      </c>
      <c r="FK18" s="88">
        <f t="shared" ca="1" si="149"/>
        <v>0</v>
      </c>
      <c r="FL18" s="88">
        <f t="shared" ca="1" si="149"/>
        <v>0</v>
      </c>
      <c r="FM18" s="88">
        <f t="shared" ca="1" si="149"/>
        <v>0</v>
      </c>
      <c r="FN18" s="88">
        <f t="shared" ca="1" si="149"/>
        <v>0</v>
      </c>
      <c r="FO18" s="88">
        <f t="shared" ca="1" si="150"/>
        <v>0</v>
      </c>
      <c r="FP18" s="88">
        <f t="shared" ca="1" si="150"/>
        <v>0</v>
      </c>
      <c r="FQ18" s="88">
        <f t="shared" ca="1" si="150"/>
        <v>0</v>
      </c>
      <c r="FR18" s="88">
        <f t="shared" ca="1" si="150"/>
        <v>0</v>
      </c>
      <c r="FS18" s="88">
        <f t="shared" ca="1" si="150"/>
        <v>0</v>
      </c>
      <c r="FT18" s="88">
        <f t="shared" ca="1" si="150"/>
        <v>0</v>
      </c>
      <c r="FU18" s="88">
        <f t="shared" ca="1" si="150"/>
        <v>0</v>
      </c>
      <c r="FV18" s="88">
        <f t="shared" ca="1" si="150"/>
        <v>0</v>
      </c>
      <c r="FW18" s="88">
        <f t="shared" ca="1" si="150"/>
        <v>0</v>
      </c>
      <c r="FX18" s="88">
        <f t="shared" ca="1" si="150"/>
        <v>0</v>
      </c>
      <c r="FY18" s="88">
        <f t="shared" ca="1" si="150"/>
        <v>0</v>
      </c>
      <c r="FZ18" s="88">
        <f t="shared" ca="1" si="150"/>
        <v>0</v>
      </c>
      <c r="GA18" s="88">
        <f t="shared" ca="1" si="150"/>
        <v>0</v>
      </c>
      <c r="GB18" s="88">
        <f t="shared" ca="1" si="150"/>
        <v>0</v>
      </c>
      <c r="GC18" s="88">
        <f t="shared" ca="1" si="150"/>
        <v>0</v>
      </c>
      <c r="GD18" s="60"/>
    </row>
    <row r="19" spans="1:186" s="54" customFormat="1">
      <c r="A19" s="61"/>
      <c r="B19" s="100" t="str">
        <f t="shared" si="0"/>
        <v>C&amp;I_All_All_All_2019</v>
      </c>
      <c r="C19" s="146"/>
      <c r="D19" s="136" t="s">
        <v>256</v>
      </c>
      <c r="E19" s="136" t="s">
        <v>98</v>
      </c>
      <c r="F19" s="136" t="s">
        <v>98</v>
      </c>
      <c r="G19" s="136" t="s">
        <v>98</v>
      </c>
      <c r="H19" s="136">
        <v>2019</v>
      </c>
      <c r="I19" s="55"/>
      <c r="J19" s="58">
        <f t="shared" ca="1" si="125"/>
        <v>1.0658464271074912</v>
      </c>
      <c r="K19" s="58">
        <f t="shared" ca="1" si="158"/>
        <v>1.916268020102055</v>
      </c>
      <c r="L19" s="58">
        <f t="shared" ca="1" si="126"/>
        <v>0.42447434213892948</v>
      </c>
      <c r="M19" s="58">
        <f t="shared" ca="1" si="127"/>
        <v>1.4030857309742819</v>
      </c>
      <c r="N19" s="58">
        <f t="shared" ca="1" si="128"/>
        <v>1.916268020102055</v>
      </c>
      <c r="O19" s="55"/>
      <c r="P19" s="175">
        <f ca="1">IFERROR(($AW19+AV19)/SUMPRODUCT($CA19:$DI19,'General Inputs'!$F$51:$AN$51),"n/a")</f>
        <v>1.9729321429347496E-2</v>
      </c>
      <c r="Q19" s="175">
        <f t="shared" ca="1" si="129"/>
        <v>0.16276280926577438</v>
      </c>
      <c r="R19" s="56">
        <f t="shared" ca="1" si="159"/>
        <v>58384.958658011557</v>
      </c>
      <c r="S19" s="55"/>
      <c r="T19" s="56"/>
      <c r="U19" s="146"/>
      <c r="V19" s="137"/>
      <c r="W19" s="55"/>
      <c r="X19" s="138">
        <f t="shared" ca="1" si="130"/>
        <v>4347447.6337193213</v>
      </c>
      <c r="Y19" s="138">
        <f t="shared" ca="1" si="130"/>
        <v>1085.9120111498237</v>
      </c>
      <c r="Z19" s="138">
        <f t="shared" ca="1" si="130"/>
        <v>0</v>
      </c>
      <c r="AA19" s="55"/>
      <c r="AB19" s="138">
        <f t="shared" ca="1" si="131"/>
        <v>0</v>
      </c>
      <c r="AC19" s="138">
        <f t="shared" ca="1" si="131"/>
        <v>0</v>
      </c>
      <c r="AD19" s="138">
        <f t="shared" ca="1" si="131"/>
        <v>0</v>
      </c>
      <c r="AE19" s="55"/>
      <c r="AF19" s="57">
        <f t="shared" ca="1" si="132"/>
        <v>0</v>
      </c>
      <c r="AG19" s="57">
        <f t="shared" ca="1" si="132"/>
        <v>980989.8</v>
      </c>
      <c r="AH19" s="57">
        <f t="shared" ca="1" si="132"/>
        <v>0</v>
      </c>
      <c r="AI19" s="57">
        <f t="shared" ca="1" si="132"/>
        <v>416405</v>
      </c>
      <c r="AJ19" s="57">
        <f t="shared" ca="1" si="132"/>
        <v>0</v>
      </c>
      <c r="AK19" s="63"/>
      <c r="AL19" s="88"/>
      <c r="AM19" s="57">
        <f ca="1">SUMIFS(OFFSET('Program Inputs'!$N$5,,,TotalPrograms),OFFSET('Program Inputs'!$B$5,,,TotalPrograms),SUBSTITUTE($B19,"All","*"))+AF19</f>
        <v>291197.78999999998</v>
      </c>
      <c r="AN19" s="57">
        <f t="shared" ca="1" si="160"/>
        <v>707602.79</v>
      </c>
      <c r="AO19" s="55"/>
      <c r="AP19" s="59">
        <f t="shared" ca="1" si="161"/>
        <v>1144639.4829150084</v>
      </c>
      <c r="AQ19" s="59">
        <f t="shared" ca="1" si="162"/>
        <v>1073925.33652465</v>
      </c>
      <c r="AR19" s="59">
        <f t="shared" ca="1" si="135"/>
        <v>972011.75338979892</v>
      </c>
      <c r="AS19" s="59">
        <f t="shared" ca="1" si="135"/>
        <v>172627.72952520946</v>
      </c>
      <c r="AT19" s="59">
        <f t="shared" ca="1" si="135"/>
        <v>0</v>
      </c>
      <c r="AU19" s="59">
        <f t="shared" ca="1" si="135"/>
        <v>0</v>
      </c>
      <c r="AV19" s="59">
        <f t="shared" ca="1" si="135"/>
        <v>351510.95897386241</v>
      </c>
      <c r="AW19" s="57">
        <f ca="1">INDEX('General Inputs'!$F$51:$AN$51,MATCH($H19,'General Inputs'!$F$50:$AN$50,0))*$AM19</f>
        <v>245816.48734758078</v>
      </c>
      <c r="AX19" s="59">
        <f t="shared" ca="1" si="136"/>
        <v>828108.84917706915</v>
      </c>
      <c r="AY19" s="55"/>
      <c r="AZ19" s="59">
        <f t="shared" ca="1" si="137"/>
        <v>972011.75338979892</v>
      </c>
      <c r="BA19" s="59">
        <f t="shared" ca="1" si="137"/>
        <v>172627.72952520946</v>
      </c>
      <c r="BB19" s="59">
        <f t="shared" ca="1" si="137"/>
        <v>0</v>
      </c>
      <c r="BC19" s="59">
        <f t="shared" ca="1" si="137"/>
        <v>351510.95897386241</v>
      </c>
      <c r="BD19" s="57">
        <f ca="1">INDEX('General Inputs'!$F$51:$AN$51,MATCH($H19,'General Inputs'!$F$50:$AN$50,0))*$AM19</f>
        <v>245816.48734758078</v>
      </c>
      <c r="BE19" s="55"/>
      <c r="BF19" s="59">
        <f t="shared" ca="1" si="138"/>
        <v>0</v>
      </c>
      <c r="BG19" s="59">
        <f t="shared" ca="1" si="138"/>
        <v>0</v>
      </c>
      <c r="BH19" s="57">
        <f t="shared" ca="1" si="138"/>
        <v>351510.95897386241</v>
      </c>
      <c r="BI19" s="59">
        <f t="shared" ca="1" si="138"/>
        <v>828108.84917706915</v>
      </c>
      <c r="BJ19" s="55"/>
      <c r="BK19" s="59">
        <f t="shared" ca="1" si="139"/>
        <v>972011.75338979892</v>
      </c>
      <c r="BL19" s="59">
        <f t="shared" ca="1" si="139"/>
        <v>172627.72952520946</v>
      </c>
      <c r="BM19" s="59">
        <f t="shared" ca="1" si="139"/>
        <v>0</v>
      </c>
      <c r="BN19" s="59">
        <f t="shared" ca="1" si="139"/>
        <v>0</v>
      </c>
      <c r="BO19" s="59">
        <f t="shared" ca="1" si="139"/>
        <v>362169.83289448166</v>
      </c>
      <c r="BP19" s="57">
        <f ca="1">INDEX('General Inputs'!$F$51:$AN$51,MATCH($H19,'General Inputs'!$F$50:$AN$50,0))*$AM19</f>
        <v>245816.48734758078</v>
      </c>
      <c r="BQ19" s="59">
        <f t="shared" ca="1" si="140"/>
        <v>828108.84917706915</v>
      </c>
      <c r="BR19" s="55"/>
      <c r="BS19" s="59">
        <f t="shared" ca="1" si="141"/>
        <v>972011.75338979892</v>
      </c>
      <c r="BT19" s="59">
        <f t="shared" ca="1" si="141"/>
        <v>172627.72952520946</v>
      </c>
      <c r="BU19" s="59">
        <f t="shared" ca="1" si="141"/>
        <v>0</v>
      </c>
      <c r="BV19" s="59">
        <f t="shared" ca="1" si="141"/>
        <v>0</v>
      </c>
      <c r="BW19" s="59">
        <f t="shared" ca="1" si="141"/>
        <v>0</v>
      </c>
      <c r="BX19" s="59">
        <f t="shared" ca="1" si="141"/>
        <v>351510.95897386241</v>
      </c>
      <c r="BY19" s="57">
        <f ca="1">INDEX('General Inputs'!$F$51:$AN$51,MATCH($H19,'General Inputs'!$F$50:$AN$50,0))*$AM19</f>
        <v>245816.48734758078</v>
      </c>
      <c r="BZ19" s="55"/>
      <c r="CA19" s="88">
        <f t="shared" ca="1" si="142"/>
        <v>0</v>
      </c>
      <c r="CB19" s="88">
        <f t="shared" ca="1" si="142"/>
        <v>0</v>
      </c>
      <c r="CC19" s="88">
        <f t="shared" ca="1" si="142"/>
        <v>4347447.6337193213</v>
      </c>
      <c r="CD19" s="88">
        <f t="shared" ca="1" si="142"/>
        <v>4347447.6337193213</v>
      </c>
      <c r="CE19" s="88">
        <f t="shared" ca="1" si="142"/>
        <v>4347447.6337193213</v>
      </c>
      <c r="CF19" s="88">
        <f t="shared" ca="1" si="142"/>
        <v>4347447.6337193213</v>
      </c>
      <c r="CG19" s="88">
        <f t="shared" ca="1" si="142"/>
        <v>4347447.6337193213</v>
      </c>
      <c r="CH19" s="88">
        <f t="shared" ca="1" si="142"/>
        <v>4347447.6337193213</v>
      </c>
      <c r="CI19" s="88">
        <f t="shared" ca="1" si="142"/>
        <v>4347447.6337193213</v>
      </c>
      <c r="CJ19" s="88">
        <f t="shared" ca="1" si="142"/>
        <v>4347447.6337193213</v>
      </c>
      <c r="CK19" s="88">
        <f t="shared" ca="1" si="143"/>
        <v>3707570.6577413222</v>
      </c>
      <c r="CL19" s="88">
        <f t="shared" ca="1" si="143"/>
        <v>3707570.6577413222</v>
      </c>
      <c r="CM19" s="88">
        <f t="shared" ca="1" si="143"/>
        <v>3267113.3872413221</v>
      </c>
      <c r="CN19" s="88">
        <f t="shared" ca="1" si="143"/>
        <v>3267113.3872413221</v>
      </c>
      <c r="CO19" s="88">
        <f t="shared" ca="1" si="143"/>
        <v>3267113.3872413221</v>
      </c>
      <c r="CP19" s="88">
        <f t="shared" ca="1" si="143"/>
        <v>3252847.6145851929</v>
      </c>
      <c r="CQ19" s="88">
        <f t="shared" ca="1" si="143"/>
        <v>3066360.9444651925</v>
      </c>
      <c r="CR19" s="88">
        <f t="shared" ca="1" si="143"/>
        <v>69687.551999999981</v>
      </c>
      <c r="CS19" s="88">
        <f t="shared" ca="1" si="143"/>
        <v>0</v>
      </c>
      <c r="CT19" s="88">
        <f t="shared" ca="1" si="143"/>
        <v>0</v>
      </c>
      <c r="CU19" s="88">
        <f t="shared" ca="1" si="144"/>
        <v>0</v>
      </c>
      <c r="CV19" s="88">
        <f t="shared" ca="1" si="144"/>
        <v>0</v>
      </c>
      <c r="CW19" s="88">
        <f t="shared" ca="1" si="144"/>
        <v>0</v>
      </c>
      <c r="CX19" s="88">
        <f t="shared" ca="1" si="144"/>
        <v>0</v>
      </c>
      <c r="CY19" s="88">
        <f t="shared" ca="1" si="144"/>
        <v>0</v>
      </c>
      <c r="CZ19" s="88">
        <f t="shared" ca="1" si="144"/>
        <v>0</v>
      </c>
      <c r="DA19" s="88">
        <f t="shared" ca="1" si="144"/>
        <v>0</v>
      </c>
      <c r="DB19" s="88">
        <f t="shared" ca="1" si="144"/>
        <v>0</v>
      </c>
      <c r="DC19" s="88">
        <f t="shared" ca="1" si="144"/>
        <v>0</v>
      </c>
      <c r="DD19" s="88">
        <f t="shared" ca="1" si="144"/>
        <v>0</v>
      </c>
      <c r="DE19" s="88">
        <f t="shared" ca="1" si="144"/>
        <v>0</v>
      </c>
      <c r="DF19" s="88">
        <f t="shared" ca="1" si="144"/>
        <v>0</v>
      </c>
      <c r="DG19" s="88">
        <f t="shared" ca="1" si="144"/>
        <v>0</v>
      </c>
      <c r="DH19" s="88">
        <f t="shared" ca="1" si="144"/>
        <v>0</v>
      </c>
      <c r="DI19" s="88">
        <f t="shared" ca="1" si="144"/>
        <v>0</v>
      </c>
      <c r="DJ19" s="169"/>
      <c r="DK19" s="88">
        <f t="shared" ca="1" si="145"/>
        <v>0</v>
      </c>
      <c r="DL19" s="88">
        <f t="shared" ca="1" si="145"/>
        <v>0</v>
      </c>
      <c r="DM19" s="88">
        <f t="shared" ca="1" si="145"/>
        <v>1085.9120111498237</v>
      </c>
      <c r="DN19" s="88">
        <f t="shared" ca="1" si="145"/>
        <v>1085.9120111498237</v>
      </c>
      <c r="DO19" s="88">
        <f t="shared" ca="1" si="145"/>
        <v>1085.9120111498237</v>
      </c>
      <c r="DP19" s="88">
        <f t="shared" ca="1" si="145"/>
        <v>1085.9120111498237</v>
      </c>
      <c r="DQ19" s="88">
        <f t="shared" ca="1" si="145"/>
        <v>1085.9120111498237</v>
      </c>
      <c r="DR19" s="88">
        <f t="shared" ca="1" si="145"/>
        <v>1085.9120111498237</v>
      </c>
      <c r="DS19" s="88">
        <f t="shared" ca="1" si="145"/>
        <v>1085.9120111498237</v>
      </c>
      <c r="DT19" s="88">
        <f t="shared" ca="1" si="145"/>
        <v>1085.9120111498237</v>
      </c>
      <c r="DU19" s="88">
        <f t="shared" ca="1" si="146"/>
        <v>890.76776114982408</v>
      </c>
      <c r="DV19" s="88">
        <f t="shared" ca="1" si="146"/>
        <v>890.76776114982408</v>
      </c>
      <c r="DW19" s="88">
        <f t="shared" ca="1" si="146"/>
        <v>781.93626114982408</v>
      </c>
      <c r="DX19" s="88">
        <f t="shared" ca="1" si="146"/>
        <v>781.93626114982408</v>
      </c>
      <c r="DY19" s="88">
        <f t="shared" ca="1" si="146"/>
        <v>781.93626114982408</v>
      </c>
      <c r="DZ19" s="88">
        <f t="shared" ca="1" si="146"/>
        <v>781.26042509821116</v>
      </c>
      <c r="EA19" s="88">
        <f t="shared" ca="1" si="146"/>
        <v>741.81451309821114</v>
      </c>
      <c r="EB19" s="88">
        <f t="shared" ca="1" si="146"/>
        <v>9.3632000000000009</v>
      </c>
      <c r="EC19" s="88">
        <f t="shared" ca="1" si="146"/>
        <v>0</v>
      </c>
      <c r="ED19" s="88">
        <f t="shared" ca="1" si="146"/>
        <v>0</v>
      </c>
      <c r="EE19" s="88">
        <f t="shared" ca="1" si="147"/>
        <v>0</v>
      </c>
      <c r="EF19" s="88">
        <f t="shared" ca="1" si="147"/>
        <v>0</v>
      </c>
      <c r="EG19" s="88">
        <f t="shared" ca="1" si="147"/>
        <v>0</v>
      </c>
      <c r="EH19" s="88">
        <f t="shared" ca="1" si="147"/>
        <v>0</v>
      </c>
      <c r="EI19" s="88">
        <f t="shared" ca="1" si="147"/>
        <v>0</v>
      </c>
      <c r="EJ19" s="88">
        <f t="shared" ca="1" si="147"/>
        <v>0</v>
      </c>
      <c r="EK19" s="88">
        <f t="shared" ca="1" si="147"/>
        <v>0</v>
      </c>
      <c r="EL19" s="88">
        <f t="shared" ca="1" si="147"/>
        <v>0</v>
      </c>
      <c r="EM19" s="88">
        <f t="shared" ca="1" si="147"/>
        <v>0</v>
      </c>
      <c r="EN19" s="88">
        <f t="shared" ca="1" si="147"/>
        <v>0</v>
      </c>
      <c r="EO19" s="88">
        <f t="shared" ca="1" si="147"/>
        <v>0</v>
      </c>
      <c r="EP19" s="88">
        <f t="shared" ca="1" si="147"/>
        <v>0</v>
      </c>
      <c r="EQ19" s="88">
        <f t="shared" ca="1" si="147"/>
        <v>0</v>
      </c>
      <c r="ER19" s="88">
        <f t="shared" ca="1" si="147"/>
        <v>0</v>
      </c>
      <c r="ES19" s="88">
        <f t="shared" ca="1" si="147"/>
        <v>0</v>
      </c>
      <c r="ET19" s="169"/>
      <c r="EU19" s="88">
        <f t="shared" ca="1" si="148"/>
        <v>0</v>
      </c>
      <c r="EV19" s="88">
        <f t="shared" ca="1" si="148"/>
        <v>0</v>
      </c>
      <c r="EW19" s="88">
        <f t="shared" ca="1" si="148"/>
        <v>0</v>
      </c>
      <c r="EX19" s="88">
        <f t="shared" ca="1" si="148"/>
        <v>0</v>
      </c>
      <c r="EY19" s="88">
        <f t="shared" ca="1" si="148"/>
        <v>0</v>
      </c>
      <c r="EZ19" s="88">
        <f t="shared" ca="1" si="148"/>
        <v>0</v>
      </c>
      <c r="FA19" s="88">
        <f t="shared" ca="1" si="148"/>
        <v>0</v>
      </c>
      <c r="FB19" s="88">
        <f t="shared" ca="1" si="148"/>
        <v>0</v>
      </c>
      <c r="FC19" s="88">
        <f t="shared" ca="1" si="148"/>
        <v>0</v>
      </c>
      <c r="FD19" s="88">
        <f t="shared" ca="1" si="148"/>
        <v>0</v>
      </c>
      <c r="FE19" s="88">
        <f t="shared" ca="1" si="149"/>
        <v>0</v>
      </c>
      <c r="FF19" s="88">
        <f t="shared" ca="1" si="149"/>
        <v>0</v>
      </c>
      <c r="FG19" s="88">
        <f t="shared" ca="1" si="149"/>
        <v>0</v>
      </c>
      <c r="FH19" s="88">
        <f t="shared" ca="1" si="149"/>
        <v>0</v>
      </c>
      <c r="FI19" s="88">
        <f t="shared" ca="1" si="149"/>
        <v>0</v>
      </c>
      <c r="FJ19" s="88">
        <f t="shared" ca="1" si="149"/>
        <v>0</v>
      </c>
      <c r="FK19" s="88">
        <f t="shared" ca="1" si="149"/>
        <v>0</v>
      </c>
      <c r="FL19" s="88">
        <f t="shared" ca="1" si="149"/>
        <v>0</v>
      </c>
      <c r="FM19" s="88">
        <f t="shared" ca="1" si="149"/>
        <v>0</v>
      </c>
      <c r="FN19" s="88">
        <f t="shared" ca="1" si="149"/>
        <v>0</v>
      </c>
      <c r="FO19" s="88">
        <f t="shared" ca="1" si="150"/>
        <v>0</v>
      </c>
      <c r="FP19" s="88">
        <f t="shared" ca="1" si="150"/>
        <v>0</v>
      </c>
      <c r="FQ19" s="88">
        <f t="shared" ca="1" si="150"/>
        <v>0</v>
      </c>
      <c r="FR19" s="88">
        <f t="shared" ca="1" si="150"/>
        <v>0</v>
      </c>
      <c r="FS19" s="88">
        <f t="shared" ca="1" si="150"/>
        <v>0</v>
      </c>
      <c r="FT19" s="88">
        <f t="shared" ca="1" si="150"/>
        <v>0</v>
      </c>
      <c r="FU19" s="88">
        <f t="shared" ca="1" si="150"/>
        <v>0</v>
      </c>
      <c r="FV19" s="88">
        <f t="shared" ca="1" si="150"/>
        <v>0</v>
      </c>
      <c r="FW19" s="88">
        <f t="shared" ca="1" si="150"/>
        <v>0</v>
      </c>
      <c r="FX19" s="88">
        <f t="shared" ca="1" si="150"/>
        <v>0</v>
      </c>
      <c r="FY19" s="88">
        <f t="shared" ca="1" si="150"/>
        <v>0</v>
      </c>
      <c r="FZ19" s="88">
        <f t="shared" ca="1" si="150"/>
        <v>0</v>
      </c>
      <c r="GA19" s="88">
        <f t="shared" ca="1" si="150"/>
        <v>0</v>
      </c>
      <c r="GB19" s="88">
        <f t="shared" ca="1" si="150"/>
        <v>0</v>
      </c>
      <c r="GC19" s="88">
        <f t="shared" ca="1" si="150"/>
        <v>0</v>
      </c>
      <c r="GD19" s="60"/>
    </row>
    <row r="20" spans="1:186" s="178" customFormat="1">
      <c r="A20" s="176"/>
      <c r="B20" s="177" t="str">
        <f t="shared" si="0"/>
        <v>____</v>
      </c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  <c r="BG20" s="177"/>
      <c r="BH20" s="177"/>
      <c r="BI20" s="177"/>
      <c r="BJ20" s="177"/>
      <c r="BK20" s="177"/>
      <c r="BL20" s="177"/>
      <c r="BM20" s="177"/>
      <c r="BN20" s="177"/>
      <c r="BO20" s="177"/>
      <c r="BP20" s="177"/>
      <c r="BQ20" s="177"/>
      <c r="BR20" s="177"/>
      <c r="BS20" s="177"/>
      <c r="BT20" s="177"/>
      <c r="BU20" s="177"/>
      <c r="BV20" s="177"/>
      <c r="BW20" s="177"/>
      <c r="BX20" s="177"/>
      <c r="BY20" s="177"/>
      <c r="BZ20" s="177"/>
      <c r="CA20" s="179"/>
      <c r="CB20" s="179"/>
      <c r="CC20" s="179"/>
      <c r="CD20" s="179"/>
      <c r="CE20" s="179"/>
      <c r="CF20" s="179"/>
      <c r="CG20" s="179"/>
      <c r="CH20" s="179"/>
      <c r="CI20" s="179"/>
      <c r="CJ20" s="179"/>
      <c r="CK20" s="179"/>
      <c r="CL20" s="179"/>
      <c r="CM20" s="179"/>
      <c r="CN20" s="179"/>
      <c r="CO20" s="179"/>
      <c r="CP20" s="179"/>
      <c r="CQ20" s="179"/>
      <c r="CR20" s="179"/>
      <c r="CS20" s="179"/>
      <c r="CT20" s="179"/>
      <c r="CU20" s="179"/>
      <c r="CV20" s="179"/>
      <c r="CW20" s="179"/>
      <c r="CX20" s="179"/>
      <c r="CY20" s="179"/>
      <c r="CZ20" s="179"/>
      <c r="DA20" s="179"/>
      <c r="DB20" s="179"/>
      <c r="DC20" s="179"/>
      <c r="DD20" s="179"/>
      <c r="DE20" s="179"/>
      <c r="DF20" s="179"/>
      <c r="DG20" s="179"/>
      <c r="DH20" s="179"/>
      <c r="DI20" s="179"/>
      <c r="DJ20" s="179"/>
      <c r="DK20" s="179"/>
      <c r="DL20" s="179"/>
      <c r="DM20" s="179"/>
      <c r="DN20" s="179"/>
      <c r="DO20" s="179"/>
      <c r="DP20" s="179"/>
      <c r="DQ20" s="179"/>
      <c r="DR20" s="179"/>
      <c r="DS20" s="179"/>
      <c r="DT20" s="179"/>
      <c r="DU20" s="179"/>
      <c r="DV20" s="179"/>
      <c r="DW20" s="179"/>
      <c r="DX20" s="179"/>
      <c r="DY20" s="179"/>
      <c r="DZ20" s="179"/>
      <c r="EA20" s="179"/>
      <c r="EB20" s="179"/>
      <c r="EC20" s="179"/>
      <c r="ED20" s="179"/>
      <c r="EE20" s="179"/>
      <c r="EF20" s="179"/>
      <c r="EG20" s="179"/>
      <c r="EH20" s="179"/>
      <c r="EI20" s="179"/>
      <c r="EJ20" s="179"/>
      <c r="EK20" s="179"/>
      <c r="EL20" s="179"/>
      <c r="EM20" s="179"/>
      <c r="EN20" s="179"/>
      <c r="EO20" s="179"/>
      <c r="EP20" s="179"/>
      <c r="EQ20" s="179"/>
      <c r="ER20" s="179"/>
      <c r="ES20" s="179"/>
      <c r="ET20" s="179"/>
      <c r="EU20" s="179"/>
      <c r="EV20" s="179"/>
      <c r="EW20" s="179"/>
      <c r="EX20" s="179"/>
      <c r="EY20" s="179"/>
      <c r="EZ20" s="179"/>
      <c r="FA20" s="179"/>
      <c r="FB20" s="179"/>
      <c r="FC20" s="179"/>
      <c r="FD20" s="179"/>
      <c r="FE20" s="179"/>
      <c r="FF20" s="179"/>
      <c r="FG20" s="179"/>
      <c r="FH20" s="179"/>
      <c r="FI20" s="179"/>
      <c r="FJ20" s="179"/>
      <c r="FK20" s="179"/>
      <c r="FL20" s="179"/>
      <c r="FM20" s="179"/>
      <c r="FN20" s="179"/>
      <c r="FO20" s="179"/>
      <c r="FP20" s="179"/>
      <c r="FQ20" s="179"/>
      <c r="FR20" s="179"/>
      <c r="FS20" s="179"/>
      <c r="FT20" s="179"/>
      <c r="FU20" s="179"/>
      <c r="FV20" s="179"/>
      <c r="FW20" s="179"/>
      <c r="FX20" s="179"/>
      <c r="FY20" s="179"/>
      <c r="FZ20" s="179"/>
      <c r="GA20" s="179"/>
      <c r="GB20" s="179"/>
      <c r="GC20" s="179"/>
      <c r="GD20" s="177"/>
    </row>
    <row r="21" spans="1:186" s="54" customFormat="1">
      <c r="A21" s="61"/>
      <c r="B21" s="100" t="str">
        <f t="shared" si="0"/>
        <v>Residential_Residential Lighting_0_All_2017</v>
      </c>
      <c r="C21" s="146"/>
      <c r="D21" s="136" t="s">
        <v>2</v>
      </c>
      <c r="E21" s="136" t="s">
        <v>249</v>
      </c>
      <c r="F21" s="136">
        <v>0</v>
      </c>
      <c r="G21" s="136" t="s">
        <v>98</v>
      </c>
      <c r="H21" s="136">
        <v>2017</v>
      </c>
      <c r="I21" s="55"/>
      <c r="J21" s="58">
        <f t="shared" ref="J21:J47" ca="1" si="163">IFERROR(SUMIFS($AR21:$AX21,$AR$7:$AX$7,"BENEFIT")/SUMIFS($AR21:$AX21,$AR$7:$AX$7,"COST"),"n/a")</f>
        <v>0.7377669859608792</v>
      </c>
      <c r="K21" s="58">
        <f ca="1">IFERROR(SUMIFS($AZ21:$BD21,$AZ$7:$BD$7,"BENEFIT")/SUMIFS($AZ21:$BD21,$AZ$7:$BD$7,"COST"),"n/a")</f>
        <v>0.98173755010138153</v>
      </c>
      <c r="L21" s="58">
        <f t="shared" ref="L21:L47" ca="1" si="164">IFERROR(SUMIFS($BF21:$BI21,$BF$7:$BI$7,"BENEFIT")/SUMIFS($BF21:$BI21,$BF$7:$BI$7,"COST"),"n/a")</f>
        <v>4.3499715437649789</v>
      </c>
      <c r="M21" s="58">
        <f t="shared" ref="M21:M47" ca="1" si="165">IFERROR(SUMIFS($BK21:$BQ21,$BK$7:$BQ$7,"BENEFIT")/SUMIFS($BK21:$BQ21,$BK$7:$BQ$7,"COST"),"n/a")</f>
        <v>1.0093391815956438</v>
      </c>
      <c r="N21" s="58">
        <f t="shared" ref="N21:N47" ca="1" si="166">IFERROR(SUMIFS($BS21:$BY21,$BS$7:$BY$7,"BENEFIT")/SUMIFS($BS21:$BY21,$BS$7:$BY$7,"COST"),"n/a")</f>
        <v>0.21094161996017605</v>
      </c>
      <c r="O21" s="55"/>
      <c r="P21" s="175">
        <f ca="1">IFERROR(($AW21+AV21)/SUMPRODUCT($CA21:$DI21,'General Inputs'!$F$51:$AN$51),"n/a")</f>
        <v>3.3101712468891244E-2</v>
      </c>
      <c r="Q21" s="175">
        <f t="shared" ref="Q21:Q47" ca="1" si="167">IFERROR($AN21/X21,"n/a")</f>
        <v>0.23285205659205338</v>
      </c>
      <c r="R21" s="56">
        <f t="shared" ref="R21" ca="1" si="168">SUM(CA21:DI21)/1000</f>
        <v>1623.3483419999995</v>
      </c>
      <c r="S21" s="55"/>
      <c r="T21" s="56"/>
      <c r="U21" s="146"/>
      <c r="V21" s="137"/>
      <c r="W21" s="55"/>
      <c r="X21" s="138">
        <f t="shared" ref="X21:Z47" ca="1" si="169">SUMIFS(OFFSET(X$49,,,InputRows),OFFSET($B$49,,,InputRows),SUBSTITUTE($B21,"All","*"))</f>
        <v>162334.83419999998</v>
      </c>
      <c r="Y21" s="138">
        <f t="shared" ca="1" si="169"/>
        <v>14.249636099999998</v>
      </c>
      <c r="Z21" s="138">
        <f t="shared" ca="1" si="169"/>
        <v>0</v>
      </c>
      <c r="AA21" s="55"/>
      <c r="AB21" s="138">
        <f t="shared" ref="AB21:AD47" ca="1" si="170">SUMIFS(OFFSET(AB$49,,,InputRows),OFFSET($B$49,,,InputRows),SUBSTITUTE($B21,"All","*"))</f>
        <v>0</v>
      </c>
      <c r="AC21" s="138">
        <f t="shared" ca="1" si="170"/>
        <v>0</v>
      </c>
      <c r="AD21" s="138">
        <f t="shared" ca="1" si="170"/>
        <v>0</v>
      </c>
      <c r="AE21" s="55"/>
      <c r="AF21" s="57">
        <f t="shared" ref="AF21:AJ30" ca="1" si="171">SUMIFS(OFFSET(AF$49,,,InputRows),OFFSET($B$49,,,InputRows),SUBSTITUTE($B21,"All","*"))</f>
        <v>0</v>
      </c>
      <c r="AG21" s="57">
        <f t="shared" ca="1" si="171"/>
        <v>37500</v>
      </c>
      <c r="AH21" s="57">
        <f t="shared" ca="1" si="171"/>
        <v>0</v>
      </c>
      <c r="AI21" s="57">
        <f t="shared" ca="1" si="171"/>
        <v>25000</v>
      </c>
      <c r="AJ21" s="57">
        <f t="shared" ca="1" si="171"/>
        <v>0</v>
      </c>
      <c r="AK21" s="63"/>
      <c r="AL21" s="88"/>
      <c r="AM21" s="57">
        <f ca="1">SUMIFS(OFFSET('Program Inputs'!$N$5,,,TotalPrograms),OFFSET('Program Inputs'!$B$5,,,TotalPrograms),SUBSTITUTE($B21,"All","*"))+AF21</f>
        <v>12800</v>
      </c>
      <c r="AN21" s="57">
        <f ca="1">AM21+AI21</f>
        <v>37800</v>
      </c>
      <c r="AO21" s="55"/>
      <c r="AP21" s="59">
        <f t="shared" ref="AP21" ca="1" si="172">SUMIFS(AR21:AX21,$AR$7:$AX$7,"BENEFIT")</f>
        <v>37109.679393832223</v>
      </c>
      <c r="AQ21" s="59">
        <f t="shared" ref="AQ21" ca="1" si="173">SUMIFS(AR21:AX21,$AR$7:$AX$7,"COST")</f>
        <v>50300</v>
      </c>
      <c r="AR21" s="59">
        <f t="shared" ref="AR21:AV30" ca="1" si="174">SUMIFS(OFFSET(AR$49,,,InputRows),OFFSET($B$49,,,InputRows),SUBSTITUTE($B21,"All","*"))</f>
        <v>34905.821875544847</v>
      </c>
      <c r="AS21" s="59">
        <f t="shared" ca="1" si="174"/>
        <v>2203.857518287376</v>
      </c>
      <c r="AT21" s="59">
        <f t="shared" ca="1" si="174"/>
        <v>0</v>
      </c>
      <c r="AU21" s="59">
        <f t="shared" ca="1" si="174"/>
        <v>0</v>
      </c>
      <c r="AV21" s="59">
        <f t="shared" ca="1" si="174"/>
        <v>25000</v>
      </c>
      <c r="AW21" s="57">
        <f ca="1">INDEX('General Inputs'!$F$51:$AN$51,MATCH($H21,'General Inputs'!$F$50:$AN$50,0))*$AM21</f>
        <v>12800</v>
      </c>
      <c r="AX21" s="59">
        <f t="shared" ref="AX21:AX47" ca="1" si="175">SUMIFS(OFFSET(AX$49,,,InputRows),OFFSET($B$49,,,InputRows),SUBSTITUTE($B21,"All","*"))</f>
        <v>37500</v>
      </c>
      <c r="AY21" s="55"/>
      <c r="AZ21" s="59">
        <f t="shared" ref="AZ21:BC47" ca="1" si="176">SUMIFS(OFFSET(AZ$49,,,InputRows),OFFSET($B$49,,,InputRows),SUBSTITUTE($B21,"All","*"))</f>
        <v>34905.821875544847</v>
      </c>
      <c r="BA21" s="59">
        <f t="shared" ca="1" si="176"/>
        <v>2203.857518287376</v>
      </c>
      <c r="BB21" s="59">
        <f t="shared" ca="1" si="176"/>
        <v>0</v>
      </c>
      <c r="BC21" s="59">
        <f t="shared" ca="1" si="176"/>
        <v>25000</v>
      </c>
      <c r="BD21" s="57">
        <f ca="1">INDEX('General Inputs'!$F$51:$AN$51,MATCH($H21,'General Inputs'!$F$50:$AN$50,0))*$AM21</f>
        <v>12800</v>
      </c>
      <c r="BE21" s="55"/>
      <c r="BF21" s="59">
        <f t="shared" ref="BF21:BI47" ca="1" si="177">SUMIFS(OFFSET(BF$49,,,InputRows),OFFSET($B$49,,,InputRows),SUBSTITUTE($B21,"All","*"))</f>
        <v>138123.93289118671</v>
      </c>
      <c r="BG21" s="59">
        <f t="shared" ca="1" si="177"/>
        <v>0</v>
      </c>
      <c r="BH21" s="57">
        <f t="shared" ca="1" si="177"/>
        <v>25000</v>
      </c>
      <c r="BI21" s="59">
        <f t="shared" ca="1" si="177"/>
        <v>37500</v>
      </c>
      <c r="BJ21" s="55"/>
      <c r="BK21" s="59">
        <f t="shared" ref="BK21:BO30" ca="1" si="178">SUMIFS(OFFSET(BK$49,,,InputRows),OFFSET($B$49,,,InputRows),SUBSTITUTE($B21,"All","*"))</f>
        <v>34905.821875544847</v>
      </c>
      <c r="BL21" s="59">
        <f t="shared" ca="1" si="178"/>
        <v>2203.857518287376</v>
      </c>
      <c r="BM21" s="59">
        <f t="shared" ca="1" si="178"/>
        <v>0</v>
      </c>
      <c r="BN21" s="59">
        <f t="shared" ca="1" si="178"/>
        <v>0</v>
      </c>
      <c r="BO21" s="59">
        <f t="shared" ca="1" si="178"/>
        <v>13660.081440428661</v>
      </c>
      <c r="BP21" s="57">
        <f ca="1">INDEX('General Inputs'!$F$51:$AN$51,MATCH($H21,'General Inputs'!$F$50:$AN$50,0))*$AM21</f>
        <v>12800</v>
      </c>
      <c r="BQ21" s="59">
        <f t="shared" ref="BQ21:BQ47" ca="1" si="179">SUMIFS(OFFSET(BQ$49,,,InputRows),OFFSET($B$49,,,InputRows),SUBSTITUTE($B21,"All","*"))</f>
        <v>37500</v>
      </c>
      <c r="BR21" s="55"/>
      <c r="BS21" s="59">
        <f t="shared" ref="BS21:BX30" ca="1" si="180">SUMIFS(OFFSET(BS$49,,,InputRows),OFFSET($B$49,,,InputRows),SUBSTITUTE($B21,"All","*"))</f>
        <v>34905.821875544847</v>
      </c>
      <c r="BT21" s="59">
        <f t="shared" ca="1" si="180"/>
        <v>2203.857518287376</v>
      </c>
      <c r="BU21" s="59">
        <f t="shared" ca="1" si="180"/>
        <v>0</v>
      </c>
      <c r="BV21" s="59">
        <f t="shared" ca="1" si="180"/>
        <v>138123.93289118671</v>
      </c>
      <c r="BW21" s="59">
        <f t="shared" ca="1" si="180"/>
        <v>0</v>
      </c>
      <c r="BX21" s="59">
        <f t="shared" ca="1" si="180"/>
        <v>25000</v>
      </c>
      <c r="BY21" s="57">
        <f ca="1">INDEX('General Inputs'!$F$51:$AN$51,MATCH($H21,'General Inputs'!$F$50:$AN$50,0))*$AM21</f>
        <v>12800</v>
      </c>
      <c r="BZ21" s="55"/>
      <c r="CA21" s="88">
        <f t="shared" ref="CA21:CJ30" ca="1" si="181">SUMIFS(OFFSET(CA$49,,,InputRows),OFFSET($B$49,,,InputRows),SUBSTITUTE($B21,"All","*"))</f>
        <v>162334.83419999998</v>
      </c>
      <c r="CB21" s="88">
        <f t="shared" ca="1" si="181"/>
        <v>162334.83419999998</v>
      </c>
      <c r="CC21" s="88">
        <f t="shared" ca="1" si="181"/>
        <v>162334.83419999998</v>
      </c>
      <c r="CD21" s="88">
        <f t="shared" ca="1" si="181"/>
        <v>162334.83419999998</v>
      </c>
      <c r="CE21" s="88">
        <f t="shared" ca="1" si="181"/>
        <v>162334.83419999998</v>
      </c>
      <c r="CF21" s="88">
        <f t="shared" ca="1" si="181"/>
        <v>162334.83419999998</v>
      </c>
      <c r="CG21" s="88">
        <f t="shared" ca="1" si="181"/>
        <v>162334.83419999998</v>
      </c>
      <c r="CH21" s="88">
        <f t="shared" ca="1" si="181"/>
        <v>162334.83419999998</v>
      </c>
      <c r="CI21" s="88">
        <f t="shared" ca="1" si="181"/>
        <v>162334.83419999998</v>
      </c>
      <c r="CJ21" s="88">
        <f t="shared" ca="1" si="181"/>
        <v>162334.83419999998</v>
      </c>
      <c r="CK21" s="88">
        <f t="shared" ref="CK21:CT30" ca="1" si="182">SUMIFS(OFFSET(CK$49,,,InputRows),OFFSET($B$49,,,InputRows),SUBSTITUTE($B21,"All","*"))</f>
        <v>0</v>
      </c>
      <c r="CL21" s="88">
        <f t="shared" ca="1" si="182"/>
        <v>0</v>
      </c>
      <c r="CM21" s="88">
        <f t="shared" ca="1" si="182"/>
        <v>0</v>
      </c>
      <c r="CN21" s="88">
        <f t="shared" ca="1" si="182"/>
        <v>0</v>
      </c>
      <c r="CO21" s="88">
        <f t="shared" ca="1" si="182"/>
        <v>0</v>
      </c>
      <c r="CP21" s="88">
        <f t="shared" ca="1" si="182"/>
        <v>0</v>
      </c>
      <c r="CQ21" s="88">
        <f t="shared" ca="1" si="182"/>
        <v>0</v>
      </c>
      <c r="CR21" s="88">
        <f t="shared" ca="1" si="182"/>
        <v>0</v>
      </c>
      <c r="CS21" s="88">
        <f t="shared" ca="1" si="182"/>
        <v>0</v>
      </c>
      <c r="CT21" s="88">
        <f t="shared" ca="1" si="182"/>
        <v>0</v>
      </c>
      <c r="CU21" s="88">
        <f t="shared" ref="CU21:DI30" ca="1" si="183">SUMIFS(OFFSET(CU$49,,,InputRows),OFFSET($B$49,,,InputRows),SUBSTITUTE($B21,"All","*"))</f>
        <v>0</v>
      </c>
      <c r="CV21" s="88">
        <f t="shared" ca="1" si="183"/>
        <v>0</v>
      </c>
      <c r="CW21" s="88">
        <f t="shared" ca="1" si="183"/>
        <v>0</v>
      </c>
      <c r="CX21" s="88">
        <f t="shared" ca="1" si="183"/>
        <v>0</v>
      </c>
      <c r="CY21" s="88">
        <f t="shared" ca="1" si="183"/>
        <v>0</v>
      </c>
      <c r="CZ21" s="88">
        <f t="shared" ca="1" si="183"/>
        <v>0</v>
      </c>
      <c r="DA21" s="88">
        <f t="shared" ca="1" si="183"/>
        <v>0</v>
      </c>
      <c r="DB21" s="88">
        <f t="shared" ca="1" si="183"/>
        <v>0</v>
      </c>
      <c r="DC21" s="88">
        <f t="shared" ca="1" si="183"/>
        <v>0</v>
      </c>
      <c r="DD21" s="88">
        <f t="shared" ca="1" si="183"/>
        <v>0</v>
      </c>
      <c r="DE21" s="88">
        <f t="shared" ca="1" si="183"/>
        <v>0</v>
      </c>
      <c r="DF21" s="88">
        <f t="shared" ca="1" si="183"/>
        <v>0</v>
      </c>
      <c r="DG21" s="88">
        <f t="shared" ca="1" si="183"/>
        <v>0</v>
      </c>
      <c r="DH21" s="88">
        <f t="shared" ca="1" si="183"/>
        <v>0</v>
      </c>
      <c r="DI21" s="88">
        <f t="shared" ca="1" si="183"/>
        <v>0</v>
      </c>
      <c r="DJ21" s="169"/>
      <c r="DK21" s="88">
        <f t="shared" ref="DK21:DT30" ca="1" si="184">SUMIFS(OFFSET(DK$49,,,InputRows),OFFSET($B$49,,,InputRows),SUBSTITUTE($B21,"All","*"))</f>
        <v>14.249636099999998</v>
      </c>
      <c r="DL21" s="88">
        <f t="shared" ca="1" si="184"/>
        <v>14.249636099999998</v>
      </c>
      <c r="DM21" s="88">
        <f t="shared" ca="1" si="184"/>
        <v>14.249636099999998</v>
      </c>
      <c r="DN21" s="88">
        <f t="shared" ca="1" si="184"/>
        <v>14.249636099999998</v>
      </c>
      <c r="DO21" s="88">
        <f t="shared" ca="1" si="184"/>
        <v>14.249636099999998</v>
      </c>
      <c r="DP21" s="88">
        <f t="shared" ca="1" si="184"/>
        <v>14.249636099999998</v>
      </c>
      <c r="DQ21" s="88">
        <f t="shared" ca="1" si="184"/>
        <v>14.249636099999998</v>
      </c>
      <c r="DR21" s="88">
        <f t="shared" ca="1" si="184"/>
        <v>14.249636099999998</v>
      </c>
      <c r="DS21" s="88">
        <f t="shared" ca="1" si="184"/>
        <v>14.249636099999998</v>
      </c>
      <c r="DT21" s="88">
        <f t="shared" ca="1" si="184"/>
        <v>14.249636099999998</v>
      </c>
      <c r="DU21" s="88">
        <f t="shared" ref="DU21:ED30" ca="1" si="185">SUMIFS(OFFSET(DU$49,,,InputRows),OFFSET($B$49,,,InputRows),SUBSTITUTE($B21,"All","*"))</f>
        <v>0</v>
      </c>
      <c r="DV21" s="88">
        <f t="shared" ca="1" si="185"/>
        <v>0</v>
      </c>
      <c r="DW21" s="88">
        <f t="shared" ca="1" si="185"/>
        <v>0</v>
      </c>
      <c r="DX21" s="88">
        <f t="shared" ca="1" si="185"/>
        <v>0</v>
      </c>
      <c r="DY21" s="88">
        <f t="shared" ca="1" si="185"/>
        <v>0</v>
      </c>
      <c r="DZ21" s="88">
        <f t="shared" ca="1" si="185"/>
        <v>0</v>
      </c>
      <c r="EA21" s="88">
        <f t="shared" ca="1" si="185"/>
        <v>0</v>
      </c>
      <c r="EB21" s="88">
        <f t="shared" ca="1" si="185"/>
        <v>0</v>
      </c>
      <c r="EC21" s="88">
        <f t="shared" ca="1" si="185"/>
        <v>0</v>
      </c>
      <c r="ED21" s="88">
        <f t="shared" ca="1" si="185"/>
        <v>0</v>
      </c>
      <c r="EE21" s="88">
        <f t="shared" ref="EE21:ES30" ca="1" si="186">SUMIFS(OFFSET(EE$49,,,InputRows),OFFSET($B$49,,,InputRows),SUBSTITUTE($B21,"All","*"))</f>
        <v>0</v>
      </c>
      <c r="EF21" s="88">
        <f t="shared" ca="1" si="186"/>
        <v>0</v>
      </c>
      <c r="EG21" s="88">
        <f t="shared" ca="1" si="186"/>
        <v>0</v>
      </c>
      <c r="EH21" s="88">
        <f t="shared" ca="1" si="186"/>
        <v>0</v>
      </c>
      <c r="EI21" s="88">
        <f t="shared" ca="1" si="186"/>
        <v>0</v>
      </c>
      <c r="EJ21" s="88">
        <f t="shared" ca="1" si="186"/>
        <v>0</v>
      </c>
      <c r="EK21" s="88">
        <f t="shared" ca="1" si="186"/>
        <v>0</v>
      </c>
      <c r="EL21" s="88">
        <f t="shared" ca="1" si="186"/>
        <v>0</v>
      </c>
      <c r="EM21" s="88">
        <f t="shared" ca="1" si="186"/>
        <v>0</v>
      </c>
      <c r="EN21" s="88">
        <f t="shared" ca="1" si="186"/>
        <v>0</v>
      </c>
      <c r="EO21" s="88">
        <f t="shared" ca="1" si="186"/>
        <v>0</v>
      </c>
      <c r="EP21" s="88">
        <f t="shared" ca="1" si="186"/>
        <v>0</v>
      </c>
      <c r="EQ21" s="88">
        <f t="shared" ca="1" si="186"/>
        <v>0</v>
      </c>
      <c r="ER21" s="88">
        <f t="shared" ca="1" si="186"/>
        <v>0</v>
      </c>
      <c r="ES21" s="88">
        <f t="shared" ca="1" si="186"/>
        <v>0</v>
      </c>
      <c r="ET21" s="169"/>
      <c r="EU21" s="88">
        <f t="shared" ref="EU21:FD30" ca="1" si="187">SUMIFS(OFFSET(EU$49,,,InputRows),OFFSET($B$49,,,InputRows),SUBSTITUTE($B21,"All","*"))</f>
        <v>0</v>
      </c>
      <c r="EV21" s="88">
        <f t="shared" ca="1" si="187"/>
        <v>0</v>
      </c>
      <c r="EW21" s="88">
        <f t="shared" ca="1" si="187"/>
        <v>0</v>
      </c>
      <c r="EX21" s="88">
        <f t="shared" ca="1" si="187"/>
        <v>0</v>
      </c>
      <c r="EY21" s="88">
        <f t="shared" ca="1" si="187"/>
        <v>0</v>
      </c>
      <c r="EZ21" s="88">
        <f t="shared" ca="1" si="187"/>
        <v>0</v>
      </c>
      <c r="FA21" s="88">
        <f t="shared" ca="1" si="187"/>
        <v>0</v>
      </c>
      <c r="FB21" s="88">
        <f t="shared" ca="1" si="187"/>
        <v>0</v>
      </c>
      <c r="FC21" s="88">
        <f t="shared" ca="1" si="187"/>
        <v>0</v>
      </c>
      <c r="FD21" s="88">
        <f t="shared" ca="1" si="187"/>
        <v>0</v>
      </c>
      <c r="FE21" s="88">
        <f t="shared" ref="FE21:FN30" ca="1" si="188">SUMIFS(OFFSET(FE$49,,,InputRows),OFFSET($B$49,,,InputRows),SUBSTITUTE($B21,"All","*"))</f>
        <v>0</v>
      </c>
      <c r="FF21" s="88">
        <f t="shared" ca="1" si="188"/>
        <v>0</v>
      </c>
      <c r="FG21" s="88">
        <f t="shared" ca="1" si="188"/>
        <v>0</v>
      </c>
      <c r="FH21" s="88">
        <f t="shared" ca="1" si="188"/>
        <v>0</v>
      </c>
      <c r="FI21" s="88">
        <f t="shared" ca="1" si="188"/>
        <v>0</v>
      </c>
      <c r="FJ21" s="88">
        <f t="shared" ca="1" si="188"/>
        <v>0</v>
      </c>
      <c r="FK21" s="88">
        <f t="shared" ca="1" si="188"/>
        <v>0</v>
      </c>
      <c r="FL21" s="88">
        <f t="shared" ca="1" si="188"/>
        <v>0</v>
      </c>
      <c r="FM21" s="88">
        <f t="shared" ca="1" si="188"/>
        <v>0</v>
      </c>
      <c r="FN21" s="88">
        <f t="shared" ca="1" si="188"/>
        <v>0</v>
      </c>
      <c r="FO21" s="88">
        <f t="shared" ref="FO21:GC30" ca="1" si="189">SUMIFS(OFFSET(FO$49,,,InputRows),OFFSET($B$49,,,InputRows),SUBSTITUTE($B21,"All","*"))</f>
        <v>0</v>
      </c>
      <c r="FP21" s="88">
        <f t="shared" ca="1" si="189"/>
        <v>0</v>
      </c>
      <c r="FQ21" s="88">
        <f t="shared" ca="1" si="189"/>
        <v>0</v>
      </c>
      <c r="FR21" s="88">
        <f t="shared" ca="1" si="189"/>
        <v>0</v>
      </c>
      <c r="FS21" s="88">
        <f t="shared" ca="1" si="189"/>
        <v>0</v>
      </c>
      <c r="FT21" s="88">
        <f t="shared" ca="1" si="189"/>
        <v>0</v>
      </c>
      <c r="FU21" s="88">
        <f t="shared" ca="1" si="189"/>
        <v>0</v>
      </c>
      <c r="FV21" s="88">
        <f t="shared" ca="1" si="189"/>
        <v>0</v>
      </c>
      <c r="FW21" s="88">
        <f t="shared" ca="1" si="189"/>
        <v>0</v>
      </c>
      <c r="FX21" s="88">
        <f t="shared" ca="1" si="189"/>
        <v>0</v>
      </c>
      <c r="FY21" s="88">
        <f t="shared" ca="1" si="189"/>
        <v>0</v>
      </c>
      <c r="FZ21" s="88">
        <f t="shared" ca="1" si="189"/>
        <v>0</v>
      </c>
      <c r="GA21" s="88">
        <f t="shared" ca="1" si="189"/>
        <v>0</v>
      </c>
      <c r="GB21" s="88">
        <f t="shared" ca="1" si="189"/>
        <v>0</v>
      </c>
      <c r="GC21" s="88">
        <f t="shared" ca="1" si="189"/>
        <v>0</v>
      </c>
      <c r="GD21" s="60"/>
    </row>
    <row r="22" spans="1:186" s="54" customFormat="1">
      <c r="A22" s="61"/>
      <c r="B22" s="100" t="str">
        <f t="shared" si="0"/>
        <v>Residential_Appliance Recycling_0_All_2017</v>
      </c>
      <c r="C22" s="146"/>
      <c r="D22" s="136" t="s">
        <v>2</v>
      </c>
      <c r="E22" s="136" t="s">
        <v>120</v>
      </c>
      <c r="F22" s="136">
        <v>0</v>
      </c>
      <c r="G22" s="136" t="s">
        <v>98</v>
      </c>
      <c r="H22" s="136">
        <v>2017</v>
      </c>
      <c r="I22" s="55"/>
      <c r="J22" s="58">
        <f t="shared" ca="1" si="163"/>
        <v>1.1795759964417016</v>
      </c>
      <c r="K22" s="58">
        <f t="shared" ref="K22:K47" ca="1" si="190">IFERROR(SUMIFS($AZ22:$BD22,$AZ$7:$BD$7,"BENEFIT")/SUMIFS($AZ22:$BD22,$AZ$7:$BD$7,"COST"),"n/a")</f>
        <v>1.288146749709586</v>
      </c>
      <c r="L22" s="58">
        <f t="shared" ca="1" si="164"/>
        <v>10.71176292141627</v>
      </c>
      <c r="M22" s="58">
        <f t="shared" ca="1" si="165"/>
        <v>1.6110969956932752</v>
      </c>
      <c r="N22" s="58">
        <f t="shared" ca="1" si="166"/>
        <v>0.22557577201230528</v>
      </c>
      <c r="O22" s="55"/>
      <c r="P22" s="175">
        <f ca="1">IFERROR(($AW22+AV22)/SUMPRODUCT($CA22:$DI22,'General Inputs'!$F$51:$AN$51),"n/a")</f>
        <v>2.5384616126381456E-2</v>
      </c>
      <c r="Q22" s="175">
        <f t="shared" ca="1" si="167"/>
        <v>0.15383298583139837</v>
      </c>
      <c r="R22" s="56">
        <f t="shared" ref="R22:R30" ca="1" si="191">SUM(CA22:DI22)/1000</f>
        <v>844.12</v>
      </c>
      <c r="S22" s="55"/>
      <c r="T22" s="56"/>
      <c r="U22" s="146"/>
      <c r="V22" s="137"/>
      <c r="W22" s="55"/>
      <c r="X22" s="138">
        <f t="shared" ca="1" si="169"/>
        <v>105515</v>
      </c>
      <c r="Y22" s="138">
        <f t="shared" ca="1" si="169"/>
        <v>12.045091324200914</v>
      </c>
      <c r="Z22" s="138">
        <f t="shared" ca="1" si="169"/>
        <v>0</v>
      </c>
      <c r="AA22" s="55"/>
      <c r="AB22" s="138">
        <f t="shared" ca="1" si="170"/>
        <v>0</v>
      </c>
      <c r="AC22" s="138">
        <f t="shared" ca="1" si="170"/>
        <v>0</v>
      </c>
      <c r="AD22" s="138">
        <f t="shared" ca="1" si="170"/>
        <v>0</v>
      </c>
      <c r="AE22" s="55"/>
      <c r="AF22" s="57">
        <f t="shared" ca="1" si="171"/>
        <v>0</v>
      </c>
      <c r="AG22" s="57">
        <f t="shared" ca="1" si="171"/>
        <v>7719</v>
      </c>
      <c r="AH22" s="57">
        <f t="shared" ca="1" si="171"/>
        <v>0</v>
      </c>
      <c r="AI22" s="57">
        <f t="shared" ca="1" si="171"/>
        <v>6225</v>
      </c>
      <c r="AJ22" s="57">
        <f t="shared" ca="1" si="171"/>
        <v>0</v>
      </c>
      <c r="AK22" s="63"/>
      <c r="AL22" s="88"/>
      <c r="AM22" s="57">
        <f ca="1">SUMIFS(OFFSET('Program Inputs'!$N$5,,,TotalPrograms),OFFSET('Program Inputs'!$B$5,,,TotalPrograms),SUBSTITUTE($B22,"All","*"))+AF22</f>
        <v>10006.6875</v>
      </c>
      <c r="AN22" s="57">
        <f t="shared" ref="AN22:AN29" ca="1" si="192">AM22+AI22</f>
        <v>16231.6875</v>
      </c>
      <c r="AO22" s="55"/>
      <c r="AP22" s="59">
        <f t="shared" ref="AP22:AP30" ca="1" si="193">SUMIFS(AR22:AX22,$AR$7:$AX$7,"BENEFIT")</f>
        <v>20908.795495426715</v>
      </c>
      <c r="AQ22" s="59">
        <f t="shared" ref="AQ22:AQ30" ca="1" si="194">SUMIFS(AR22:AX22,$AR$7:$AX$7,"COST")</f>
        <v>17725.6875</v>
      </c>
      <c r="AR22" s="59">
        <f t="shared" ca="1" si="174"/>
        <v>19322.268048366946</v>
      </c>
      <c r="AS22" s="59">
        <f t="shared" ca="1" si="174"/>
        <v>1586.5274470597683</v>
      </c>
      <c r="AT22" s="59">
        <f t="shared" ca="1" si="174"/>
        <v>0</v>
      </c>
      <c r="AU22" s="59">
        <f t="shared" ca="1" si="174"/>
        <v>0</v>
      </c>
      <c r="AV22" s="59">
        <f t="shared" ca="1" si="174"/>
        <v>6225</v>
      </c>
      <c r="AW22" s="57">
        <f ca="1">INDEX('General Inputs'!$F$51:$AN$51,MATCH($H22,'General Inputs'!$F$50:$AN$50,0))*$AM22</f>
        <v>10006.6875</v>
      </c>
      <c r="AX22" s="59">
        <f t="shared" ca="1" si="175"/>
        <v>7719</v>
      </c>
      <c r="AY22" s="55"/>
      <c r="AZ22" s="59">
        <f t="shared" ca="1" si="176"/>
        <v>19322.268048366946</v>
      </c>
      <c r="BA22" s="59">
        <f t="shared" ca="1" si="176"/>
        <v>1586.5274470597683</v>
      </c>
      <c r="BB22" s="59">
        <f t="shared" ca="1" si="176"/>
        <v>0</v>
      </c>
      <c r="BC22" s="59">
        <f t="shared" ca="1" si="176"/>
        <v>6225</v>
      </c>
      <c r="BD22" s="57">
        <f ca="1">INDEX('General Inputs'!$F$51:$AN$51,MATCH($H22,'General Inputs'!$F$50:$AN$50,0))*$AM22</f>
        <v>10006.6875</v>
      </c>
      <c r="BE22" s="55"/>
      <c r="BF22" s="59">
        <f t="shared" ca="1" si="177"/>
        <v>76459.097990412192</v>
      </c>
      <c r="BG22" s="59">
        <f t="shared" ca="1" si="177"/>
        <v>0</v>
      </c>
      <c r="BH22" s="57">
        <f t="shared" ca="1" si="177"/>
        <v>6225</v>
      </c>
      <c r="BI22" s="59">
        <f t="shared" ca="1" si="177"/>
        <v>7719</v>
      </c>
      <c r="BJ22" s="55"/>
      <c r="BK22" s="59">
        <f t="shared" ca="1" si="178"/>
        <v>19322.268048366946</v>
      </c>
      <c r="BL22" s="59">
        <f t="shared" ca="1" si="178"/>
        <v>1586.5274470597683</v>
      </c>
      <c r="BM22" s="59">
        <f t="shared" ca="1" si="178"/>
        <v>0</v>
      </c>
      <c r="BN22" s="59">
        <f t="shared" ca="1" si="178"/>
        <v>0</v>
      </c>
      <c r="BO22" s="59">
        <f t="shared" ca="1" si="178"/>
        <v>7649.0063824211293</v>
      </c>
      <c r="BP22" s="57">
        <f ca="1">INDEX('General Inputs'!$F$51:$AN$51,MATCH($H22,'General Inputs'!$F$50:$AN$50,0))*$AM22</f>
        <v>10006.6875</v>
      </c>
      <c r="BQ22" s="59">
        <f t="shared" ca="1" si="179"/>
        <v>7719</v>
      </c>
      <c r="BR22" s="55"/>
      <c r="BS22" s="59">
        <f t="shared" ca="1" si="180"/>
        <v>19322.268048366946</v>
      </c>
      <c r="BT22" s="59">
        <f t="shared" ca="1" si="180"/>
        <v>1586.5274470597683</v>
      </c>
      <c r="BU22" s="59">
        <f t="shared" ca="1" si="180"/>
        <v>0</v>
      </c>
      <c r="BV22" s="59">
        <f t="shared" ca="1" si="180"/>
        <v>76459.097990412192</v>
      </c>
      <c r="BW22" s="59">
        <f t="shared" ca="1" si="180"/>
        <v>0</v>
      </c>
      <c r="BX22" s="59">
        <f t="shared" ca="1" si="180"/>
        <v>6225</v>
      </c>
      <c r="BY22" s="57">
        <f ca="1">INDEX('General Inputs'!$F$51:$AN$51,MATCH($H22,'General Inputs'!$F$50:$AN$50,0))*$AM22</f>
        <v>10006.6875</v>
      </c>
      <c r="BZ22" s="55"/>
      <c r="CA22" s="88">
        <f t="shared" ca="1" si="181"/>
        <v>105515</v>
      </c>
      <c r="CB22" s="88">
        <f t="shared" ca="1" si="181"/>
        <v>105515</v>
      </c>
      <c r="CC22" s="88">
        <f t="shared" ca="1" si="181"/>
        <v>105515</v>
      </c>
      <c r="CD22" s="88">
        <f t="shared" ca="1" si="181"/>
        <v>105515</v>
      </c>
      <c r="CE22" s="88">
        <f t="shared" ca="1" si="181"/>
        <v>105515</v>
      </c>
      <c r="CF22" s="88">
        <f t="shared" ca="1" si="181"/>
        <v>105515</v>
      </c>
      <c r="CG22" s="88">
        <f t="shared" ca="1" si="181"/>
        <v>105515</v>
      </c>
      <c r="CH22" s="88">
        <f t="shared" ca="1" si="181"/>
        <v>105515</v>
      </c>
      <c r="CI22" s="88">
        <f t="shared" ca="1" si="181"/>
        <v>0</v>
      </c>
      <c r="CJ22" s="88">
        <f t="shared" ca="1" si="181"/>
        <v>0</v>
      </c>
      <c r="CK22" s="88">
        <f t="shared" ca="1" si="182"/>
        <v>0</v>
      </c>
      <c r="CL22" s="88">
        <f t="shared" ca="1" si="182"/>
        <v>0</v>
      </c>
      <c r="CM22" s="88">
        <f t="shared" ca="1" si="182"/>
        <v>0</v>
      </c>
      <c r="CN22" s="88">
        <f t="shared" ca="1" si="182"/>
        <v>0</v>
      </c>
      <c r="CO22" s="88">
        <f t="shared" ca="1" si="182"/>
        <v>0</v>
      </c>
      <c r="CP22" s="88">
        <f t="shared" ca="1" si="182"/>
        <v>0</v>
      </c>
      <c r="CQ22" s="88">
        <f t="shared" ca="1" si="182"/>
        <v>0</v>
      </c>
      <c r="CR22" s="88">
        <f t="shared" ca="1" si="182"/>
        <v>0</v>
      </c>
      <c r="CS22" s="88">
        <f t="shared" ca="1" si="182"/>
        <v>0</v>
      </c>
      <c r="CT22" s="88">
        <f t="shared" ca="1" si="182"/>
        <v>0</v>
      </c>
      <c r="CU22" s="88">
        <f t="shared" ca="1" si="183"/>
        <v>0</v>
      </c>
      <c r="CV22" s="88">
        <f t="shared" ca="1" si="183"/>
        <v>0</v>
      </c>
      <c r="CW22" s="88">
        <f t="shared" ca="1" si="183"/>
        <v>0</v>
      </c>
      <c r="CX22" s="88">
        <f t="shared" ca="1" si="183"/>
        <v>0</v>
      </c>
      <c r="CY22" s="88">
        <f t="shared" ca="1" si="183"/>
        <v>0</v>
      </c>
      <c r="CZ22" s="88">
        <f t="shared" ca="1" si="183"/>
        <v>0</v>
      </c>
      <c r="DA22" s="88">
        <f t="shared" ca="1" si="183"/>
        <v>0</v>
      </c>
      <c r="DB22" s="88">
        <f t="shared" ca="1" si="183"/>
        <v>0</v>
      </c>
      <c r="DC22" s="88">
        <f t="shared" ca="1" si="183"/>
        <v>0</v>
      </c>
      <c r="DD22" s="88">
        <f t="shared" ca="1" si="183"/>
        <v>0</v>
      </c>
      <c r="DE22" s="88">
        <f t="shared" ca="1" si="183"/>
        <v>0</v>
      </c>
      <c r="DF22" s="88">
        <f t="shared" ca="1" si="183"/>
        <v>0</v>
      </c>
      <c r="DG22" s="88">
        <f t="shared" ca="1" si="183"/>
        <v>0</v>
      </c>
      <c r="DH22" s="88">
        <f t="shared" ca="1" si="183"/>
        <v>0</v>
      </c>
      <c r="DI22" s="88">
        <f t="shared" ca="1" si="183"/>
        <v>0</v>
      </c>
      <c r="DJ22" s="169"/>
      <c r="DK22" s="88">
        <f t="shared" ca="1" si="184"/>
        <v>12.045091324200914</v>
      </c>
      <c r="DL22" s="88">
        <f t="shared" ca="1" si="184"/>
        <v>12.045091324200914</v>
      </c>
      <c r="DM22" s="88">
        <f t="shared" ca="1" si="184"/>
        <v>12.045091324200914</v>
      </c>
      <c r="DN22" s="88">
        <f t="shared" ca="1" si="184"/>
        <v>12.045091324200914</v>
      </c>
      <c r="DO22" s="88">
        <f t="shared" ca="1" si="184"/>
        <v>12.045091324200914</v>
      </c>
      <c r="DP22" s="88">
        <f t="shared" ca="1" si="184"/>
        <v>12.045091324200914</v>
      </c>
      <c r="DQ22" s="88">
        <f t="shared" ca="1" si="184"/>
        <v>12.045091324200914</v>
      </c>
      <c r="DR22" s="88">
        <f t="shared" ca="1" si="184"/>
        <v>12.045091324200914</v>
      </c>
      <c r="DS22" s="88">
        <f t="shared" ca="1" si="184"/>
        <v>0</v>
      </c>
      <c r="DT22" s="88">
        <f t="shared" ca="1" si="184"/>
        <v>0</v>
      </c>
      <c r="DU22" s="88">
        <f t="shared" ca="1" si="185"/>
        <v>0</v>
      </c>
      <c r="DV22" s="88">
        <f t="shared" ca="1" si="185"/>
        <v>0</v>
      </c>
      <c r="DW22" s="88">
        <f t="shared" ca="1" si="185"/>
        <v>0</v>
      </c>
      <c r="DX22" s="88">
        <f t="shared" ca="1" si="185"/>
        <v>0</v>
      </c>
      <c r="DY22" s="88">
        <f t="shared" ca="1" si="185"/>
        <v>0</v>
      </c>
      <c r="DZ22" s="88">
        <f t="shared" ca="1" si="185"/>
        <v>0</v>
      </c>
      <c r="EA22" s="88">
        <f t="shared" ca="1" si="185"/>
        <v>0</v>
      </c>
      <c r="EB22" s="88">
        <f t="shared" ca="1" si="185"/>
        <v>0</v>
      </c>
      <c r="EC22" s="88">
        <f t="shared" ca="1" si="185"/>
        <v>0</v>
      </c>
      <c r="ED22" s="88">
        <f t="shared" ca="1" si="185"/>
        <v>0</v>
      </c>
      <c r="EE22" s="88">
        <f t="shared" ca="1" si="186"/>
        <v>0</v>
      </c>
      <c r="EF22" s="88">
        <f t="shared" ca="1" si="186"/>
        <v>0</v>
      </c>
      <c r="EG22" s="88">
        <f t="shared" ca="1" si="186"/>
        <v>0</v>
      </c>
      <c r="EH22" s="88">
        <f t="shared" ca="1" si="186"/>
        <v>0</v>
      </c>
      <c r="EI22" s="88">
        <f t="shared" ca="1" si="186"/>
        <v>0</v>
      </c>
      <c r="EJ22" s="88">
        <f t="shared" ca="1" si="186"/>
        <v>0</v>
      </c>
      <c r="EK22" s="88">
        <f t="shared" ca="1" si="186"/>
        <v>0</v>
      </c>
      <c r="EL22" s="88">
        <f t="shared" ca="1" si="186"/>
        <v>0</v>
      </c>
      <c r="EM22" s="88">
        <f t="shared" ca="1" si="186"/>
        <v>0</v>
      </c>
      <c r="EN22" s="88">
        <f t="shared" ca="1" si="186"/>
        <v>0</v>
      </c>
      <c r="EO22" s="88">
        <f t="shared" ca="1" si="186"/>
        <v>0</v>
      </c>
      <c r="EP22" s="88">
        <f t="shared" ca="1" si="186"/>
        <v>0</v>
      </c>
      <c r="EQ22" s="88">
        <f t="shared" ca="1" si="186"/>
        <v>0</v>
      </c>
      <c r="ER22" s="88">
        <f t="shared" ca="1" si="186"/>
        <v>0</v>
      </c>
      <c r="ES22" s="88">
        <f t="shared" ca="1" si="186"/>
        <v>0</v>
      </c>
      <c r="ET22" s="169"/>
      <c r="EU22" s="88">
        <f t="shared" ca="1" si="187"/>
        <v>0</v>
      </c>
      <c r="EV22" s="88">
        <f t="shared" ca="1" si="187"/>
        <v>0</v>
      </c>
      <c r="EW22" s="88">
        <f t="shared" ca="1" si="187"/>
        <v>0</v>
      </c>
      <c r="EX22" s="88">
        <f t="shared" ca="1" si="187"/>
        <v>0</v>
      </c>
      <c r="EY22" s="88">
        <f t="shared" ca="1" si="187"/>
        <v>0</v>
      </c>
      <c r="EZ22" s="88">
        <f t="shared" ca="1" si="187"/>
        <v>0</v>
      </c>
      <c r="FA22" s="88">
        <f t="shared" ca="1" si="187"/>
        <v>0</v>
      </c>
      <c r="FB22" s="88">
        <f t="shared" ca="1" si="187"/>
        <v>0</v>
      </c>
      <c r="FC22" s="88">
        <f t="shared" ca="1" si="187"/>
        <v>0</v>
      </c>
      <c r="FD22" s="88">
        <f t="shared" ca="1" si="187"/>
        <v>0</v>
      </c>
      <c r="FE22" s="88">
        <f t="shared" ca="1" si="188"/>
        <v>0</v>
      </c>
      <c r="FF22" s="88">
        <f t="shared" ca="1" si="188"/>
        <v>0</v>
      </c>
      <c r="FG22" s="88">
        <f t="shared" ca="1" si="188"/>
        <v>0</v>
      </c>
      <c r="FH22" s="88">
        <f t="shared" ca="1" si="188"/>
        <v>0</v>
      </c>
      <c r="FI22" s="88">
        <f t="shared" ca="1" si="188"/>
        <v>0</v>
      </c>
      <c r="FJ22" s="88">
        <f t="shared" ca="1" si="188"/>
        <v>0</v>
      </c>
      <c r="FK22" s="88">
        <f t="shared" ca="1" si="188"/>
        <v>0</v>
      </c>
      <c r="FL22" s="88">
        <f t="shared" ca="1" si="188"/>
        <v>0</v>
      </c>
      <c r="FM22" s="88">
        <f t="shared" ca="1" si="188"/>
        <v>0</v>
      </c>
      <c r="FN22" s="88">
        <f t="shared" ca="1" si="188"/>
        <v>0</v>
      </c>
      <c r="FO22" s="88">
        <f t="shared" ca="1" si="189"/>
        <v>0</v>
      </c>
      <c r="FP22" s="88">
        <f t="shared" ca="1" si="189"/>
        <v>0</v>
      </c>
      <c r="FQ22" s="88">
        <f t="shared" ca="1" si="189"/>
        <v>0</v>
      </c>
      <c r="FR22" s="88">
        <f t="shared" ca="1" si="189"/>
        <v>0</v>
      </c>
      <c r="FS22" s="88">
        <f t="shared" ca="1" si="189"/>
        <v>0</v>
      </c>
      <c r="FT22" s="88">
        <f t="shared" ca="1" si="189"/>
        <v>0</v>
      </c>
      <c r="FU22" s="88">
        <f t="shared" ca="1" si="189"/>
        <v>0</v>
      </c>
      <c r="FV22" s="88">
        <f t="shared" ca="1" si="189"/>
        <v>0</v>
      </c>
      <c r="FW22" s="88">
        <f t="shared" ca="1" si="189"/>
        <v>0</v>
      </c>
      <c r="FX22" s="88">
        <f t="shared" ca="1" si="189"/>
        <v>0</v>
      </c>
      <c r="FY22" s="88">
        <f t="shared" ca="1" si="189"/>
        <v>0</v>
      </c>
      <c r="FZ22" s="88">
        <f t="shared" ca="1" si="189"/>
        <v>0</v>
      </c>
      <c r="GA22" s="88">
        <f t="shared" ca="1" si="189"/>
        <v>0</v>
      </c>
      <c r="GB22" s="88">
        <f t="shared" ca="1" si="189"/>
        <v>0</v>
      </c>
      <c r="GC22" s="88">
        <f t="shared" ca="1" si="189"/>
        <v>0</v>
      </c>
      <c r="GD22" s="60"/>
    </row>
    <row r="23" spans="1:186" s="54" customFormat="1">
      <c r="A23" s="61"/>
      <c r="B23" s="100" t="str">
        <f t="shared" si="0"/>
        <v>Residential_High Efficiency HVAC_0_All_2017</v>
      </c>
      <c r="C23" s="146"/>
      <c r="D23" s="136" t="s">
        <v>2</v>
      </c>
      <c r="E23" s="136" t="s">
        <v>250</v>
      </c>
      <c r="F23" s="136">
        <v>0</v>
      </c>
      <c r="G23" s="136" t="s">
        <v>98</v>
      </c>
      <c r="H23" s="136">
        <v>2017</v>
      </c>
      <c r="I23" s="55"/>
      <c r="J23" s="58">
        <f t="shared" ca="1" si="163"/>
        <v>0.89060747610594337</v>
      </c>
      <c r="K23" s="58">
        <f t="shared" ca="1" si="190"/>
        <v>2.3997674346043265</v>
      </c>
      <c r="L23" s="58">
        <f t="shared" ca="1" si="164"/>
        <v>3.3557555787243736</v>
      </c>
      <c r="M23" s="58">
        <f t="shared" ca="1" si="165"/>
        <v>1.1578439837843228</v>
      </c>
      <c r="N23" s="58">
        <f t="shared" ca="1" si="166"/>
        <v>0.28049544510029567</v>
      </c>
      <c r="O23" s="55"/>
      <c r="P23" s="175">
        <f ca="1">IFERROR(($AW23+AV23)/SUMPRODUCT($CA23:$DI23,'General Inputs'!$F$51:$AN$51),"n/a")</f>
        <v>1.6612436884724045E-2</v>
      </c>
      <c r="Q23" s="175">
        <f t="shared" ca="1" si="167"/>
        <v>0.15815409888816068</v>
      </c>
      <c r="R23" s="56">
        <f t="shared" ca="1" si="191"/>
        <v>3963.340844692068</v>
      </c>
      <c r="S23" s="55"/>
      <c r="T23" s="56"/>
      <c r="U23" s="146"/>
      <c r="V23" s="137"/>
      <c r="W23" s="55"/>
      <c r="X23" s="138">
        <f t="shared" ca="1" si="169"/>
        <v>225138.99576627091</v>
      </c>
      <c r="Y23" s="138">
        <f t="shared" ca="1" si="169"/>
        <v>79.476859716854349</v>
      </c>
      <c r="Z23" s="138">
        <f t="shared" ca="1" si="169"/>
        <v>0</v>
      </c>
      <c r="AA23" s="55"/>
      <c r="AB23" s="138">
        <f t="shared" ca="1" si="170"/>
        <v>0</v>
      </c>
      <c r="AC23" s="138">
        <f t="shared" ca="1" si="170"/>
        <v>0</v>
      </c>
      <c r="AD23" s="138">
        <f t="shared" ca="1" si="170"/>
        <v>0</v>
      </c>
      <c r="AE23" s="55"/>
      <c r="AF23" s="57">
        <f t="shared" ca="1" si="171"/>
        <v>0</v>
      </c>
      <c r="AG23" s="57">
        <f t="shared" ca="1" si="171"/>
        <v>88586.5</v>
      </c>
      <c r="AH23" s="57">
        <f t="shared" ca="1" si="171"/>
        <v>0</v>
      </c>
      <c r="AI23" s="57">
        <f t="shared" ca="1" si="171"/>
        <v>28250</v>
      </c>
      <c r="AJ23" s="57">
        <f t="shared" ca="1" si="171"/>
        <v>0</v>
      </c>
      <c r="AK23" s="63"/>
      <c r="AL23" s="88"/>
      <c r="AM23" s="57">
        <f ca="1">SUMIFS(OFFSET('Program Inputs'!$N$5,,,TotalPrograms),OFFSET('Program Inputs'!$B$5,,,TotalPrograms),SUBSTITUTE($B23,"All","*"))+AF23</f>
        <v>7356.6550000000007</v>
      </c>
      <c r="AN23" s="57">
        <f t="shared" ca="1" si="192"/>
        <v>35606.654999999999</v>
      </c>
      <c r="AO23" s="55"/>
      <c r="AP23" s="59">
        <f t="shared" ca="1" si="193"/>
        <v>85447.691124191319</v>
      </c>
      <c r="AQ23" s="59">
        <f t="shared" ca="1" si="194"/>
        <v>95943.154999999999</v>
      </c>
      <c r="AR23" s="59">
        <f t="shared" ca="1" si="174"/>
        <v>67986.235421890437</v>
      </c>
      <c r="AS23" s="59">
        <f t="shared" ca="1" si="174"/>
        <v>17461.455702300886</v>
      </c>
      <c r="AT23" s="59">
        <f t="shared" ca="1" si="174"/>
        <v>0</v>
      </c>
      <c r="AU23" s="59">
        <f t="shared" ca="1" si="174"/>
        <v>0</v>
      </c>
      <c r="AV23" s="59">
        <f t="shared" ca="1" si="174"/>
        <v>28250</v>
      </c>
      <c r="AW23" s="57">
        <f ca="1">INDEX('General Inputs'!$F$51:$AN$51,MATCH($H23,'General Inputs'!$F$50:$AN$50,0))*$AM23</f>
        <v>7356.6550000000007</v>
      </c>
      <c r="AX23" s="59">
        <f t="shared" ca="1" si="175"/>
        <v>88586.5</v>
      </c>
      <c r="AY23" s="55"/>
      <c r="AZ23" s="59">
        <f t="shared" ca="1" si="176"/>
        <v>67986.235421890437</v>
      </c>
      <c r="BA23" s="59">
        <f t="shared" ca="1" si="176"/>
        <v>17461.455702300886</v>
      </c>
      <c r="BB23" s="59">
        <f t="shared" ca="1" si="176"/>
        <v>0</v>
      </c>
      <c r="BC23" s="59">
        <f t="shared" ca="1" si="176"/>
        <v>28250</v>
      </c>
      <c r="BD23" s="57">
        <f ca="1">INDEX('General Inputs'!$F$51:$AN$51,MATCH($H23,'General Inputs'!$F$50:$AN$50,0))*$AM23</f>
        <v>7356.6550000000007</v>
      </c>
      <c r="BE23" s="55"/>
      <c r="BF23" s="59">
        <f t="shared" ca="1" si="177"/>
        <v>269024.64157466672</v>
      </c>
      <c r="BG23" s="59">
        <f t="shared" ca="1" si="177"/>
        <v>0</v>
      </c>
      <c r="BH23" s="57">
        <f t="shared" ca="1" si="177"/>
        <v>28250</v>
      </c>
      <c r="BI23" s="59">
        <f t="shared" ca="1" si="177"/>
        <v>88586.5</v>
      </c>
      <c r="BJ23" s="55"/>
      <c r="BK23" s="59">
        <f t="shared" ca="1" si="178"/>
        <v>67986.235421890437</v>
      </c>
      <c r="BL23" s="59">
        <f t="shared" ca="1" si="178"/>
        <v>17461.455702300886</v>
      </c>
      <c r="BM23" s="59">
        <f t="shared" ca="1" si="178"/>
        <v>0</v>
      </c>
      <c r="BN23" s="59">
        <f t="shared" ca="1" si="178"/>
        <v>0</v>
      </c>
      <c r="BO23" s="59">
        <f t="shared" ca="1" si="178"/>
        <v>25639.513677845458</v>
      </c>
      <c r="BP23" s="57">
        <f ca="1">INDEX('General Inputs'!$F$51:$AN$51,MATCH($H23,'General Inputs'!$F$50:$AN$50,0))*$AM23</f>
        <v>7356.6550000000007</v>
      </c>
      <c r="BQ23" s="59">
        <f t="shared" ca="1" si="179"/>
        <v>88586.5</v>
      </c>
      <c r="BR23" s="55"/>
      <c r="BS23" s="59">
        <f t="shared" ca="1" si="180"/>
        <v>67986.235421890437</v>
      </c>
      <c r="BT23" s="59">
        <f t="shared" ca="1" si="180"/>
        <v>17461.455702300886</v>
      </c>
      <c r="BU23" s="59">
        <f t="shared" ca="1" si="180"/>
        <v>0</v>
      </c>
      <c r="BV23" s="59">
        <f t="shared" ca="1" si="180"/>
        <v>269024.64157466672</v>
      </c>
      <c r="BW23" s="59">
        <f t="shared" ca="1" si="180"/>
        <v>0</v>
      </c>
      <c r="BX23" s="59">
        <f t="shared" ca="1" si="180"/>
        <v>28250</v>
      </c>
      <c r="BY23" s="57">
        <f ca="1">INDEX('General Inputs'!$F$51:$AN$51,MATCH($H23,'General Inputs'!$F$50:$AN$50,0))*$AM23</f>
        <v>7356.6550000000007</v>
      </c>
      <c r="BZ23" s="55"/>
      <c r="CA23" s="88">
        <f t="shared" ca="1" si="181"/>
        <v>225138.99576627091</v>
      </c>
      <c r="CB23" s="88">
        <f t="shared" ca="1" si="181"/>
        <v>225138.99576627091</v>
      </c>
      <c r="CC23" s="88">
        <f t="shared" ca="1" si="181"/>
        <v>225138.99576627091</v>
      </c>
      <c r="CD23" s="88">
        <f t="shared" ca="1" si="181"/>
        <v>225138.99576627091</v>
      </c>
      <c r="CE23" s="88">
        <f t="shared" ca="1" si="181"/>
        <v>225138.99576627091</v>
      </c>
      <c r="CF23" s="88">
        <f t="shared" ca="1" si="181"/>
        <v>225138.99576627091</v>
      </c>
      <c r="CG23" s="88">
        <f t="shared" ca="1" si="181"/>
        <v>225138.99576627091</v>
      </c>
      <c r="CH23" s="88">
        <f t="shared" ca="1" si="181"/>
        <v>225138.99576627091</v>
      </c>
      <c r="CI23" s="88">
        <f t="shared" ca="1" si="181"/>
        <v>225138.99576627091</v>
      </c>
      <c r="CJ23" s="88">
        <f t="shared" ca="1" si="181"/>
        <v>225138.99576627091</v>
      </c>
      <c r="CK23" s="88">
        <f t="shared" ca="1" si="182"/>
        <v>225138.99576627091</v>
      </c>
      <c r="CL23" s="88">
        <f t="shared" ca="1" si="182"/>
        <v>225138.99576627091</v>
      </c>
      <c r="CM23" s="88">
        <f t="shared" ca="1" si="182"/>
        <v>225138.99576627091</v>
      </c>
      <c r="CN23" s="88">
        <f t="shared" ca="1" si="182"/>
        <v>207306.77994610951</v>
      </c>
      <c r="CO23" s="88">
        <f t="shared" ca="1" si="182"/>
        <v>207306.77994610951</v>
      </c>
      <c r="CP23" s="88">
        <f t="shared" ca="1" si="182"/>
        <v>207306.77994610951</v>
      </c>
      <c r="CQ23" s="88">
        <f t="shared" ca="1" si="182"/>
        <v>207306.77994610951</v>
      </c>
      <c r="CR23" s="88">
        <f t="shared" ca="1" si="182"/>
        <v>207306.77994610951</v>
      </c>
      <c r="CS23" s="88">
        <f t="shared" ca="1" si="182"/>
        <v>0</v>
      </c>
      <c r="CT23" s="88">
        <f t="shared" ca="1" si="182"/>
        <v>0</v>
      </c>
      <c r="CU23" s="88">
        <f t="shared" ca="1" si="183"/>
        <v>0</v>
      </c>
      <c r="CV23" s="88">
        <f t="shared" ca="1" si="183"/>
        <v>0</v>
      </c>
      <c r="CW23" s="88">
        <f t="shared" ca="1" si="183"/>
        <v>0</v>
      </c>
      <c r="CX23" s="88">
        <f t="shared" ca="1" si="183"/>
        <v>0</v>
      </c>
      <c r="CY23" s="88">
        <f t="shared" ca="1" si="183"/>
        <v>0</v>
      </c>
      <c r="CZ23" s="88">
        <f t="shared" ca="1" si="183"/>
        <v>0</v>
      </c>
      <c r="DA23" s="88">
        <f t="shared" ca="1" si="183"/>
        <v>0</v>
      </c>
      <c r="DB23" s="88">
        <f t="shared" ca="1" si="183"/>
        <v>0</v>
      </c>
      <c r="DC23" s="88">
        <f t="shared" ca="1" si="183"/>
        <v>0</v>
      </c>
      <c r="DD23" s="88">
        <f t="shared" ca="1" si="183"/>
        <v>0</v>
      </c>
      <c r="DE23" s="88">
        <f t="shared" ca="1" si="183"/>
        <v>0</v>
      </c>
      <c r="DF23" s="88">
        <f t="shared" ca="1" si="183"/>
        <v>0</v>
      </c>
      <c r="DG23" s="88">
        <f t="shared" ca="1" si="183"/>
        <v>0</v>
      </c>
      <c r="DH23" s="88">
        <f t="shared" ca="1" si="183"/>
        <v>0</v>
      </c>
      <c r="DI23" s="88">
        <f t="shared" ca="1" si="183"/>
        <v>0</v>
      </c>
      <c r="DJ23" s="169"/>
      <c r="DK23" s="88">
        <f t="shared" ca="1" si="184"/>
        <v>79.476859716854349</v>
      </c>
      <c r="DL23" s="88">
        <f t="shared" ca="1" si="184"/>
        <v>79.476859716854349</v>
      </c>
      <c r="DM23" s="88">
        <f t="shared" ca="1" si="184"/>
        <v>79.476859716854349</v>
      </c>
      <c r="DN23" s="88">
        <f t="shared" ca="1" si="184"/>
        <v>79.476859716854349</v>
      </c>
      <c r="DO23" s="88">
        <f t="shared" ca="1" si="184"/>
        <v>79.476859716854349</v>
      </c>
      <c r="DP23" s="88">
        <f t="shared" ca="1" si="184"/>
        <v>79.476859716854349</v>
      </c>
      <c r="DQ23" s="88">
        <f t="shared" ca="1" si="184"/>
        <v>79.476859716854349</v>
      </c>
      <c r="DR23" s="88">
        <f t="shared" ca="1" si="184"/>
        <v>79.476859716854349</v>
      </c>
      <c r="DS23" s="88">
        <f t="shared" ca="1" si="184"/>
        <v>79.476859716854349</v>
      </c>
      <c r="DT23" s="88">
        <f t="shared" ca="1" si="184"/>
        <v>79.476859716854349</v>
      </c>
      <c r="DU23" s="88">
        <f t="shared" ca="1" si="185"/>
        <v>79.476859716854349</v>
      </c>
      <c r="DV23" s="88">
        <f t="shared" ca="1" si="185"/>
        <v>79.476859716854349</v>
      </c>
      <c r="DW23" s="88">
        <f t="shared" ca="1" si="185"/>
        <v>79.476859716854349</v>
      </c>
      <c r="DX23" s="88">
        <f t="shared" ca="1" si="185"/>
        <v>78.632064652338215</v>
      </c>
      <c r="DY23" s="88">
        <f t="shared" ca="1" si="185"/>
        <v>78.632064652338215</v>
      </c>
      <c r="DZ23" s="88">
        <f t="shared" ca="1" si="185"/>
        <v>78.632064652338215</v>
      </c>
      <c r="EA23" s="88">
        <f t="shared" ca="1" si="185"/>
        <v>78.632064652338215</v>
      </c>
      <c r="EB23" s="88">
        <f t="shared" ca="1" si="185"/>
        <v>78.632064652338215</v>
      </c>
      <c r="EC23" s="88">
        <f t="shared" ca="1" si="185"/>
        <v>0</v>
      </c>
      <c r="ED23" s="88">
        <f t="shared" ca="1" si="185"/>
        <v>0</v>
      </c>
      <c r="EE23" s="88">
        <f t="shared" ca="1" si="186"/>
        <v>0</v>
      </c>
      <c r="EF23" s="88">
        <f t="shared" ca="1" si="186"/>
        <v>0</v>
      </c>
      <c r="EG23" s="88">
        <f t="shared" ca="1" si="186"/>
        <v>0</v>
      </c>
      <c r="EH23" s="88">
        <f t="shared" ca="1" si="186"/>
        <v>0</v>
      </c>
      <c r="EI23" s="88">
        <f t="shared" ca="1" si="186"/>
        <v>0</v>
      </c>
      <c r="EJ23" s="88">
        <f t="shared" ca="1" si="186"/>
        <v>0</v>
      </c>
      <c r="EK23" s="88">
        <f t="shared" ca="1" si="186"/>
        <v>0</v>
      </c>
      <c r="EL23" s="88">
        <f t="shared" ca="1" si="186"/>
        <v>0</v>
      </c>
      <c r="EM23" s="88">
        <f t="shared" ca="1" si="186"/>
        <v>0</v>
      </c>
      <c r="EN23" s="88">
        <f t="shared" ca="1" si="186"/>
        <v>0</v>
      </c>
      <c r="EO23" s="88">
        <f t="shared" ca="1" si="186"/>
        <v>0</v>
      </c>
      <c r="EP23" s="88">
        <f t="shared" ca="1" si="186"/>
        <v>0</v>
      </c>
      <c r="EQ23" s="88">
        <f t="shared" ca="1" si="186"/>
        <v>0</v>
      </c>
      <c r="ER23" s="88">
        <f t="shared" ca="1" si="186"/>
        <v>0</v>
      </c>
      <c r="ES23" s="88">
        <f t="shared" ca="1" si="186"/>
        <v>0</v>
      </c>
      <c r="ET23" s="169"/>
      <c r="EU23" s="88">
        <f t="shared" ca="1" si="187"/>
        <v>0</v>
      </c>
      <c r="EV23" s="88">
        <f t="shared" ca="1" si="187"/>
        <v>0</v>
      </c>
      <c r="EW23" s="88">
        <f t="shared" ca="1" si="187"/>
        <v>0</v>
      </c>
      <c r="EX23" s="88">
        <f t="shared" ca="1" si="187"/>
        <v>0</v>
      </c>
      <c r="EY23" s="88">
        <f t="shared" ca="1" si="187"/>
        <v>0</v>
      </c>
      <c r="EZ23" s="88">
        <f t="shared" ca="1" si="187"/>
        <v>0</v>
      </c>
      <c r="FA23" s="88">
        <f t="shared" ca="1" si="187"/>
        <v>0</v>
      </c>
      <c r="FB23" s="88">
        <f t="shared" ca="1" si="187"/>
        <v>0</v>
      </c>
      <c r="FC23" s="88">
        <f t="shared" ca="1" si="187"/>
        <v>0</v>
      </c>
      <c r="FD23" s="88">
        <f t="shared" ca="1" si="187"/>
        <v>0</v>
      </c>
      <c r="FE23" s="88">
        <f t="shared" ca="1" si="188"/>
        <v>0</v>
      </c>
      <c r="FF23" s="88">
        <f t="shared" ca="1" si="188"/>
        <v>0</v>
      </c>
      <c r="FG23" s="88">
        <f t="shared" ca="1" si="188"/>
        <v>0</v>
      </c>
      <c r="FH23" s="88">
        <f t="shared" ca="1" si="188"/>
        <v>0</v>
      </c>
      <c r="FI23" s="88">
        <f t="shared" ca="1" si="188"/>
        <v>0</v>
      </c>
      <c r="FJ23" s="88">
        <f t="shared" ca="1" si="188"/>
        <v>0</v>
      </c>
      <c r="FK23" s="88">
        <f t="shared" ca="1" si="188"/>
        <v>0</v>
      </c>
      <c r="FL23" s="88">
        <f t="shared" ca="1" si="188"/>
        <v>0</v>
      </c>
      <c r="FM23" s="88">
        <f t="shared" ca="1" si="188"/>
        <v>0</v>
      </c>
      <c r="FN23" s="88">
        <f t="shared" ca="1" si="188"/>
        <v>0</v>
      </c>
      <c r="FO23" s="88">
        <f t="shared" ca="1" si="189"/>
        <v>0</v>
      </c>
      <c r="FP23" s="88">
        <f t="shared" ca="1" si="189"/>
        <v>0</v>
      </c>
      <c r="FQ23" s="88">
        <f t="shared" ca="1" si="189"/>
        <v>0</v>
      </c>
      <c r="FR23" s="88">
        <f t="shared" ca="1" si="189"/>
        <v>0</v>
      </c>
      <c r="FS23" s="88">
        <f t="shared" ca="1" si="189"/>
        <v>0</v>
      </c>
      <c r="FT23" s="88">
        <f t="shared" ca="1" si="189"/>
        <v>0</v>
      </c>
      <c r="FU23" s="88">
        <f t="shared" ca="1" si="189"/>
        <v>0</v>
      </c>
      <c r="FV23" s="88">
        <f t="shared" ca="1" si="189"/>
        <v>0</v>
      </c>
      <c r="FW23" s="88">
        <f t="shared" ca="1" si="189"/>
        <v>0</v>
      </c>
      <c r="FX23" s="88">
        <f t="shared" ca="1" si="189"/>
        <v>0</v>
      </c>
      <c r="FY23" s="88">
        <f t="shared" ca="1" si="189"/>
        <v>0</v>
      </c>
      <c r="FZ23" s="88">
        <f t="shared" ca="1" si="189"/>
        <v>0</v>
      </c>
      <c r="GA23" s="88">
        <f t="shared" ca="1" si="189"/>
        <v>0</v>
      </c>
      <c r="GB23" s="88">
        <f t="shared" ca="1" si="189"/>
        <v>0</v>
      </c>
      <c r="GC23" s="88">
        <f t="shared" ca="1" si="189"/>
        <v>0</v>
      </c>
      <c r="GD23" s="60"/>
    </row>
    <row r="24" spans="1:186" s="54" customFormat="1">
      <c r="A24" s="61"/>
      <c r="B24" s="100" t="str">
        <f t="shared" si="0"/>
        <v>Residential_Whole House Efficiency_0_All_2017</v>
      </c>
      <c r="C24" s="146"/>
      <c r="D24" s="136" t="s">
        <v>2</v>
      </c>
      <c r="E24" s="136" t="s">
        <v>219</v>
      </c>
      <c r="F24" s="101">
        <v>0</v>
      </c>
      <c r="G24" s="136" t="s">
        <v>98</v>
      </c>
      <c r="H24" s="136">
        <v>2017</v>
      </c>
      <c r="I24" s="55"/>
      <c r="J24" s="58">
        <f t="shared" ca="1" si="163"/>
        <v>0.69289950679209944</v>
      </c>
      <c r="K24" s="58">
        <f t="shared" ca="1" si="190"/>
        <v>0.69289950679209944</v>
      </c>
      <c r="L24" s="58" t="str">
        <f t="shared" ca="1" si="164"/>
        <v>n/a</v>
      </c>
      <c r="M24" s="58">
        <f t="shared" ca="1" si="165"/>
        <v>0.93912649631498379</v>
      </c>
      <c r="N24" s="58">
        <f t="shared" ca="1" si="166"/>
        <v>0.19698400790679391</v>
      </c>
      <c r="O24" s="55"/>
      <c r="P24" s="175">
        <f ca="1">IFERROR(($AW24+AV24)/SUMPRODUCT($CA24:$DI24,'General Inputs'!$F$51:$AN$51),"n/a")</f>
        <v>4.8582101325363038E-2</v>
      </c>
      <c r="Q24" s="175">
        <f t="shared" ca="1" si="167"/>
        <v>0.36215249885735262</v>
      </c>
      <c r="R24" s="56">
        <f t="shared" ca="1" si="191"/>
        <v>400.23631269677543</v>
      </c>
      <c r="S24" s="55"/>
      <c r="T24" s="56"/>
      <c r="U24" s="146"/>
      <c r="V24" s="137"/>
      <c r="W24" s="55"/>
      <c r="X24" s="138">
        <f t="shared" ca="1" si="169"/>
        <v>34770.228121385633</v>
      </c>
      <c r="Y24" s="138">
        <f t="shared" ca="1" si="169"/>
        <v>4.5497772774931642</v>
      </c>
      <c r="Z24" s="138">
        <f t="shared" ca="1" si="169"/>
        <v>0</v>
      </c>
      <c r="AA24" s="55"/>
      <c r="AB24" s="138">
        <f t="shared" ca="1" si="170"/>
        <v>0</v>
      </c>
      <c r="AC24" s="138">
        <f t="shared" ca="1" si="170"/>
        <v>0</v>
      </c>
      <c r="AD24" s="138">
        <f t="shared" ca="1" si="170"/>
        <v>0</v>
      </c>
      <c r="AE24" s="55"/>
      <c r="AF24" s="57">
        <f t="shared" ca="1" si="171"/>
        <v>0</v>
      </c>
      <c r="AG24" s="57">
        <f t="shared" ca="1" si="171"/>
        <v>0</v>
      </c>
      <c r="AH24" s="57">
        <f t="shared" ca="1" si="171"/>
        <v>0</v>
      </c>
      <c r="AI24" s="57">
        <f t="shared" ca="1" si="171"/>
        <v>0</v>
      </c>
      <c r="AJ24" s="57">
        <f t="shared" ca="1" si="171"/>
        <v>0</v>
      </c>
      <c r="AK24" s="63"/>
      <c r="AL24" s="88"/>
      <c r="AM24" s="57">
        <f ca="1">SUMIFS(OFFSET('Program Inputs'!$N$5,,,TotalPrograms),OFFSET('Program Inputs'!$B$5,,,TotalPrograms),SUBSTITUTE($B24,"All","*"))+AF24</f>
        <v>12592.125</v>
      </c>
      <c r="AN24" s="57">
        <f t="shared" ca="1" si="192"/>
        <v>12592.125</v>
      </c>
      <c r="AO24" s="55"/>
      <c r="AP24" s="59">
        <f t="shared" ca="1" si="193"/>
        <v>8725.0772019644646</v>
      </c>
      <c r="AQ24" s="59">
        <f t="shared" ca="1" si="194"/>
        <v>12592.125</v>
      </c>
      <c r="AR24" s="59">
        <f t="shared" ca="1" si="174"/>
        <v>8011.3309070624009</v>
      </c>
      <c r="AS24" s="59">
        <f t="shared" ca="1" si="174"/>
        <v>713.74629490206325</v>
      </c>
      <c r="AT24" s="59">
        <f t="shared" ca="1" si="174"/>
        <v>0</v>
      </c>
      <c r="AU24" s="59">
        <f t="shared" ca="1" si="174"/>
        <v>0</v>
      </c>
      <c r="AV24" s="59">
        <f t="shared" ca="1" si="174"/>
        <v>0</v>
      </c>
      <c r="AW24" s="57">
        <f ca="1">INDEX('General Inputs'!$F$51:$AN$51,MATCH($H24,'General Inputs'!$F$50:$AN$50,0))*$AM24</f>
        <v>12592.125</v>
      </c>
      <c r="AX24" s="59">
        <f t="shared" ca="1" si="175"/>
        <v>0</v>
      </c>
      <c r="AY24" s="55"/>
      <c r="AZ24" s="59">
        <f t="shared" ca="1" si="176"/>
        <v>8011.3309070624009</v>
      </c>
      <c r="BA24" s="59">
        <f t="shared" ca="1" si="176"/>
        <v>713.74629490206325</v>
      </c>
      <c r="BB24" s="59">
        <f t="shared" ca="1" si="176"/>
        <v>0</v>
      </c>
      <c r="BC24" s="59">
        <f t="shared" ca="1" si="176"/>
        <v>0</v>
      </c>
      <c r="BD24" s="57">
        <f ca="1">INDEX('General Inputs'!$F$51:$AN$51,MATCH($H24,'General Inputs'!$F$50:$AN$50,0))*$AM24</f>
        <v>12592.125</v>
      </c>
      <c r="BE24" s="55"/>
      <c r="BF24" s="59">
        <f t="shared" ca="1" si="177"/>
        <v>31701.202639535455</v>
      </c>
      <c r="BG24" s="59">
        <f t="shared" ca="1" si="177"/>
        <v>0</v>
      </c>
      <c r="BH24" s="57">
        <f t="shared" ca="1" si="177"/>
        <v>0</v>
      </c>
      <c r="BI24" s="59">
        <f t="shared" ca="1" si="177"/>
        <v>0</v>
      </c>
      <c r="BJ24" s="55"/>
      <c r="BK24" s="59">
        <f t="shared" ca="1" si="178"/>
        <v>8011.3309070624009</v>
      </c>
      <c r="BL24" s="59">
        <f t="shared" ca="1" si="178"/>
        <v>713.74629490206325</v>
      </c>
      <c r="BM24" s="59">
        <f t="shared" ca="1" si="178"/>
        <v>0</v>
      </c>
      <c r="BN24" s="59">
        <f t="shared" ca="1" si="178"/>
        <v>0</v>
      </c>
      <c r="BO24" s="59">
        <f t="shared" ca="1" si="178"/>
        <v>3100.5210304458501</v>
      </c>
      <c r="BP24" s="57">
        <f ca="1">INDEX('General Inputs'!$F$51:$AN$51,MATCH($H24,'General Inputs'!$F$50:$AN$50,0))*$AM24</f>
        <v>12592.125</v>
      </c>
      <c r="BQ24" s="59">
        <f t="shared" ca="1" si="179"/>
        <v>0</v>
      </c>
      <c r="BR24" s="55"/>
      <c r="BS24" s="59">
        <f t="shared" ca="1" si="180"/>
        <v>8011.3309070624009</v>
      </c>
      <c r="BT24" s="59">
        <f t="shared" ca="1" si="180"/>
        <v>713.74629490206325</v>
      </c>
      <c r="BU24" s="59">
        <f t="shared" ca="1" si="180"/>
        <v>0</v>
      </c>
      <c r="BV24" s="59">
        <f t="shared" ca="1" si="180"/>
        <v>31701.202639535455</v>
      </c>
      <c r="BW24" s="59">
        <f t="shared" ca="1" si="180"/>
        <v>0</v>
      </c>
      <c r="BX24" s="59">
        <f t="shared" ca="1" si="180"/>
        <v>0</v>
      </c>
      <c r="BY24" s="57">
        <f ca="1">INDEX('General Inputs'!$F$51:$AN$51,MATCH($H24,'General Inputs'!$F$50:$AN$50,0))*$AM24</f>
        <v>12592.125</v>
      </c>
      <c r="BZ24" s="55"/>
      <c r="CA24" s="88">
        <f t="shared" ca="1" si="181"/>
        <v>34770.228121385633</v>
      </c>
      <c r="CB24" s="88">
        <f t="shared" ca="1" si="181"/>
        <v>34770.228121385633</v>
      </c>
      <c r="CC24" s="88">
        <f t="shared" ca="1" si="181"/>
        <v>34770.228121385633</v>
      </c>
      <c r="CD24" s="88">
        <f t="shared" ca="1" si="181"/>
        <v>34770.228121385633</v>
      </c>
      <c r="CE24" s="88">
        <f t="shared" ca="1" si="181"/>
        <v>34770.228121385633</v>
      </c>
      <c r="CF24" s="88">
        <f t="shared" ca="1" si="181"/>
        <v>30480.228121385629</v>
      </c>
      <c r="CG24" s="88">
        <f t="shared" ca="1" si="181"/>
        <v>30480.228121385629</v>
      </c>
      <c r="CH24" s="88">
        <f t="shared" ca="1" si="181"/>
        <v>30480.228121385629</v>
      </c>
      <c r="CI24" s="88">
        <f t="shared" ca="1" si="181"/>
        <v>30480.228121385629</v>
      </c>
      <c r="CJ24" s="88">
        <f t="shared" ca="1" si="181"/>
        <v>26364.304256457974</v>
      </c>
      <c r="CK24" s="88">
        <f t="shared" ca="1" si="182"/>
        <v>15619.991069569352</v>
      </c>
      <c r="CL24" s="88">
        <f t="shared" ca="1" si="182"/>
        <v>15619.991069569352</v>
      </c>
      <c r="CM24" s="88">
        <f t="shared" ca="1" si="182"/>
        <v>15619.991069569352</v>
      </c>
      <c r="CN24" s="88">
        <f t="shared" ca="1" si="182"/>
        <v>15619.991069569352</v>
      </c>
      <c r="CO24" s="88">
        <f t="shared" ca="1" si="182"/>
        <v>15619.991069569352</v>
      </c>
      <c r="CP24" s="88">
        <f t="shared" ca="1" si="182"/>
        <v>0</v>
      </c>
      <c r="CQ24" s="88">
        <f t="shared" ca="1" si="182"/>
        <v>0</v>
      </c>
      <c r="CR24" s="88">
        <f t="shared" ca="1" si="182"/>
        <v>0</v>
      </c>
      <c r="CS24" s="88">
        <f t="shared" ca="1" si="182"/>
        <v>0</v>
      </c>
      <c r="CT24" s="88">
        <f t="shared" ca="1" si="182"/>
        <v>0</v>
      </c>
      <c r="CU24" s="88">
        <f t="shared" ca="1" si="183"/>
        <v>0</v>
      </c>
      <c r="CV24" s="88">
        <f t="shared" ca="1" si="183"/>
        <v>0</v>
      </c>
      <c r="CW24" s="88">
        <f t="shared" ca="1" si="183"/>
        <v>0</v>
      </c>
      <c r="CX24" s="88">
        <f t="shared" ca="1" si="183"/>
        <v>0</v>
      </c>
      <c r="CY24" s="88">
        <f t="shared" ca="1" si="183"/>
        <v>0</v>
      </c>
      <c r="CZ24" s="88">
        <f t="shared" ca="1" si="183"/>
        <v>0</v>
      </c>
      <c r="DA24" s="88">
        <f t="shared" ca="1" si="183"/>
        <v>0</v>
      </c>
      <c r="DB24" s="88">
        <f t="shared" ca="1" si="183"/>
        <v>0</v>
      </c>
      <c r="DC24" s="88">
        <f t="shared" ca="1" si="183"/>
        <v>0</v>
      </c>
      <c r="DD24" s="88">
        <f t="shared" ca="1" si="183"/>
        <v>0</v>
      </c>
      <c r="DE24" s="88">
        <f t="shared" ca="1" si="183"/>
        <v>0</v>
      </c>
      <c r="DF24" s="88">
        <f t="shared" ca="1" si="183"/>
        <v>0</v>
      </c>
      <c r="DG24" s="88">
        <f t="shared" ca="1" si="183"/>
        <v>0</v>
      </c>
      <c r="DH24" s="88">
        <f t="shared" ca="1" si="183"/>
        <v>0</v>
      </c>
      <c r="DI24" s="88">
        <f t="shared" ca="1" si="183"/>
        <v>0</v>
      </c>
      <c r="DJ24" s="169"/>
      <c r="DK24" s="88">
        <f t="shared" ca="1" si="184"/>
        <v>4.5497772774931642</v>
      </c>
      <c r="DL24" s="88">
        <f t="shared" ca="1" si="184"/>
        <v>4.5497772774931642</v>
      </c>
      <c r="DM24" s="88">
        <f t="shared" ca="1" si="184"/>
        <v>4.5497772774931642</v>
      </c>
      <c r="DN24" s="88">
        <f t="shared" ca="1" si="184"/>
        <v>4.5497772774931642</v>
      </c>
      <c r="DO24" s="88">
        <f t="shared" ca="1" si="184"/>
        <v>4.5497772774931642</v>
      </c>
      <c r="DP24" s="88">
        <f t="shared" ca="1" si="184"/>
        <v>4.0577772774931642</v>
      </c>
      <c r="DQ24" s="88">
        <f t="shared" ca="1" si="184"/>
        <v>4.0577772774931642</v>
      </c>
      <c r="DR24" s="88">
        <f t="shared" ca="1" si="184"/>
        <v>4.0577772774931642</v>
      </c>
      <c r="DS24" s="88">
        <f t="shared" ca="1" si="184"/>
        <v>4.0577772774931642</v>
      </c>
      <c r="DT24" s="88">
        <f t="shared" ca="1" si="184"/>
        <v>2.3164248731006944</v>
      </c>
      <c r="DU24" s="88">
        <f t="shared" ca="1" si="185"/>
        <v>1.3481918997937288</v>
      </c>
      <c r="DV24" s="88">
        <f t="shared" ca="1" si="185"/>
        <v>1.3481918997937288</v>
      </c>
      <c r="DW24" s="88">
        <f t="shared" ca="1" si="185"/>
        <v>1.3481918997937288</v>
      </c>
      <c r="DX24" s="88">
        <f t="shared" ca="1" si="185"/>
        <v>1.3481918997937288</v>
      </c>
      <c r="DY24" s="88">
        <f t="shared" ca="1" si="185"/>
        <v>1.3481918997937288</v>
      </c>
      <c r="DZ24" s="88">
        <f t="shared" ca="1" si="185"/>
        <v>0</v>
      </c>
      <c r="EA24" s="88">
        <f t="shared" ca="1" si="185"/>
        <v>0</v>
      </c>
      <c r="EB24" s="88">
        <f t="shared" ca="1" si="185"/>
        <v>0</v>
      </c>
      <c r="EC24" s="88">
        <f t="shared" ca="1" si="185"/>
        <v>0</v>
      </c>
      <c r="ED24" s="88">
        <f t="shared" ca="1" si="185"/>
        <v>0</v>
      </c>
      <c r="EE24" s="88">
        <f t="shared" ca="1" si="186"/>
        <v>0</v>
      </c>
      <c r="EF24" s="88">
        <f t="shared" ca="1" si="186"/>
        <v>0</v>
      </c>
      <c r="EG24" s="88">
        <f t="shared" ca="1" si="186"/>
        <v>0</v>
      </c>
      <c r="EH24" s="88">
        <f t="shared" ca="1" si="186"/>
        <v>0</v>
      </c>
      <c r="EI24" s="88">
        <f t="shared" ca="1" si="186"/>
        <v>0</v>
      </c>
      <c r="EJ24" s="88">
        <f t="shared" ca="1" si="186"/>
        <v>0</v>
      </c>
      <c r="EK24" s="88">
        <f t="shared" ca="1" si="186"/>
        <v>0</v>
      </c>
      <c r="EL24" s="88">
        <f t="shared" ca="1" si="186"/>
        <v>0</v>
      </c>
      <c r="EM24" s="88">
        <f t="shared" ca="1" si="186"/>
        <v>0</v>
      </c>
      <c r="EN24" s="88">
        <f t="shared" ca="1" si="186"/>
        <v>0</v>
      </c>
      <c r="EO24" s="88">
        <f t="shared" ca="1" si="186"/>
        <v>0</v>
      </c>
      <c r="EP24" s="88">
        <f t="shared" ca="1" si="186"/>
        <v>0</v>
      </c>
      <c r="EQ24" s="88">
        <f t="shared" ca="1" si="186"/>
        <v>0</v>
      </c>
      <c r="ER24" s="88">
        <f t="shared" ca="1" si="186"/>
        <v>0</v>
      </c>
      <c r="ES24" s="88">
        <f t="shared" ca="1" si="186"/>
        <v>0</v>
      </c>
      <c r="ET24" s="169"/>
      <c r="EU24" s="88">
        <f t="shared" ca="1" si="187"/>
        <v>0</v>
      </c>
      <c r="EV24" s="88">
        <f t="shared" ca="1" si="187"/>
        <v>0</v>
      </c>
      <c r="EW24" s="88">
        <f t="shared" ca="1" si="187"/>
        <v>0</v>
      </c>
      <c r="EX24" s="88">
        <f t="shared" ca="1" si="187"/>
        <v>0</v>
      </c>
      <c r="EY24" s="88">
        <f t="shared" ca="1" si="187"/>
        <v>0</v>
      </c>
      <c r="EZ24" s="88">
        <f t="shared" ca="1" si="187"/>
        <v>0</v>
      </c>
      <c r="FA24" s="88">
        <f t="shared" ca="1" si="187"/>
        <v>0</v>
      </c>
      <c r="FB24" s="88">
        <f t="shared" ca="1" si="187"/>
        <v>0</v>
      </c>
      <c r="FC24" s="88">
        <f t="shared" ca="1" si="187"/>
        <v>0</v>
      </c>
      <c r="FD24" s="88">
        <f t="shared" ca="1" si="187"/>
        <v>0</v>
      </c>
      <c r="FE24" s="88">
        <f t="shared" ca="1" si="188"/>
        <v>0</v>
      </c>
      <c r="FF24" s="88">
        <f t="shared" ca="1" si="188"/>
        <v>0</v>
      </c>
      <c r="FG24" s="88">
        <f t="shared" ca="1" si="188"/>
        <v>0</v>
      </c>
      <c r="FH24" s="88">
        <f t="shared" ca="1" si="188"/>
        <v>0</v>
      </c>
      <c r="FI24" s="88">
        <f t="shared" ca="1" si="188"/>
        <v>0</v>
      </c>
      <c r="FJ24" s="88">
        <f t="shared" ca="1" si="188"/>
        <v>0</v>
      </c>
      <c r="FK24" s="88">
        <f t="shared" ca="1" si="188"/>
        <v>0</v>
      </c>
      <c r="FL24" s="88">
        <f t="shared" ca="1" si="188"/>
        <v>0</v>
      </c>
      <c r="FM24" s="88">
        <f t="shared" ca="1" si="188"/>
        <v>0</v>
      </c>
      <c r="FN24" s="88">
        <f t="shared" ca="1" si="188"/>
        <v>0</v>
      </c>
      <c r="FO24" s="88">
        <f t="shared" ca="1" si="189"/>
        <v>0</v>
      </c>
      <c r="FP24" s="88">
        <f t="shared" ca="1" si="189"/>
        <v>0</v>
      </c>
      <c r="FQ24" s="88">
        <f t="shared" ca="1" si="189"/>
        <v>0</v>
      </c>
      <c r="FR24" s="88">
        <f t="shared" ca="1" si="189"/>
        <v>0</v>
      </c>
      <c r="FS24" s="88">
        <f t="shared" ca="1" si="189"/>
        <v>0</v>
      </c>
      <c r="FT24" s="88">
        <f t="shared" ca="1" si="189"/>
        <v>0</v>
      </c>
      <c r="FU24" s="88">
        <f t="shared" ca="1" si="189"/>
        <v>0</v>
      </c>
      <c r="FV24" s="88">
        <f t="shared" ca="1" si="189"/>
        <v>0</v>
      </c>
      <c r="FW24" s="88">
        <f t="shared" ca="1" si="189"/>
        <v>0</v>
      </c>
      <c r="FX24" s="88">
        <f t="shared" ca="1" si="189"/>
        <v>0</v>
      </c>
      <c r="FY24" s="88">
        <f t="shared" ca="1" si="189"/>
        <v>0</v>
      </c>
      <c r="FZ24" s="88">
        <f t="shared" ca="1" si="189"/>
        <v>0</v>
      </c>
      <c r="GA24" s="88">
        <f t="shared" ca="1" si="189"/>
        <v>0</v>
      </c>
      <c r="GB24" s="88">
        <f t="shared" ca="1" si="189"/>
        <v>0</v>
      </c>
      <c r="GC24" s="88">
        <f t="shared" ca="1" si="189"/>
        <v>0</v>
      </c>
      <c r="GD24" s="60"/>
    </row>
    <row r="25" spans="1:186" s="54" customFormat="1">
      <c r="A25" s="61"/>
      <c r="B25" s="100" t="str">
        <f t="shared" si="0"/>
        <v>Residential_Residential Audit_0_All_2017</v>
      </c>
      <c r="C25" s="146"/>
      <c r="D25" s="136" t="s">
        <v>2</v>
      </c>
      <c r="E25" s="136" t="s">
        <v>251</v>
      </c>
      <c r="F25" s="101">
        <v>0</v>
      </c>
      <c r="G25" s="136" t="s">
        <v>98</v>
      </c>
      <c r="H25" s="136">
        <v>2017</v>
      </c>
      <c r="I25" s="55"/>
      <c r="J25" s="58">
        <f t="shared" ca="1" si="163"/>
        <v>0.6971885988170653</v>
      </c>
      <c r="K25" s="58">
        <f t="shared" ca="1" si="190"/>
        <v>0.6971885988170653</v>
      </c>
      <c r="L25" s="58" t="str">
        <f t="shared" ca="1" si="164"/>
        <v>n/a</v>
      </c>
      <c r="M25" s="58">
        <f t="shared" ca="1" si="165"/>
        <v>0.94178016187728342</v>
      </c>
      <c r="N25" s="58">
        <f t="shared" ca="1" si="166"/>
        <v>0.20091156396538173</v>
      </c>
      <c r="O25" s="55"/>
      <c r="P25" s="175">
        <f ca="1">IFERROR(($AW25+AV25)/SUMPRODUCT($CA25:$DI25,'General Inputs'!$F$51:$AN$51),"n/a")</f>
        <v>4.8906938589270928E-2</v>
      </c>
      <c r="Q25" s="175">
        <f t="shared" ca="1" si="167"/>
        <v>0.33875153399656333</v>
      </c>
      <c r="R25" s="56">
        <f t="shared" ca="1" si="191"/>
        <v>940.91138271669013</v>
      </c>
      <c r="S25" s="55"/>
      <c r="T25" s="56"/>
      <c r="U25" s="146"/>
      <c r="V25" s="137"/>
      <c r="W25" s="55"/>
      <c r="X25" s="138">
        <f t="shared" ca="1" si="169"/>
        <v>96320.597031838159</v>
      </c>
      <c r="Y25" s="138">
        <f t="shared" ca="1" si="169"/>
        <v>16.066260315621943</v>
      </c>
      <c r="Z25" s="138">
        <f t="shared" ca="1" si="169"/>
        <v>0</v>
      </c>
      <c r="AA25" s="55"/>
      <c r="AB25" s="138">
        <f t="shared" ca="1" si="170"/>
        <v>0</v>
      </c>
      <c r="AC25" s="138">
        <f t="shared" ca="1" si="170"/>
        <v>0</v>
      </c>
      <c r="AD25" s="138">
        <f t="shared" ca="1" si="170"/>
        <v>0</v>
      </c>
      <c r="AE25" s="55"/>
      <c r="AF25" s="57">
        <f t="shared" ca="1" si="171"/>
        <v>0</v>
      </c>
      <c r="AG25" s="57">
        <f t="shared" ca="1" si="171"/>
        <v>0</v>
      </c>
      <c r="AH25" s="57">
        <f t="shared" ca="1" si="171"/>
        <v>0</v>
      </c>
      <c r="AI25" s="57">
        <f t="shared" ca="1" si="171"/>
        <v>0</v>
      </c>
      <c r="AJ25" s="57">
        <f t="shared" ca="1" si="171"/>
        <v>0</v>
      </c>
      <c r="AK25" s="63"/>
      <c r="AL25" s="88"/>
      <c r="AM25" s="57">
        <f ca="1">SUMIFS(OFFSET('Program Inputs'!$N$5,,,TotalPrograms),OFFSET('Program Inputs'!$B$5,,,TotalPrograms),SUBSTITUTE($B25,"All","*"))+AF25</f>
        <v>32628.75</v>
      </c>
      <c r="AN25" s="57">
        <f t="shared" ca="1" si="192"/>
        <v>32628.75</v>
      </c>
      <c r="AO25" s="55"/>
      <c r="AP25" s="59">
        <f t="shared" ca="1" si="193"/>
        <v>22748.392493652318</v>
      </c>
      <c r="AQ25" s="59">
        <f t="shared" ca="1" si="194"/>
        <v>32628.75</v>
      </c>
      <c r="AR25" s="59">
        <f t="shared" ca="1" si="174"/>
        <v>20368.010636955063</v>
      </c>
      <c r="AS25" s="59">
        <f t="shared" ca="1" si="174"/>
        <v>2380.3818566972545</v>
      </c>
      <c r="AT25" s="59">
        <f t="shared" ca="1" si="174"/>
        <v>0</v>
      </c>
      <c r="AU25" s="59">
        <f t="shared" ca="1" si="174"/>
        <v>0</v>
      </c>
      <c r="AV25" s="59">
        <f t="shared" ca="1" si="174"/>
        <v>0</v>
      </c>
      <c r="AW25" s="57">
        <f ca="1">INDEX('General Inputs'!$F$51:$AN$51,MATCH($H25,'General Inputs'!$F$50:$AN$50,0))*$AM25</f>
        <v>32628.75</v>
      </c>
      <c r="AX25" s="59">
        <f t="shared" ca="1" si="175"/>
        <v>0</v>
      </c>
      <c r="AY25" s="55"/>
      <c r="AZ25" s="59">
        <f t="shared" ca="1" si="176"/>
        <v>20368.010636955063</v>
      </c>
      <c r="BA25" s="59">
        <f t="shared" ca="1" si="176"/>
        <v>2380.3818566972545</v>
      </c>
      <c r="BB25" s="59">
        <f t="shared" ca="1" si="176"/>
        <v>0</v>
      </c>
      <c r="BC25" s="59">
        <f t="shared" ca="1" si="176"/>
        <v>0</v>
      </c>
      <c r="BD25" s="57">
        <f ca="1">INDEX('General Inputs'!$F$51:$AN$51,MATCH($H25,'General Inputs'!$F$50:$AN$50,0))*$AM25</f>
        <v>32628.75</v>
      </c>
      <c r="BE25" s="55"/>
      <c r="BF25" s="59">
        <f t="shared" ca="1" si="177"/>
        <v>80597.149219877669</v>
      </c>
      <c r="BG25" s="59">
        <f t="shared" ca="1" si="177"/>
        <v>0</v>
      </c>
      <c r="BH25" s="57">
        <f t="shared" ca="1" si="177"/>
        <v>0</v>
      </c>
      <c r="BI25" s="59">
        <f t="shared" ca="1" si="177"/>
        <v>0</v>
      </c>
      <c r="BJ25" s="55"/>
      <c r="BK25" s="59">
        <f t="shared" ca="1" si="178"/>
        <v>20368.010636955063</v>
      </c>
      <c r="BL25" s="59">
        <f t="shared" ca="1" si="178"/>
        <v>2380.3818566972545</v>
      </c>
      <c r="BM25" s="59">
        <f t="shared" ca="1" si="178"/>
        <v>0</v>
      </c>
      <c r="BN25" s="59">
        <f t="shared" ca="1" si="178"/>
        <v>0</v>
      </c>
      <c r="BO25" s="59">
        <f t="shared" ca="1" si="178"/>
        <v>7980.7169632010919</v>
      </c>
      <c r="BP25" s="57">
        <f ca="1">INDEX('General Inputs'!$F$51:$AN$51,MATCH($H25,'General Inputs'!$F$50:$AN$50,0))*$AM25</f>
        <v>32628.75</v>
      </c>
      <c r="BQ25" s="59">
        <f t="shared" ca="1" si="179"/>
        <v>0</v>
      </c>
      <c r="BR25" s="55"/>
      <c r="BS25" s="59">
        <f t="shared" ca="1" si="180"/>
        <v>20368.010636955063</v>
      </c>
      <c r="BT25" s="59">
        <f t="shared" ca="1" si="180"/>
        <v>2380.3818566972545</v>
      </c>
      <c r="BU25" s="59">
        <f t="shared" ca="1" si="180"/>
        <v>0</v>
      </c>
      <c r="BV25" s="59">
        <f t="shared" ca="1" si="180"/>
        <v>80597.149219877669</v>
      </c>
      <c r="BW25" s="59">
        <f t="shared" ca="1" si="180"/>
        <v>0</v>
      </c>
      <c r="BX25" s="59">
        <f t="shared" ca="1" si="180"/>
        <v>0</v>
      </c>
      <c r="BY25" s="57">
        <f ca="1">INDEX('General Inputs'!$F$51:$AN$51,MATCH($H25,'General Inputs'!$F$50:$AN$50,0))*$AM25</f>
        <v>32628.75</v>
      </c>
      <c r="BZ25" s="55"/>
      <c r="CA25" s="88">
        <f t="shared" ca="1" si="181"/>
        <v>96320.597031838159</v>
      </c>
      <c r="CB25" s="88">
        <f t="shared" ca="1" si="181"/>
        <v>96320.597031838159</v>
      </c>
      <c r="CC25" s="88">
        <f t="shared" ca="1" si="181"/>
        <v>96320.597031838159</v>
      </c>
      <c r="CD25" s="88">
        <f t="shared" ca="1" si="181"/>
        <v>96320.597031838159</v>
      </c>
      <c r="CE25" s="88">
        <f t="shared" ca="1" si="181"/>
        <v>96320.597031838159</v>
      </c>
      <c r="CF25" s="88">
        <f t="shared" ca="1" si="181"/>
        <v>96320.597031838159</v>
      </c>
      <c r="CG25" s="88">
        <f t="shared" ca="1" si="181"/>
        <v>96320.597031838159</v>
      </c>
      <c r="CH25" s="88">
        <f t="shared" ca="1" si="181"/>
        <v>96320.597031838159</v>
      </c>
      <c r="CI25" s="88">
        <f t="shared" ca="1" si="181"/>
        <v>96320.597031838159</v>
      </c>
      <c r="CJ25" s="88">
        <f t="shared" ca="1" si="181"/>
        <v>74026.009430146689</v>
      </c>
      <c r="CK25" s="88">
        <f t="shared" ca="1" si="182"/>
        <v>0</v>
      </c>
      <c r="CL25" s="88">
        <f t="shared" ca="1" si="182"/>
        <v>0</v>
      </c>
      <c r="CM25" s="88">
        <f t="shared" ca="1" si="182"/>
        <v>0</v>
      </c>
      <c r="CN25" s="88">
        <f t="shared" ca="1" si="182"/>
        <v>0</v>
      </c>
      <c r="CO25" s="88">
        <f t="shared" ca="1" si="182"/>
        <v>0</v>
      </c>
      <c r="CP25" s="88">
        <f t="shared" ca="1" si="182"/>
        <v>0</v>
      </c>
      <c r="CQ25" s="88">
        <f t="shared" ca="1" si="182"/>
        <v>0</v>
      </c>
      <c r="CR25" s="88">
        <f t="shared" ca="1" si="182"/>
        <v>0</v>
      </c>
      <c r="CS25" s="88">
        <f t="shared" ca="1" si="182"/>
        <v>0</v>
      </c>
      <c r="CT25" s="88">
        <f t="shared" ca="1" si="182"/>
        <v>0</v>
      </c>
      <c r="CU25" s="88">
        <f t="shared" ca="1" si="183"/>
        <v>0</v>
      </c>
      <c r="CV25" s="88">
        <f t="shared" ca="1" si="183"/>
        <v>0</v>
      </c>
      <c r="CW25" s="88">
        <f t="shared" ca="1" si="183"/>
        <v>0</v>
      </c>
      <c r="CX25" s="88">
        <f t="shared" ca="1" si="183"/>
        <v>0</v>
      </c>
      <c r="CY25" s="88">
        <f t="shared" ca="1" si="183"/>
        <v>0</v>
      </c>
      <c r="CZ25" s="88">
        <f t="shared" ca="1" si="183"/>
        <v>0</v>
      </c>
      <c r="DA25" s="88">
        <f t="shared" ca="1" si="183"/>
        <v>0</v>
      </c>
      <c r="DB25" s="88">
        <f t="shared" ca="1" si="183"/>
        <v>0</v>
      </c>
      <c r="DC25" s="88">
        <f t="shared" ca="1" si="183"/>
        <v>0</v>
      </c>
      <c r="DD25" s="88">
        <f t="shared" ca="1" si="183"/>
        <v>0</v>
      </c>
      <c r="DE25" s="88">
        <f t="shared" ca="1" si="183"/>
        <v>0</v>
      </c>
      <c r="DF25" s="88">
        <f t="shared" ca="1" si="183"/>
        <v>0</v>
      </c>
      <c r="DG25" s="88">
        <f t="shared" ca="1" si="183"/>
        <v>0</v>
      </c>
      <c r="DH25" s="88">
        <f t="shared" ca="1" si="183"/>
        <v>0</v>
      </c>
      <c r="DI25" s="88">
        <f t="shared" ca="1" si="183"/>
        <v>0</v>
      </c>
      <c r="DJ25" s="169"/>
      <c r="DK25" s="88">
        <f t="shared" ca="1" si="184"/>
        <v>16.066260315621943</v>
      </c>
      <c r="DL25" s="88">
        <f t="shared" ca="1" si="184"/>
        <v>16.066260315621943</v>
      </c>
      <c r="DM25" s="88">
        <f t="shared" ca="1" si="184"/>
        <v>16.066260315621943</v>
      </c>
      <c r="DN25" s="88">
        <f t="shared" ca="1" si="184"/>
        <v>16.066260315621943</v>
      </c>
      <c r="DO25" s="88">
        <f t="shared" ca="1" si="184"/>
        <v>16.066260315621943</v>
      </c>
      <c r="DP25" s="88">
        <f t="shared" ca="1" si="184"/>
        <v>16.066260315621943</v>
      </c>
      <c r="DQ25" s="88">
        <f t="shared" ca="1" si="184"/>
        <v>16.066260315621943</v>
      </c>
      <c r="DR25" s="88">
        <f t="shared" ca="1" si="184"/>
        <v>16.066260315621943</v>
      </c>
      <c r="DS25" s="88">
        <f t="shared" ca="1" si="184"/>
        <v>16.066260315621943</v>
      </c>
      <c r="DT25" s="88">
        <f t="shared" ca="1" si="184"/>
        <v>6.6339347918293967</v>
      </c>
      <c r="DU25" s="88">
        <f t="shared" ca="1" si="185"/>
        <v>0</v>
      </c>
      <c r="DV25" s="88">
        <f t="shared" ca="1" si="185"/>
        <v>0</v>
      </c>
      <c r="DW25" s="88">
        <f t="shared" ca="1" si="185"/>
        <v>0</v>
      </c>
      <c r="DX25" s="88">
        <f t="shared" ca="1" si="185"/>
        <v>0</v>
      </c>
      <c r="DY25" s="88">
        <f t="shared" ca="1" si="185"/>
        <v>0</v>
      </c>
      <c r="DZ25" s="88">
        <f t="shared" ca="1" si="185"/>
        <v>0</v>
      </c>
      <c r="EA25" s="88">
        <f t="shared" ca="1" si="185"/>
        <v>0</v>
      </c>
      <c r="EB25" s="88">
        <f t="shared" ca="1" si="185"/>
        <v>0</v>
      </c>
      <c r="EC25" s="88">
        <f t="shared" ca="1" si="185"/>
        <v>0</v>
      </c>
      <c r="ED25" s="88">
        <f t="shared" ca="1" si="185"/>
        <v>0</v>
      </c>
      <c r="EE25" s="88">
        <f t="shared" ca="1" si="186"/>
        <v>0</v>
      </c>
      <c r="EF25" s="88">
        <f t="shared" ca="1" si="186"/>
        <v>0</v>
      </c>
      <c r="EG25" s="88">
        <f t="shared" ca="1" si="186"/>
        <v>0</v>
      </c>
      <c r="EH25" s="88">
        <f t="shared" ca="1" si="186"/>
        <v>0</v>
      </c>
      <c r="EI25" s="88">
        <f t="shared" ca="1" si="186"/>
        <v>0</v>
      </c>
      <c r="EJ25" s="88">
        <f t="shared" ca="1" si="186"/>
        <v>0</v>
      </c>
      <c r="EK25" s="88">
        <f t="shared" ca="1" si="186"/>
        <v>0</v>
      </c>
      <c r="EL25" s="88">
        <f t="shared" ca="1" si="186"/>
        <v>0</v>
      </c>
      <c r="EM25" s="88">
        <f t="shared" ca="1" si="186"/>
        <v>0</v>
      </c>
      <c r="EN25" s="88">
        <f t="shared" ca="1" si="186"/>
        <v>0</v>
      </c>
      <c r="EO25" s="88">
        <f t="shared" ca="1" si="186"/>
        <v>0</v>
      </c>
      <c r="EP25" s="88">
        <f t="shared" ca="1" si="186"/>
        <v>0</v>
      </c>
      <c r="EQ25" s="88">
        <f t="shared" ca="1" si="186"/>
        <v>0</v>
      </c>
      <c r="ER25" s="88">
        <f t="shared" ca="1" si="186"/>
        <v>0</v>
      </c>
      <c r="ES25" s="88">
        <f t="shared" ca="1" si="186"/>
        <v>0</v>
      </c>
      <c r="ET25" s="169"/>
      <c r="EU25" s="88">
        <f t="shared" ca="1" si="187"/>
        <v>0</v>
      </c>
      <c r="EV25" s="88">
        <f t="shared" ca="1" si="187"/>
        <v>0</v>
      </c>
      <c r="EW25" s="88">
        <f t="shared" ca="1" si="187"/>
        <v>0</v>
      </c>
      <c r="EX25" s="88">
        <f t="shared" ca="1" si="187"/>
        <v>0</v>
      </c>
      <c r="EY25" s="88">
        <f t="shared" ca="1" si="187"/>
        <v>0</v>
      </c>
      <c r="EZ25" s="88">
        <f t="shared" ca="1" si="187"/>
        <v>0</v>
      </c>
      <c r="FA25" s="88">
        <f t="shared" ca="1" si="187"/>
        <v>0</v>
      </c>
      <c r="FB25" s="88">
        <f t="shared" ca="1" si="187"/>
        <v>0</v>
      </c>
      <c r="FC25" s="88">
        <f t="shared" ca="1" si="187"/>
        <v>0</v>
      </c>
      <c r="FD25" s="88">
        <f t="shared" ca="1" si="187"/>
        <v>0</v>
      </c>
      <c r="FE25" s="88">
        <f t="shared" ca="1" si="188"/>
        <v>0</v>
      </c>
      <c r="FF25" s="88">
        <f t="shared" ca="1" si="188"/>
        <v>0</v>
      </c>
      <c r="FG25" s="88">
        <f t="shared" ca="1" si="188"/>
        <v>0</v>
      </c>
      <c r="FH25" s="88">
        <f t="shared" ca="1" si="188"/>
        <v>0</v>
      </c>
      <c r="FI25" s="88">
        <f t="shared" ca="1" si="188"/>
        <v>0</v>
      </c>
      <c r="FJ25" s="88">
        <f t="shared" ca="1" si="188"/>
        <v>0</v>
      </c>
      <c r="FK25" s="88">
        <f t="shared" ca="1" si="188"/>
        <v>0</v>
      </c>
      <c r="FL25" s="88">
        <f t="shared" ca="1" si="188"/>
        <v>0</v>
      </c>
      <c r="FM25" s="88">
        <f t="shared" ca="1" si="188"/>
        <v>0</v>
      </c>
      <c r="FN25" s="88">
        <f t="shared" ca="1" si="188"/>
        <v>0</v>
      </c>
      <c r="FO25" s="88">
        <f t="shared" ca="1" si="189"/>
        <v>0</v>
      </c>
      <c r="FP25" s="88">
        <f t="shared" ca="1" si="189"/>
        <v>0</v>
      </c>
      <c r="FQ25" s="88">
        <f t="shared" ca="1" si="189"/>
        <v>0</v>
      </c>
      <c r="FR25" s="88">
        <f t="shared" ca="1" si="189"/>
        <v>0</v>
      </c>
      <c r="FS25" s="88">
        <f t="shared" ca="1" si="189"/>
        <v>0</v>
      </c>
      <c r="FT25" s="88">
        <f t="shared" ca="1" si="189"/>
        <v>0</v>
      </c>
      <c r="FU25" s="88">
        <f t="shared" ca="1" si="189"/>
        <v>0</v>
      </c>
      <c r="FV25" s="88">
        <f t="shared" ca="1" si="189"/>
        <v>0</v>
      </c>
      <c r="FW25" s="88">
        <f t="shared" ca="1" si="189"/>
        <v>0</v>
      </c>
      <c r="FX25" s="88">
        <f t="shared" ca="1" si="189"/>
        <v>0</v>
      </c>
      <c r="FY25" s="88">
        <f t="shared" ca="1" si="189"/>
        <v>0</v>
      </c>
      <c r="FZ25" s="88">
        <f t="shared" ca="1" si="189"/>
        <v>0</v>
      </c>
      <c r="GA25" s="88">
        <f t="shared" ca="1" si="189"/>
        <v>0</v>
      </c>
      <c r="GB25" s="88">
        <f t="shared" ca="1" si="189"/>
        <v>0</v>
      </c>
      <c r="GC25" s="88">
        <f t="shared" ca="1" si="189"/>
        <v>0</v>
      </c>
      <c r="GD25" s="60"/>
    </row>
    <row r="26" spans="1:186" s="54" customFormat="1">
      <c r="A26" s="61"/>
      <c r="B26" s="100" t="str">
        <f t="shared" si="0"/>
        <v>Residential_School-Based Education_0_All_2017</v>
      </c>
      <c r="C26" s="146"/>
      <c r="D26" s="136" t="s">
        <v>2</v>
      </c>
      <c r="E26" s="136" t="s">
        <v>252</v>
      </c>
      <c r="F26" s="136">
        <v>0</v>
      </c>
      <c r="G26" s="136" t="s">
        <v>98</v>
      </c>
      <c r="H26" s="136">
        <v>2017</v>
      </c>
      <c r="I26" s="55"/>
      <c r="J26" s="58">
        <f t="shared" ca="1" si="163"/>
        <v>0.97388367556494249</v>
      </c>
      <c r="K26" s="58">
        <f t="shared" ca="1" si="190"/>
        <v>0.97388367556494249</v>
      </c>
      <c r="L26" s="58" t="str">
        <f t="shared" ca="1" si="164"/>
        <v>n/a</v>
      </c>
      <c r="M26" s="58">
        <f t="shared" ca="1" si="165"/>
        <v>1.3401173478773436</v>
      </c>
      <c r="N26" s="58">
        <f t="shared" ca="1" si="166"/>
        <v>0.21202296429240994</v>
      </c>
      <c r="O26" s="55"/>
      <c r="P26" s="175">
        <f ca="1">IFERROR(($AW26+AV26)/SUMPRODUCT($CA26:$DI26,'General Inputs'!$F$51:$AN$51),"n/a")</f>
        <v>3.2662820102013906E-2</v>
      </c>
      <c r="Q26" s="175">
        <f t="shared" ca="1" si="167"/>
        <v>0.13885390428211586</v>
      </c>
      <c r="R26" s="56">
        <f t="shared" ca="1" si="191"/>
        <v>2382</v>
      </c>
      <c r="S26" s="55"/>
      <c r="T26" s="56"/>
      <c r="U26" s="146"/>
      <c r="V26" s="137"/>
      <c r="W26" s="55"/>
      <c r="X26" s="138">
        <f t="shared" ca="1" si="169"/>
        <v>476400</v>
      </c>
      <c r="Y26" s="138">
        <f t="shared" ca="1" si="169"/>
        <v>48</v>
      </c>
      <c r="Z26" s="138">
        <f t="shared" ca="1" si="169"/>
        <v>0</v>
      </c>
      <c r="AA26" s="55"/>
      <c r="AB26" s="138">
        <f t="shared" ca="1" si="170"/>
        <v>0</v>
      </c>
      <c r="AC26" s="138">
        <f t="shared" ca="1" si="170"/>
        <v>0</v>
      </c>
      <c r="AD26" s="138">
        <f t="shared" ca="1" si="170"/>
        <v>0</v>
      </c>
      <c r="AE26" s="55"/>
      <c r="AF26" s="57">
        <f t="shared" ca="1" si="171"/>
        <v>0</v>
      </c>
      <c r="AG26" s="57">
        <f t="shared" ca="1" si="171"/>
        <v>0</v>
      </c>
      <c r="AH26" s="57">
        <f t="shared" ca="1" si="171"/>
        <v>0</v>
      </c>
      <c r="AI26" s="57">
        <f t="shared" ca="1" si="171"/>
        <v>0</v>
      </c>
      <c r="AJ26" s="57">
        <f t="shared" ca="1" si="171"/>
        <v>0</v>
      </c>
      <c r="AK26" s="63"/>
      <c r="AL26" s="88"/>
      <c r="AM26" s="57">
        <f ca="1">SUMIFS(OFFSET('Program Inputs'!$N$5,,,TotalPrograms),OFFSET('Program Inputs'!$B$5,,,TotalPrograms),SUBSTITUTE($B26,"All","*"))+AF26</f>
        <v>66150</v>
      </c>
      <c r="AN26" s="57">
        <f t="shared" ca="1" si="192"/>
        <v>66150</v>
      </c>
      <c r="AO26" s="55"/>
      <c r="AP26" s="59">
        <f t="shared" ca="1" si="193"/>
        <v>64422.405138620947</v>
      </c>
      <c r="AQ26" s="59">
        <f t="shared" ca="1" si="194"/>
        <v>66150</v>
      </c>
      <c r="AR26" s="59">
        <f t="shared" ca="1" si="174"/>
        <v>60069.145857430303</v>
      </c>
      <c r="AS26" s="59">
        <f t="shared" ca="1" si="174"/>
        <v>4353.2592811906443</v>
      </c>
      <c r="AT26" s="59">
        <f t="shared" ca="1" si="174"/>
        <v>0</v>
      </c>
      <c r="AU26" s="59">
        <f t="shared" ca="1" si="174"/>
        <v>0</v>
      </c>
      <c r="AV26" s="59">
        <f t="shared" ca="1" si="174"/>
        <v>0</v>
      </c>
      <c r="AW26" s="57">
        <f ca="1">INDEX('General Inputs'!$F$51:$AN$51,MATCH($H26,'General Inputs'!$F$50:$AN$50,0))*$AM26</f>
        <v>66150</v>
      </c>
      <c r="AX26" s="59">
        <f t="shared" ca="1" si="175"/>
        <v>0</v>
      </c>
      <c r="AY26" s="55"/>
      <c r="AZ26" s="59">
        <f t="shared" ca="1" si="176"/>
        <v>60069.145857430303</v>
      </c>
      <c r="BA26" s="59">
        <f t="shared" ca="1" si="176"/>
        <v>4353.2592811906443</v>
      </c>
      <c r="BB26" s="59">
        <f t="shared" ca="1" si="176"/>
        <v>0</v>
      </c>
      <c r="BC26" s="59">
        <f t="shared" ca="1" si="176"/>
        <v>0</v>
      </c>
      <c r="BD26" s="57">
        <f ca="1">INDEX('General Inputs'!$F$51:$AN$51,MATCH($H26,'General Inputs'!$F$50:$AN$50,0))*$AM26</f>
        <v>66150</v>
      </c>
      <c r="BE26" s="55"/>
      <c r="BF26" s="59">
        <f t="shared" ca="1" si="177"/>
        <v>237696.35623607851</v>
      </c>
      <c r="BG26" s="59">
        <f t="shared" ca="1" si="177"/>
        <v>0</v>
      </c>
      <c r="BH26" s="57">
        <f t="shared" ca="1" si="177"/>
        <v>0</v>
      </c>
      <c r="BI26" s="59">
        <f t="shared" ca="1" si="177"/>
        <v>0</v>
      </c>
      <c r="BJ26" s="55"/>
      <c r="BK26" s="59">
        <f t="shared" ca="1" si="178"/>
        <v>60069.145857430303</v>
      </c>
      <c r="BL26" s="59">
        <f t="shared" ca="1" si="178"/>
        <v>4353.2592811906443</v>
      </c>
      <c r="BM26" s="59">
        <f t="shared" ca="1" si="178"/>
        <v>0</v>
      </c>
      <c r="BN26" s="59">
        <f t="shared" ca="1" si="178"/>
        <v>0</v>
      </c>
      <c r="BO26" s="59">
        <f t="shared" ca="1" si="178"/>
        <v>24226.357423465342</v>
      </c>
      <c r="BP26" s="57">
        <f ca="1">INDEX('General Inputs'!$F$51:$AN$51,MATCH($H26,'General Inputs'!$F$50:$AN$50,0))*$AM26</f>
        <v>66150</v>
      </c>
      <c r="BQ26" s="59">
        <f t="shared" ca="1" si="179"/>
        <v>0</v>
      </c>
      <c r="BR26" s="55"/>
      <c r="BS26" s="59">
        <f t="shared" ca="1" si="180"/>
        <v>60069.145857430303</v>
      </c>
      <c r="BT26" s="59">
        <f t="shared" ca="1" si="180"/>
        <v>4353.2592811906443</v>
      </c>
      <c r="BU26" s="59">
        <f t="shared" ca="1" si="180"/>
        <v>0</v>
      </c>
      <c r="BV26" s="59">
        <f t="shared" ca="1" si="180"/>
        <v>237696.35623607851</v>
      </c>
      <c r="BW26" s="59">
        <f t="shared" ca="1" si="180"/>
        <v>0</v>
      </c>
      <c r="BX26" s="59">
        <f t="shared" ca="1" si="180"/>
        <v>0</v>
      </c>
      <c r="BY26" s="57">
        <f ca="1">INDEX('General Inputs'!$F$51:$AN$51,MATCH($H26,'General Inputs'!$F$50:$AN$50,0))*$AM26</f>
        <v>66150</v>
      </c>
      <c r="BZ26" s="55"/>
      <c r="CA26" s="88">
        <f t="shared" ca="1" si="181"/>
        <v>476400</v>
      </c>
      <c r="CB26" s="88">
        <f t="shared" ca="1" si="181"/>
        <v>476400</v>
      </c>
      <c r="CC26" s="88">
        <f t="shared" ca="1" si="181"/>
        <v>476400</v>
      </c>
      <c r="CD26" s="88">
        <f t="shared" ca="1" si="181"/>
        <v>476400</v>
      </c>
      <c r="CE26" s="88">
        <f t="shared" ca="1" si="181"/>
        <v>476400</v>
      </c>
      <c r="CF26" s="88">
        <f t="shared" ca="1" si="181"/>
        <v>0</v>
      </c>
      <c r="CG26" s="88">
        <f t="shared" ca="1" si="181"/>
        <v>0</v>
      </c>
      <c r="CH26" s="88">
        <f t="shared" ca="1" si="181"/>
        <v>0</v>
      </c>
      <c r="CI26" s="88">
        <f t="shared" ca="1" si="181"/>
        <v>0</v>
      </c>
      <c r="CJ26" s="88">
        <f t="shared" ca="1" si="181"/>
        <v>0</v>
      </c>
      <c r="CK26" s="88">
        <f t="shared" ca="1" si="182"/>
        <v>0</v>
      </c>
      <c r="CL26" s="88">
        <f t="shared" ca="1" si="182"/>
        <v>0</v>
      </c>
      <c r="CM26" s="88">
        <f t="shared" ca="1" si="182"/>
        <v>0</v>
      </c>
      <c r="CN26" s="88">
        <f t="shared" ca="1" si="182"/>
        <v>0</v>
      </c>
      <c r="CO26" s="88">
        <f t="shared" ca="1" si="182"/>
        <v>0</v>
      </c>
      <c r="CP26" s="88">
        <f t="shared" ca="1" si="182"/>
        <v>0</v>
      </c>
      <c r="CQ26" s="88">
        <f t="shared" ca="1" si="182"/>
        <v>0</v>
      </c>
      <c r="CR26" s="88">
        <f t="shared" ca="1" si="182"/>
        <v>0</v>
      </c>
      <c r="CS26" s="88">
        <f t="shared" ca="1" si="182"/>
        <v>0</v>
      </c>
      <c r="CT26" s="88">
        <f t="shared" ca="1" si="182"/>
        <v>0</v>
      </c>
      <c r="CU26" s="88">
        <f t="shared" ca="1" si="183"/>
        <v>0</v>
      </c>
      <c r="CV26" s="88">
        <f t="shared" ca="1" si="183"/>
        <v>0</v>
      </c>
      <c r="CW26" s="88">
        <f t="shared" ca="1" si="183"/>
        <v>0</v>
      </c>
      <c r="CX26" s="88">
        <f t="shared" ca="1" si="183"/>
        <v>0</v>
      </c>
      <c r="CY26" s="88">
        <f t="shared" ca="1" si="183"/>
        <v>0</v>
      </c>
      <c r="CZ26" s="88">
        <f t="shared" ca="1" si="183"/>
        <v>0</v>
      </c>
      <c r="DA26" s="88">
        <f t="shared" ca="1" si="183"/>
        <v>0</v>
      </c>
      <c r="DB26" s="88">
        <f t="shared" ca="1" si="183"/>
        <v>0</v>
      </c>
      <c r="DC26" s="88">
        <f t="shared" ca="1" si="183"/>
        <v>0</v>
      </c>
      <c r="DD26" s="88">
        <f t="shared" ca="1" si="183"/>
        <v>0</v>
      </c>
      <c r="DE26" s="88">
        <f t="shared" ca="1" si="183"/>
        <v>0</v>
      </c>
      <c r="DF26" s="88">
        <f t="shared" ca="1" si="183"/>
        <v>0</v>
      </c>
      <c r="DG26" s="88">
        <f t="shared" ca="1" si="183"/>
        <v>0</v>
      </c>
      <c r="DH26" s="88">
        <f t="shared" ca="1" si="183"/>
        <v>0</v>
      </c>
      <c r="DI26" s="88">
        <f t="shared" ca="1" si="183"/>
        <v>0</v>
      </c>
      <c r="DJ26" s="169"/>
      <c r="DK26" s="88">
        <f t="shared" ca="1" si="184"/>
        <v>48</v>
      </c>
      <c r="DL26" s="88">
        <f t="shared" ca="1" si="184"/>
        <v>48</v>
      </c>
      <c r="DM26" s="88">
        <f t="shared" ca="1" si="184"/>
        <v>48</v>
      </c>
      <c r="DN26" s="88">
        <f t="shared" ca="1" si="184"/>
        <v>48</v>
      </c>
      <c r="DO26" s="88">
        <f t="shared" ca="1" si="184"/>
        <v>48</v>
      </c>
      <c r="DP26" s="88">
        <f t="shared" ca="1" si="184"/>
        <v>0</v>
      </c>
      <c r="DQ26" s="88">
        <f t="shared" ca="1" si="184"/>
        <v>0</v>
      </c>
      <c r="DR26" s="88">
        <f t="shared" ca="1" si="184"/>
        <v>0</v>
      </c>
      <c r="DS26" s="88">
        <f t="shared" ca="1" si="184"/>
        <v>0</v>
      </c>
      <c r="DT26" s="88">
        <f t="shared" ca="1" si="184"/>
        <v>0</v>
      </c>
      <c r="DU26" s="88">
        <f t="shared" ca="1" si="185"/>
        <v>0</v>
      </c>
      <c r="DV26" s="88">
        <f t="shared" ca="1" si="185"/>
        <v>0</v>
      </c>
      <c r="DW26" s="88">
        <f t="shared" ca="1" si="185"/>
        <v>0</v>
      </c>
      <c r="DX26" s="88">
        <f t="shared" ca="1" si="185"/>
        <v>0</v>
      </c>
      <c r="DY26" s="88">
        <f t="shared" ca="1" si="185"/>
        <v>0</v>
      </c>
      <c r="DZ26" s="88">
        <f t="shared" ca="1" si="185"/>
        <v>0</v>
      </c>
      <c r="EA26" s="88">
        <f t="shared" ca="1" si="185"/>
        <v>0</v>
      </c>
      <c r="EB26" s="88">
        <f t="shared" ca="1" si="185"/>
        <v>0</v>
      </c>
      <c r="EC26" s="88">
        <f t="shared" ca="1" si="185"/>
        <v>0</v>
      </c>
      <c r="ED26" s="88">
        <f t="shared" ca="1" si="185"/>
        <v>0</v>
      </c>
      <c r="EE26" s="88">
        <f t="shared" ca="1" si="186"/>
        <v>0</v>
      </c>
      <c r="EF26" s="88">
        <f t="shared" ca="1" si="186"/>
        <v>0</v>
      </c>
      <c r="EG26" s="88">
        <f t="shared" ca="1" si="186"/>
        <v>0</v>
      </c>
      <c r="EH26" s="88">
        <f t="shared" ca="1" si="186"/>
        <v>0</v>
      </c>
      <c r="EI26" s="88">
        <f t="shared" ca="1" si="186"/>
        <v>0</v>
      </c>
      <c r="EJ26" s="88">
        <f t="shared" ca="1" si="186"/>
        <v>0</v>
      </c>
      <c r="EK26" s="88">
        <f t="shared" ca="1" si="186"/>
        <v>0</v>
      </c>
      <c r="EL26" s="88">
        <f t="shared" ca="1" si="186"/>
        <v>0</v>
      </c>
      <c r="EM26" s="88">
        <f t="shared" ca="1" si="186"/>
        <v>0</v>
      </c>
      <c r="EN26" s="88">
        <f t="shared" ca="1" si="186"/>
        <v>0</v>
      </c>
      <c r="EO26" s="88">
        <f t="shared" ca="1" si="186"/>
        <v>0</v>
      </c>
      <c r="EP26" s="88">
        <f t="shared" ca="1" si="186"/>
        <v>0</v>
      </c>
      <c r="EQ26" s="88">
        <f t="shared" ca="1" si="186"/>
        <v>0</v>
      </c>
      <c r="ER26" s="88">
        <f t="shared" ca="1" si="186"/>
        <v>0</v>
      </c>
      <c r="ES26" s="88">
        <f t="shared" ca="1" si="186"/>
        <v>0</v>
      </c>
      <c r="ET26" s="169"/>
      <c r="EU26" s="88">
        <f t="shared" ca="1" si="187"/>
        <v>0</v>
      </c>
      <c r="EV26" s="88">
        <f t="shared" ca="1" si="187"/>
        <v>0</v>
      </c>
      <c r="EW26" s="88">
        <f t="shared" ca="1" si="187"/>
        <v>0</v>
      </c>
      <c r="EX26" s="88">
        <f t="shared" ca="1" si="187"/>
        <v>0</v>
      </c>
      <c r="EY26" s="88">
        <f t="shared" ca="1" si="187"/>
        <v>0</v>
      </c>
      <c r="EZ26" s="88">
        <f t="shared" ca="1" si="187"/>
        <v>0</v>
      </c>
      <c r="FA26" s="88">
        <f t="shared" ca="1" si="187"/>
        <v>0</v>
      </c>
      <c r="FB26" s="88">
        <f t="shared" ca="1" si="187"/>
        <v>0</v>
      </c>
      <c r="FC26" s="88">
        <f t="shared" ca="1" si="187"/>
        <v>0</v>
      </c>
      <c r="FD26" s="88">
        <f t="shared" ca="1" si="187"/>
        <v>0</v>
      </c>
      <c r="FE26" s="88">
        <f t="shared" ca="1" si="188"/>
        <v>0</v>
      </c>
      <c r="FF26" s="88">
        <f t="shared" ca="1" si="188"/>
        <v>0</v>
      </c>
      <c r="FG26" s="88">
        <f t="shared" ca="1" si="188"/>
        <v>0</v>
      </c>
      <c r="FH26" s="88">
        <f t="shared" ca="1" si="188"/>
        <v>0</v>
      </c>
      <c r="FI26" s="88">
        <f t="shared" ca="1" si="188"/>
        <v>0</v>
      </c>
      <c r="FJ26" s="88">
        <f t="shared" ca="1" si="188"/>
        <v>0</v>
      </c>
      <c r="FK26" s="88">
        <f t="shared" ca="1" si="188"/>
        <v>0</v>
      </c>
      <c r="FL26" s="88">
        <f t="shared" ca="1" si="188"/>
        <v>0</v>
      </c>
      <c r="FM26" s="88">
        <f t="shared" ca="1" si="188"/>
        <v>0</v>
      </c>
      <c r="FN26" s="88">
        <f t="shared" ca="1" si="188"/>
        <v>0</v>
      </c>
      <c r="FO26" s="88">
        <f t="shared" ca="1" si="189"/>
        <v>0</v>
      </c>
      <c r="FP26" s="88">
        <f t="shared" ca="1" si="189"/>
        <v>0</v>
      </c>
      <c r="FQ26" s="88">
        <f t="shared" ca="1" si="189"/>
        <v>0</v>
      </c>
      <c r="FR26" s="88">
        <f t="shared" ca="1" si="189"/>
        <v>0</v>
      </c>
      <c r="FS26" s="88">
        <f t="shared" ca="1" si="189"/>
        <v>0</v>
      </c>
      <c r="FT26" s="88">
        <f t="shared" ca="1" si="189"/>
        <v>0</v>
      </c>
      <c r="FU26" s="88">
        <f t="shared" ca="1" si="189"/>
        <v>0</v>
      </c>
      <c r="FV26" s="88">
        <f t="shared" ca="1" si="189"/>
        <v>0</v>
      </c>
      <c r="FW26" s="88">
        <f t="shared" ca="1" si="189"/>
        <v>0</v>
      </c>
      <c r="FX26" s="88">
        <f t="shared" ca="1" si="189"/>
        <v>0</v>
      </c>
      <c r="FY26" s="88">
        <f t="shared" ca="1" si="189"/>
        <v>0</v>
      </c>
      <c r="FZ26" s="88">
        <f t="shared" ca="1" si="189"/>
        <v>0</v>
      </c>
      <c r="GA26" s="88">
        <f t="shared" ca="1" si="189"/>
        <v>0</v>
      </c>
      <c r="GB26" s="88">
        <f t="shared" ca="1" si="189"/>
        <v>0</v>
      </c>
      <c r="GC26" s="88">
        <f t="shared" ca="1" si="189"/>
        <v>0</v>
      </c>
      <c r="GD26" s="60"/>
    </row>
    <row r="27" spans="1:186" s="54" customFormat="1">
      <c r="A27" s="61"/>
      <c r="B27" s="100" t="str">
        <f t="shared" si="0"/>
        <v>Residential_Weatherization_0_All_2017</v>
      </c>
      <c r="C27" s="146"/>
      <c r="D27" s="136" t="s">
        <v>2</v>
      </c>
      <c r="E27" s="136" t="s">
        <v>253</v>
      </c>
      <c r="F27" s="136">
        <v>0</v>
      </c>
      <c r="G27" s="136" t="s">
        <v>98</v>
      </c>
      <c r="H27" s="136">
        <v>2017</v>
      </c>
      <c r="I27" s="55"/>
      <c r="J27" s="58">
        <f t="shared" ca="1" si="163"/>
        <v>0.74155423326626868</v>
      </c>
      <c r="K27" s="58">
        <f t="shared" ca="1" si="190"/>
        <v>0.74155423326626868</v>
      </c>
      <c r="L27" s="58" t="str">
        <f t="shared" ca="1" si="164"/>
        <v>n/a</v>
      </c>
      <c r="M27" s="58">
        <f t="shared" ca="1" si="165"/>
        <v>0.9953414079012578</v>
      </c>
      <c r="N27" s="58">
        <f t="shared" ca="1" si="166"/>
        <v>0.20531357853547269</v>
      </c>
      <c r="O27" s="55"/>
      <c r="P27" s="175">
        <f ca="1">IFERROR(($AW27+AV27)/SUMPRODUCT($CA27:$DI27,'General Inputs'!$F$51:$AN$51),"n/a")</f>
        <v>4.7134866335324536E-2</v>
      </c>
      <c r="Q27" s="175">
        <f t="shared" ca="1" si="167"/>
        <v>0.37439044436411689</v>
      </c>
      <c r="R27" s="56">
        <f t="shared" ca="1" si="191"/>
        <v>452.26257254776698</v>
      </c>
      <c r="S27" s="55"/>
      <c r="T27" s="56"/>
      <c r="U27" s="146"/>
      <c r="V27" s="137"/>
      <c r="W27" s="55"/>
      <c r="X27" s="138">
        <f t="shared" ca="1" si="169"/>
        <v>35337.440362481691</v>
      </c>
      <c r="Y27" s="138">
        <f t="shared" ca="1" si="169"/>
        <v>5.9845573556071914</v>
      </c>
      <c r="Z27" s="138">
        <f t="shared" ca="1" si="169"/>
        <v>0</v>
      </c>
      <c r="AA27" s="55"/>
      <c r="AB27" s="138">
        <f t="shared" ca="1" si="170"/>
        <v>0</v>
      </c>
      <c r="AC27" s="138">
        <f t="shared" ca="1" si="170"/>
        <v>0</v>
      </c>
      <c r="AD27" s="138">
        <f t="shared" ca="1" si="170"/>
        <v>0</v>
      </c>
      <c r="AE27" s="55"/>
      <c r="AF27" s="57">
        <f t="shared" ca="1" si="171"/>
        <v>0</v>
      </c>
      <c r="AG27" s="57">
        <f t="shared" ca="1" si="171"/>
        <v>0</v>
      </c>
      <c r="AH27" s="57">
        <f t="shared" ca="1" si="171"/>
        <v>0</v>
      </c>
      <c r="AI27" s="57">
        <f t="shared" ca="1" si="171"/>
        <v>0</v>
      </c>
      <c r="AJ27" s="57">
        <f t="shared" ca="1" si="171"/>
        <v>0</v>
      </c>
      <c r="AK27" s="63"/>
      <c r="AL27" s="88"/>
      <c r="AM27" s="57">
        <f ca="1">SUMIFS(OFFSET('Program Inputs'!$N$5,,,TotalPrograms),OFFSET('Program Inputs'!$B$5,,,TotalPrograms),SUBSTITUTE($B27,"All","*"))+AF27</f>
        <v>13230</v>
      </c>
      <c r="AN27" s="57">
        <f t="shared" ca="1" si="192"/>
        <v>13230</v>
      </c>
      <c r="AO27" s="55"/>
      <c r="AP27" s="59">
        <f t="shared" ca="1" si="193"/>
        <v>9810.7625061127346</v>
      </c>
      <c r="AQ27" s="59">
        <f t="shared" ca="1" si="194"/>
        <v>13230</v>
      </c>
      <c r="AR27" s="59">
        <f t="shared" ca="1" si="174"/>
        <v>8732.3440938154126</v>
      </c>
      <c r="AS27" s="59">
        <f t="shared" ca="1" si="174"/>
        <v>1078.4184122973215</v>
      </c>
      <c r="AT27" s="59">
        <f t="shared" ca="1" si="174"/>
        <v>0</v>
      </c>
      <c r="AU27" s="59">
        <f t="shared" ca="1" si="174"/>
        <v>0</v>
      </c>
      <c r="AV27" s="59">
        <f t="shared" ca="1" si="174"/>
        <v>0</v>
      </c>
      <c r="AW27" s="57">
        <f ca="1">INDEX('General Inputs'!$F$51:$AN$51,MATCH($H27,'General Inputs'!$F$50:$AN$50,0))*$AM27</f>
        <v>13230</v>
      </c>
      <c r="AX27" s="59">
        <f t="shared" ca="1" si="175"/>
        <v>0</v>
      </c>
      <c r="AY27" s="55"/>
      <c r="AZ27" s="59">
        <f t="shared" ca="1" si="176"/>
        <v>8732.3440938154126</v>
      </c>
      <c r="BA27" s="59">
        <f t="shared" ca="1" si="176"/>
        <v>1078.4184122973215</v>
      </c>
      <c r="BB27" s="59">
        <f t="shared" ca="1" si="176"/>
        <v>0</v>
      </c>
      <c r="BC27" s="59">
        <f t="shared" ca="1" si="176"/>
        <v>0</v>
      </c>
      <c r="BD27" s="57">
        <f ca="1">INDEX('General Inputs'!$F$51:$AN$51,MATCH($H27,'General Inputs'!$F$50:$AN$50,0))*$AM27</f>
        <v>13230</v>
      </c>
      <c r="BE27" s="55"/>
      <c r="BF27" s="59">
        <f t="shared" ca="1" si="177"/>
        <v>34554.284780841699</v>
      </c>
      <c r="BG27" s="59">
        <f t="shared" ca="1" si="177"/>
        <v>0</v>
      </c>
      <c r="BH27" s="57">
        <f t="shared" ca="1" si="177"/>
        <v>0</v>
      </c>
      <c r="BI27" s="59">
        <f t="shared" ca="1" si="177"/>
        <v>0</v>
      </c>
      <c r="BJ27" s="55"/>
      <c r="BK27" s="59">
        <f t="shared" ca="1" si="178"/>
        <v>8732.3440938154126</v>
      </c>
      <c r="BL27" s="59">
        <f t="shared" ca="1" si="178"/>
        <v>1078.4184122973215</v>
      </c>
      <c r="BM27" s="59">
        <f t="shared" ca="1" si="178"/>
        <v>0</v>
      </c>
      <c r="BN27" s="59">
        <f t="shared" ca="1" si="178"/>
        <v>0</v>
      </c>
      <c r="BO27" s="59">
        <f t="shared" ca="1" si="178"/>
        <v>3357.6043204209054</v>
      </c>
      <c r="BP27" s="57">
        <f ca="1">INDEX('General Inputs'!$F$51:$AN$51,MATCH($H27,'General Inputs'!$F$50:$AN$50,0))*$AM27</f>
        <v>13230</v>
      </c>
      <c r="BQ27" s="59">
        <f t="shared" ca="1" si="179"/>
        <v>0</v>
      </c>
      <c r="BR27" s="55"/>
      <c r="BS27" s="59">
        <f t="shared" ca="1" si="180"/>
        <v>8732.3440938154126</v>
      </c>
      <c r="BT27" s="59">
        <f t="shared" ca="1" si="180"/>
        <v>1078.4184122973215</v>
      </c>
      <c r="BU27" s="59">
        <f t="shared" ca="1" si="180"/>
        <v>0</v>
      </c>
      <c r="BV27" s="59">
        <f t="shared" ca="1" si="180"/>
        <v>34554.284780841699</v>
      </c>
      <c r="BW27" s="59">
        <f t="shared" ca="1" si="180"/>
        <v>0</v>
      </c>
      <c r="BX27" s="59">
        <f t="shared" ca="1" si="180"/>
        <v>0</v>
      </c>
      <c r="BY27" s="57">
        <f ca="1">INDEX('General Inputs'!$F$51:$AN$51,MATCH($H27,'General Inputs'!$F$50:$AN$50,0))*$AM27</f>
        <v>13230</v>
      </c>
      <c r="BZ27" s="55"/>
      <c r="CA27" s="88">
        <f t="shared" ca="1" si="181"/>
        <v>35337.440362481691</v>
      </c>
      <c r="CB27" s="88">
        <f t="shared" ca="1" si="181"/>
        <v>35337.440362481691</v>
      </c>
      <c r="CC27" s="88">
        <f t="shared" ca="1" si="181"/>
        <v>34580.870301831405</v>
      </c>
      <c r="CD27" s="88">
        <f t="shared" ca="1" si="181"/>
        <v>34580.870301831405</v>
      </c>
      <c r="CE27" s="88">
        <f t="shared" ca="1" si="181"/>
        <v>34580.870301831405</v>
      </c>
      <c r="CF27" s="88">
        <f t="shared" ca="1" si="181"/>
        <v>32435.870301831405</v>
      </c>
      <c r="CG27" s="88">
        <f t="shared" ca="1" si="181"/>
        <v>32435.870301831405</v>
      </c>
      <c r="CH27" s="88">
        <f t="shared" ca="1" si="181"/>
        <v>32435.870301831405</v>
      </c>
      <c r="CI27" s="88">
        <f t="shared" ca="1" si="181"/>
        <v>32435.870301831405</v>
      </c>
      <c r="CJ27" s="88">
        <f t="shared" ca="1" si="181"/>
        <v>30377.908369367575</v>
      </c>
      <c r="CK27" s="88">
        <f t="shared" ca="1" si="182"/>
        <v>23544.738268123267</v>
      </c>
      <c r="CL27" s="88">
        <f t="shared" ca="1" si="182"/>
        <v>23544.738268123267</v>
      </c>
      <c r="CM27" s="88">
        <f t="shared" ca="1" si="182"/>
        <v>23544.738268123267</v>
      </c>
      <c r="CN27" s="88">
        <f t="shared" ca="1" si="182"/>
        <v>23544.738268123267</v>
      </c>
      <c r="CO27" s="88">
        <f t="shared" ca="1" si="182"/>
        <v>23544.738268123267</v>
      </c>
      <c r="CP27" s="88">
        <f t="shared" ca="1" si="182"/>
        <v>0</v>
      </c>
      <c r="CQ27" s="88">
        <f t="shared" ca="1" si="182"/>
        <v>0</v>
      </c>
      <c r="CR27" s="88">
        <f t="shared" ca="1" si="182"/>
        <v>0</v>
      </c>
      <c r="CS27" s="88">
        <f t="shared" ca="1" si="182"/>
        <v>0</v>
      </c>
      <c r="CT27" s="88">
        <f t="shared" ca="1" si="182"/>
        <v>0</v>
      </c>
      <c r="CU27" s="88">
        <f t="shared" ca="1" si="183"/>
        <v>0</v>
      </c>
      <c r="CV27" s="88">
        <f t="shared" ca="1" si="183"/>
        <v>0</v>
      </c>
      <c r="CW27" s="88">
        <f t="shared" ca="1" si="183"/>
        <v>0</v>
      </c>
      <c r="CX27" s="88">
        <f t="shared" ca="1" si="183"/>
        <v>0</v>
      </c>
      <c r="CY27" s="88">
        <f t="shared" ca="1" si="183"/>
        <v>0</v>
      </c>
      <c r="CZ27" s="88">
        <f t="shared" ca="1" si="183"/>
        <v>0</v>
      </c>
      <c r="DA27" s="88">
        <f t="shared" ca="1" si="183"/>
        <v>0</v>
      </c>
      <c r="DB27" s="88">
        <f t="shared" ca="1" si="183"/>
        <v>0</v>
      </c>
      <c r="DC27" s="88">
        <f t="shared" ca="1" si="183"/>
        <v>0</v>
      </c>
      <c r="DD27" s="88">
        <f t="shared" ca="1" si="183"/>
        <v>0</v>
      </c>
      <c r="DE27" s="88">
        <f t="shared" ca="1" si="183"/>
        <v>0</v>
      </c>
      <c r="DF27" s="88">
        <f t="shared" ca="1" si="183"/>
        <v>0</v>
      </c>
      <c r="DG27" s="88">
        <f t="shared" ca="1" si="183"/>
        <v>0</v>
      </c>
      <c r="DH27" s="88">
        <f t="shared" ca="1" si="183"/>
        <v>0</v>
      </c>
      <c r="DI27" s="88">
        <f t="shared" ca="1" si="183"/>
        <v>0</v>
      </c>
      <c r="DJ27" s="169"/>
      <c r="DK27" s="88">
        <f t="shared" ca="1" si="184"/>
        <v>5.9845573556071914</v>
      </c>
      <c r="DL27" s="88">
        <f t="shared" ca="1" si="184"/>
        <v>5.9845573556071914</v>
      </c>
      <c r="DM27" s="88">
        <f t="shared" ca="1" si="184"/>
        <v>5.8982500249375258</v>
      </c>
      <c r="DN27" s="88">
        <f t="shared" ca="1" si="184"/>
        <v>5.8982500249375258</v>
      </c>
      <c r="DO27" s="88">
        <f t="shared" ca="1" si="184"/>
        <v>5.8982500249375258</v>
      </c>
      <c r="DP27" s="88">
        <f t="shared" ca="1" si="184"/>
        <v>5.6522500249375254</v>
      </c>
      <c r="DQ27" s="88">
        <f t="shared" ca="1" si="184"/>
        <v>5.6522500249375254</v>
      </c>
      <c r="DR27" s="88">
        <f t="shared" ca="1" si="184"/>
        <v>5.6522500249375254</v>
      </c>
      <c r="DS27" s="88">
        <f t="shared" ca="1" si="184"/>
        <v>5.6522500249375254</v>
      </c>
      <c r="DT27" s="88">
        <f t="shared" ca="1" si="184"/>
        <v>4.7815738227412901</v>
      </c>
      <c r="DU27" s="88">
        <f t="shared" ca="1" si="185"/>
        <v>4.1692106111878076</v>
      </c>
      <c r="DV27" s="88">
        <f t="shared" ca="1" si="185"/>
        <v>4.1692106111878076</v>
      </c>
      <c r="DW27" s="88">
        <f t="shared" ca="1" si="185"/>
        <v>4.1692106111878076</v>
      </c>
      <c r="DX27" s="88">
        <f t="shared" ca="1" si="185"/>
        <v>4.1692106111878076</v>
      </c>
      <c r="DY27" s="88">
        <f t="shared" ca="1" si="185"/>
        <v>4.1692106111878076</v>
      </c>
      <c r="DZ27" s="88">
        <f t="shared" ca="1" si="185"/>
        <v>0</v>
      </c>
      <c r="EA27" s="88">
        <f t="shared" ca="1" si="185"/>
        <v>0</v>
      </c>
      <c r="EB27" s="88">
        <f t="shared" ca="1" si="185"/>
        <v>0</v>
      </c>
      <c r="EC27" s="88">
        <f t="shared" ca="1" si="185"/>
        <v>0</v>
      </c>
      <c r="ED27" s="88">
        <f t="shared" ca="1" si="185"/>
        <v>0</v>
      </c>
      <c r="EE27" s="88">
        <f t="shared" ca="1" si="186"/>
        <v>0</v>
      </c>
      <c r="EF27" s="88">
        <f t="shared" ca="1" si="186"/>
        <v>0</v>
      </c>
      <c r="EG27" s="88">
        <f t="shared" ca="1" si="186"/>
        <v>0</v>
      </c>
      <c r="EH27" s="88">
        <f t="shared" ca="1" si="186"/>
        <v>0</v>
      </c>
      <c r="EI27" s="88">
        <f t="shared" ca="1" si="186"/>
        <v>0</v>
      </c>
      <c r="EJ27" s="88">
        <f t="shared" ca="1" si="186"/>
        <v>0</v>
      </c>
      <c r="EK27" s="88">
        <f t="shared" ca="1" si="186"/>
        <v>0</v>
      </c>
      <c r="EL27" s="88">
        <f t="shared" ca="1" si="186"/>
        <v>0</v>
      </c>
      <c r="EM27" s="88">
        <f t="shared" ca="1" si="186"/>
        <v>0</v>
      </c>
      <c r="EN27" s="88">
        <f t="shared" ca="1" si="186"/>
        <v>0</v>
      </c>
      <c r="EO27" s="88">
        <f t="shared" ca="1" si="186"/>
        <v>0</v>
      </c>
      <c r="EP27" s="88">
        <f t="shared" ca="1" si="186"/>
        <v>0</v>
      </c>
      <c r="EQ27" s="88">
        <f t="shared" ca="1" si="186"/>
        <v>0</v>
      </c>
      <c r="ER27" s="88">
        <f t="shared" ca="1" si="186"/>
        <v>0</v>
      </c>
      <c r="ES27" s="88">
        <f t="shared" ca="1" si="186"/>
        <v>0</v>
      </c>
      <c r="ET27" s="169"/>
      <c r="EU27" s="88">
        <f t="shared" ca="1" si="187"/>
        <v>0</v>
      </c>
      <c r="EV27" s="88">
        <f t="shared" ca="1" si="187"/>
        <v>0</v>
      </c>
      <c r="EW27" s="88">
        <f t="shared" ca="1" si="187"/>
        <v>0</v>
      </c>
      <c r="EX27" s="88">
        <f t="shared" ca="1" si="187"/>
        <v>0</v>
      </c>
      <c r="EY27" s="88">
        <f t="shared" ca="1" si="187"/>
        <v>0</v>
      </c>
      <c r="EZ27" s="88">
        <f t="shared" ca="1" si="187"/>
        <v>0</v>
      </c>
      <c r="FA27" s="88">
        <f t="shared" ca="1" si="187"/>
        <v>0</v>
      </c>
      <c r="FB27" s="88">
        <f t="shared" ca="1" si="187"/>
        <v>0</v>
      </c>
      <c r="FC27" s="88">
        <f t="shared" ca="1" si="187"/>
        <v>0</v>
      </c>
      <c r="FD27" s="88">
        <f t="shared" ca="1" si="187"/>
        <v>0</v>
      </c>
      <c r="FE27" s="88">
        <f t="shared" ca="1" si="188"/>
        <v>0</v>
      </c>
      <c r="FF27" s="88">
        <f t="shared" ca="1" si="188"/>
        <v>0</v>
      </c>
      <c r="FG27" s="88">
        <f t="shared" ca="1" si="188"/>
        <v>0</v>
      </c>
      <c r="FH27" s="88">
        <f t="shared" ca="1" si="188"/>
        <v>0</v>
      </c>
      <c r="FI27" s="88">
        <f t="shared" ca="1" si="188"/>
        <v>0</v>
      </c>
      <c r="FJ27" s="88">
        <f t="shared" ca="1" si="188"/>
        <v>0</v>
      </c>
      <c r="FK27" s="88">
        <f t="shared" ca="1" si="188"/>
        <v>0</v>
      </c>
      <c r="FL27" s="88">
        <f t="shared" ca="1" si="188"/>
        <v>0</v>
      </c>
      <c r="FM27" s="88">
        <f t="shared" ca="1" si="188"/>
        <v>0</v>
      </c>
      <c r="FN27" s="88">
        <f t="shared" ca="1" si="188"/>
        <v>0</v>
      </c>
      <c r="FO27" s="88">
        <f t="shared" ca="1" si="189"/>
        <v>0</v>
      </c>
      <c r="FP27" s="88">
        <f t="shared" ca="1" si="189"/>
        <v>0</v>
      </c>
      <c r="FQ27" s="88">
        <f t="shared" ca="1" si="189"/>
        <v>0</v>
      </c>
      <c r="FR27" s="88">
        <f t="shared" ca="1" si="189"/>
        <v>0</v>
      </c>
      <c r="FS27" s="88">
        <f t="shared" ca="1" si="189"/>
        <v>0</v>
      </c>
      <c r="FT27" s="88">
        <f t="shared" ca="1" si="189"/>
        <v>0</v>
      </c>
      <c r="FU27" s="88">
        <f t="shared" ca="1" si="189"/>
        <v>0</v>
      </c>
      <c r="FV27" s="88">
        <f t="shared" ca="1" si="189"/>
        <v>0</v>
      </c>
      <c r="FW27" s="88">
        <f t="shared" ca="1" si="189"/>
        <v>0</v>
      </c>
      <c r="FX27" s="88">
        <f t="shared" ca="1" si="189"/>
        <v>0</v>
      </c>
      <c r="FY27" s="88">
        <f t="shared" ca="1" si="189"/>
        <v>0</v>
      </c>
      <c r="FZ27" s="88">
        <f t="shared" ca="1" si="189"/>
        <v>0</v>
      </c>
      <c r="GA27" s="88">
        <f t="shared" ca="1" si="189"/>
        <v>0</v>
      </c>
      <c r="GB27" s="88">
        <f t="shared" ca="1" si="189"/>
        <v>0</v>
      </c>
      <c r="GC27" s="88">
        <f t="shared" ca="1" si="189"/>
        <v>0</v>
      </c>
      <c r="GD27" s="60"/>
    </row>
    <row r="28" spans="1:186" s="54" customFormat="1">
      <c r="A28" s="61"/>
      <c r="B28" s="100" t="str">
        <f t="shared" si="0"/>
        <v>C&amp;I_C&amp;I Custom_0_All_2017</v>
      </c>
      <c r="C28" s="146"/>
      <c r="D28" s="136" t="s">
        <v>256</v>
      </c>
      <c r="E28" s="136" t="s">
        <v>254</v>
      </c>
      <c r="F28" s="136">
        <v>0</v>
      </c>
      <c r="G28" s="136" t="s">
        <v>98</v>
      </c>
      <c r="H28" s="136">
        <v>2017</v>
      </c>
      <c r="I28" s="55"/>
      <c r="J28" s="58">
        <f t="shared" ca="1" si="163"/>
        <v>1.0584138575665083</v>
      </c>
      <c r="K28" s="58">
        <f t="shared" ca="1" si="190"/>
        <v>1.7442925749326381</v>
      </c>
      <c r="L28" s="58">
        <f t="shared" ca="1" si="164"/>
        <v>0.49994333136042512</v>
      </c>
      <c r="M28" s="58">
        <f t="shared" ca="1" si="165"/>
        <v>1.4022288815322692</v>
      </c>
      <c r="N28" s="58">
        <f t="shared" ca="1" si="166"/>
        <v>1.7442925749326381</v>
      </c>
      <c r="O28" s="55"/>
      <c r="P28" s="175">
        <f ca="1">IFERROR(($AW28+AV28)/SUMPRODUCT($CA28:$DI28,'General Inputs'!$F$51:$AN$51),"n/a")</f>
        <v>2.1111703868044358E-2</v>
      </c>
      <c r="Q28" s="175">
        <f t="shared" ca="1" si="167"/>
        <v>0.18698083173189722</v>
      </c>
      <c r="R28" s="56">
        <f t="shared" ca="1" si="191"/>
        <v>29494.603531914898</v>
      </c>
      <c r="S28" s="55"/>
      <c r="T28" s="56"/>
      <c r="U28" s="146"/>
      <c r="V28" s="137"/>
      <c r="W28" s="55"/>
      <c r="X28" s="138">
        <f t="shared" ca="1" si="169"/>
        <v>1966306.9021276594</v>
      </c>
      <c r="Y28" s="138">
        <f t="shared" ca="1" si="169"/>
        <v>476.36042553191493</v>
      </c>
      <c r="Z28" s="138">
        <f t="shared" ca="1" si="169"/>
        <v>0</v>
      </c>
      <c r="AA28" s="55"/>
      <c r="AB28" s="138">
        <f t="shared" ca="1" si="170"/>
        <v>0</v>
      </c>
      <c r="AC28" s="138">
        <f t="shared" ca="1" si="170"/>
        <v>0</v>
      </c>
      <c r="AD28" s="138">
        <f t="shared" ca="1" si="170"/>
        <v>0</v>
      </c>
      <c r="AE28" s="55"/>
      <c r="AF28" s="57">
        <f t="shared" ca="1" si="171"/>
        <v>0</v>
      </c>
      <c r="AG28" s="57">
        <f t="shared" ca="1" si="171"/>
        <v>476454</v>
      </c>
      <c r="AH28" s="57">
        <f t="shared" ca="1" si="171"/>
        <v>0</v>
      </c>
      <c r="AI28" s="57">
        <f t="shared" ca="1" si="171"/>
        <v>238200</v>
      </c>
      <c r="AJ28" s="57">
        <f t="shared" ca="1" si="171"/>
        <v>0</v>
      </c>
      <c r="AK28" s="63"/>
      <c r="AL28" s="88"/>
      <c r="AM28" s="57">
        <f ca="1">SUMIFS(OFFSET('Program Inputs'!$N$5,,,TotalPrograms),OFFSET('Program Inputs'!$B$5,,,TotalPrograms),SUBSTITUTE($B28,"All","*"))+AF28</f>
        <v>129461.7</v>
      </c>
      <c r="AN28" s="57">
        <f t="shared" ca="1" si="192"/>
        <v>367661.7</v>
      </c>
      <c r="AO28" s="55"/>
      <c r="AP28" s="59">
        <f t="shared" ca="1" si="193"/>
        <v>641309.57339711115</v>
      </c>
      <c r="AQ28" s="59">
        <f t="shared" ca="1" si="194"/>
        <v>605915.69999999995</v>
      </c>
      <c r="AR28" s="59">
        <f t="shared" ca="1" si="174"/>
        <v>546143.01797533641</v>
      </c>
      <c r="AS28" s="59">
        <f t="shared" ca="1" si="174"/>
        <v>95166.555421774741</v>
      </c>
      <c r="AT28" s="59">
        <f t="shared" ca="1" si="174"/>
        <v>0</v>
      </c>
      <c r="AU28" s="59">
        <f t="shared" ca="1" si="174"/>
        <v>0</v>
      </c>
      <c r="AV28" s="59">
        <f t="shared" ca="1" si="174"/>
        <v>238200</v>
      </c>
      <c r="AW28" s="57">
        <f ca="1">INDEX('General Inputs'!$F$51:$AN$51,MATCH($H28,'General Inputs'!$F$50:$AN$50,0))*$AM28</f>
        <v>129461.7</v>
      </c>
      <c r="AX28" s="59">
        <f t="shared" ca="1" si="175"/>
        <v>476454</v>
      </c>
      <c r="AY28" s="55"/>
      <c r="AZ28" s="59">
        <f t="shared" ca="1" si="176"/>
        <v>546143.01797533641</v>
      </c>
      <c r="BA28" s="59">
        <f t="shared" ca="1" si="176"/>
        <v>95166.555421774741</v>
      </c>
      <c r="BB28" s="59">
        <f t="shared" ca="1" si="176"/>
        <v>0</v>
      </c>
      <c r="BC28" s="59">
        <f t="shared" ca="1" si="176"/>
        <v>238200</v>
      </c>
      <c r="BD28" s="57">
        <f ca="1">INDEX('General Inputs'!$F$51:$AN$51,MATCH($H28,'General Inputs'!$F$50:$AN$50,0))*$AM28</f>
        <v>129461.7</v>
      </c>
      <c r="BE28" s="55"/>
      <c r="BF28" s="59">
        <f t="shared" ca="1" si="177"/>
        <v>0</v>
      </c>
      <c r="BG28" s="59">
        <f t="shared" ca="1" si="177"/>
        <v>0</v>
      </c>
      <c r="BH28" s="57">
        <f t="shared" ca="1" si="177"/>
        <v>238200</v>
      </c>
      <c r="BI28" s="59">
        <f t="shared" ca="1" si="177"/>
        <v>476454</v>
      </c>
      <c r="BJ28" s="55"/>
      <c r="BK28" s="59">
        <f t="shared" ca="1" si="178"/>
        <v>546143.01797533641</v>
      </c>
      <c r="BL28" s="59">
        <f t="shared" ca="1" si="178"/>
        <v>95166.555421774741</v>
      </c>
      <c r="BM28" s="59">
        <f t="shared" ca="1" si="178"/>
        <v>0</v>
      </c>
      <c r="BN28" s="59">
        <f t="shared" ca="1" si="178"/>
        <v>0</v>
      </c>
      <c r="BO28" s="59">
        <f t="shared" ca="1" si="178"/>
        <v>208322.92091673071</v>
      </c>
      <c r="BP28" s="57">
        <f ca="1">INDEX('General Inputs'!$F$51:$AN$51,MATCH($H28,'General Inputs'!$F$50:$AN$50,0))*$AM28</f>
        <v>129461.7</v>
      </c>
      <c r="BQ28" s="59">
        <f t="shared" ca="1" si="179"/>
        <v>476454</v>
      </c>
      <c r="BR28" s="55"/>
      <c r="BS28" s="59">
        <f t="shared" ca="1" si="180"/>
        <v>546143.01797533641</v>
      </c>
      <c r="BT28" s="59">
        <f t="shared" ca="1" si="180"/>
        <v>95166.555421774741</v>
      </c>
      <c r="BU28" s="59">
        <f t="shared" ca="1" si="180"/>
        <v>0</v>
      </c>
      <c r="BV28" s="59">
        <f t="shared" ca="1" si="180"/>
        <v>0</v>
      </c>
      <c r="BW28" s="59">
        <f t="shared" ca="1" si="180"/>
        <v>0</v>
      </c>
      <c r="BX28" s="59">
        <f t="shared" ca="1" si="180"/>
        <v>238200</v>
      </c>
      <c r="BY28" s="57">
        <f ca="1">INDEX('General Inputs'!$F$51:$AN$51,MATCH($H28,'General Inputs'!$F$50:$AN$50,0))*$AM28</f>
        <v>129461.7</v>
      </c>
      <c r="BZ28" s="55"/>
      <c r="CA28" s="88">
        <f t="shared" ca="1" si="181"/>
        <v>1966306.9021276594</v>
      </c>
      <c r="CB28" s="88">
        <f t="shared" ca="1" si="181"/>
        <v>1966306.9021276594</v>
      </c>
      <c r="CC28" s="88">
        <f t="shared" ca="1" si="181"/>
        <v>1966306.9021276594</v>
      </c>
      <c r="CD28" s="88">
        <f t="shared" ca="1" si="181"/>
        <v>1966306.9021276594</v>
      </c>
      <c r="CE28" s="88">
        <f t="shared" ca="1" si="181"/>
        <v>1966306.9021276594</v>
      </c>
      <c r="CF28" s="88">
        <f t="shared" ca="1" si="181"/>
        <v>1966306.9021276594</v>
      </c>
      <c r="CG28" s="88">
        <f t="shared" ca="1" si="181"/>
        <v>1966306.9021276594</v>
      </c>
      <c r="CH28" s="88">
        <f t="shared" ca="1" si="181"/>
        <v>1966306.9021276594</v>
      </c>
      <c r="CI28" s="88">
        <f t="shared" ca="1" si="181"/>
        <v>1966306.9021276594</v>
      </c>
      <c r="CJ28" s="88">
        <f t="shared" ca="1" si="181"/>
        <v>1966306.9021276594</v>
      </c>
      <c r="CK28" s="88">
        <f t="shared" ca="1" si="182"/>
        <v>1966306.9021276594</v>
      </c>
      <c r="CL28" s="88">
        <f t="shared" ca="1" si="182"/>
        <v>1966306.9021276594</v>
      </c>
      <c r="CM28" s="88">
        <f t="shared" ca="1" si="182"/>
        <v>1966306.9021276594</v>
      </c>
      <c r="CN28" s="88">
        <f t="shared" ca="1" si="182"/>
        <v>1966306.9021276594</v>
      </c>
      <c r="CO28" s="88">
        <f t="shared" ca="1" si="182"/>
        <v>1966306.9021276594</v>
      </c>
      <c r="CP28" s="88">
        <f t="shared" ca="1" si="182"/>
        <v>0</v>
      </c>
      <c r="CQ28" s="88">
        <f t="shared" ca="1" si="182"/>
        <v>0</v>
      </c>
      <c r="CR28" s="88">
        <f t="shared" ca="1" si="182"/>
        <v>0</v>
      </c>
      <c r="CS28" s="88">
        <f t="shared" ca="1" si="182"/>
        <v>0</v>
      </c>
      <c r="CT28" s="88">
        <f t="shared" ca="1" si="182"/>
        <v>0</v>
      </c>
      <c r="CU28" s="88">
        <f t="shared" ca="1" si="183"/>
        <v>0</v>
      </c>
      <c r="CV28" s="88">
        <f t="shared" ca="1" si="183"/>
        <v>0</v>
      </c>
      <c r="CW28" s="88">
        <f t="shared" ca="1" si="183"/>
        <v>0</v>
      </c>
      <c r="CX28" s="88">
        <f t="shared" ca="1" si="183"/>
        <v>0</v>
      </c>
      <c r="CY28" s="88">
        <f t="shared" ca="1" si="183"/>
        <v>0</v>
      </c>
      <c r="CZ28" s="88">
        <f t="shared" ca="1" si="183"/>
        <v>0</v>
      </c>
      <c r="DA28" s="88">
        <f t="shared" ca="1" si="183"/>
        <v>0</v>
      </c>
      <c r="DB28" s="88">
        <f t="shared" ca="1" si="183"/>
        <v>0</v>
      </c>
      <c r="DC28" s="88">
        <f t="shared" ca="1" si="183"/>
        <v>0</v>
      </c>
      <c r="DD28" s="88">
        <f t="shared" ca="1" si="183"/>
        <v>0</v>
      </c>
      <c r="DE28" s="88">
        <f t="shared" ca="1" si="183"/>
        <v>0</v>
      </c>
      <c r="DF28" s="88">
        <f t="shared" ca="1" si="183"/>
        <v>0</v>
      </c>
      <c r="DG28" s="88">
        <f t="shared" ca="1" si="183"/>
        <v>0</v>
      </c>
      <c r="DH28" s="88">
        <f t="shared" ca="1" si="183"/>
        <v>0</v>
      </c>
      <c r="DI28" s="88">
        <f t="shared" ca="1" si="183"/>
        <v>0</v>
      </c>
      <c r="DJ28" s="169"/>
      <c r="DK28" s="88">
        <f t="shared" ca="1" si="184"/>
        <v>476.36042553191493</v>
      </c>
      <c r="DL28" s="88">
        <f t="shared" ca="1" si="184"/>
        <v>476.36042553191493</v>
      </c>
      <c r="DM28" s="88">
        <f t="shared" ca="1" si="184"/>
        <v>476.36042553191493</v>
      </c>
      <c r="DN28" s="88">
        <f t="shared" ca="1" si="184"/>
        <v>476.36042553191493</v>
      </c>
      <c r="DO28" s="88">
        <f t="shared" ca="1" si="184"/>
        <v>476.36042553191493</v>
      </c>
      <c r="DP28" s="88">
        <f t="shared" ca="1" si="184"/>
        <v>476.36042553191493</v>
      </c>
      <c r="DQ28" s="88">
        <f t="shared" ca="1" si="184"/>
        <v>476.36042553191493</v>
      </c>
      <c r="DR28" s="88">
        <f t="shared" ca="1" si="184"/>
        <v>476.36042553191493</v>
      </c>
      <c r="DS28" s="88">
        <f t="shared" ca="1" si="184"/>
        <v>476.36042553191493</v>
      </c>
      <c r="DT28" s="88">
        <f t="shared" ca="1" si="184"/>
        <v>476.36042553191493</v>
      </c>
      <c r="DU28" s="88">
        <f t="shared" ca="1" si="185"/>
        <v>476.36042553191493</v>
      </c>
      <c r="DV28" s="88">
        <f t="shared" ca="1" si="185"/>
        <v>476.36042553191493</v>
      </c>
      <c r="DW28" s="88">
        <f t="shared" ca="1" si="185"/>
        <v>476.36042553191493</v>
      </c>
      <c r="DX28" s="88">
        <f t="shared" ca="1" si="185"/>
        <v>476.36042553191493</v>
      </c>
      <c r="DY28" s="88">
        <f t="shared" ca="1" si="185"/>
        <v>476.36042553191493</v>
      </c>
      <c r="DZ28" s="88">
        <f t="shared" ca="1" si="185"/>
        <v>0</v>
      </c>
      <c r="EA28" s="88">
        <f t="shared" ca="1" si="185"/>
        <v>0</v>
      </c>
      <c r="EB28" s="88">
        <f t="shared" ca="1" si="185"/>
        <v>0</v>
      </c>
      <c r="EC28" s="88">
        <f t="shared" ca="1" si="185"/>
        <v>0</v>
      </c>
      <c r="ED28" s="88">
        <f t="shared" ca="1" si="185"/>
        <v>0</v>
      </c>
      <c r="EE28" s="88">
        <f t="shared" ca="1" si="186"/>
        <v>0</v>
      </c>
      <c r="EF28" s="88">
        <f t="shared" ca="1" si="186"/>
        <v>0</v>
      </c>
      <c r="EG28" s="88">
        <f t="shared" ca="1" si="186"/>
        <v>0</v>
      </c>
      <c r="EH28" s="88">
        <f t="shared" ca="1" si="186"/>
        <v>0</v>
      </c>
      <c r="EI28" s="88">
        <f t="shared" ca="1" si="186"/>
        <v>0</v>
      </c>
      <c r="EJ28" s="88">
        <f t="shared" ca="1" si="186"/>
        <v>0</v>
      </c>
      <c r="EK28" s="88">
        <f t="shared" ca="1" si="186"/>
        <v>0</v>
      </c>
      <c r="EL28" s="88">
        <f t="shared" ca="1" si="186"/>
        <v>0</v>
      </c>
      <c r="EM28" s="88">
        <f t="shared" ca="1" si="186"/>
        <v>0</v>
      </c>
      <c r="EN28" s="88">
        <f t="shared" ca="1" si="186"/>
        <v>0</v>
      </c>
      <c r="EO28" s="88">
        <f t="shared" ca="1" si="186"/>
        <v>0</v>
      </c>
      <c r="EP28" s="88">
        <f t="shared" ca="1" si="186"/>
        <v>0</v>
      </c>
      <c r="EQ28" s="88">
        <f t="shared" ca="1" si="186"/>
        <v>0</v>
      </c>
      <c r="ER28" s="88">
        <f t="shared" ca="1" si="186"/>
        <v>0</v>
      </c>
      <c r="ES28" s="88">
        <f t="shared" ca="1" si="186"/>
        <v>0</v>
      </c>
      <c r="ET28" s="169"/>
      <c r="EU28" s="88">
        <f t="shared" ca="1" si="187"/>
        <v>0</v>
      </c>
      <c r="EV28" s="88">
        <f t="shared" ca="1" si="187"/>
        <v>0</v>
      </c>
      <c r="EW28" s="88">
        <f t="shared" ca="1" si="187"/>
        <v>0</v>
      </c>
      <c r="EX28" s="88">
        <f t="shared" ca="1" si="187"/>
        <v>0</v>
      </c>
      <c r="EY28" s="88">
        <f t="shared" ca="1" si="187"/>
        <v>0</v>
      </c>
      <c r="EZ28" s="88">
        <f t="shared" ca="1" si="187"/>
        <v>0</v>
      </c>
      <c r="FA28" s="88">
        <f t="shared" ca="1" si="187"/>
        <v>0</v>
      </c>
      <c r="FB28" s="88">
        <f t="shared" ca="1" si="187"/>
        <v>0</v>
      </c>
      <c r="FC28" s="88">
        <f t="shared" ca="1" si="187"/>
        <v>0</v>
      </c>
      <c r="FD28" s="88">
        <f t="shared" ca="1" si="187"/>
        <v>0</v>
      </c>
      <c r="FE28" s="88">
        <f t="shared" ca="1" si="188"/>
        <v>0</v>
      </c>
      <c r="FF28" s="88">
        <f t="shared" ca="1" si="188"/>
        <v>0</v>
      </c>
      <c r="FG28" s="88">
        <f t="shared" ca="1" si="188"/>
        <v>0</v>
      </c>
      <c r="FH28" s="88">
        <f t="shared" ca="1" si="188"/>
        <v>0</v>
      </c>
      <c r="FI28" s="88">
        <f t="shared" ca="1" si="188"/>
        <v>0</v>
      </c>
      <c r="FJ28" s="88">
        <f t="shared" ca="1" si="188"/>
        <v>0</v>
      </c>
      <c r="FK28" s="88">
        <f t="shared" ca="1" si="188"/>
        <v>0</v>
      </c>
      <c r="FL28" s="88">
        <f t="shared" ca="1" si="188"/>
        <v>0</v>
      </c>
      <c r="FM28" s="88">
        <f t="shared" ca="1" si="188"/>
        <v>0</v>
      </c>
      <c r="FN28" s="88">
        <f t="shared" ca="1" si="188"/>
        <v>0</v>
      </c>
      <c r="FO28" s="88">
        <f t="shared" ca="1" si="189"/>
        <v>0</v>
      </c>
      <c r="FP28" s="88">
        <f t="shared" ca="1" si="189"/>
        <v>0</v>
      </c>
      <c r="FQ28" s="88">
        <f t="shared" ca="1" si="189"/>
        <v>0</v>
      </c>
      <c r="FR28" s="88">
        <f t="shared" ca="1" si="189"/>
        <v>0</v>
      </c>
      <c r="FS28" s="88">
        <f t="shared" ca="1" si="189"/>
        <v>0</v>
      </c>
      <c r="FT28" s="88">
        <f t="shared" ca="1" si="189"/>
        <v>0</v>
      </c>
      <c r="FU28" s="88">
        <f t="shared" ca="1" si="189"/>
        <v>0</v>
      </c>
      <c r="FV28" s="88">
        <f t="shared" ca="1" si="189"/>
        <v>0</v>
      </c>
      <c r="FW28" s="88">
        <f t="shared" ca="1" si="189"/>
        <v>0</v>
      </c>
      <c r="FX28" s="88">
        <f t="shared" ca="1" si="189"/>
        <v>0</v>
      </c>
      <c r="FY28" s="88">
        <f t="shared" ca="1" si="189"/>
        <v>0</v>
      </c>
      <c r="FZ28" s="88">
        <f t="shared" ca="1" si="189"/>
        <v>0</v>
      </c>
      <c r="GA28" s="88">
        <f t="shared" ca="1" si="189"/>
        <v>0</v>
      </c>
      <c r="GB28" s="88">
        <f t="shared" ca="1" si="189"/>
        <v>0</v>
      </c>
      <c r="GC28" s="88">
        <f t="shared" ca="1" si="189"/>
        <v>0</v>
      </c>
      <c r="GD28" s="60"/>
    </row>
    <row r="29" spans="1:186" s="54" customFormat="1">
      <c r="A29" s="61"/>
      <c r="B29" s="100" t="str">
        <f t="shared" si="0"/>
        <v>C&amp;I_C&amp;I Prescriptive_0_All_2017</v>
      </c>
      <c r="C29" s="146"/>
      <c r="D29" s="136" t="s">
        <v>256</v>
      </c>
      <c r="E29" s="136" t="s">
        <v>255</v>
      </c>
      <c r="F29" s="136">
        <v>0</v>
      </c>
      <c r="G29" s="136" t="s">
        <v>98</v>
      </c>
      <c r="H29" s="136">
        <v>2017</v>
      </c>
      <c r="I29" s="55"/>
      <c r="J29" s="58">
        <f t="shared" ca="1" si="163"/>
        <v>1.0811765417203036</v>
      </c>
      <c r="K29" s="58">
        <f t="shared" ca="1" si="190"/>
        <v>2.2846042445511348</v>
      </c>
      <c r="L29" s="58">
        <f t="shared" ca="1" si="164"/>
        <v>0.3484367261907198</v>
      </c>
      <c r="M29" s="58">
        <f t="shared" ca="1" si="165"/>
        <v>1.4348372693213369</v>
      </c>
      <c r="N29" s="58">
        <f t="shared" ca="1" si="166"/>
        <v>2.2846042445511348</v>
      </c>
      <c r="O29" s="55"/>
      <c r="P29" s="175">
        <f ca="1">IFERROR(($AW29+AV29)/SUMPRODUCT($CA29:$DI29,'General Inputs'!$F$51:$AN$51),"n/a")</f>
        <v>1.6007029654995279E-2</v>
      </c>
      <c r="Q29" s="175">
        <f t="shared" ca="1" si="167"/>
        <v>0.12352977621919846</v>
      </c>
      <c r="R29" s="56">
        <f t="shared" ca="1" si="191"/>
        <v>27907.201675032844</v>
      </c>
      <c r="S29" s="55"/>
      <c r="T29" s="56"/>
      <c r="U29" s="146"/>
      <c r="V29" s="137"/>
      <c r="W29" s="55"/>
      <c r="X29" s="138">
        <f t="shared" ca="1" si="169"/>
        <v>2315597.1681874068</v>
      </c>
      <c r="Y29" s="138">
        <f t="shared" ca="1" si="169"/>
        <v>593.67290476684536</v>
      </c>
      <c r="Z29" s="138">
        <f t="shared" ca="1" si="169"/>
        <v>0</v>
      </c>
      <c r="AA29" s="55"/>
      <c r="AB29" s="138">
        <f t="shared" ca="1" si="170"/>
        <v>0</v>
      </c>
      <c r="AC29" s="138">
        <f t="shared" ca="1" si="170"/>
        <v>0</v>
      </c>
      <c r="AD29" s="138">
        <f t="shared" ca="1" si="170"/>
        <v>0</v>
      </c>
      <c r="AE29" s="55"/>
      <c r="AF29" s="57">
        <f t="shared" ca="1" si="171"/>
        <v>0</v>
      </c>
      <c r="AG29" s="57">
        <f t="shared" ca="1" si="171"/>
        <v>488654</v>
      </c>
      <c r="AH29" s="57">
        <f t="shared" ca="1" si="171"/>
        <v>0</v>
      </c>
      <c r="AI29" s="57">
        <f t="shared" ca="1" si="171"/>
        <v>170265</v>
      </c>
      <c r="AJ29" s="57">
        <f t="shared" ca="1" si="171"/>
        <v>0</v>
      </c>
      <c r="AK29" s="63"/>
      <c r="AL29" s="88"/>
      <c r="AM29" s="57">
        <f ca="1">SUMIFS(OFFSET('Program Inputs'!$N$5,,,TotalPrograms),OFFSET('Program Inputs'!$B$5,,,TotalPrograms),SUBSTITUTE($B29,"All","*"))+AF29</f>
        <v>115780.2</v>
      </c>
      <c r="AN29" s="57">
        <f t="shared" ca="1" si="192"/>
        <v>286045.2</v>
      </c>
      <c r="AO29" s="55"/>
      <c r="AP29" s="59">
        <f t="shared" ca="1" si="193"/>
        <v>653500.07805347827</v>
      </c>
      <c r="AQ29" s="59">
        <f t="shared" ca="1" si="194"/>
        <v>604434.19999999995</v>
      </c>
      <c r="AR29" s="59">
        <f t="shared" ca="1" si="174"/>
        <v>553340.1162304451</v>
      </c>
      <c r="AS29" s="59">
        <f t="shared" ca="1" si="174"/>
        <v>100159.96182303313</v>
      </c>
      <c r="AT29" s="59">
        <f t="shared" ca="1" si="174"/>
        <v>0</v>
      </c>
      <c r="AU29" s="59">
        <f t="shared" ca="1" si="174"/>
        <v>0</v>
      </c>
      <c r="AV29" s="59">
        <f t="shared" ca="1" si="174"/>
        <v>170265</v>
      </c>
      <c r="AW29" s="57">
        <f ca="1">INDEX('General Inputs'!$F$51:$AN$51,MATCH($H29,'General Inputs'!$F$50:$AN$50,0))*$AM29</f>
        <v>115780.2</v>
      </c>
      <c r="AX29" s="59">
        <f t="shared" ca="1" si="175"/>
        <v>488654</v>
      </c>
      <c r="AY29" s="55"/>
      <c r="AZ29" s="59">
        <f t="shared" ca="1" si="176"/>
        <v>553340.1162304451</v>
      </c>
      <c r="BA29" s="59">
        <f t="shared" ca="1" si="176"/>
        <v>100159.96182303313</v>
      </c>
      <c r="BB29" s="59">
        <f t="shared" ca="1" si="176"/>
        <v>0</v>
      </c>
      <c r="BC29" s="59">
        <f t="shared" ca="1" si="176"/>
        <v>170265</v>
      </c>
      <c r="BD29" s="57">
        <f ca="1">INDEX('General Inputs'!$F$51:$AN$51,MATCH($H29,'General Inputs'!$F$50:$AN$50,0))*$AM29</f>
        <v>115780.2</v>
      </c>
      <c r="BE29" s="55"/>
      <c r="BF29" s="59">
        <f t="shared" ca="1" si="177"/>
        <v>0</v>
      </c>
      <c r="BG29" s="59">
        <f t="shared" ca="1" si="177"/>
        <v>0</v>
      </c>
      <c r="BH29" s="57">
        <f t="shared" ca="1" si="177"/>
        <v>170265</v>
      </c>
      <c r="BI29" s="59">
        <f t="shared" ca="1" si="177"/>
        <v>488654</v>
      </c>
      <c r="BJ29" s="55"/>
      <c r="BK29" s="59">
        <f t="shared" ca="1" si="178"/>
        <v>553340.1162304451</v>
      </c>
      <c r="BL29" s="59">
        <f t="shared" ca="1" si="178"/>
        <v>100159.96182303313</v>
      </c>
      <c r="BM29" s="59">
        <f t="shared" ca="1" si="178"/>
        <v>0</v>
      </c>
      <c r="BN29" s="59">
        <f t="shared" ca="1" si="178"/>
        <v>0</v>
      </c>
      <c r="BO29" s="59">
        <f t="shared" ca="1" si="178"/>
        <v>213764.6389589484</v>
      </c>
      <c r="BP29" s="57">
        <f ca="1">INDEX('General Inputs'!$F$51:$AN$51,MATCH($H29,'General Inputs'!$F$50:$AN$50,0))*$AM29</f>
        <v>115780.2</v>
      </c>
      <c r="BQ29" s="59">
        <f t="shared" ca="1" si="179"/>
        <v>488654</v>
      </c>
      <c r="BR29" s="55"/>
      <c r="BS29" s="59">
        <f t="shared" ca="1" si="180"/>
        <v>553340.1162304451</v>
      </c>
      <c r="BT29" s="59">
        <f t="shared" ca="1" si="180"/>
        <v>100159.96182303313</v>
      </c>
      <c r="BU29" s="59">
        <f t="shared" ca="1" si="180"/>
        <v>0</v>
      </c>
      <c r="BV29" s="59">
        <f t="shared" ca="1" si="180"/>
        <v>0</v>
      </c>
      <c r="BW29" s="59">
        <f t="shared" ca="1" si="180"/>
        <v>0</v>
      </c>
      <c r="BX29" s="59">
        <f t="shared" ca="1" si="180"/>
        <v>170265</v>
      </c>
      <c r="BY29" s="57">
        <f ca="1">INDEX('General Inputs'!$F$51:$AN$51,MATCH($H29,'General Inputs'!$F$50:$AN$50,0))*$AM29</f>
        <v>115780.2</v>
      </c>
      <c r="BZ29" s="55"/>
      <c r="CA29" s="88">
        <f t="shared" ca="1" si="181"/>
        <v>2315597.1681874068</v>
      </c>
      <c r="CB29" s="88">
        <f t="shared" ca="1" si="181"/>
        <v>2315597.1681874068</v>
      </c>
      <c r="CC29" s="88">
        <f t="shared" ca="1" si="181"/>
        <v>2315597.1681874068</v>
      </c>
      <c r="CD29" s="88">
        <f t="shared" ca="1" si="181"/>
        <v>2315597.1681874068</v>
      </c>
      <c r="CE29" s="88">
        <f t="shared" ca="1" si="181"/>
        <v>2315597.1681874068</v>
      </c>
      <c r="CF29" s="88">
        <f t="shared" ca="1" si="181"/>
        <v>2315597.1681874068</v>
      </c>
      <c r="CG29" s="88">
        <f t="shared" ca="1" si="181"/>
        <v>2315597.1681874068</v>
      </c>
      <c r="CH29" s="88">
        <f t="shared" ca="1" si="181"/>
        <v>2315597.1681874068</v>
      </c>
      <c r="CI29" s="88">
        <f t="shared" ca="1" si="181"/>
        <v>1675720.1922094063</v>
      </c>
      <c r="CJ29" s="88">
        <f t="shared" ca="1" si="181"/>
        <v>1675720.1922094063</v>
      </c>
      <c r="CK29" s="88">
        <f t="shared" ca="1" si="182"/>
        <v>1235262.9217094064</v>
      </c>
      <c r="CL29" s="88">
        <f t="shared" ca="1" si="182"/>
        <v>1235262.9217094064</v>
      </c>
      <c r="CM29" s="88">
        <f t="shared" ca="1" si="182"/>
        <v>1235262.9217094064</v>
      </c>
      <c r="CN29" s="88">
        <f t="shared" ca="1" si="182"/>
        <v>1220997.1490532772</v>
      </c>
      <c r="CO29" s="88">
        <f t="shared" ca="1" si="182"/>
        <v>1034510.4789332774</v>
      </c>
      <c r="CP29" s="88">
        <f t="shared" ca="1" si="182"/>
        <v>69687.551999999981</v>
      </c>
      <c r="CQ29" s="88">
        <f t="shared" ca="1" si="182"/>
        <v>0</v>
      </c>
      <c r="CR29" s="88">
        <f t="shared" ca="1" si="182"/>
        <v>0</v>
      </c>
      <c r="CS29" s="88">
        <f t="shared" ca="1" si="182"/>
        <v>0</v>
      </c>
      <c r="CT29" s="88">
        <f t="shared" ca="1" si="182"/>
        <v>0</v>
      </c>
      <c r="CU29" s="88">
        <f t="shared" ca="1" si="183"/>
        <v>0</v>
      </c>
      <c r="CV29" s="88">
        <f t="shared" ca="1" si="183"/>
        <v>0</v>
      </c>
      <c r="CW29" s="88">
        <f t="shared" ca="1" si="183"/>
        <v>0</v>
      </c>
      <c r="CX29" s="88">
        <f t="shared" ca="1" si="183"/>
        <v>0</v>
      </c>
      <c r="CY29" s="88">
        <f t="shared" ca="1" si="183"/>
        <v>0</v>
      </c>
      <c r="CZ29" s="88">
        <f t="shared" ca="1" si="183"/>
        <v>0</v>
      </c>
      <c r="DA29" s="88">
        <f t="shared" ca="1" si="183"/>
        <v>0</v>
      </c>
      <c r="DB29" s="88">
        <f t="shared" ca="1" si="183"/>
        <v>0</v>
      </c>
      <c r="DC29" s="88">
        <f t="shared" ca="1" si="183"/>
        <v>0</v>
      </c>
      <c r="DD29" s="88">
        <f t="shared" ca="1" si="183"/>
        <v>0</v>
      </c>
      <c r="DE29" s="88">
        <f t="shared" ca="1" si="183"/>
        <v>0</v>
      </c>
      <c r="DF29" s="88">
        <f t="shared" ca="1" si="183"/>
        <v>0</v>
      </c>
      <c r="DG29" s="88">
        <f t="shared" ca="1" si="183"/>
        <v>0</v>
      </c>
      <c r="DH29" s="88">
        <f t="shared" ca="1" si="183"/>
        <v>0</v>
      </c>
      <c r="DI29" s="88">
        <f t="shared" ca="1" si="183"/>
        <v>0</v>
      </c>
      <c r="DJ29" s="169"/>
      <c r="DK29" s="88">
        <f t="shared" ca="1" si="184"/>
        <v>593.67290476684536</v>
      </c>
      <c r="DL29" s="88">
        <f t="shared" ca="1" si="184"/>
        <v>593.67290476684536</v>
      </c>
      <c r="DM29" s="88">
        <f t="shared" ca="1" si="184"/>
        <v>593.67290476684536</v>
      </c>
      <c r="DN29" s="88">
        <f t="shared" ca="1" si="184"/>
        <v>593.67290476684536</v>
      </c>
      <c r="DO29" s="88">
        <f t="shared" ca="1" si="184"/>
        <v>593.67290476684536</v>
      </c>
      <c r="DP29" s="88">
        <f t="shared" ca="1" si="184"/>
        <v>593.67290476684536</v>
      </c>
      <c r="DQ29" s="88">
        <f t="shared" ca="1" si="184"/>
        <v>593.67290476684536</v>
      </c>
      <c r="DR29" s="88">
        <f t="shared" ca="1" si="184"/>
        <v>593.67290476684536</v>
      </c>
      <c r="DS29" s="88">
        <f t="shared" ca="1" si="184"/>
        <v>398.52865476684525</v>
      </c>
      <c r="DT29" s="88">
        <f t="shared" ca="1" si="184"/>
        <v>398.52865476684525</v>
      </c>
      <c r="DU29" s="88">
        <f t="shared" ca="1" si="185"/>
        <v>289.69715476684519</v>
      </c>
      <c r="DV29" s="88">
        <f t="shared" ca="1" si="185"/>
        <v>289.69715476684519</v>
      </c>
      <c r="DW29" s="88">
        <f t="shared" ca="1" si="185"/>
        <v>289.69715476684519</v>
      </c>
      <c r="DX29" s="88">
        <f t="shared" ca="1" si="185"/>
        <v>289.02131871523227</v>
      </c>
      <c r="DY29" s="88">
        <f t="shared" ca="1" si="185"/>
        <v>249.5754067152323</v>
      </c>
      <c r="DZ29" s="88">
        <f t="shared" ca="1" si="185"/>
        <v>9.3632000000000009</v>
      </c>
      <c r="EA29" s="88">
        <f t="shared" ca="1" si="185"/>
        <v>0</v>
      </c>
      <c r="EB29" s="88">
        <f t="shared" ca="1" si="185"/>
        <v>0</v>
      </c>
      <c r="EC29" s="88">
        <f t="shared" ca="1" si="185"/>
        <v>0</v>
      </c>
      <c r="ED29" s="88">
        <f t="shared" ca="1" si="185"/>
        <v>0</v>
      </c>
      <c r="EE29" s="88">
        <f t="shared" ca="1" si="186"/>
        <v>0</v>
      </c>
      <c r="EF29" s="88">
        <f t="shared" ca="1" si="186"/>
        <v>0</v>
      </c>
      <c r="EG29" s="88">
        <f t="shared" ca="1" si="186"/>
        <v>0</v>
      </c>
      <c r="EH29" s="88">
        <f t="shared" ca="1" si="186"/>
        <v>0</v>
      </c>
      <c r="EI29" s="88">
        <f t="shared" ca="1" si="186"/>
        <v>0</v>
      </c>
      <c r="EJ29" s="88">
        <f t="shared" ca="1" si="186"/>
        <v>0</v>
      </c>
      <c r="EK29" s="88">
        <f t="shared" ca="1" si="186"/>
        <v>0</v>
      </c>
      <c r="EL29" s="88">
        <f t="shared" ca="1" si="186"/>
        <v>0</v>
      </c>
      <c r="EM29" s="88">
        <f t="shared" ca="1" si="186"/>
        <v>0</v>
      </c>
      <c r="EN29" s="88">
        <f t="shared" ca="1" si="186"/>
        <v>0</v>
      </c>
      <c r="EO29" s="88">
        <f t="shared" ca="1" si="186"/>
        <v>0</v>
      </c>
      <c r="EP29" s="88">
        <f t="shared" ca="1" si="186"/>
        <v>0</v>
      </c>
      <c r="EQ29" s="88">
        <f t="shared" ca="1" si="186"/>
        <v>0</v>
      </c>
      <c r="ER29" s="88">
        <f t="shared" ca="1" si="186"/>
        <v>0</v>
      </c>
      <c r="ES29" s="88">
        <f t="shared" ca="1" si="186"/>
        <v>0</v>
      </c>
      <c r="ET29" s="169"/>
      <c r="EU29" s="88">
        <f t="shared" ca="1" si="187"/>
        <v>0</v>
      </c>
      <c r="EV29" s="88">
        <f t="shared" ca="1" si="187"/>
        <v>0</v>
      </c>
      <c r="EW29" s="88">
        <f t="shared" ca="1" si="187"/>
        <v>0</v>
      </c>
      <c r="EX29" s="88">
        <f t="shared" ca="1" si="187"/>
        <v>0</v>
      </c>
      <c r="EY29" s="88">
        <f t="shared" ca="1" si="187"/>
        <v>0</v>
      </c>
      <c r="EZ29" s="88">
        <f t="shared" ca="1" si="187"/>
        <v>0</v>
      </c>
      <c r="FA29" s="88">
        <f t="shared" ca="1" si="187"/>
        <v>0</v>
      </c>
      <c r="FB29" s="88">
        <f t="shared" ca="1" si="187"/>
        <v>0</v>
      </c>
      <c r="FC29" s="88">
        <f t="shared" ca="1" si="187"/>
        <v>0</v>
      </c>
      <c r="FD29" s="88">
        <f t="shared" ca="1" si="187"/>
        <v>0</v>
      </c>
      <c r="FE29" s="88">
        <f t="shared" ca="1" si="188"/>
        <v>0</v>
      </c>
      <c r="FF29" s="88">
        <f t="shared" ca="1" si="188"/>
        <v>0</v>
      </c>
      <c r="FG29" s="88">
        <f t="shared" ca="1" si="188"/>
        <v>0</v>
      </c>
      <c r="FH29" s="88">
        <f t="shared" ca="1" si="188"/>
        <v>0</v>
      </c>
      <c r="FI29" s="88">
        <f t="shared" ca="1" si="188"/>
        <v>0</v>
      </c>
      <c r="FJ29" s="88">
        <f t="shared" ca="1" si="188"/>
        <v>0</v>
      </c>
      <c r="FK29" s="88">
        <f t="shared" ca="1" si="188"/>
        <v>0</v>
      </c>
      <c r="FL29" s="88">
        <f t="shared" ca="1" si="188"/>
        <v>0</v>
      </c>
      <c r="FM29" s="88">
        <f t="shared" ca="1" si="188"/>
        <v>0</v>
      </c>
      <c r="FN29" s="88">
        <f t="shared" ca="1" si="188"/>
        <v>0</v>
      </c>
      <c r="FO29" s="88">
        <f t="shared" ca="1" si="189"/>
        <v>0</v>
      </c>
      <c r="FP29" s="88">
        <f t="shared" ca="1" si="189"/>
        <v>0</v>
      </c>
      <c r="FQ29" s="88">
        <f t="shared" ca="1" si="189"/>
        <v>0</v>
      </c>
      <c r="FR29" s="88">
        <f t="shared" ca="1" si="189"/>
        <v>0</v>
      </c>
      <c r="FS29" s="88">
        <f t="shared" ca="1" si="189"/>
        <v>0</v>
      </c>
      <c r="FT29" s="88">
        <f t="shared" ca="1" si="189"/>
        <v>0</v>
      </c>
      <c r="FU29" s="88">
        <f t="shared" ca="1" si="189"/>
        <v>0</v>
      </c>
      <c r="FV29" s="88">
        <f t="shared" ca="1" si="189"/>
        <v>0</v>
      </c>
      <c r="FW29" s="88">
        <f t="shared" ca="1" si="189"/>
        <v>0</v>
      </c>
      <c r="FX29" s="88">
        <f t="shared" ca="1" si="189"/>
        <v>0</v>
      </c>
      <c r="FY29" s="88">
        <f t="shared" ca="1" si="189"/>
        <v>0</v>
      </c>
      <c r="FZ29" s="88">
        <f t="shared" ca="1" si="189"/>
        <v>0</v>
      </c>
      <c r="GA29" s="88">
        <f t="shared" ca="1" si="189"/>
        <v>0</v>
      </c>
      <c r="GB29" s="88">
        <f t="shared" ca="1" si="189"/>
        <v>0</v>
      </c>
      <c r="GC29" s="88">
        <f t="shared" ca="1" si="189"/>
        <v>0</v>
      </c>
      <c r="GD29" s="60"/>
    </row>
    <row r="30" spans="1:186" s="54" customFormat="1">
      <c r="A30" s="61"/>
      <c r="B30" s="100" t="str">
        <f t="shared" si="0"/>
        <v>Residential_Residential Lighting_0_All_2018</v>
      </c>
      <c r="C30" s="146"/>
      <c r="D30" s="136" t="s">
        <v>2</v>
      </c>
      <c r="E30" s="136" t="s">
        <v>249</v>
      </c>
      <c r="F30" s="136">
        <v>0</v>
      </c>
      <c r="G30" s="136" t="s">
        <v>98</v>
      </c>
      <c r="H30" s="136">
        <v>2018</v>
      </c>
      <c r="I30" s="55"/>
      <c r="J30" s="58">
        <f t="shared" ca="1" si="163"/>
        <v>0.74869449934263577</v>
      </c>
      <c r="K30" s="58">
        <f ca="1">IFERROR(SUMIFS($AZ30:$BD30,$AZ$7:$BD$7,"BENEFIT")/SUMIFS($AZ30:$BD30,$AZ$7:$BD$7,"COST"),"n/a")</f>
        <v>0.99621751218882404</v>
      </c>
      <c r="L30" s="58">
        <f t="shared" ca="1" si="164"/>
        <v>4.4052211169214521</v>
      </c>
      <c r="M30" s="58">
        <f t="shared" ca="1" si="165"/>
        <v>1.0202162883086043</v>
      </c>
      <c r="N30" s="58">
        <f t="shared" ca="1" si="166"/>
        <v>0.21160246685518269</v>
      </c>
      <c r="O30" s="55"/>
      <c r="P30" s="175">
        <f ca="1">IFERROR(($AW30+AV30)/SUMPRODUCT($CA30:$DI30,'General Inputs'!$F$51:$AN$51),"n/a")</f>
        <v>3.3109889769402316E-2</v>
      </c>
      <c r="Q30" s="175">
        <f t="shared" ca="1" si="167"/>
        <v>0.23290957933330639</v>
      </c>
      <c r="R30" s="56">
        <f t="shared" ca="1" si="191"/>
        <v>1642.8285221039996</v>
      </c>
      <c r="S30" s="55"/>
      <c r="T30" s="56"/>
      <c r="U30" s="146"/>
      <c r="V30" s="137"/>
      <c r="W30" s="55"/>
      <c r="X30" s="138">
        <f t="shared" ca="1" si="169"/>
        <v>164282.85221039999</v>
      </c>
      <c r="Y30" s="138">
        <f t="shared" ca="1" si="169"/>
        <v>14.420631733199997</v>
      </c>
      <c r="Z30" s="138">
        <f t="shared" ca="1" si="169"/>
        <v>0</v>
      </c>
      <c r="AA30" s="55"/>
      <c r="AB30" s="138">
        <f t="shared" ca="1" si="170"/>
        <v>0</v>
      </c>
      <c r="AC30" s="138">
        <f t="shared" ca="1" si="170"/>
        <v>0</v>
      </c>
      <c r="AD30" s="138">
        <f t="shared" ca="1" si="170"/>
        <v>0</v>
      </c>
      <c r="AE30" s="55"/>
      <c r="AF30" s="57">
        <f t="shared" ca="1" si="171"/>
        <v>0</v>
      </c>
      <c r="AG30" s="57">
        <f t="shared" ca="1" si="171"/>
        <v>37950</v>
      </c>
      <c r="AH30" s="57">
        <f t="shared" ca="1" si="171"/>
        <v>0</v>
      </c>
      <c r="AI30" s="57">
        <f t="shared" ca="1" si="171"/>
        <v>25300</v>
      </c>
      <c r="AJ30" s="57">
        <f t="shared" ca="1" si="171"/>
        <v>0</v>
      </c>
      <c r="AK30" s="63"/>
      <c r="AL30" s="88"/>
      <c r="AM30" s="57">
        <f ca="1">SUMIFS(OFFSET('Program Inputs'!$N$5,,,TotalPrograms),OFFSET('Program Inputs'!$B$5,,,TotalPrograms),SUBSTITUTE($B30,"All","*"))+AF30</f>
        <v>12963.05</v>
      </c>
      <c r="AN30" s="57">
        <f ca="1">AM30+AI30</f>
        <v>38263.050000000003</v>
      </c>
      <c r="AO30" s="55"/>
      <c r="AP30" s="59">
        <f t="shared" ca="1" si="193"/>
        <v>35022.345166994288</v>
      </c>
      <c r="AQ30" s="59">
        <f t="shared" ca="1" si="194"/>
        <v>46777.884968761486</v>
      </c>
      <c r="AR30" s="59">
        <f t="shared" ca="1" si="174"/>
        <v>32942.449571960817</v>
      </c>
      <c r="AS30" s="59">
        <f t="shared" ca="1" si="174"/>
        <v>2079.8955950334675</v>
      </c>
      <c r="AT30" s="59">
        <f t="shared" ca="1" si="174"/>
        <v>0</v>
      </c>
      <c r="AU30" s="59">
        <f t="shared" ca="1" si="174"/>
        <v>0</v>
      </c>
      <c r="AV30" s="59">
        <f t="shared" ca="1" si="174"/>
        <v>23245.130466740167</v>
      </c>
      <c r="AW30" s="57">
        <f ca="1">INDEX('General Inputs'!$F$51:$AN$51,MATCH($H30,'General Inputs'!$F$50:$AN$50,0))*$AM30</f>
        <v>11910.189268651231</v>
      </c>
      <c r="AX30" s="59">
        <f t="shared" ca="1" si="175"/>
        <v>34867.695700110256</v>
      </c>
      <c r="AY30" s="55"/>
      <c r="AZ30" s="59">
        <f t="shared" ca="1" si="176"/>
        <v>32942.449571960817</v>
      </c>
      <c r="BA30" s="59">
        <f t="shared" ca="1" si="176"/>
        <v>2079.8955950334675</v>
      </c>
      <c r="BB30" s="59">
        <f t="shared" ca="1" si="176"/>
        <v>0</v>
      </c>
      <c r="BC30" s="59">
        <f t="shared" ca="1" si="176"/>
        <v>23245.130466740167</v>
      </c>
      <c r="BD30" s="57">
        <f ca="1">INDEX('General Inputs'!$F$51:$AN$51,MATCH($H30,'General Inputs'!$F$50:$AN$50,0))*$AM30</f>
        <v>11910.189268651231</v>
      </c>
      <c r="BE30" s="55"/>
      <c r="BF30" s="59">
        <f t="shared" ca="1" si="177"/>
        <v>130354.77892977686</v>
      </c>
      <c r="BG30" s="59">
        <f t="shared" ca="1" si="177"/>
        <v>0</v>
      </c>
      <c r="BH30" s="57">
        <f t="shared" ca="1" si="177"/>
        <v>23245.130466740167</v>
      </c>
      <c r="BI30" s="59">
        <f t="shared" ca="1" si="177"/>
        <v>34867.695700110256</v>
      </c>
      <c r="BJ30" s="55"/>
      <c r="BK30" s="59">
        <f t="shared" ca="1" si="178"/>
        <v>32942.449571960817</v>
      </c>
      <c r="BL30" s="59">
        <f t="shared" ca="1" si="178"/>
        <v>2079.8955950334675</v>
      </c>
      <c r="BM30" s="59">
        <f t="shared" ca="1" si="178"/>
        <v>0</v>
      </c>
      <c r="BN30" s="59">
        <f t="shared" ca="1" si="178"/>
        <v>0</v>
      </c>
      <c r="BO30" s="59">
        <f t="shared" ca="1" si="178"/>
        <v>12701.215010762409</v>
      </c>
      <c r="BP30" s="57">
        <f ca="1">INDEX('General Inputs'!$F$51:$AN$51,MATCH($H30,'General Inputs'!$F$50:$AN$50,0))*$AM30</f>
        <v>11910.189268651231</v>
      </c>
      <c r="BQ30" s="59">
        <f t="shared" ca="1" si="179"/>
        <v>34867.695700110256</v>
      </c>
      <c r="BR30" s="55"/>
      <c r="BS30" s="59">
        <f t="shared" ca="1" si="180"/>
        <v>32942.449571960817</v>
      </c>
      <c r="BT30" s="59">
        <f t="shared" ca="1" si="180"/>
        <v>2079.8955950334675</v>
      </c>
      <c r="BU30" s="59">
        <f t="shared" ca="1" si="180"/>
        <v>0</v>
      </c>
      <c r="BV30" s="59">
        <f t="shared" ca="1" si="180"/>
        <v>130354.77892977686</v>
      </c>
      <c r="BW30" s="59">
        <f t="shared" ca="1" si="180"/>
        <v>0</v>
      </c>
      <c r="BX30" s="59">
        <f t="shared" ca="1" si="180"/>
        <v>23245.130466740167</v>
      </c>
      <c r="BY30" s="57">
        <f ca="1">INDEX('General Inputs'!$F$51:$AN$51,MATCH($H30,'General Inputs'!$F$50:$AN$50,0))*$AM30</f>
        <v>11910.189268651231</v>
      </c>
      <c r="BZ30" s="55"/>
      <c r="CA30" s="88">
        <f t="shared" ca="1" si="181"/>
        <v>0</v>
      </c>
      <c r="CB30" s="88">
        <f t="shared" ca="1" si="181"/>
        <v>164282.85221039999</v>
      </c>
      <c r="CC30" s="88">
        <f t="shared" ca="1" si="181"/>
        <v>164282.85221039999</v>
      </c>
      <c r="CD30" s="88">
        <f t="shared" ca="1" si="181"/>
        <v>164282.85221039999</v>
      </c>
      <c r="CE30" s="88">
        <f t="shared" ca="1" si="181"/>
        <v>164282.85221039999</v>
      </c>
      <c r="CF30" s="88">
        <f t="shared" ca="1" si="181"/>
        <v>164282.85221039999</v>
      </c>
      <c r="CG30" s="88">
        <f t="shared" ca="1" si="181"/>
        <v>164282.85221039999</v>
      </c>
      <c r="CH30" s="88">
        <f t="shared" ca="1" si="181"/>
        <v>164282.85221039999</v>
      </c>
      <c r="CI30" s="88">
        <f t="shared" ca="1" si="181"/>
        <v>164282.85221039999</v>
      </c>
      <c r="CJ30" s="88">
        <f t="shared" ca="1" si="181"/>
        <v>164282.85221039999</v>
      </c>
      <c r="CK30" s="88">
        <f t="shared" ca="1" si="182"/>
        <v>164282.85221039999</v>
      </c>
      <c r="CL30" s="88">
        <f t="shared" ca="1" si="182"/>
        <v>0</v>
      </c>
      <c r="CM30" s="88">
        <f t="shared" ca="1" si="182"/>
        <v>0</v>
      </c>
      <c r="CN30" s="88">
        <f t="shared" ca="1" si="182"/>
        <v>0</v>
      </c>
      <c r="CO30" s="88">
        <f t="shared" ca="1" si="182"/>
        <v>0</v>
      </c>
      <c r="CP30" s="88">
        <f t="shared" ca="1" si="182"/>
        <v>0</v>
      </c>
      <c r="CQ30" s="88">
        <f t="shared" ca="1" si="182"/>
        <v>0</v>
      </c>
      <c r="CR30" s="88">
        <f t="shared" ca="1" si="182"/>
        <v>0</v>
      </c>
      <c r="CS30" s="88">
        <f t="shared" ca="1" si="182"/>
        <v>0</v>
      </c>
      <c r="CT30" s="88">
        <f t="shared" ca="1" si="182"/>
        <v>0</v>
      </c>
      <c r="CU30" s="88">
        <f t="shared" ca="1" si="183"/>
        <v>0</v>
      </c>
      <c r="CV30" s="88">
        <f t="shared" ca="1" si="183"/>
        <v>0</v>
      </c>
      <c r="CW30" s="88">
        <f t="shared" ca="1" si="183"/>
        <v>0</v>
      </c>
      <c r="CX30" s="88">
        <f t="shared" ca="1" si="183"/>
        <v>0</v>
      </c>
      <c r="CY30" s="88">
        <f t="shared" ca="1" si="183"/>
        <v>0</v>
      </c>
      <c r="CZ30" s="88">
        <f t="shared" ca="1" si="183"/>
        <v>0</v>
      </c>
      <c r="DA30" s="88">
        <f t="shared" ca="1" si="183"/>
        <v>0</v>
      </c>
      <c r="DB30" s="88">
        <f t="shared" ca="1" si="183"/>
        <v>0</v>
      </c>
      <c r="DC30" s="88">
        <f t="shared" ca="1" si="183"/>
        <v>0</v>
      </c>
      <c r="DD30" s="88">
        <f t="shared" ca="1" si="183"/>
        <v>0</v>
      </c>
      <c r="DE30" s="88">
        <f t="shared" ca="1" si="183"/>
        <v>0</v>
      </c>
      <c r="DF30" s="88">
        <f t="shared" ca="1" si="183"/>
        <v>0</v>
      </c>
      <c r="DG30" s="88">
        <f t="shared" ca="1" si="183"/>
        <v>0</v>
      </c>
      <c r="DH30" s="88">
        <f t="shared" ca="1" si="183"/>
        <v>0</v>
      </c>
      <c r="DI30" s="88">
        <f t="shared" ca="1" si="183"/>
        <v>0</v>
      </c>
      <c r="DJ30" s="169"/>
      <c r="DK30" s="88">
        <f t="shared" ca="1" si="184"/>
        <v>0</v>
      </c>
      <c r="DL30" s="88">
        <f t="shared" ca="1" si="184"/>
        <v>14.420631733199997</v>
      </c>
      <c r="DM30" s="88">
        <f t="shared" ca="1" si="184"/>
        <v>14.420631733199997</v>
      </c>
      <c r="DN30" s="88">
        <f t="shared" ca="1" si="184"/>
        <v>14.420631733199997</v>
      </c>
      <c r="DO30" s="88">
        <f t="shared" ca="1" si="184"/>
        <v>14.420631733199997</v>
      </c>
      <c r="DP30" s="88">
        <f t="shared" ca="1" si="184"/>
        <v>14.420631733199997</v>
      </c>
      <c r="DQ30" s="88">
        <f t="shared" ca="1" si="184"/>
        <v>14.420631733199997</v>
      </c>
      <c r="DR30" s="88">
        <f t="shared" ca="1" si="184"/>
        <v>14.420631733199997</v>
      </c>
      <c r="DS30" s="88">
        <f t="shared" ca="1" si="184"/>
        <v>14.420631733199997</v>
      </c>
      <c r="DT30" s="88">
        <f t="shared" ca="1" si="184"/>
        <v>14.420631733199997</v>
      </c>
      <c r="DU30" s="88">
        <f t="shared" ca="1" si="185"/>
        <v>14.420631733199997</v>
      </c>
      <c r="DV30" s="88">
        <f t="shared" ca="1" si="185"/>
        <v>0</v>
      </c>
      <c r="DW30" s="88">
        <f t="shared" ca="1" si="185"/>
        <v>0</v>
      </c>
      <c r="DX30" s="88">
        <f t="shared" ca="1" si="185"/>
        <v>0</v>
      </c>
      <c r="DY30" s="88">
        <f t="shared" ca="1" si="185"/>
        <v>0</v>
      </c>
      <c r="DZ30" s="88">
        <f t="shared" ca="1" si="185"/>
        <v>0</v>
      </c>
      <c r="EA30" s="88">
        <f t="shared" ca="1" si="185"/>
        <v>0</v>
      </c>
      <c r="EB30" s="88">
        <f t="shared" ca="1" si="185"/>
        <v>0</v>
      </c>
      <c r="EC30" s="88">
        <f t="shared" ca="1" si="185"/>
        <v>0</v>
      </c>
      <c r="ED30" s="88">
        <f t="shared" ca="1" si="185"/>
        <v>0</v>
      </c>
      <c r="EE30" s="88">
        <f t="shared" ca="1" si="186"/>
        <v>0</v>
      </c>
      <c r="EF30" s="88">
        <f t="shared" ca="1" si="186"/>
        <v>0</v>
      </c>
      <c r="EG30" s="88">
        <f t="shared" ca="1" si="186"/>
        <v>0</v>
      </c>
      <c r="EH30" s="88">
        <f t="shared" ca="1" si="186"/>
        <v>0</v>
      </c>
      <c r="EI30" s="88">
        <f t="shared" ca="1" si="186"/>
        <v>0</v>
      </c>
      <c r="EJ30" s="88">
        <f t="shared" ca="1" si="186"/>
        <v>0</v>
      </c>
      <c r="EK30" s="88">
        <f t="shared" ca="1" si="186"/>
        <v>0</v>
      </c>
      <c r="EL30" s="88">
        <f t="shared" ca="1" si="186"/>
        <v>0</v>
      </c>
      <c r="EM30" s="88">
        <f t="shared" ca="1" si="186"/>
        <v>0</v>
      </c>
      <c r="EN30" s="88">
        <f t="shared" ca="1" si="186"/>
        <v>0</v>
      </c>
      <c r="EO30" s="88">
        <f t="shared" ca="1" si="186"/>
        <v>0</v>
      </c>
      <c r="EP30" s="88">
        <f t="shared" ca="1" si="186"/>
        <v>0</v>
      </c>
      <c r="EQ30" s="88">
        <f t="shared" ca="1" si="186"/>
        <v>0</v>
      </c>
      <c r="ER30" s="88">
        <f t="shared" ca="1" si="186"/>
        <v>0</v>
      </c>
      <c r="ES30" s="88">
        <f t="shared" ca="1" si="186"/>
        <v>0</v>
      </c>
      <c r="ET30" s="169"/>
      <c r="EU30" s="88">
        <f t="shared" ca="1" si="187"/>
        <v>0</v>
      </c>
      <c r="EV30" s="88">
        <f t="shared" ca="1" si="187"/>
        <v>0</v>
      </c>
      <c r="EW30" s="88">
        <f t="shared" ca="1" si="187"/>
        <v>0</v>
      </c>
      <c r="EX30" s="88">
        <f t="shared" ca="1" si="187"/>
        <v>0</v>
      </c>
      <c r="EY30" s="88">
        <f t="shared" ca="1" si="187"/>
        <v>0</v>
      </c>
      <c r="EZ30" s="88">
        <f t="shared" ca="1" si="187"/>
        <v>0</v>
      </c>
      <c r="FA30" s="88">
        <f t="shared" ca="1" si="187"/>
        <v>0</v>
      </c>
      <c r="FB30" s="88">
        <f t="shared" ca="1" si="187"/>
        <v>0</v>
      </c>
      <c r="FC30" s="88">
        <f t="shared" ca="1" si="187"/>
        <v>0</v>
      </c>
      <c r="FD30" s="88">
        <f t="shared" ca="1" si="187"/>
        <v>0</v>
      </c>
      <c r="FE30" s="88">
        <f t="shared" ca="1" si="188"/>
        <v>0</v>
      </c>
      <c r="FF30" s="88">
        <f t="shared" ca="1" si="188"/>
        <v>0</v>
      </c>
      <c r="FG30" s="88">
        <f t="shared" ca="1" si="188"/>
        <v>0</v>
      </c>
      <c r="FH30" s="88">
        <f t="shared" ca="1" si="188"/>
        <v>0</v>
      </c>
      <c r="FI30" s="88">
        <f t="shared" ca="1" si="188"/>
        <v>0</v>
      </c>
      <c r="FJ30" s="88">
        <f t="shared" ca="1" si="188"/>
        <v>0</v>
      </c>
      <c r="FK30" s="88">
        <f t="shared" ca="1" si="188"/>
        <v>0</v>
      </c>
      <c r="FL30" s="88">
        <f t="shared" ca="1" si="188"/>
        <v>0</v>
      </c>
      <c r="FM30" s="88">
        <f t="shared" ca="1" si="188"/>
        <v>0</v>
      </c>
      <c r="FN30" s="88">
        <f t="shared" ca="1" si="188"/>
        <v>0</v>
      </c>
      <c r="FO30" s="88">
        <f t="shared" ca="1" si="189"/>
        <v>0</v>
      </c>
      <c r="FP30" s="88">
        <f t="shared" ca="1" si="189"/>
        <v>0</v>
      </c>
      <c r="FQ30" s="88">
        <f t="shared" ca="1" si="189"/>
        <v>0</v>
      </c>
      <c r="FR30" s="88">
        <f t="shared" ca="1" si="189"/>
        <v>0</v>
      </c>
      <c r="FS30" s="88">
        <f t="shared" ca="1" si="189"/>
        <v>0</v>
      </c>
      <c r="FT30" s="88">
        <f t="shared" ca="1" si="189"/>
        <v>0</v>
      </c>
      <c r="FU30" s="88">
        <f t="shared" ca="1" si="189"/>
        <v>0</v>
      </c>
      <c r="FV30" s="88">
        <f t="shared" ca="1" si="189"/>
        <v>0</v>
      </c>
      <c r="FW30" s="88">
        <f t="shared" ca="1" si="189"/>
        <v>0</v>
      </c>
      <c r="FX30" s="88">
        <f t="shared" ca="1" si="189"/>
        <v>0</v>
      </c>
      <c r="FY30" s="88">
        <f t="shared" ca="1" si="189"/>
        <v>0</v>
      </c>
      <c r="FZ30" s="88">
        <f t="shared" ca="1" si="189"/>
        <v>0</v>
      </c>
      <c r="GA30" s="88">
        <f t="shared" ca="1" si="189"/>
        <v>0</v>
      </c>
      <c r="GB30" s="88">
        <f t="shared" ca="1" si="189"/>
        <v>0</v>
      </c>
      <c r="GC30" s="88">
        <f t="shared" ca="1" si="189"/>
        <v>0</v>
      </c>
      <c r="GD30" s="60"/>
    </row>
    <row r="31" spans="1:186" s="54" customFormat="1">
      <c r="A31" s="61"/>
      <c r="B31" s="100" t="str">
        <f t="shared" si="0"/>
        <v>Residential_Appliance Recycling_0_All_2018</v>
      </c>
      <c r="C31" s="146"/>
      <c r="D31" s="136" t="s">
        <v>2</v>
      </c>
      <c r="E31" s="136" t="s">
        <v>120</v>
      </c>
      <c r="F31" s="136">
        <v>0</v>
      </c>
      <c r="G31" s="136" t="s">
        <v>98</v>
      </c>
      <c r="H31" s="136">
        <v>2018</v>
      </c>
      <c r="I31" s="55"/>
      <c r="J31" s="58">
        <f t="shared" ca="1" si="163"/>
        <v>1.1972696363883268</v>
      </c>
      <c r="K31" s="58">
        <f t="shared" ca="1" si="190"/>
        <v>1.3074689509552295</v>
      </c>
      <c r="L31" s="58">
        <f t="shared" ca="1" si="164"/>
        <v>10.860342591043965</v>
      </c>
      <c r="M31" s="58">
        <f t="shared" ca="1" si="165"/>
        <v>1.6287906356399005</v>
      </c>
      <c r="N31" s="58">
        <f t="shared" ca="1" si="166"/>
        <v>0.22616106073948491</v>
      </c>
      <c r="O31" s="55"/>
      <c r="P31" s="175">
        <f ca="1">IFERROR(($AW31+AV31)/SUMPRODUCT($CA31:$DI31,'General Inputs'!$F$51:$AN$51),"n/a")</f>
        <v>2.5384616126381453E-2</v>
      </c>
      <c r="Q31" s="175">
        <f t="shared" ca="1" si="167"/>
        <v>0.15383298583139837</v>
      </c>
      <c r="R31" s="56">
        <f t="shared" ref="R31:R39" ca="1" si="195">SUM(CA31:DI31)/1000</f>
        <v>844.12</v>
      </c>
      <c r="S31" s="55"/>
      <c r="T31" s="56"/>
      <c r="U31" s="146"/>
      <c r="V31" s="137"/>
      <c r="W31" s="55"/>
      <c r="X31" s="138">
        <f t="shared" ca="1" si="169"/>
        <v>105515</v>
      </c>
      <c r="Y31" s="138">
        <f t="shared" ca="1" si="169"/>
        <v>12.045091324200914</v>
      </c>
      <c r="Z31" s="138">
        <f t="shared" ca="1" si="169"/>
        <v>0</v>
      </c>
      <c r="AA31" s="55"/>
      <c r="AB31" s="138">
        <f t="shared" ca="1" si="170"/>
        <v>0</v>
      </c>
      <c r="AC31" s="138">
        <f t="shared" ca="1" si="170"/>
        <v>0</v>
      </c>
      <c r="AD31" s="138">
        <f t="shared" ca="1" si="170"/>
        <v>0</v>
      </c>
      <c r="AE31" s="55"/>
      <c r="AF31" s="57">
        <f t="shared" ref="AF31:AJ40" ca="1" si="196">SUMIFS(OFFSET(AF$49,,,InputRows),OFFSET($B$49,,,InputRows),SUBSTITUTE($B31,"All","*"))</f>
        <v>0</v>
      </c>
      <c r="AG31" s="57">
        <f t="shared" ca="1" si="196"/>
        <v>7719</v>
      </c>
      <c r="AH31" s="57">
        <f t="shared" ca="1" si="196"/>
        <v>0</v>
      </c>
      <c r="AI31" s="57">
        <f t="shared" ca="1" si="196"/>
        <v>6225</v>
      </c>
      <c r="AJ31" s="57">
        <f t="shared" ca="1" si="196"/>
        <v>0</v>
      </c>
      <c r="AK31" s="63"/>
      <c r="AL31" s="88"/>
      <c r="AM31" s="57">
        <f ca="1">SUMIFS(OFFSET('Program Inputs'!$N$5,,,TotalPrograms),OFFSET('Program Inputs'!$B$5,,,TotalPrograms),SUBSTITUTE($B31,"All","*"))+AF31</f>
        <v>10006.6875</v>
      </c>
      <c r="AN31" s="57">
        <f t="shared" ref="AN31:AN38" ca="1" si="197">AM31+AI31</f>
        <v>16231.6875</v>
      </c>
      <c r="AO31" s="55"/>
      <c r="AP31" s="59">
        <f t="shared" ref="AP31:AP39" ca="1" si="198">SUMIFS(AR31:AX31,$AR$7:$AX$7,"BENEFIT")</f>
        <v>19498.738908359162</v>
      </c>
      <c r="AQ31" s="59">
        <f t="shared" ref="AQ31:AQ39" ca="1" si="199">SUMIFS(AR31:AX31,$AR$7:$AX$7,"COST")</f>
        <v>16286.004685777289</v>
      </c>
      <c r="AR31" s="59">
        <f t="shared" ref="AR31:AV40" ca="1" si="200">SUMIFS(OFFSET(AR$49,,,InputRows),OFFSET($B$49,,,InputRows),SUBSTITUTE($B31,"All","*"))</f>
        <v>18019.204400121689</v>
      </c>
      <c r="AS31" s="59">
        <f t="shared" ca="1" si="200"/>
        <v>1479.5345082374722</v>
      </c>
      <c r="AT31" s="59">
        <f t="shared" ca="1" si="200"/>
        <v>0</v>
      </c>
      <c r="AU31" s="59">
        <f t="shared" ca="1" si="200"/>
        <v>0</v>
      </c>
      <c r="AV31" s="59">
        <f t="shared" ca="1" si="200"/>
        <v>5719.4046306504961</v>
      </c>
      <c r="AW31" s="57">
        <f ca="1">INDEX('General Inputs'!$F$51:$AN$51,MATCH($H31,'General Inputs'!$F$50:$AN$50,0))*$AM31</f>
        <v>9193.9429437706731</v>
      </c>
      <c r="AX31" s="59">
        <f t="shared" ca="1" si="175"/>
        <v>7092.0617420066155</v>
      </c>
      <c r="AY31" s="55"/>
      <c r="AZ31" s="59">
        <f t="shared" ca="1" si="176"/>
        <v>18019.204400121689</v>
      </c>
      <c r="BA31" s="59">
        <f t="shared" ca="1" si="176"/>
        <v>1479.5345082374722</v>
      </c>
      <c r="BB31" s="59">
        <f t="shared" ca="1" si="176"/>
        <v>0</v>
      </c>
      <c r="BC31" s="59">
        <f t="shared" ca="1" si="176"/>
        <v>5719.4046306504961</v>
      </c>
      <c r="BD31" s="57">
        <f ca="1">INDEX('General Inputs'!$F$51:$AN$51,MATCH($H31,'General Inputs'!$F$50:$AN$50,0))*$AM31</f>
        <v>9193.9429437706731</v>
      </c>
      <c r="BE31" s="55"/>
      <c r="BF31" s="59">
        <f t="shared" ca="1" si="177"/>
        <v>71302.815564377408</v>
      </c>
      <c r="BG31" s="59">
        <f t="shared" ca="1" si="177"/>
        <v>0</v>
      </c>
      <c r="BH31" s="57">
        <f t="shared" ca="1" si="177"/>
        <v>5719.4046306504961</v>
      </c>
      <c r="BI31" s="59">
        <f t="shared" ca="1" si="177"/>
        <v>7092.0617420066155</v>
      </c>
      <c r="BJ31" s="55"/>
      <c r="BK31" s="59">
        <f t="shared" ref="BK31:BO40" ca="1" si="201">SUMIFS(OFFSET(BK$49,,,InputRows),OFFSET($B$49,,,InputRows),SUBSTITUTE($B31,"All","*"))</f>
        <v>18019.204400121689</v>
      </c>
      <c r="BL31" s="59">
        <f t="shared" ca="1" si="201"/>
        <v>1479.5345082374722</v>
      </c>
      <c r="BM31" s="59">
        <f t="shared" ca="1" si="201"/>
        <v>0</v>
      </c>
      <c r="BN31" s="59">
        <f t="shared" ca="1" si="201"/>
        <v>0</v>
      </c>
      <c r="BO31" s="59">
        <f t="shared" ca="1" si="201"/>
        <v>7027.7530158224272</v>
      </c>
      <c r="BP31" s="57">
        <f ca="1">INDEX('General Inputs'!$F$51:$AN$51,MATCH($H31,'General Inputs'!$F$50:$AN$50,0))*$AM31</f>
        <v>9193.9429437706731</v>
      </c>
      <c r="BQ31" s="59">
        <f t="shared" ca="1" si="179"/>
        <v>7092.0617420066155</v>
      </c>
      <c r="BR31" s="55"/>
      <c r="BS31" s="59">
        <f t="shared" ref="BS31:BX40" ca="1" si="202">SUMIFS(OFFSET(BS$49,,,InputRows),OFFSET($B$49,,,InputRows),SUBSTITUTE($B31,"All","*"))</f>
        <v>18019.204400121689</v>
      </c>
      <c r="BT31" s="59">
        <f t="shared" ca="1" si="202"/>
        <v>1479.5345082374722</v>
      </c>
      <c r="BU31" s="59">
        <f t="shared" ca="1" si="202"/>
        <v>0</v>
      </c>
      <c r="BV31" s="59">
        <f t="shared" ca="1" si="202"/>
        <v>71302.815564377408</v>
      </c>
      <c r="BW31" s="59">
        <f t="shared" ca="1" si="202"/>
        <v>0</v>
      </c>
      <c r="BX31" s="59">
        <f t="shared" ca="1" si="202"/>
        <v>5719.4046306504961</v>
      </c>
      <c r="BY31" s="57">
        <f ca="1">INDEX('General Inputs'!$F$51:$AN$51,MATCH($H31,'General Inputs'!$F$50:$AN$50,0))*$AM31</f>
        <v>9193.9429437706731</v>
      </c>
      <c r="BZ31" s="55"/>
      <c r="CA31" s="88">
        <f t="shared" ref="CA31:CJ40" ca="1" si="203">SUMIFS(OFFSET(CA$49,,,InputRows),OFFSET($B$49,,,InputRows),SUBSTITUTE($B31,"All","*"))</f>
        <v>0</v>
      </c>
      <c r="CB31" s="88">
        <f t="shared" ca="1" si="203"/>
        <v>105515</v>
      </c>
      <c r="CC31" s="88">
        <f t="shared" ca="1" si="203"/>
        <v>105515</v>
      </c>
      <c r="CD31" s="88">
        <f t="shared" ca="1" si="203"/>
        <v>105515</v>
      </c>
      <c r="CE31" s="88">
        <f t="shared" ca="1" si="203"/>
        <v>105515</v>
      </c>
      <c r="CF31" s="88">
        <f t="shared" ca="1" si="203"/>
        <v>105515</v>
      </c>
      <c r="CG31" s="88">
        <f t="shared" ca="1" si="203"/>
        <v>105515</v>
      </c>
      <c r="CH31" s="88">
        <f t="shared" ca="1" si="203"/>
        <v>105515</v>
      </c>
      <c r="CI31" s="88">
        <f t="shared" ca="1" si="203"/>
        <v>105515</v>
      </c>
      <c r="CJ31" s="88">
        <f t="shared" ca="1" si="203"/>
        <v>0</v>
      </c>
      <c r="CK31" s="88">
        <f t="shared" ref="CK31:CT40" ca="1" si="204">SUMIFS(OFFSET(CK$49,,,InputRows),OFFSET($B$49,,,InputRows),SUBSTITUTE($B31,"All","*"))</f>
        <v>0</v>
      </c>
      <c r="CL31" s="88">
        <f t="shared" ca="1" si="204"/>
        <v>0</v>
      </c>
      <c r="CM31" s="88">
        <f t="shared" ca="1" si="204"/>
        <v>0</v>
      </c>
      <c r="CN31" s="88">
        <f t="shared" ca="1" si="204"/>
        <v>0</v>
      </c>
      <c r="CO31" s="88">
        <f t="shared" ca="1" si="204"/>
        <v>0</v>
      </c>
      <c r="CP31" s="88">
        <f t="shared" ca="1" si="204"/>
        <v>0</v>
      </c>
      <c r="CQ31" s="88">
        <f t="shared" ca="1" si="204"/>
        <v>0</v>
      </c>
      <c r="CR31" s="88">
        <f t="shared" ca="1" si="204"/>
        <v>0</v>
      </c>
      <c r="CS31" s="88">
        <f t="shared" ca="1" si="204"/>
        <v>0</v>
      </c>
      <c r="CT31" s="88">
        <f t="shared" ca="1" si="204"/>
        <v>0</v>
      </c>
      <c r="CU31" s="88">
        <f t="shared" ref="CU31:DI40" ca="1" si="205">SUMIFS(OFFSET(CU$49,,,InputRows),OFFSET($B$49,,,InputRows),SUBSTITUTE($B31,"All","*"))</f>
        <v>0</v>
      </c>
      <c r="CV31" s="88">
        <f t="shared" ca="1" si="205"/>
        <v>0</v>
      </c>
      <c r="CW31" s="88">
        <f t="shared" ca="1" si="205"/>
        <v>0</v>
      </c>
      <c r="CX31" s="88">
        <f t="shared" ca="1" si="205"/>
        <v>0</v>
      </c>
      <c r="CY31" s="88">
        <f t="shared" ca="1" si="205"/>
        <v>0</v>
      </c>
      <c r="CZ31" s="88">
        <f t="shared" ca="1" si="205"/>
        <v>0</v>
      </c>
      <c r="DA31" s="88">
        <f t="shared" ca="1" si="205"/>
        <v>0</v>
      </c>
      <c r="DB31" s="88">
        <f t="shared" ca="1" si="205"/>
        <v>0</v>
      </c>
      <c r="DC31" s="88">
        <f t="shared" ca="1" si="205"/>
        <v>0</v>
      </c>
      <c r="DD31" s="88">
        <f t="shared" ca="1" si="205"/>
        <v>0</v>
      </c>
      <c r="DE31" s="88">
        <f t="shared" ca="1" si="205"/>
        <v>0</v>
      </c>
      <c r="DF31" s="88">
        <f t="shared" ca="1" si="205"/>
        <v>0</v>
      </c>
      <c r="DG31" s="88">
        <f t="shared" ca="1" si="205"/>
        <v>0</v>
      </c>
      <c r="DH31" s="88">
        <f t="shared" ca="1" si="205"/>
        <v>0</v>
      </c>
      <c r="DI31" s="88">
        <f t="shared" ca="1" si="205"/>
        <v>0</v>
      </c>
      <c r="DJ31" s="169"/>
      <c r="DK31" s="88">
        <f t="shared" ref="DK31:DT40" ca="1" si="206">SUMIFS(OFFSET(DK$49,,,InputRows),OFFSET($B$49,,,InputRows),SUBSTITUTE($B31,"All","*"))</f>
        <v>0</v>
      </c>
      <c r="DL31" s="88">
        <f t="shared" ca="1" si="206"/>
        <v>12.045091324200914</v>
      </c>
      <c r="DM31" s="88">
        <f t="shared" ca="1" si="206"/>
        <v>12.045091324200914</v>
      </c>
      <c r="DN31" s="88">
        <f t="shared" ca="1" si="206"/>
        <v>12.045091324200914</v>
      </c>
      <c r="DO31" s="88">
        <f t="shared" ca="1" si="206"/>
        <v>12.045091324200914</v>
      </c>
      <c r="DP31" s="88">
        <f t="shared" ca="1" si="206"/>
        <v>12.045091324200914</v>
      </c>
      <c r="DQ31" s="88">
        <f t="shared" ca="1" si="206"/>
        <v>12.045091324200914</v>
      </c>
      <c r="DR31" s="88">
        <f t="shared" ca="1" si="206"/>
        <v>12.045091324200914</v>
      </c>
      <c r="DS31" s="88">
        <f t="shared" ca="1" si="206"/>
        <v>12.045091324200914</v>
      </c>
      <c r="DT31" s="88">
        <f t="shared" ca="1" si="206"/>
        <v>0</v>
      </c>
      <c r="DU31" s="88">
        <f t="shared" ref="DU31:ED40" ca="1" si="207">SUMIFS(OFFSET(DU$49,,,InputRows),OFFSET($B$49,,,InputRows),SUBSTITUTE($B31,"All","*"))</f>
        <v>0</v>
      </c>
      <c r="DV31" s="88">
        <f t="shared" ca="1" si="207"/>
        <v>0</v>
      </c>
      <c r="DW31" s="88">
        <f t="shared" ca="1" si="207"/>
        <v>0</v>
      </c>
      <c r="DX31" s="88">
        <f t="shared" ca="1" si="207"/>
        <v>0</v>
      </c>
      <c r="DY31" s="88">
        <f t="shared" ca="1" si="207"/>
        <v>0</v>
      </c>
      <c r="DZ31" s="88">
        <f t="shared" ca="1" si="207"/>
        <v>0</v>
      </c>
      <c r="EA31" s="88">
        <f t="shared" ca="1" si="207"/>
        <v>0</v>
      </c>
      <c r="EB31" s="88">
        <f t="shared" ca="1" si="207"/>
        <v>0</v>
      </c>
      <c r="EC31" s="88">
        <f t="shared" ca="1" si="207"/>
        <v>0</v>
      </c>
      <c r="ED31" s="88">
        <f t="shared" ca="1" si="207"/>
        <v>0</v>
      </c>
      <c r="EE31" s="88">
        <f t="shared" ref="EE31:ES40" ca="1" si="208">SUMIFS(OFFSET(EE$49,,,InputRows),OFFSET($B$49,,,InputRows),SUBSTITUTE($B31,"All","*"))</f>
        <v>0</v>
      </c>
      <c r="EF31" s="88">
        <f t="shared" ca="1" si="208"/>
        <v>0</v>
      </c>
      <c r="EG31" s="88">
        <f t="shared" ca="1" si="208"/>
        <v>0</v>
      </c>
      <c r="EH31" s="88">
        <f t="shared" ca="1" si="208"/>
        <v>0</v>
      </c>
      <c r="EI31" s="88">
        <f t="shared" ca="1" si="208"/>
        <v>0</v>
      </c>
      <c r="EJ31" s="88">
        <f t="shared" ca="1" si="208"/>
        <v>0</v>
      </c>
      <c r="EK31" s="88">
        <f t="shared" ca="1" si="208"/>
        <v>0</v>
      </c>
      <c r="EL31" s="88">
        <f t="shared" ca="1" si="208"/>
        <v>0</v>
      </c>
      <c r="EM31" s="88">
        <f t="shared" ca="1" si="208"/>
        <v>0</v>
      </c>
      <c r="EN31" s="88">
        <f t="shared" ca="1" si="208"/>
        <v>0</v>
      </c>
      <c r="EO31" s="88">
        <f t="shared" ca="1" si="208"/>
        <v>0</v>
      </c>
      <c r="EP31" s="88">
        <f t="shared" ca="1" si="208"/>
        <v>0</v>
      </c>
      <c r="EQ31" s="88">
        <f t="shared" ca="1" si="208"/>
        <v>0</v>
      </c>
      <c r="ER31" s="88">
        <f t="shared" ca="1" si="208"/>
        <v>0</v>
      </c>
      <c r="ES31" s="88">
        <f t="shared" ca="1" si="208"/>
        <v>0</v>
      </c>
      <c r="ET31" s="169"/>
      <c r="EU31" s="88">
        <f t="shared" ref="EU31:FD40" ca="1" si="209">SUMIFS(OFFSET(EU$49,,,InputRows),OFFSET($B$49,,,InputRows),SUBSTITUTE($B31,"All","*"))</f>
        <v>0</v>
      </c>
      <c r="EV31" s="88">
        <f t="shared" ca="1" si="209"/>
        <v>0</v>
      </c>
      <c r="EW31" s="88">
        <f t="shared" ca="1" si="209"/>
        <v>0</v>
      </c>
      <c r="EX31" s="88">
        <f t="shared" ca="1" si="209"/>
        <v>0</v>
      </c>
      <c r="EY31" s="88">
        <f t="shared" ca="1" si="209"/>
        <v>0</v>
      </c>
      <c r="EZ31" s="88">
        <f t="shared" ca="1" si="209"/>
        <v>0</v>
      </c>
      <c r="FA31" s="88">
        <f t="shared" ca="1" si="209"/>
        <v>0</v>
      </c>
      <c r="FB31" s="88">
        <f t="shared" ca="1" si="209"/>
        <v>0</v>
      </c>
      <c r="FC31" s="88">
        <f t="shared" ca="1" si="209"/>
        <v>0</v>
      </c>
      <c r="FD31" s="88">
        <f t="shared" ca="1" si="209"/>
        <v>0</v>
      </c>
      <c r="FE31" s="88">
        <f t="shared" ref="FE31:FN40" ca="1" si="210">SUMIFS(OFFSET(FE$49,,,InputRows),OFFSET($B$49,,,InputRows),SUBSTITUTE($B31,"All","*"))</f>
        <v>0</v>
      </c>
      <c r="FF31" s="88">
        <f t="shared" ca="1" si="210"/>
        <v>0</v>
      </c>
      <c r="FG31" s="88">
        <f t="shared" ca="1" si="210"/>
        <v>0</v>
      </c>
      <c r="FH31" s="88">
        <f t="shared" ca="1" si="210"/>
        <v>0</v>
      </c>
      <c r="FI31" s="88">
        <f t="shared" ca="1" si="210"/>
        <v>0</v>
      </c>
      <c r="FJ31" s="88">
        <f t="shared" ca="1" si="210"/>
        <v>0</v>
      </c>
      <c r="FK31" s="88">
        <f t="shared" ca="1" si="210"/>
        <v>0</v>
      </c>
      <c r="FL31" s="88">
        <f t="shared" ca="1" si="210"/>
        <v>0</v>
      </c>
      <c r="FM31" s="88">
        <f t="shared" ca="1" si="210"/>
        <v>0</v>
      </c>
      <c r="FN31" s="88">
        <f t="shared" ca="1" si="210"/>
        <v>0</v>
      </c>
      <c r="FO31" s="88">
        <f t="shared" ref="FO31:GC40" ca="1" si="211">SUMIFS(OFFSET(FO$49,,,InputRows),OFFSET($B$49,,,InputRows),SUBSTITUTE($B31,"All","*"))</f>
        <v>0</v>
      </c>
      <c r="FP31" s="88">
        <f t="shared" ca="1" si="211"/>
        <v>0</v>
      </c>
      <c r="FQ31" s="88">
        <f t="shared" ca="1" si="211"/>
        <v>0</v>
      </c>
      <c r="FR31" s="88">
        <f t="shared" ca="1" si="211"/>
        <v>0</v>
      </c>
      <c r="FS31" s="88">
        <f t="shared" ca="1" si="211"/>
        <v>0</v>
      </c>
      <c r="FT31" s="88">
        <f t="shared" ca="1" si="211"/>
        <v>0</v>
      </c>
      <c r="FU31" s="88">
        <f t="shared" ca="1" si="211"/>
        <v>0</v>
      </c>
      <c r="FV31" s="88">
        <f t="shared" ca="1" si="211"/>
        <v>0</v>
      </c>
      <c r="FW31" s="88">
        <f t="shared" ca="1" si="211"/>
        <v>0</v>
      </c>
      <c r="FX31" s="88">
        <f t="shared" ca="1" si="211"/>
        <v>0</v>
      </c>
      <c r="FY31" s="88">
        <f t="shared" ca="1" si="211"/>
        <v>0</v>
      </c>
      <c r="FZ31" s="88">
        <f t="shared" ca="1" si="211"/>
        <v>0</v>
      </c>
      <c r="GA31" s="88">
        <f t="shared" ca="1" si="211"/>
        <v>0</v>
      </c>
      <c r="GB31" s="88">
        <f t="shared" ca="1" si="211"/>
        <v>0</v>
      </c>
      <c r="GC31" s="88">
        <f t="shared" ca="1" si="211"/>
        <v>0</v>
      </c>
      <c r="GD31" s="60"/>
    </row>
    <row r="32" spans="1:186" s="54" customFormat="1">
      <c r="A32" s="61"/>
      <c r="B32" s="100" t="str">
        <f t="shared" si="0"/>
        <v>Residential_High Efficiency HVAC_0_All_2018</v>
      </c>
      <c r="C32" s="146"/>
      <c r="D32" s="136" t="s">
        <v>2</v>
      </c>
      <c r="E32" s="136" t="s">
        <v>250</v>
      </c>
      <c r="F32" s="136">
        <v>0</v>
      </c>
      <c r="G32" s="136" t="s">
        <v>98</v>
      </c>
      <c r="H32" s="136">
        <v>2018</v>
      </c>
      <c r="I32" s="55"/>
      <c r="J32" s="58">
        <f t="shared" ca="1" si="163"/>
        <v>0.88907642317002789</v>
      </c>
      <c r="K32" s="58">
        <f t="shared" ca="1" si="190"/>
        <v>2.2825272303192681</v>
      </c>
      <c r="L32" s="58">
        <f t="shared" ca="1" si="164"/>
        <v>3.3628680002353866</v>
      </c>
      <c r="M32" s="58">
        <f t="shared" ca="1" si="165"/>
        <v>1.1505853698054187</v>
      </c>
      <c r="N32" s="58">
        <f t="shared" ca="1" si="166"/>
        <v>0.28022758088337663</v>
      </c>
      <c r="O32" s="55"/>
      <c r="P32" s="175">
        <f ca="1">IFERROR(($AW32+AV32)/SUMPRODUCT($CA32:$DI32,'General Inputs'!$F$51:$AN$51),"n/a")</f>
        <v>1.7817572131488681E-2</v>
      </c>
      <c r="Q32" s="175">
        <f t="shared" ca="1" si="167"/>
        <v>0.16981585773555227</v>
      </c>
      <c r="R32" s="56">
        <f t="shared" ca="1" si="195"/>
        <v>4386.5486698885443</v>
      </c>
      <c r="S32" s="55"/>
      <c r="T32" s="56"/>
      <c r="U32" s="146"/>
      <c r="V32" s="137"/>
      <c r="W32" s="55"/>
      <c r="X32" s="138">
        <f t="shared" ca="1" si="169"/>
        <v>248650.54161051952</v>
      </c>
      <c r="Y32" s="138">
        <f t="shared" ca="1" si="169"/>
        <v>90.344578872698506</v>
      </c>
      <c r="Z32" s="138">
        <f t="shared" ca="1" si="169"/>
        <v>0</v>
      </c>
      <c r="AA32" s="55"/>
      <c r="AB32" s="138">
        <f t="shared" ca="1" si="170"/>
        <v>0</v>
      </c>
      <c r="AC32" s="138">
        <f t="shared" ca="1" si="170"/>
        <v>0</v>
      </c>
      <c r="AD32" s="138">
        <f t="shared" ca="1" si="170"/>
        <v>0</v>
      </c>
      <c r="AE32" s="55"/>
      <c r="AF32" s="57">
        <f t="shared" ca="1" si="196"/>
        <v>0</v>
      </c>
      <c r="AG32" s="57">
        <f t="shared" ca="1" si="196"/>
        <v>99679</v>
      </c>
      <c r="AH32" s="57">
        <f t="shared" ca="1" si="196"/>
        <v>0</v>
      </c>
      <c r="AI32" s="57">
        <f t="shared" ca="1" si="196"/>
        <v>33500</v>
      </c>
      <c r="AJ32" s="57">
        <f t="shared" ca="1" si="196"/>
        <v>0</v>
      </c>
      <c r="AK32" s="63"/>
      <c r="AL32" s="88"/>
      <c r="AM32" s="57">
        <f ca="1">SUMIFS(OFFSET('Program Inputs'!$N$5,,,TotalPrograms),OFFSET('Program Inputs'!$B$5,,,TotalPrograms),SUBSTITUTE($B32,"All","*"))+AF32</f>
        <v>8724.8050000000003</v>
      </c>
      <c r="AN32" s="57">
        <f t="shared" ca="1" si="197"/>
        <v>42224.805</v>
      </c>
      <c r="AO32" s="55"/>
      <c r="AP32" s="59">
        <f t="shared" ca="1" si="198"/>
        <v>88551.329665032332</v>
      </c>
      <c r="AQ32" s="59">
        <f t="shared" ca="1" si="199"/>
        <v>99599.232818816614</v>
      </c>
      <c r="AR32" s="59">
        <f t="shared" ca="1" si="200"/>
        <v>70052.920467531279</v>
      </c>
      <c r="AS32" s="59">
        <f t="shared" ca="1" si="200"/>
        <v>18498.409197501049</v>
      </c>
      <c r="AT32" s="59">
        <f t="shared" ca="1" si="200"/>
        <v>0</v>
      </c>
      <c r="AU32" s="59">
        <f t="shared" ca="1" si="200"/>
        <v>0</v>
      </c>
      <c r="AV32" s="59">
        <f t="shared" ca="1" si="200"/>
        <v>30779.125321572952</v>
      </c>
      <c r="AW32" s="57">
        <f ca="1">INDEX('General Inputs'!$F$51:$AN$51,MATCH($H32,'General Inputs'!$F$50:$AN$50,0))*$AM32</f>
        <v>8016.1751194413819</v>
      </c>
      <c r="AX32" s="59">
        <f t="shared" ca="1" si="175"/>
        <v>91583.057699375233</v>
      </c>
      <c r="AY32" s="55"/>
      <c r="AZ32" s="59">
        <f t="shared" ca="1" si="176"/>
        <v>70052.920467531279</v>
      </c>
      <c r="BA32" s="59">
        <f t="shared" ca="1" si="176"/>
        <v>18498.409197501049</v>
      </c>
      <c r="BB32" s="59">
        <f t="shared" ca="1" si="176"/>
        <v>0</v>
      </c>
      <c r="BC32" s="59">
        <f t="shared" ca="1" si="176"/>
        <v>30779.125321572952</v>
      </c>
      <c r="BD32" s="57">
        <f ca="1">INDEX('General Inputs'!$F$51:$AN$51,MATCH($H32,'General Inputs'!$F$50:$AN$50,0))*$AM32</f>
        <v>8016.1751194413819</v>
      </c>
      <c r="BE32" s="55"/>
      <c r="BF32" s="59">
        <f t="shared" ca="1" si="177"/>
        <v>277202.60877936706</v>
      </c>
      <c r="BG32" s="59">
        <f t="shared" ca="1" si="177"/>
        <v>0</v>
      </c>
      <c r="BH32" s="57">
        <f t="shared" ca="1" si="177"/>
        <v>30779.125321572952</v>
      </c>
      <c r="BI32" s="59">
        <f t="shared" ca="1" si="177"/>
        <v>91583.057699375233</v>
      </c>
      <c r="BJ32" s="55"/>
      <c r="BK32" s="59">
        <f t="shared" ca="1" si="201"/>
        <v>70052.920467531279</v>
      </c>
      <c r="BL32" s="59">
        <f t="shared" ca="1" si="201"/>
        <v>18498.409197501049</v>
      </c>
      <c r="BM32" s="59">
        <f t="shared" ca="1" si="201"/>
        <v>0</v>
      </c>
      <c r="BN32" s="59">
        <f t="shared" ca="1" si="201"/>
        <v>0</v>
      </c>
      <c r="BO32" s="59">
        <f t="shared" ca="1" si="201"/>
        <v>26046.090460141786</v>
      </c>
      <c r="BP32" s="57">
        <f ca="1">INDEX('General Inputs'!$F$51:$AN$51,MATCH($H32,'General Inputs'!$F$50:$AN$50,0))*$AM32</f>
        <v>8016.1751194413819</v>
      </c>
      <c r="BQ32" s="59">
        <f t="shared" ca="1" si="179"/>
        <v>91583.057699375233</v>
      </c>
      <c r="BR32" s="55"/>
      <c r="BS32" s="59">
        <f t="shared" ca="1" si="202"/>
        <v>70052.920467531279</v>
      </c>
      <c r="BT32" s="59">
        <f t="shared" ca="1" si="202"/>
        <v>18498.409197501049</v>
      </c>
      <c r="BU32" s="59">
        <f t="shared" ca="1" si="202"/>
        <v>0</v>
      </c>
      <c r="BV32" s="59">
        <f t="shared" ca="1" si="202"/>
        <v>277202.60877936706</v>
      </c>
      <c r="BW32" s="59">
        <f t="shared" ca="1" si="202"/>
        <v>0</v>
      </c>
      <c r="BX32" s="59">
        <f t="shared" ca="1" si="202"/>
        <v>30779.125321572952</v>
      </c>
      <c r="BY32" s="57">
        <f ca="1">INDEX('General Inputs'!$F$51:$AN$51,MATCH($H32,'General Inputs'!$F$50:$AN$50,0))*$AM32</f>
        <v>8016.1751194413819</v>
      </c>
      <c r="BZ32" s="55"/>
      <c r="CA32" s="88">
        <f t="shared" ca="1" si="203"/>
        <v>0</v>
      </c>
      <c r="CB32" s="88">
        <f t="shared" ca="1" si="203"/>
        <v>248650.54161051952</v>
      </c>
      <c r="CC32" s="88">
        <f t="shared" ca="1" si="203"/>
        <v>248650.54161051952</v>
      </c>
      <c r="CD32" s="88">
        <f t="shared" ca="1" si="203"/>
        <v>248650.54161051952</v>
      </c>
      <c r="CE32" s="88">
        <f t="shared" ca="1" si="203"/>
        <v>248650.54161051952</v>
      </c>
      <c r="CF32" s="88">
        <f t="shared" ca="1" si="203"/>
        <v>248650.54161051952</v>
      </c>
      <c r="CG32" s="88">
        <f t="shared" ca="1" si="203"/>
        <v>248650.54161051952</v>
      </c>
      <c r="CH32" s="88">
        <f t="shared" ca="1" si="203"/>
        <v>248650.54161051952</v>
      </c>
      <c r="CI32" s="88">
        <f t="shared" ca="1" si="203"/>
        <v>248650.54161051952</v>
      </c>
      <c r="CJ32" s="88">
        <f t="shared" ca="1" si="203"/>
        <v>248650.54161051952</v>
      </c>
      <c r="CK32" s="88">
        <f t="shared" ca="1" si="204"/>
        <v>248650.54161051952</v>
      </c>
      <c r="CL32" s="88">
        <f t="shared" ca="1" si="204"/>
        <v>248650.54161051952</v>
      </c>
      <c r="CM32" s="88">
        <f t="shared" ca="1" si="204"/>
        <v>248650.54161051952</v>
      </c>
      <c r="CN32" s="88">
        <f t="shared" ca="1" si="204"/>
        <v>248650.54161051952</v>
      </c>
      <c r="CO32" s="88">
        <f t="shared" ca="1" si="204"/>
        <v>230818.32579035813</v>
      </c>
      <c r="CP32" s="88">
        <f t="shared" ca="1" si="204"/>
        <v>230818.32579035813</v>
      </c>
      <c r="CQ32" s="88">
        <f t="shared" ca="1" si="204"/>
        <v>230818.32579035813</v>
      </c>
      <c r="CR32" s="88">
        <f t="shared" ca="1" si="204"/>
        <v>230818.32579035813</v>
      </c>
      <c r="CS32" s="88">
        <f t="shared" ca="1" si="204"/>
        <v>230818.32579035813</v>
      </c>
      <c r="CT32" s="88">
        <f t="shared" ca="1" si="204"/>
        <v>0</v>
      </c>
      <c r="CU32" s="88">
        <f t="shared" ca="1" si="205"/>
        <v>0</v>
      </c>
      <c r="CV32" s="88">
        <f t="shared" ca="1" si="205"/>
        <v>0</v>
      </c>
      <c r="CW32" s="88">
        <f t="shared" ca="1" si="205"/>
        <v>0</v>
      </c>
      <c r="CX32" s="88">
        <f t="shared" ca="1" si="205"/>
        <v>0</v>
      </c>
      <c r="CY32" s="88">
        <f t="shared" ca="1" si="205"/>
        <v>0</v>
      </c>
      <c r="CZ32" s="88">
        <f t="shared" ca="1" si="205"/>
        <v>0</v>
      </c>
      <c r="DA32" s="88">
        <f t="shared" ca="1" si="205"/>
        <v>0</v>
      </c>
      <c r="DB32" s="88">
        <f t="shared" ca="1" si="205"/>
        <v>0</v>
      </c>
      <c r="DC32" s="88">
        <f t="shared" ca="1" si="205"/>
        <v>0</v>
      </c>
      <c r="DD32" s="88">
        <f t="shared" ca="1" si="205"/>
        <v>0</v>
      </c>
      <c r="DE32" s="88">
        <f t="shared" ca="1" si="205"/>
        <v>0</v>
      </c>
      <c r="DF32" s="88">
        <f t="shared" ca="1" si="205"/>
        <v>0</v>
      </c>
      <c r="DG32" s="88">
        <f t="shared" ca="1" si="205"/>
        <v>0</v>
      </c>
      <c r="DH32" s="88">
        <f t="shared" ca="1" si="205"/>
        <v>0</v>
      </c>
      <c r="DI32" s="88">
        <f t="shared" ca="1" si="205"/>
        <v>0</v>
      </c>
      <c r="DJ32" s="169"/>
      <c r="DK32" s="88">
        <f t="shared" ca="1" si="206"/>
        <v>0</v>
      </c>
      <c r="DL32" s="88">
        <f t="shared" ca="1" si="206"/>
        <v>90.344578872698506</v>
      </c>
      <c r="DM32" s="88">
        <f t="shared" ca="1" si="206"/>
        <v>90.344578872698506</v>
      </c>
      <c r="DN32" s="88">
        <f t="shared" ca="1" si="206"/>
        <v>90.344578872698506</v>
      </c>
      <c r="DO32" s="88">
        <f t="shared" ca="1" si="206"/>
        <v>90.344578872698506</v>
      </c>
      <c r="DP32" s="88">
        <f t="shared" ca="1" si="206"/>
        <v>90.344578872698506</v>
      </c>
      <c r="DQ32" s="88">
        <f t="shared" ca="1" si="206"/>
        <v>90.344578872698506</v>
      </c>
      <c r="DR32" s="88">
        <f t="shared" ca="1" si="206"/>
        <v>90.344578872698506</v>
      </c>
      <c r="DS32" s="88">
        <f t="shared" ca="1" si="206"/>
        <v>90.344578872698506</v>
      </c>
      <c r="DT32" s="88">
        <f t="shared" ca="1" si="206"/>
        <v>90.344578872698506</v>
      </c>
      <c r="DU32" s="88">
        <f t="shared" ca="1" si="207"/>
        <v>90.344578872698506</v>
      </c>
      <c r="DV32" s="88">
        <f t="shared" ca="1" si="207"/>
        <v>90.344578872698506</v>
      </c>
      <c r="DW32" s="88">
        <f t="shared" ca="1" si="207"/>
        <v>90.344578872698506</v>
      </c>
      <c r="DX32" s="88">
        <f t="shared" ca="1" si="207"/>
        <v>90.344578872698506</v>
      </c>
      <c r="DY32" s="88">
        <f t="shared" ca="1" si="207"/>
        <v>89.499783808182372</v>
      </c>
      <c r="DZ32" s="88">
        <f t="shared" ca="1" si="207"/>
        <v>89.499783808182372</v>
      </c>
      <c r="EA32" s="88">
        <f t="shared" ca="1" si="207"/>
        <v>89.499783808182372</v>
      </c>
      <c r="EB32" s="88">
        <f t="shared" ca="1" si="207"/>
        <v>89.499783808182372</v>
      </c>
      <c r="EC32" s="88">
        <f t="shared" ca="1" si="207"/>
        <v>89.499783808182372</v>
      </c>
      <c r="ED32" s="88">
        <f t="shared" ca="1" si="207"/>
        <v>0</v>
      </c>
      <c r="EE32" s="88">
        <f t="shared" ca="1" si="208"/>
        <v>0</v>
      </c>
      <c r="EF32" s="88">
        <f t="shared" ca="1" si="208"/>
        <v>0</v>
      </c>
      <c r="EG32" s="88">
        <f t="shared" ca="1" si="208"/>
        <v>0</v>
      </c>
      <c r="EH32" s="88">
        <f t="shared" ca="1" si="208"/>
        <v>0</v>
      </c>
      <c r="EI32" s="88">
        <f t="shared" ca="1" si="208"/>
        <v>0</v>
      </c>
      <c r="EJ32" s="88">
        <f t="shared" ca="1" si="208"/>
        <v>0</v>
      </c>
      <c r="EK32" s="88">
        <f t="shared" ca="1" si="208"/>
        <v>0</v>
      </c>
      <c r="EL32" s="88">
        <f t="shared" ca="1" si="208"/>
        <v>0</v>
      </c>
      <c r="EM32" s="88">
        <f t="shared" ca="1" si="208"/>
        <v>0</v>
      </c>
      <c r="EN32" s="88">
        <f t="shared" ca="1" si="208"/>
        <v>0</v>
      </c>
      <c r="EO32" s="88">
        <f t="shared" ca="1" si="208"/>
        <v>0</v>
      </c>
      <c r="EP32" s="88">
        <f t="shared" ca="1" si="208"/>
        <v>0</v>
      </c>
      <c r="EQ32" s="88">
        <f t="shared" ca="1" si="208"/>
        <v>0</v>
      </c>
      <c r="ER32" s="88">
        <f t="shared" ca="1" si="208"/>
        <v>0</v>
      </c>
      <c r="ES32" s="88">
        <f t="shared" ca="1" si="208"/>
        <v>0</v>
      </c>
      <c r="ET32" s="169"/>
      <c r="EU32" s="88">
        <f t="shared" ca="1" si="209"/>
        <v>0</v>
      </c>
      <c r="EV32" s="88">
        <f t="shared" ca="1" si="209"/>
        <v>0</v>
      </c>
      <c r="EW32" s="88">
        <f t="shared" ca="1" si="209"/>
        <v>0</v>
      </c>
      <c r="EX32" s="88">
        <f t="shared" ca="1" si="209"/>
        <v>0</v>
      </c>
      <c r="EY32" s="88">
        <f t="shared" ca="1" si="209"/>
        <v>0</v>
      </c>
      <c r="EZ32" s="88">
        <f t="shared" ca="1" si="209"/>
        <v>0</v>
      </c>
      <c r="FA32" s="88">
        <f t="shared" ca="1" si="209"/>
        <v>0</v>
      </c>
      <c r="FB32" s="88">
        <f t="shared" ca="1" si="209"/>
        <v>0</v>
      </c>
      <c r="FC32" s="88">
        <f t="shared" ca="1" si="209"/>
        <v>0</v>
      </c>
      <c r="FD32" s="88">
        <f t="shared" ca="1" si="209"/>
        <v>0</v>
      </c>
      <c r="FE32" s="88">
        <f t="shared" ca="1" si="210"/>
        <v>0</v>
      </c>
      <c r="FF32" s="88">
        <f t="shared" ca="1" si="210"/>
        <v>0</v>
      </c>
      <c r="FG32" s="88">
        <f t="shared" ca="1" si="210"/>
        <v>0</v>
      </c>
      <c r="FH32" s="88">
        <f t="shared" ca="1" si="210"/>
        <v>0</v>
      </c>
      <c r="FI32" s="88">
        <f t="shared" ca="1" si="210"/>
        <v>0</v>
      </c>
      <c r="FJ32" s="88">
        <f t="shared" ca="1" si="210"/>
        <v>0</v>
      </c>
      <c r="FK32" s="88">
        <f t="shared" ca="1" si="210"/>
        <v>0</v>
      </c>
      <c r="FL32" s="88">
        <f t="shared" ca="1" si="210"/>
        <v>0</v>
      </c>
      <c r="FM32" s="88">
        <f t="shared" ca="1" si="210"/>
        <v>0</v>
      </c>
      <c r="FN32" s="88">
        <f t="shared" ca="1" si="210"/>
        <v>0</v>
      </c>
      <c r="FO32" s="88">
        <f t="shared" ca="1" si="211"/>
        <v>0</v>
      </c>
      <c r="FP32" s="88">
        <f t="shared" ca="1" si="211"/>
        <v>0</v>
      </c>
      <c r="FQ32" s="88">
        <f t="shared" ca="1" si="211"/>
        <v>0</v>
      </c>
      <c r="FR32" s="88">
        <f t="shared" ca="1" si="211"/>
        <v>0</v>
      </c>
      <c r="FS32" s="88">
        <f t="shared" ca="1" si="211"/>
        <v>0</v>
      </c>
      <c r="FT32" s="88">
        <f t="shared" ca="1" si="211"/>
        <v>0</v>
      </c>
      <c r="FU32" s="88">
        <f t="shared" ca="1" si="211"/>
        <v>0</v>
      </c>
      <c r="FV32" s="88">
        <f t="shared" ca="1" si="211"/>
        <v>0</v>
      </c>
      <c r="FW32" s="88">
        <f t="shared" ca="1" si="211"/>
        <v>0</v>
      </c>
      <c r="FX32" s="88">
        <f t="shared" ca="1" si="211"/>
        <v>0</v>
      </c>
      <c r="FY32" s="88">
        <f t="shared" ca="1" si="211"/>
        <v>0</v>
      </c>
      <c r="FZ32" s="88">
        <f t="shared" ca="1" si="211"/>
        <v>0</v>
      </c>
      <c r="GA32" s="88">
        <f t="shared" ca="1" si="211"/>
        <v>0</v>
      </c>
      <c r="GB32" s="88">
        <f t="shared" ca="1" si="211"/>
        <v>0</v>
      </c>
      <c r="GC32" s="88">
        <f t="shared" ca="1" si="211"/>
        <v>0</v>
      </c>
      <c r="GD32" s="60"/>
    </row>
    <row r="33" spans="1:186" s="54" customFormat="1">
      <c r="A33" s="61"/>
      <c r="B33" s="100" t="str">
        <f t="shared" si="0"/>
        <v>Residential_Whole House Efficiency_0_All_2018</v>
      </c>
      <c r="C33" s="146"/>
      <c r="D33" s="136" t="s">
        <v>2</v>
      </c>
      <c r="E33" s="136" t="s">
        <v>219</v>
      </c>
      <c r="F33" s="136">
        <v>0</v>
      </c>
      <c r="G33" s="136" t="s">
        <v>98</v>
      </c>
      <c r="H33" s="136">
        <v>2018</v>
      </c>
      <c r="I33" s="55"/>
      <c r="J33" s="58">
        <f t="shared" ca="1" si="163"/>
        <v>0.70329299939398071</v>
      </c>
      <c r="K33" s="58">
        <f t="shared" ca="1" si="190"/>
        <v>0.70329299939398071</v>
      </c>
      <c r="L33" s="58" t="str">
        <f t="shared" ca="1" si="164"/>
        <v>n/a</v>
      </c>
      <c r="M33" s="58">
        <f t="shared" ca="1" si="165"/>
        <v>0.94951998891686507</v>
      </c>
      <c r="N33" s="58">
        <f t="shared" ca="1" si="166"/>
        <v>0.19781509274255488</v>
      </c>
      <c r="O33" s="55"/>
      <c r="P33" s="175">
        <f ca="1">IFERROR(($AW33+AV33)/SUMPRODUCT($CA33:$DI33,'General Inputs'!$F$51:$AN$51),"n/a")</f>
        <v>4.8582101325363052E-2</v>
      </c>
      <c r="Q33" s="175">
        <f t="shared" ca="1" si="167"/>
        <v>0.36215249885735262</v>
      </c>
      <c r="R33" s="56">
        <f t="shared" ca="1" si="195"/>
        <v>400.23631269677543</v>
      </c>
      <c r="S33" s="55"/>
      <c r="T33" s="56"/>
      <c r="U33" s="146"/>
      <c r="V33" s="137"/>
      <c r="W33" s="55"/>
      <c r="X33" s="138">
        <f t="shared" ca="1" si="169"/>
        <v>34770.228121385633</v>
      </c>
      <c r="Y33" s="138">
        <f t="shared" ca="1" si="169"/>
        <v>4.5497772774931642</v>
      </c>
      <c r="Z33" s="138">
        <f t="shared" ca="1" si="169"/>
        <v>0</v>
      </c>
      <c r="AA33" s="55"/>
      <c r="AB33" s="138">
        <f t="shared" ca="1" si="170"/>
        <v>0</v>
      </c>
      <c r="AC33" s="138">
        <f t="shared" ca="1" si="170"/>
        <v>0</v>
      </c>
      <c r="AD33" s="138">
        <f t="shared" ca="1" si="170"/>
        <v>0</v>
      </c>
      <c r="AE33" s="55"/>
      <c r="AF33" s="57">
        <f t="shared" ca="1" si="196"/>
        <v>0</v>
      </c>
      <c r="AG33" s="57">
        <f t="shared" ca="1" si="196"/>
        <v>0</v>
      </c>
      <c r="AH33" s="57">
        <f t="shared" ca="1" si="196"/>
        <v>0</v>
      </c>
      <c r="AI33" s="57">
        <f t="shared" ca="1" si="196"/>
        <v>0</v>
      </c>
      <c r="AJ33" s="57">
        <f t="shared" ca="1" si="196"/>
        <v>0</v>
      </c>
      <c r="AK33" s="63"/>
      <c r="AL33" s="88"/>
      <c r="AM33" s="57">
        <f ca="1">SUMIFS(OFFSET('Program Inputs'!$N$5,,,TotalPrograms),OFFSET('Program Inputs'!$B$5,,,TotalPrograms),SUBSTITUTE($B33,"All","*"))+AF33</f>
        <v>12592.125</v>
      </c>
      <c r="AN33" s="57">
        <f t="shared" ca="1" si="197"/>
        <v>12592.125</v>
      </c>
      <c r="AO33" s="55"/>
      <c r="AP33" s="59">
        <f t="shared" ca="1" si="198"/>
        <v>8136.6715913211401</v>
      </c>
      <c r="AQ33" s="59">
        <f t="shared" ca="1" si="199"/>
        <v>11569.390848952591</v>
      </c>
      <c r="AR33" s="59">
        <f t="shared" ca="1" si="200"/>
        <v>7471.0592343516491</v>
      </c>
      <c r="AS33" s="59">
        <f t="shared" ca="1" si="200"/>
        <v>665.6123569694912</v>
      </c>
      <c r="AT33" s="59">
        <f t="shared" ca="1" si="200"/>
        <v>0</v>
      </c>
      <c r="AU33" s="59">
        <f t="shared" ca="1" si="200"/>
        <v>0</v>
      </c>
      <c r="AV33" s="59">
        <f t="shared" ca="1" si="200"/>
        <v>0</v>
      </c>
      <c r="AW33" s="57">
        <f ca="1">INDEX('General Inputs'!$F$51:$AN$51,MATCH($H33,'General Inputs'!$F$50:$AN$50,0))*$AM33</f>
        <v>11569.390848952591</v>
      </c>
      <c r="AX33" s="59">
        <f t="shared" ca="1" si="175"/>
        <v>0</v>
      </c>
      <c r="AY33" s="55"/>
      <c r="AZ33" s="59">
        <f t="shared" ca="1" si="176"/>
        <v>7471.0592343516491</v>
      </c>
      <c r="BA33" s="59">
        <f t="shared" ca="1" si="176"/>
        <v>665.6123569694912</v>
      </c>
      <c r="BB33" s="59">
        <f t="shared" ca="1" si="176"/>
        <v>0</v>
      </c>
      <c r="BC33" s="59">
        <f t="shared" ca="1" si="176"/>
        <v>0</v>
      </c>
      <c r="BD33" s="57">
        <f ca="1">INDEX('General Inputs'!$F$51:$AN$51,MATCH($H33,'General Inputs'!$F$50:$AN$50,0))*$AM33</f>
        <v>11569.390848952591</v>
      </c>
      <c r="BE33" s="55"/>
      <c r="BF33" s="59">
        <f t="shared" ca="1" si="177"/>
        <v>29563.322931944585</v>
      </c>
      <c r="BG33" s="59">
        <f t="shared" ca="1" si="177"/>
        <v>0</v>
      </c>
      <c r="BH33" s="57">
        <f t="shared" ca="1" si="177"/>
        <v>0</v>
      </c>
      <c r="BI33" s="59">
        <f t="shared" ca="1" si="177"/>
        <v>0</v>
      </c>
      <c r="BJ33" s="55"/>
      <c r="BK33" s="59">
        <f t="shared" ca="1" si="201"/>
        <v>7471.0592343516491</v>
      </c>
      <c r="BL33" s="59">
        <f t="shared" ca="1" si="201"/>
        <v>665.6123569694912</v>
      </c>
      <c r="BM33" s="59">
        <f t="shared" ca="1" si="201"/>
        <v>0</v>
      </c>
      <c r="BN33" s="59">
        <f t="shared" ca="1" si="201"/>
        <v>0</v>
      </c>
      <c r="BO33" s="59">
        <f t="shared" ca="1" si="201"/>
        <v>2848.6962793512039</v>
      </c>
      <c r="BP33" s="57">
        <f ca="1">INDEX('General Inputs'!$F$51:$AN$51,MATCH($H33,'General Inputs'!$F$50:$AN$50,0))*$AM33</f>
        <v>11569.390848952591</v>
      </c>
      <c r="BQ33" s="59">
        <f t="shared" ca="1" si="179"/>
        <v>0</v>
      </c>
      <c r="BR33" s="55"/>
      <c r="BS33" s="59">
        <f t="shared" ca="1" si="202"/>
        <v>7471.0592343516491</v>
      </c>
      <c r="BT33" s="59">
        <f t="shared" ca="1" si="202"/>
        <v>665.6123569694912</v>
      </c>
      <c r="BU33" s="59">
        <f t="shared" ca="1" si="202"/>
        <v>0</v>
      </c>
      <c r="BV33" s="59">
        <f t="shared" ca="1" si="202"/>
        <v>29563.322931944585</v>
      </c>
      <c r="BW33" s="59">
        <f t="shared" ca="1" si="202"/>
        <v>0</v>
      </c>
      <c r="BX33" s="59">
        <f t="shared" ca="1" si="202"/>
        <v>0</v>
      </c>
      <c r="BY33" s="57">
        <f ca="1">INDEX('General Inputs'!$F$51:$AN$51,MATCH($H33,'General Inputs'!$F$50:$AN$50,0))*$AM33</f>
        <v>11569.390848952591</v>
      </c>
      <c r="BZ33" s="55"/>
      <c r="CA33" s="88">
        <f t="shared" ca="1" si="203"/>
        <v>0</v>
      </c>
      <c r="CB33" s="88">
        <f t="shared" ca="1" si="203"/>
        <v>34770.228121385633</v>
      </c>
      <c r="CC33" s="88">
        <f t="shared" ca="1" si="203"/>
        <v>34770.228121385633</v>
      </c>
      <c r="CD33" s="88">
        <f t="shared" ca="1" si="203"/>
        <v>34770.228121385633</v>
      </c>
      <c r="CE33" s="88">
        <f t="shared" ca="1" si="203"/>
        <v>34770.228121385633</v>
      </c>
      <c r="CF33" s="88">
        <f t="shared" ca="1" si="203"/>
        <v>34770.228121385633</v>
      </c>
      <c r="CG33" s="88">
        <f t="shared" ca="1" si="203"/>
        <v>30480.228121385629</v>
      </c>
      <c r="CH33" s="88">
        <f t="shared" ca="1" si="203"/>
        <v>30480.228121385629</v>
      </c>
      <c r="CI33" s="88">
        <f t="shared" ca="1" si="203"/>
        <v>30480.228121385629</v>
      </c>
      <c r="CJ33" s="88">
        <f t="shared" ca="1" si="203"/>
        <v>30480.228121385629</v>
      </c>
      <c r="CK33" s="88">
        <f t="shared" ca="1" si="204"/>
        <v>26364.304256457974</v>
      </c>
      <c r="CL33" s="88">
        <f t="shared" ca="1" si="204"/>
        <v>15619.991069569352</v>
      </c>
      <c r="CM33" s="88">
        <f t="shared" ca="1" si="204"/>
        <v>15619.991069569352</v>
      </c>
      <c r="CN33" s="88">
        <f t="shared" ca="1" si="204"/>
        <v>15619.991069569352</v>
      </c>
      <c r="CO33" s="88">
        <f t="shared" ca="1" si="204"/>
        <v>15619.991069569352</v>
      </c>
      <c r="CP33" s="88">
        <f t="shared" ca="1" si="204"/>
        <v>15619.991069569352</v>
      </c>
      <c r="CQ33" s="88">
        <f t="shared" ca="1" si="204"/>
        <v>0</v>
      </c>
      <c r="CR33" s="88">
        <f t="shared" ca="1" si="204"/>
        <v>0</v>
      </c>
      <c r="CS33" s="88">
        <f t="shared" ca="1" si="204"/>
        <v>0</v>
      </c>
      <c r="CT33" s="88">
        <f t="shared" ca="1" si="204"/>
        <v>0</v>
      </c>
      <c r="CU33" s="88">
        <f t="shared" ca="1" si="205"/>
        <v>0</v>
      </c>
      <c r="CV33" s="88">
        <f t="shared" ca="1" si="205"/>
        <v>0</v>
      </c>
      <c r="CW33" s="88">
        <f t="shared" ca="1" si="205"/>
        <v>0</v>
      </c>
      <c r="CX33" s="88">
        <f t="shared" ca="1" si="205"/>
        <v>0</v>
      </c>
      <c r="CY33" s="88">
        <f t="shared" ca="1" si="205"/>
        <v>0</v>
      </c>
      <c r="CZ33" s="88">
        <f t="shared" ca="1" si="205"/>
        <v>0</v>
      </c>
      <c r="DA33" s="88">
        <f t="shared" ca="1" si="205"/>
        <v>0</v>
      </c>
      <c r="DB33" s="88">
        <f t="shared" ca="1" si="205"/>
        <v>0</v>
      </c>
      <c r="DC33" s="88">
        <f t="shared" ca="1" si="205"/>
        <v>0</v>
      </c>
      <c r="DD33" s="88">
        <f t="shared" ca="1" si="205"/>
        <v>0</v>
      </c>
      <c r="DE33" s="88">
        <f t="shared" ca="1" si="205"/>
        <v>0</v>
      </c>
      <c r="DF33" s="88">
        <f t="shared" ca="1" si="205"/>
        <v>0</v>
      </c>
      <c r="DG33" s="88">
        <f t="shared" ca="1" si="205"/>
        <v>0</v>
      </c>
      <c r="DH33" s="88">
        <f t="shared" ca="1" si="205"/>
        <v>0</v>
      </c>
      <c r="DI33" s="88">
        <f t="shared" ca="1" si="205"/>
        <v>0</v>
      </c>
      <c r="DJ33" s="169"/>
      <c r="DK33" s="88">
        <f t="shared" ca="1" si="206"/>
        <v>0</v>
      </c>
      <c r="DL33" s="88">
        <f t="shared" ca="1" si="206"/>
        <v>4.5497772774931642</v>
      </c>
      <c r="DM33" s="88">
        <f t="shared" ca="1" si="206"/>
        <v>4.5497772774931642</v>
      </c>
      <c r="DN33" s="88">
        <f t="shared" ca="1" si="206"/>
        <v>4.5497772774931642</v>
      </c>
      <c r="DO33" s="88">
        <f t="shared" ca="1" si="206"/>
        <v>4.5497772774931642</v>
      </c>
      <c r="DP33" s="88">
        <f t="shared" ca="1" si="206"/>
        <v>4.5497772774931642</v>
      </c>
      <c r="DQ33" s="88">
        <f t="shared" ca="1" si="206"/>
        <v>4.0577772774931642</v>
      </c>
      <c r="DR33" s="88">
        <f t="shared" ca="1" si="206"/>
        <v>4.0577772774931642</v>
      </c>
      <c r="DS33" s="88">
        <f t="shared" ca="1" si="206"/>
        <v>4.0577772774931642</v>
      </c>
      <c r="DT33" s="88">
        <f t="shared" ca="1" si="206"/>
        <v>4.0577772774931642</v>
      </c>
      <c r="DU33" s="88">
        <f t="shared" ca="1" si="207"/>
        <v>2.3164248731006944</v>
      </c>
      <c r="DV33" s="88">
        <f t="shared" ca="1" si="207"/>
        <v>1.3481918997937288</v>
      </c>
      <c r="DW33" s="88">
        <f t="shared" ca="1" si="207"/>
        <v>1.3481918997937288</v>
      </c>
      <c r="DX33" s="88">
        <f t="shared" ca="1" si="207"/>
        <v>1.3481918997937288</v>
      </c>
      <c r="DY33" s="88">
        <f t="shared" ca="1" si="207"/>
        <v>1.3481918997937288</v>
      </c>
      <c r="DZ33" s="88">
        <f t="shared" ca="1" si="207"/>
        <v>1.3481918997937288</v>
      </c>
      <c r="EA33" s="88">
        <f t="shared" ca="1" si="207"/>
        <v>0</v>
      </c>
      <c r="EB33" s="88">
        <f t="shared" ca="1" si="207"/>
        <v>0</v>
      </c>
      <c r="EC33" s="88">
        <f t="shared" ca="1" si="207"/>
        <v>0</v>
      </c>
      <c r="ED33" s="88">
        <f t="shared" ca="1" si="207"/>
        <v>0</v>
      </c>
      <c r="EE33" s="88">
        <f t="shared" ca="1" si="208"/>
        <v>0</v>
      </c>
      <c r="EF33" s="88">
        <f t="shared" ca="1" si="208"/>
        <v>0</v>
      </c>
      <c r="EG33" s="88">
        <f t="shared" ca="1" si="208"/>
        <v>0</v>
      </c>
      <c r="EH33" s="88">
        <f t="shared" ca="1" si="208"/>
        <v>0</v>
      </c>
      <c r="EI33" s="88">
        <f t="shared" ca="1" si="208"/>
        <v>0</v>
      </c>
      <c r="EJ33" s="88">
        <f t="shared" ca="1" si="208"/>
        <v>0</v>
      </c>
      <c r="EK33" s="88">
        <f t="shared" ca="1" si="208"/>
        <v>0</v>
      </c>
      <c r="EL33" s="88">
        <f t="shared" ca="1" si="208"/>
        <v>0</v>
      </c>
      <c r="EM33" s="88">
        <f t="shared" ca="1" si="208"/>
        <v>0</v>
      </c>
      <c r="EN33" s="88">
        <f t="shared" ca="1" si="208"/>
        <v>0</v>
      </c>
      <c r="EO33" s="88">
        <f t="shared" ca="1" si="208"/>
        <v>0</v>
      </c>
      <c r="EP33" s="88">
        <f t="shared" ca="1" si="208"/>
        <v>0</v>
      </c>
      <c r="EQ33" s="88">
        <f t="shared" ca="1" si="208"/>
        <v>0</v>
      </c>
      <c r="ER33" s="88">
        <f t="shared" ca="1" si="208"/>
        <v>0</v>
      </c>
      <c r="ES33" s="88">
        <f t="shared" ca="1" si="208"/>
        <v>0</v>
      </c>
      <c r="ET33" s="169"/>
      <c r="EU33" s="88">
        <f t="shared" ca="1" si="209"/>
        <v>0</v>
      </c>
      <c r="EV33" s="88">
        <f t="shared" ca="1" si="209"/>
        <v>0</v>
      </c>
      <c r="EW33" s="88">
        <f t="shared" ca="1" si="209"/>
        <v>0</v>
      </c>
      <c r="EX33" s="88">
        <f t="shared" ca="1" si="209"/>
        <v>0</v>
      </c>
      <c r="EY33" s="88">
        <f t="shared" ca="1" si="209"/>
        <v>0</v>
      </c>
      <c r="EZ33" s="88">
        <f t="shared" ca="1" si="209"/>
        <v>0</v>
      </c>
      <c r="FA33" s="88">
        <f t="shared" ca="1" si="209"/>
        <v>0</v>
      </c>
      <c r="FB33" s="88">
        <f t="shared" ca="1" si="209"/>
        <v>0</v>
      </c>
      <c r="FC33" s="88">
        <f t="shared" ca="1" si="209"/>
        <v>0</v>
      </c>
      <c r="FD33" s="88">
        <f t="shared" ca="1" si="209"/>
        <v>0</v>
      </c>
      <c r="FE33" s="88">
        <f t="shared" ca="1" si="210"/>
        <v>0</v>
      </c>
      <c r="FF33" s="88">
        <f t="shared" ca="1" si="210"/>
        <v>0</v>
      </c>
      <c r="FG33" s="88">
        <f t="shared" ca="1" si="210"/>
        <v>0</v>
      </c>
      <c r="FH33" s="88">
        <f t="shared" ca="1" si="210"/>
        <v>0</v>
      </c>
      <c r="FI33" s="88">
        <f t="shared" ca="1" si="210"/>
        <v>0</v>
      </c>
      <c r="FJ33" s="88">
        <f t="shared" ca="1" si="210"/>
        <v>0</v>
      </c>
      <c r="FK33" s="88">
        <f t="shared" ca="1" si="210"/>
        <v>0</v>
      </c>
      <c r="FL33" s="88">
        <f t="shared" ca="1" si="210"/>
        <v>0</v>
      </c>
      <c r="FM33" s="88">
        <f t="shared" ca="1" si="210"/>
        <v>0</v>
      </c>
      <c r="FN33" s="88">
        <f t="shared" ca="1" si="210"/>
        <v>0</v>
      </c>
      <c r="FO33" s="88">
        <f t="shared" ca="1" si="211"/>
        <v>0</v>
      </c>
      <c r="FP33" s="88">
        <f t="shared" ca="1" si="211"/>
        <v>0</v>
      </c>
      <c r="FQ33" s="88">
        <f t="shared" ca="1" si="211"/>
        <v>0</v>
      </c>
      <c r="FR33" s="88">
        <f t="shared" ca="1" si="211"/>
        <v>0</v>
      </c>
      <c r="FS33" s="88">
        <f t="shared" ca="1" si="211"/>
        <v>0</v>
      </c>
      <c r="FT33" s="88">
        <f t="shared" ca="1" si="211"/>
        <v>0</v>
      </c>
      <c r="FU33" s="88">
        <f t="shared" ca="1" si="211"/>
        <v>0</v>
      </c>
      <c r="FV33" s="88">
        <f t="shared" ca="1" si="211"/>
        <v>0</v>
      </c>
      <c r="FW33" s="88">
        <f t="shared" ca="1" si="211"/>
        <v>0</v>
      </c>
      <c r="FX33" s="88">
        <f t="shared" ca="1" si="211"/>
        <v>0</v>
      </c>
      <c r="FY33" s="88">
        <f t="shared" ca="1" si="211"/>
        <v>0</v>
      </c>
      <c r="FZ33" s="88">
        <f t="shared" ca="1" si="211"/>
        <v>0</v>
      </c>
      <c r="GA33" s="88">
        <f t="shared" ca="1" si="211"/>
        <v>0</v>
      </c>
      <c r="GB33" s="88">
        <f t="shared" ca="1" si="211"/>
        <v>0</v>
      </c>
      <c r="GC33" s="88">
        <f t="shared" ca="1" si="211"/>
        <v>0</v>
      </c>
      <c r="GD33" s="60"/>
    </row>
    <row r="34" spans="1:186" s="54" customFormat="1">
      <c r="A34" s="61"/>
      <c r="B34" s="100" t="str">
        <f t="shared" si="0"/>
        <v>Residential_Residential Audit_0_All_2018</v>
      </c>
      <c r="C34" s="146"/>
      <c r="D34" s="136" t="s">
        <v>2</v>
      </c>
      <c r="E34" s="136" t="s">
        <v>251</v>
      </c>
      <c r="F34" s="136">
        <v>0</v>
      </c>
      <c r="G34" s="136" t="s">
        <v>98</v>
      </c>
      <c r="H34" s="136">
        <v>2018</v>
      </c>
      <c r="I34" s="55"/>
      <c r="J34" s="58">
        <f t="shared" ca="1" si="163"/>
        <v>0.70764642779932108</v>
      </c>
      <c r="K34" s="58">
        <f t="shared" ca="1" si="190"/>
        <v>0.70764642779932108</v>
      </c>
      <c r="L34" s="58" t="str">
        <f t="shared" ca="1" si="164"/>
        <v>n/a</v>
      </c>
      <c r="M34" s="58">
        <f t="shared" ca="1" si="165"/>
        <v>0.95223799085953931</v>
      </c>
      <c r="N34" s="58">
        <f t="shared" ca="1" si="166"/>
        <v>0.20177085108238851</v>
      </c>
      <c r="O34" s="55"/>
      <c r="P34" s="175">
        <f ca="1">IFERROR(($AW34+AV34)/SUMPRODUCT($CA34:$DI34,'General Inputs'!$F$51:$AN$51),"n/a")</f>
        <v>4.8906938589270942E-2</v>
      </c>
      <c r="Q34" s="175">
        <f t="shared" ca="1" si="167"/>
        <v>0.33875153399656333</v>
      </c>
      <c r="R34" s="56">
        <f t="shared" ca="1" si="195"/>
        <v>940.91138271669013</v>
      </c>
      <c r="S34" s="55"/>
      <c r="T34" s="56"/>
      <c r="U34" s="146"/>
      <c r="V34" s="137"/>
      <c r="W34" s="55"/>
      <c r="X34" s="138">
        <f t="shared" ca="1" si="169"/>
        <v>96320.597031838159</v>
      </c>
      <c r="Y34" s="138">
        <f t="shared" ca="1" si="169"/>
        <v>16.066260315621943</v>
      </c>
      <c r="Z34" s="138">
        <f t="shared" ca="1" si="169"/>
        <v>0</v>
      </c>
      <c r="AA34" s="55"/>
      <c r="AB34" s="138">
        <f t="shared" ca="1" si="170"/>
        <v>0</v>
      </c>
      <c r="AC34" s="138">
        <f t="shared" ca="1" si="170"/>
        <v>0</v>
      </c>
      <c r="AD34" s="138">
        <f t="shared" ca="1" si="170"/>
        <v>0</v>
      </c>
      <c r="AE34" s="55"/>
      <c r="AF34" s="57">
        <f t="shared" ca="1" si="196"/>
        <v>0</v>
      </c>
      <c r="AG34" s="57">
        <f t="shared" ca="1" si="196"/>
        <v>0</v>
      </c>
      <c r="AH34" s="57">
        <f t="shared" ca="1" si="196"/>
        <v>0</v>
      </c>
      <c r="AI34" s="57">
        <f t="shared" ca="1" si="196"/>
        <v>0</v>
      </c>
      <c r="AJ34" s="57">
        <f t="shared" ca="1" si="196"/>
        <v>0</v>
      </c>
      <c r="AK34" s="63"/>
      <c r="AL34" s="88"/>
      <c r="AM34" s="57">
        <f ca="1">SUMIFS(OFFSET('Program Inputs'!$N$5,,,TotalPrograms),OFFSET('Program Inputs'!$B$5,,,TotalPrograms),SUBSTITUTE($B34,"All","*"))+AF34</f>
        <v>32628.75</v>
      </c>
      <c r="AN34" s="57">
        <f t="shared" ca="1" si="197"/>
        <v>32628.75</v>
      </c>
      <c r="AO34" s="55"/>
      <c r="AP34" s="59">
        <f t="shared" ca="1" si="198"/>
        <v>21214.276351577635</v>
      </c>
      <c r="AQ34" s="59">
        <f t="shared" ca="1" si="199"/>
        <v>29978.638368246968</v>
      </c>
      <c r="AR34" s="59">
        <f t="shared" ca="1" si="200"/>
        <v>18994.423738064484</v>
      </c>
      <c r="AS34" s="59">
        <f t="shared" ca="1" si="200"/>
        <v>2219.8526135131506</v>
      </c>
      <c r="AT34" s="59">
        <f t="shared" ca="1" si="200"/>
        <v>0</v>
      </c>
      <c r="AU34" s="59">
        <f t="shared" ca="1" si="200"/>
        <v>0</v>
      </c>
      <c r="AV34" s="59">
        <f t="shared" ca="1" si="200"/>
        <v>0</v>
      </c>
      <c r="AW34" s="57">
        <f ca="1">INDEX('General Inputs'!$F$51:$AN$51,MATCH($H34,'General Inputs'!$F$50:$AN$50,0))*$AM34</f>
        <v>29978.638368246968</v>
      </c>
      <c r="AX34" s="59">
        <f t="shared" ca="1" si="175"/>
        <v>0</v>
      </c>
      <c r="AY34" s="55"/>
      <c r="AZ34" s="59">
        <f t="shared" ca="1" si="176"/>
        <v>18994.423738064484</v>
      </c>
      <c r="BA34" s="59">
        <f t="shared" ca="1" si="176"/>
        <v>2219.8526135131506</v>
      </c>
      <c r="BB34" s="59">
        <f t="shared" ca="1" si="176"/>
        <v>0</v>
      </c>
      <c r="BC34" s="59">
        <f t="shared" ca="1" si="176"/>
        <v>0</v>
      </c>
      <c r="BD34" s="57">
        <f ca="1">INDEX('General Inputs'!$F$51:$AN$51,MATCH($H34,'General Inputs'!$F$50:$AN$50,0))*$AM34</f>
        <v>29978.638368246968</v>
      </c>
      <c r="BE34" s="55"/>
      <c r="BF34" s="59">
        <f t="shared" ca="1" si="177"/>
        <v>75161.803067048721</v>
      </c>
      <c r="BG34" s="59">
        <f t="shared" ca="1" si="177"/>
        <v>0</v>
      </c>
      <c r="BH34" s="57">
        <f t="shared" ca="1" si="177"/>
        <v>0</v>
      </c>
      <c r="BI34" s="59">
        <f t="shared" ca="1" si="177"/>
        <v>0</v>
      </c>
      <c r="BJ34" s="55"/>
      <c r="BK34" s="59">
        <f t="shared" ca="1" si="201"/>
        <v>18994.423738064484</v>
      </c>
      <c r="BL34" s="59">
        <f t="shared" ca="1" si="201"/>
        <v>2219.8526135131506</v>
      </c>
      <c r="BM34" s="59">
        <f t="shared" ca="1" si="201"/>
        <v>0</v>
      </c>
      <c r="BN34" s="59">
        <f t="shared" ca="1" si="201"/>
        <v>0</v>
      </c>
      <c r="BO34" s="59">
        <f t="shared" ca="1" si="201"/>
        <v>7332.5220169065524</v>
      </c>
      <c r="BP34" s="57">
        <f ca="1">INDEX('General Inputs'!$F$51:$AN$51,MATCH($H34,'General Inputs'!$F$50:$AN$50,0))*$AM34</f>
        <v>29978.638368246968</v>
      </c>
      <c r="BQ34" s="59">
        <f t="shared" ca="1" si="179"/>
        <v>0</v>
      </c>
      <c r="BR34" s="55"/>
      <c r="BS34" s="59">
        <f t="shared" ca="1" si="202"/>
        <v>18994.423738064484</v>
      </c>
      <c r="BT34" s="59">
        <f t="shared" ca="1" si="202"/>
        <v>2219.8526135131506</v>
      </c>
      <c r="BU34" s="59">
        <f t="shared" ca="1" si="202"/>
        <v>0</v>
      </c>
      <c r="BV34" s="59">
        <f t="shared" ca="1" si="202"/>
        <v>75161.803067048721</v>
      </c>
      <c r="BW34" s="59">
        <f t="shared" ca="1" si="202"/>
        <v>0</v>
      </c>
      <c r="BX34" s="59">
        <f t="shared" ca="1" si="202"/>
        <v>0</v>
      </c>
      <c r="BY34" s="57">
        <f ca="1">INDEX('General Inputs'!$F$51:$AN$51,MATCH($H34,'General Inputs'!$F$50:$AN$50,0))*$AM34</f>
        <v>29978.638368246968</v>
      </c>
      <c r="BZ34" s="55"/>
      <c r="CA34" s="88">
        <f t="shared" ca="1" si="203"/>
        <v>0</v>
      </c>
      <c r="CB34" s="88">
        <f t="shared" ca="1" si="203"/>
        <v>96320.597031838159</v>
      </c>
      <c r="CC34" s="88">
        <f t="shared" ca="1" si="203"/>
        <v>96320.597031838159</v>
      </c>
      <c r="CD34" s="88">
        <f t="shared" ca="1" si="203"/>
        <v>96320.597031838159</v>
      </c>
      <c r="CE34" s="88">
        <f t="shared" ca="1" si="203"/>
        <v>96320.597031838159</v>
      </c>
      <c r="CF34" s="88">
        <f t="shared" ca="1" si="203"/>
        <v>96320.597031838159</v>
      </c>
      <c r="CG34" s="88">
        <f t="shared" ca="1" si="203"/>
        <v>96320.597031838159</v>
      </c>
      <c r="CH34" s="88">
        <f t="shared" ca="1" si="203"/>
        <v>96320.597031838159</v>
      </c>
      <c r="CI34" s="88">
        <f t="shared" ca="1" si="203"/>
        <v>96320.597031838159</v>
      </c>
      <c r="CJ34" s="88">
        <f t="shared" ca="1" si="203"/>
        <v>96320.597031838159</v>
      </c>
      <c r="CK34" s="88">
        <f t="shared" ca="1" si="204"/>
        <v>74026.009430146689</v>
      </c>
      <c r="CL34" s="88">
        <f t="shared" ca="1" si="204"/>
        <v>0</v>
      </c>
      <c r="CM34" s="88">
        <f t="shared" ca="1" si="204"/>
        <v>0</v>
      </c>
      <c r="CN34" s="88">
        <f t="shared" ca="1" si="204"/>
        <v>0</v>
      </c>
      <c r="CO34" s="88">
        <f t="shared" ca="1" si="204"/>
        <v>0</v>
      </c>
      <c r="CP34" s="88">
        <f t="shared" ca="1" si="204"/>
        <v>0</v>
      </c>
      <c r="CQ34" s="88">
        <f t="shared" ca="1" si="204"/>
        <v>0</v>
      </c>
      <c r="CR34" s="88">
        <f t="shared" ca="1" si="204"/>
        <v>0</v>
      </c>
      <c r="CS34" s="88">
        <f t="shared" ca="1" si="204"/>
        <v>0</v>
      </c>
      <c r="CT34" s="88">
        <f t="shared" ca="1" si="204"/>
        <v>0</v>
      </c>
      <c r="CU34" s="88">
        <f t="shared" ca="1" si="205"/>
        <v>0</v>
      </c>
      <c r="CV34" s="88">
        <f t="shared" ca="1" si="205"/>
        <v>0</v>
      </c>
      <c r="CW34" s="88">
        <f t="shared" ca="1" si="205"/>
        <v>0</v>
      </c>
      <c r="CX34" s="88">
        <f t="shared" ca="1" si="205"/>
        <v>0</v>
      </c>
      <c r="CY34" s="88">
        <f t="shared" ca="1" si="205"/>
        <v>0</v>
      </c>
      <c r="CZ34" s="88">
        <f t="shared" ca="1" si="205"/>
        <v>0</v>
      </c>
      <c r="DA34" s="88">
        <f t="shared" ca="1" si="205"/>
        <v>0</v>
      </c>
      <c r="DB34" s="88">
        <f t="shared" ca="1" si="205"/>
        <v>0</v>
      </c>
      <c r="DC34" s="88">
        <f t="shared" ca="1" si="205"/>
        <v>0</v>
      </c>
      <c r="DD34" s="88">
        <f t="shared" ca="1" si="205"/>
        <v>0</v>
      </c>
      <c r="DE34" s="88">
        <f t="shared" ca="1" si="205"/>
        <v>0</v>
      </c>
      <c r="DF34" s="88">
        <f t="shared" ca="1" si="205"/>
        <v>0</v>
      </c>
      <c r="DG34" s="88">
        <f t="shared" ca="1" si="205"/>
        <v>0</v>
      </c>
      <c r="DH34" s="88">
        <f t="shared" ca="1" si="205"/>
        <v>0</v>
      </c>
      <c r="DI34" s="88">
        <f t="shared" ca="1" si="205"/>
        <v>0</v>
      </c>
      <c r="DJ34" s="169"/>
      <c r="DK34" s="88">
        <f t="shared" ca="1" si="206"/>
        <v>0</v>
      </c>
      <c r="DL34" s="88">
        <f t="shared" ca="1" si="206"/>
        <v>16.066260315621943</v>
      </c>
      <c r="DM34" s="88">
        <f t="shared" ca="1" si="206"/>
        <v>16.066260315621943</v>
      </c>
      <c r="DN34" s="88">
        <f t="shared" ca="1" si="206"/>
        <v>16.066260315621943</v>
      </c>
      <c r="DO34" s="88">
        <f t="shared" ca="1" si="206"/>
        <v>16.066260315621943</v>
      </c>
      <c r="DP34" s="88">
        <f t="shared" ca="1" si="206"/>
        <v>16.066260315621943</v>
      </c>
      <c r="DQ34" s="88">
        <f t="shared" ca="1" si="206"/>
        <v>16.066260315621943</v>
      </c>
      <c r="DR34" s="88">
        <f t="shared" ca="1" si="206"/>
        <v>16.066260315621943</v>
      </c>
      <c r="DS34" s="88">
        <f t="shared" ca="1" si="206"/>
        <v>16.066260315621943</v>
      </c>
      <c r="DT34" s="88">
        <f t="shared" ca="1" si="206"/>
        <v>16.066260315621943</v>
      </c>
      <c r="DU34" s="88">
        <f t="shared" ca="1" si="207"/>
        <v>6.6339347918293967</v>
      </c>
      <c r="DV34" s="88">
        <f t="shared" ca="1" si="207"/>
        <v>0</v>
      </c>
      <c r="DW34" s="88">
        <f t="shared" ca="1" si="207"/>
        <v>0</v>
      </c>
      <c r="DX34" s="88">
        <f t="shared" ca="1" si="207"/>
        <v>0</v>
      </c>
      <c r="DY34" s="88">
        <f t="shared" ca="1" si="207"/>
        <v>0</v>
      </c>
      <c r="DZ34" s="88">
        <f t="shared" ca="1" si="207"/>
        <v>0</v>
      </c>
      <c r="EA34" s="88">
        <f t="shared" ca="1" si="207"/>
        <v>0</v>
      </c>
      <c r="EB34" s="88">
        <f t="shared" ca="1" si="207"/>
        <v>0</v>
      </c>
      <c r="EC34" s="88">
        <f t="shared" ca="1" si="207"/>
        <v>0</v>
      </c>
      <c r="ED34" s="88">
        <f t="shared" ca="1" si="207"/>
        <v>0</v>
      </c>
      <c r="EE34" s="88">
        <f t="shared" ca="1" si="208"/>
        <v>0</v>
      </c>
      <c r="EF34" s="88">
        <f t="shared" ca="1" si="208"/>
        <v>0</v>
      </c>
      <c r="EG34" s="88">
        <f t="shared" ca="1" si="208"/>
        <v>0</v>
      </c>
      <c r="EH34" s="88">
        <f t="shared" ca="1" si="208"/>
        <v>0</v>
      </c>
      <c r="EI34" s="88">
        <f t="shared" ca="1" si="208"/>
        <v>0</v>
      </c>
      <c r="EJ34" s="88">
        <f t="shared" ca="1" si="208"/>
        <v>0</v>
      </c>
      <c r="EK34" s="88">
        <f t="shared" ca="1" si="208"/>
        <v>0</v>
      </c>
      <c r="EL34" s="88">
        <f t="shared" ca="1" si="208"/>
        <v>0</v>
      </c>
      <c r="EM34" s="88">
        <f t="shared" ca="1" si="208"/>
        <v>0</v>
      </c>
      <c r="EN34" s="88">
        <f t="shared" ca="1" si="208"/>
        <v>0</v>
      </c>
      <c r="EO34" s="88">
        <f t="shared" ca="1" si="208"/>
        <v>0</v>
      </c>
      <c r="EP34" s="88">
        <f t="shared" ca="1" si="208"/>
        <v>0</v>
      </c>
      <c r="EQ34" s="88">
        <f t="shared" ca="1" si="208"/>
        <v>0</v>
      </c>
      <c r="ER34" s="88">
        <f t="shared" ca="1" si="208"/>
        <v>0</v>
      </c>
      <c r="ES34" s="88">
        <f t="shared" ca="1" si="208"/>
        <v>0</v>
      </c>
      <c r="ET34" s="169"/>
      <c r="EU34" s="88">
        <f t="shared" ca="1" si="209"/>
        <v>0</v>
      </c>
      <c r="EV34" s="88">
        <f t="shared" ca="1" si="209"/>
        <v>0</v>
      </c>
      <c r="EW34" s="88">
        <f t="shared" ca="1" si="209"/>
        <v>0</v>
      </c>
      <c r="EX34" s="88">
        <f t="shared" ca="1" si="209"/>
        <v>0</v>
      </c>
      <c r="EY34" s="88">
        <f t="shared" ca="1" si="209"/>
        <v>0</v>
      </c>
      <c r="EZ34" s="88">
        <f t="shared" ca="1" si="209"/>
        <v>0</v>
      </c>
      <c r="FA34" s="88">
        <f t="shared" ca="1" si="209"/>
        <v>0</v>
      </c>
      <c r="FB34" s="88">
        <f t="shared" ca="1" si="209"/>
        <v>0</v>
      </c>
      <c r="FC34" s="88">
        <f t="shared" ca="1" si="209"/>
        <v>0</v>
      </c>
      <c r="FD34" s="88">
        <f t="shared" ca="1" si="209"/>
        <v>0</v>
      </c>
      <c r="FE34" s="88">
        <f t="shared" ca="1" si="210"/>
        <v>0</v>
      </c>
      <c r="FF34" s="88">
        <f t="shared" ca="1" si="210"/>
        <v>0</v>
      </c>
      <c r="FG34" s="88">
        <f t="shared" ca="1" si="210"/>
        <v>0</v>
      </c>
      <c r="FH34" s="88">
        <f t="shared" ca="1" si="210"/>
        <v>0</v>
      </c>
      <c r="FI34" s="88">
        <f t="shared" ca="1" si="210"/>
        <v>0</v>
      </c>
      <c r="FJ34" s="88">
        <f t="shared" ca="1" si="210"/>
        <v>0</v>
      </c>
      <c r="FK34" s="88">
        <f t="shared" ca="1" si="210"/>
        <v>0</v>
      </c>
      <c r="FL34" s="88">
        <f t="shared" ca="1" si="210"/>
        <v>0</v>
      </c>
      <c r="FM34" s="88">
        <f t="shared" ca="1" si="210"/>
        <v>0</v>
      </c>
      <c r="FN34" s="88">
        <f t="shared" ca="1" si="210"/>
        <v>0</v>
      </c>
      <c r="FO34" s="88">
        <f t="shared" ca="1" si="211"/>
        <v>0</v>
      </c>
      <c r="FP34" s="88">
        <f t="shared" ca="1" si="211"/>
        <v>0</v>
      </c>
      <c r="FQ34" s="88">
        <f t="shared" ca="1" si="211"/>
        <v>0</v>
      </c>
      <c r="FR34" s="88">
        <f t="shared" ca="1" si="211"/>
        <v>0</v>
      </c>
      <c r="FS34" s="88">
        <f t="shared" ca="1" si="211"/>
        <v>0</v>
      </c>
      <c r="FT34" s="88">
        <f t="shared" ca="1" si="211"/>
        <v>0</v>
      </c>
      <c r="FU34" s="88">
        <f t="shared" ca="1" si="211"/>
        <v>0</v>
      </c>
      <c r="FV34" s="88">
        <f t="shared" ca="1" si="211"/>
        <v>0</v>
      </c>
      <c r="FW34" s="88">
        <f t="shared" ca="1" si="211"/>
        <v>0</v>
      </c>
      <c r="FX34" s="88">
        <f t="shared" ca="1" si="211"/>
        <v>0</v>
      </c>
      <c r="FY34" s="88">
        <f t="shared" ca="1" si="211"/>
        <v>0</v>
      </c>
      <c r="FZ34" s="88">
        <f t="shared" ca="1" si="211"/>
        <v>0</v>
      </c>
      <c r="GA34" s="88">
        <f t="shared" ca="1" si="211"/>
        <v>0</v>
      </c>
      <c r="GB34" s="88">
        <f t="shared" ca="1" si="211"/>
        <v>0</v>
      </c>
      <c r="GC34" s="88">
        <f t="shared" ca="1" si="211"/>
        <v>0</v>
      </c>
      <c r="GD34" s="60"/>
    </row>
    <row r="35" spans="1:186" s="54" customFormat="1">
      <c r="A35" s="61"/>
      <c r="B35" s="100" t="str">
        <f t="shared" si="0"/>
        <v>Residential_School-Based Education_0_All_2018</v>
      </c>
      <c r="C35" s="146"/>
      <c r="D35" s="136" t="s">
        <v>2</v>
      </c>
      <c r="E35" s="136" t="s">
        <v>252</v>
      </c>
      <c r="F35" s="136">
        <v>0</v>
      </c>
      <c r="G35" s="136" t="s">
        <v>98</v>
      </c>
      <c r="H35" s="136">
        <v>2018</v>
      </c>
      <c r="I35" s="55"/>
      <c r="J35" s="58">
        <f t="shared" ca="1" si="163"/>
        <v>0.98849193069841645</v>
      </c>
      <c r="K35" s="58">
        <f t="shared" ca="1" si="190"/>
        <v>0.98849193069841645</v>
      </c>
      <c r="L35" s="58" t="str">
        <f t="shared" ca="1" si="164"/>
        <v>n/a</v>
      </c>
      <c r="M35" s="58">
        <f t="shared" ca="1" si="165"/>
        <v>1.3547256030108177</v>
      </c>
      <c r="N35" s="58">
        <f t="shared" ca="1" si="166"/>
        <v>0.21270732248958429</v>
      </c>
      <c r="O35" s="55"/>
      <c r="P35" s="175">
        <f ca="1">IFERROR(($AW35+AV35)/SUMPRODUCT($CA35:$DI35,'General Inputs'!$F$51:$AN$51),"n/a")</f>
        <v>3.2662820102013906E-2</v>
      </c>
      <c r="Q35" s="175">
        <f t="shared" ca="1" si="167"/>
        <v>0.13885390428211586</v>
      </c>
      <c r="R35" s="56">
        <f t="shared" ca="1" si="195"/>
        <v>2382</v>
      </c>
      <c r="S35" s="55"/>
      <c r="T35" s="56"/>
      <c r="U35" s="146"/>
      <c r="V35" s="137"/>
      <c r="W35" s="55"/>
      <c r="X35" s="138">
        <f t="shared" ca="1" si="169"/>
        <v>476400</v>
      </c>
      <c r="Y35" s="138">
        <f t="shared" ca="1" si="169"/>
        <v>48</v>
      </c>
      <c r="Z35" s="138">
        <f t="shared" ca="1" si="169"/>
        <v>0</v>
      </c>
      <c r="AA35" s="55"/>
      <c r="AB35" s="138">
        <f t="shared" ca="1" si="170"/>
        <v>0</v>
      </c>
      <c r="AC35" s="138">
        <f t="shared" ca="1" si="170"/>
        <v>0</v>
      </c>
      <c r="AD35" s="138">
        <f t="shared" ca="1" si="170"/>
        <v>0</v>
      </c>
      <c r="AE35" s="55"/>
      <c r="AF35" s="57">
        <f t="shared" ca="1" si="196"/>
        <v>0</v>
      </c>
      <c r="AG35" s="57">
        <f t="shared" ca="1" si="196"/>
        <v>0</v>
      </c>
      <c r="AH35" s="57">
        <f t="shared" ca="1" si="196"/>
        <v>0</v>
      </c>
      <c r="AI35" s="57">
        <f t="shared" ca="1" si="196"/>
        <v>0</v>
      </c>
      <c r="AJ35" s="57">
        <f t="shared" ca="1" si="196"/>
        <v>0</v>
      </c>
      <c r="AK35" s="63"/>
      <c r="AL35" s="88"/>
      <c r="AM35" s="57">
        <f ca="1">SUMIFS(OFFSET('Program Inputs'!$N$5,,,TotalPrograms),OFFSET('Program Inputs'!$B$5,,,TotalPrograms),SUBSTITUTE($B35,"All","*"))+AF35</f>
        <v>66150</v>
      </c>
      <c r="AN35" s="57">
        <f t="shared" ca="1" si="197"/>
        <v>66150</v>
      </c>
      <c r="AO35" s="55"/>
      <c r="AP35" s="59">
        <f t="shared" ca="1" si="198"/>
        <v>60077.858522326584</v>
      </c>
      <c r="AQ35" s="59">
        <f t="shared" ca="1" si="199"/>
        <v>60777.287761852262</v>
      </c>
      <c r="AR35" s="59">
        <f t="shared" ca="1" si="200"/>
        <v>56018.176263590365</v>
      </c>
      <c r="AS35" s="59">
        <f t="shared" ca="1" si="200"/>
        <v>4059.6822587362221</v>
      </c>
      <c r="AT35" s="59">
        <f t="shared" ca="1" si="200"/>
        <v>0</v>
      </c>
      <c r="AU35" s="59">
        <f t="shared" ca="1" si="200"/>
        <v>0</v>
      </c>
      <c r="AV35" s="59">
        <f t="shared" ca="1" si="200"/>
        <v>0</v>
      </c>
      <c r="AW35" s="57">
        <f ca="1">INDEX('General Inputs'!$F$51:$AN$51,MATCH($H35,'General Inputs'!$F$50:$AN$50,0))*$AM35</f>
        <v>60777.287761852262</v>
      </c>
      <c r="AX35" s="59">
        <f t="shared" ca="1" si="175"/>
        <v>0</v>
      </c>
      <c r="AY35" s="55"/>
      <c r="AZ35" s="59">
        <f t="shared" ca="1" si="176"/>
        <v>56018.176263590365</v>
      </c>
      <c r="BA35" s="59">
        <f t="shared" ca="1" si="176"/>
        <v>4059.6822587362221</v>
      </c>
      <c r="BB35" s="59">
        <f t="shared" ca="1" si="176"/>
        <v>0</v>
      </c>
      <c r="BC35" s="59">
        <f t="shared" ca="1" si="176"/>
        <v>0</v>
      </c>
      <c r="BD35" s="57">
        <f ca="1">INDEX('General Inputs'!$F$51:$AN$51,MATCH($H35,'General Inputs'!$F$50:$AN$50,0))*$AM35</f>
        <v>60777.287761852262</v>
      </c>
      <c r="BE35" s="55"/>
      <c r="BF35" s="59">
        <f t="shared" ca="1" si="177"/>
        <v>221666.48436201731</v>
      </c>
      <c r="BG35" s="59">
        <f t="shared" ca="1" si="177"/>
        <v>0</v>
      </c>
      <c r="BH35" s="57">
        <f t="shared" ca="1" si="177"/>
        <v>0</v>
      </c>
      <c r="BI35" s="59">
        <f t="shared" ca="1" si="177"/>
        <v>0</v>
      </c>
      <c r="BJ35" s="55"/>
      <c r="BK35" s="59">
        <f t="shared" ca="1" si="201"/>
        <v>56018.176263590365</v>
      </c>
      <c r="BL35" s="59">
        <f t="shared" ca="1" si="201"/>
        <v>4059.6822587362221</v>
      </c>
      <c r="BM35" s="59">
        <f t="shared" ca="1" si="201"/>
        <v>0</v>
      </c>
      <c r="BN35" s="59">
        <f t="shared" ca="1" si="201"/>
        <v>0</v>
      </c>
      <c r="BO35" s="59">
        <f t="shared" ca="1" si="201"/>
        <v>22258.689290210714</v>
      </c>
      <c r="BP35" s="57">
        <f ca="1">INDEX('General Inputs'!$F$51:$AN$51,MATCH($H35,'General Inputs'!$F$50:$AN$50,0))*$AM35</f>
        <v>60777.287761852262</v>
      </c>
      <c r="BQ35" s="59">
        <f t="shared" ca="1" si="179"/>
        <v>0</v>
      </c>
      <c r="BR35" s="55"/>
      <c r="BS35" s="59">
        <f t="shared" ca="1" si="202"/>
        <v>56018.176263590365</v>
      </c>
      <c r="BT35" s="59">
        <f t="shared" ca="1" si="202"/>
        <v>4059.6822587362221</v>
      </c>
      <c r="BU35" s="59">
        <f t="shared" ca="1" si="202"/>
        <v>0</v>
      </c>
      <c r="BV35" s="59">
        <f t="shared" ca="1" si="202"/>
        <v>221666.48436201731</v>
      </c>
      <c r="BW35" s="59">
        <f t="shared" ca="1" si="202"/>
        <v>0</v>
      </c>
      <c r="BX35" s="59">
        <f t="shared" ca="1" si="202"/>
        <v>0</v>
      </c>
      <c r="BY35" s="57">
        <f ca="1">INDEX('General Inputs'!$F$51:$AN$51,MATCH($H35,'General Inputs'!$F$50:$AN$50,0))*$AM35</f>
        <v>60777.287761852262</v>
      </c>
      <c r="BZ35" s="55"/>
      <c r="CA35" s="88">
        <f t="shared" ca="1" si="203"/>
        <v>0</v>
      </c>
      <c r="CB35" s="88">
        <f t="shared" ca="1" si="203"/>
        <v>476400</v>
      </c>
      <c r="CC35" s="88">
        <f t="shared" ca="1" si="203"/>
        <v>476400</v>
      </c>
      <c r="CD35" s="88">
        <f t="shared" ca="1" si="203"/>
        <v>476400</v>
      </c>
      <c r="CE35" s="88">
        <f t="shared" ca="1" si="203"/>
        <v>476400</v>
      </c>
      <c r="CF35" s="88">
        <f t="shared" ca="1" si="203"/>
        <v>476400</v>
      </c>
      <c r="CG35" s="88">
        <f t="shared" ca="1" si="203"/>
        <v>0</v>
      </c>
      <c r="CH35" s="88">
        <f t="shared" ca="1" si="203"/>
        <v>0</v>
      </c>
      <c r="CI35" s="88">
        <f t="shared" ca="1" si="203"/>
        <v>0</v>
      </c>
      <c r="CJ35" s="88">
        <f t="shared" ca="1" si="203"/>
        <v>0</v>
      </c>
      <c r="CK35" s="88">
        <f t="shared" ca="1" si="204"/>
        <v>0</v>
      </c>
      <c r="CL35" s="88">
        <f t="shared" ca="1" si="204"/>
        <v>0</v>
      </c>
      <c r="CM35" s="88">
        <f t="shared" ca="1" si="204"/>
        <v>0</v>
      </c>
      <c r="CN35" s="88">
        <f t="shared" ca="1" si="204"/>
        <v>0</v>
      </c>
      <c r="CO35" s="88">
        <f t="shared" ca="1" si="204"/>
        <v>0</v>
      </c>
      <c r="CP35" s="88">
        <f t="shared" ca="1" si="204"/>
        <v>0</v>
      </c>
      <c r="CQ35" s="88">
        <f t="shared" ca="1" si="204"/>
        <v>0</v>
      </c>
      <c r="CR35" s="88">
        <f t="shared" ca="1" si="204"/>
        <v>0</v>
      </c>
      <c r="CS35" s="88">
        <f t="shared" ca="1" si="204"/>
        <v>0</v>
      </c>
      <c r="CT35" s="88">
        <f t="shared" ca="1" si="204"/>
        <v>0</v>
      </c>
      <c r="CU35" s="88">
        <f t="shared" ca="1" si="205"/>
        <v>0</v>
      </c>
      <c r="CV35" s="88">
        <f t="shared" ca="1" si="205"/>
        <v>0</v>
      </c>
      <c r="CW35" s="88">
        <f t="shared" ca="1" si="205"/>
        <v>0</v>
      </c>
      <c r="CX35" s="88">
        <f t="shared" ca="1" si="205"/>
        <v>0</v>
      </c>
      <c r="CY35" s="88">
        <f t="shared" ca="1" si="205"/>
        <v>0</v>
      </c>
      <c r="CZ35" s="88">
        <f t="shared" ca="1" si="205"/>
        <v>0</v>
      </c>
      <c r="DA35" s="88">
        <f t="shared" ca="1" si="205"/>
        <v>0</v>
      </c>
      <c r="DB35" s="88">
        <f t="shared" ca="1" si="205"/>
        <v>0</v>
      </c>
      <c r="DC35" s="88">
        <f t="shared" ca="1" si="205"/>
        <v>0</v>
      </c>
      <c r="DD35" s="88">
        <f t="shared" ca="1" si="205"/>
        <v>0</v>
      </c>
      <c r="DE35" s="88">
        <f t="shared" ca="1" si="205"/>
        <v>0</v>
      </c>
      <c r="DF35" s="88">
        <f t="shared" ca="1" si="205"/>
        <v>0</v>
      </c>
      <c r="DG35" s="88">
        <f t="shared" ca="1" si="205"/>
        <v>0</v>
      </c>
      <c r="DH35" s="88">
        <f t="shared" ca="1" si="205"/>
        <v>0</v>
      </c>
      <c r="DI35" s="88">
        <f t="shared" ca="1" si="205"/>
        <v>0</v>
      </c>
      <c r="DJ35" s="169"/>
      <c r="DK35" s="88">
        <f t="shared" ca="1" si="206"/>
        <v>0</v>
      </c>
      <c r="DL35" s="88">
        <f t="shared" ca="1" si="206"/>
        <v>48</v>
      </c>
      <c r="DM35" s="88">
        <f t="shared" ca="1" si="206"/>
        <v>48</v>
      </c>
      <c r="DN35" s="88">
        <f t="shared" ca="1" si="206"/>
        <v>48</v>
      </c>
      <c r="DO35" s="88">
        <f t="shared" ca="1" si="206"/>
        <v>48</v>
      </c>
      <c r="DP35" s="88">
        <f t="shared" ca="1" si="206"/>
        <v>48</v>
      </c>
      <c r="DQ35" s="88">
        <f t="shared" ca="1" si="206"/>
        <v>0</v>
      </c>
      <c r="DR35" s="88">
        <f t="shared" ca="1" si="206"/>
        <v>0</v>
      </c>
      <c r="DS35" s="88">
        <f t="shared" ca="1" si="206"/>
        <v>0</v>
      </c>
      <c r="DT35" s="88">
        <f t="shared" ca="1" si="206"/>
        <v>0</v>
      </c>
      <c r="DU35" s="88">
        <f t="shared" ca="1" si="207"/>
        <v>0</v>
      </c>
      <c r="DV35" s="88">
        <f t="shared" ca="1" si="207"/>
        <v>0</v>
      </c>
      <c r="DW35" s="88">
        <f t="shared" ca="1" si="207"/>
        <v>0</v>
      </c>
      <c r="DX35" s="88">
        <f t="shared" ca="1" si="207"/>
        <v>0</v>
      </c>
      <c r="DY35" s="88">
        <f t="shared" ca="1" si="207"/>
        <v>0</v>
      </c>
      <c r="DZ35" s="88">
        <f t="shared" ca="1" si="207"/>
        <v>0</v>
      </c>
      <c r="EA35" s="88">
        <f t="shared" ca="1" si="207"/>
        <v>0</v>
      </c>
      <c r="EB35" s="88">
        <f t="shared" ca="1" si="207"/>
        <v>0</v>
      </c>
      <c r="EC35" s="88">
        <f t="shared" ca="1" si="207"/>
        <v>0</v>
      </c>
      <c r="ED35" s="88">
        <f t="shared" ca="1" si="207"/>
        <v>0</v>
      </c>
      <c r="EE35" s="88">
        <f t="shared" ca="1" si="208"/>
        <v>0</v>
      </c>
      <c r="EF35" s="88">
        <f t="shared" ca="1" si="208"/>
        <v>0</v>
      </c>
      <c r="EG35" s="88">
        <f t="shared" ca="1" si="208"/>
        <v>0</v>
      </c>
      <c r="EH35" s="88">
        <f t="shared" ca="1" si="208"/>
        <v>0</v>
      </c>
      <c r="EI35" s="88">
        <f t="shared" ca="1" si="208"/>
        <v>0</v>
      </c>
      <c r="EJ35" s="88">
        <f t="shared" ca="1" si="208"/>
        <v>0</v>
      </c>
      <c r="EK35" s="88">
        <f t="shared" ca="1" si="208"/>
        <v>0</v>
      </c>
      <c r="EL35" s="88">
        <f t="shared" ca="1" si="208"/>
        <v>0</v>
      </c>
      <c r="EM35" s="88">
        <f t="shared" ca="1" si="208"/>
        <v>0</v>
      </c>
      <c r="EN35" s="88">
        <f t="shared" ca="1" si="208"/>
        <v>0</v>
      </c>
      <c r="EO35" s="88">
        <f t="shared" ca="1" si="208"/>
        <v>0</v>
      </c>
      <c r="EP35" s="88">
        <f t="shared" ca="1" si="208"/>
        <v>0</v>
      </c>
      <c r="EQ35" s="88">
        <f t="shared" ca="1" si="208"/>
        <v>0</v>
      </c>
      <c r="ER35" s="88">
        <f t="shared" ca="1" si="208"/>
        <v>0</v>
      </c>
      <c r="ES35" s="88">
        <f t="shared" ca="1" si="208"/>
        <v>0</v>
      </c>
      <c r="ET35" s="169"/>
      <c r="EU35" s="88">
        <f t="shared" ca="1" si="209"/>
        <v>0</v>
      </c>
      <c r="EV35" s="88">
        <f t="shared" ca="1" si="209"/>
        <v>0</v>
      </c>
      <c r="EW35" s="88">
        <f t="shared" ca="1" si="209"/>
        <v>0</v>
      </c>
      <c r="EX35" s="88">
        <f t="shared" ca="1" si="209"/>
        <v>0</v>
      </c>
      <c r="EY35" s="88">
        <f t="shared" ca="1" si="209"/>
        <v>0</v>
      </c>
      <c r="EZ35" s="88">
        <f t="shared" ca="1" si="209"/>
        <v>0</v>
      </c>
      <c r="FA35" s="88">
        <f t="shared" ca="1" si="209"/>
        <v>0</v>
      </c>
      <c r="FB35" s="88">
        <f t="shared" ca="1" si="209"/>
        <v>0</v>
      </c>
      <c r="FC35" s="88">
        <f t="shared" ca="1" si="209"/>
        <v>0</v>
      </c>
      <c r="FD35" s="88">
        <f t="shared" ca="1" si="209"/>
        <v>0</v>
      </c>
      <c r="FE35" s="88">
        <f t="shared" ca="1" si="210"/>
        <v>0</v>
      </c>
      <c r="FF35" s="88">
        <f t="shared" ca="1" si="210"/>
        <v>0</v>
      </c>
      <c r="FG35" s="88">
        <f t="shared" ca="1" si="210"/>
        <v>0</v>
      </c>
      <c r="FH35" s="88">
        <f t="shared" ca="1" si="210"/>
        <v>0</v>
      </c>
      <c r="FI35" s="88">
        <f t="shared" ca="1" si="210"/>
        <v>0</v>
      </c>
      <c r="FJ35" s="88">
        <f t="shared" ca="1" si="210"/>
        <v>0</v>
      </c>
      <c r="FK35" s="88">
        <f t="shared" ca="1" si="210"/>
        <v>0</v>
      </c>
      <c r="FL35" s="88">
        <f t="shared" ca="1" si="210"/>
        <v>0</v>
      </c>
      <c r="FM35" s="88">
        <f t="shared" ca="1" si="210"/>
        <v>0</v>
      </c>
      <c r="FN35" s="88">
        <f t="shared" ca="1" si="210"/>
        <v>0</v>
      </c>
      <c r="FO35" s="88">
        <f t="shared" ca="1" si="211"/>
        <v>0</v>
      </c>
      <c r="FP35" s="88">
        <f t="shared" ca="1" si="211"/>
        <v>0</v>
      </c>
      <c r="FQ35" s="88">
        <f t="shared" ca="1" si="211"/>
        <v>0</v>
      </c>
      <c r="FR35" s="88">
        <f t="shared" ca="1" si="211"/>
        <v>0</v>
      </c>
      <c r="FS35" s="88">
        <f t="shared" ca="1" si="211"/>
        <v>0</v>
      </c>
      <c r="FT35" s="88">
        <f t="shared" ca="1" si="211"/>
        <v>0</v>
      </c>
      <c r="FU35" s="88">
        <f t="shared" ca="1" si="211"/>
        <v>0</v>
      </c>
      <c r="FV35" s="88">
        <f t="shared" ca="1" si="211"/>
        <v>0</v>
      </c>
      <c r="FW35" s="88">
        <f t="shared" ca="1" si="211"/>
        <v>0</v>
      </c>
      <c r="FX35" s="88">
        <f t="shared" ca="1" si="211"/>
        <v>0</v>
      </c>
      <c r="FY35" s="88">
        <f t="shared" ca="1" si="211"/>
        <v>0</v>
      </c>
      <c r="FZ35" s="88">
        <f t="shared" ca="1" si="211"/>
        <v>0</v>
      </c>
      <c r="GA35" s="88">
        <f t="shared" ca="1" si="211"/>
        <v>0</v>
      </c>
      <c r="GB35" s="88">
        <f t="shared" ca="1" si="211"/>
        <v>0</v>
      </c>
      <c r="GC35" s="88">
        <f t="shared" ca="1" si="211"/>
        <v>0</v>
      </c>
      <c r="GD35" s="60"/>
    </row>
    <row r="36" spans="1:186" s="54" customFormat="1">
      <c r="A36" s="61"/>
      <c r="B36" s="100" t="str">
        <f t="shared" si="0"/>
        <v>Residential_Weatherization_0_All_2018</v>
      </c>
      <c r="C36" s="146"/>
      <c r="D36" s="136" t="s">
        <v>2</v>
      </c>
      <c r="E36" s="136" t="s">
        <v>253</v>
      </c>
      <c r="F36" s="136">
        <v>0</v>
      </c>
      <c r="G36" s="136" t="s">
        <v>98</v>
      </c>
      <c r="H36" s="136">
        <v>2018</v>
      </c>
      <c r="I36" s="55"/>
      <c r="J36" s="58">
        <f t="shared" ca="1" si="163"/>
        <v>0.75267754676526255</v>
      </c>
      <c r="K36" s="58">
        <f t="shared" ca="1" si="190"/>
        <v>0.75267754676526255</v>
      </c>
      <c r="L36" s="58" t="str">
        <f t="shared" ca="1" si="164"/>
        <v>n/a</v>
      </c>
      <c r="M36" s="58">
        <f t="shared" ca="1" si="165"/>
        <v>1.0064647214002518</v>
      </c>
      <c r="N36" s="58">
        <f t="shared" ca="1" si="166"/>
        <v>0.20615710415230401</v>
      </c>
      <c r="O36" s="55"/>
      <c r="P36" s="175">
        <f ca="1">IFERROR(($AW36+AV36)/SUMPRODUCT($CA36:$DI36,'General Inputs'!$F$51:$AN$51),"n/a")</f>
        <v>4.7134866335324523E-2</v>
      </c>
      <c r="Q36" s="175">
        <f t="shared" ca="1" si="167"/>
        <v>0.37439044436411689</v>
      </c>
      <c r="R36" s="56">
        <f t="shared" ca="1" si="195"/>
        <v>452.26257254776698</v>
      </c>
      <c r="S36" s="55"/>
      <c r="T36" s="56"/>
      <c r="U36" s="146"/>
      <c r="V36" s="137"/>
      <c r="W36" s="55"/>
      <c r="X36" s="138">
        <f t="shared" ca="1" si="169"/>
        <v>35337.440362481691</v>
      </c>
      <c r="Y36" s="138">
        <f t="shared" ca="1" si="169"/>
        <v>5.9845573556071914</v>
      </c>
      <c r="Z36" s="138">
        <f t="shared" ca="1" si="169"/>
        <v>0</v>
      </c>
      <c r="AA36" s="55"/>
      <c r="AB36" s="138">
        <f t="shared" ca="1" si="170"/>
        <v>0</v>
      </c>
      <c r="AC36" s="138">
        <f t="shared" ca="1" si="170"/>
        <v>0</v>
      </c>
      <c r="AD36" s="138">
        <f t="shared" ca="1" si="170"/>
        <v>0</v>
      </c>
      <c r="AE36" s="55"/>
      <c r="AF36" s="57">
        <f t="shared" ca="1" si="196"/>
        <v>0</v>
      </c>
      <c r="AG36" s="57">
        <f t="shared" ca="1" si="196"/>
        <v>0</v>
      </c>
      <c r="AH36" s="57">
        <f t="shared" ca="1" si="196"/>
        <v>0</v>
      </c>
      <c r="AI36" s="57">
        <f t="shared" ca="1" si="196"/>
        <v>0</v>
      </c>
      <c r="AJ36" s="57">
        <f t="shared" ca="1" si="196"/>
        <v>0</v>
      </c>
      <c r="AK36" s="63"/>
      <c r="AL36" s="88"/>
      <c r="AM36" s="57">
        <f ca="1">SUMIFS(OFFSET('Program Inputs'!$N$5,,,TotalPrograms),OFFSET('Program Inputs'!$B$5,,,TotalPrograms),SUBSTITUTE($B36,"All","*"))+AF36</f>
        <v>13230</v>
      </c>
      <c r="AN36" s="57">
        <f t="shared" ca="1" si="197"/>
        <v>13230</v>
      </c>
      <c r="AO36" s="55"/>
      <c r="AP36" s="59">
        <f t="shared" ca="1" si="198"/>
        <v>9149.1399703274747</v>
      </c>
      <c r="AQ36" s="59">
        <f t="shared" ca="1" si="199"/>
        <v>12155.457552370452</v>
      </c>
      <c r="AR36" s="59">
        <f t="shared" ca="1" si="200"/>
        <v>8143.4484153093008</v>
      </c>
      <c r="AS36" s="59">
        <f t="shared" ca="1" si="200"/>
        <v>1005.6915550181747</v>
      </c>
      <c r="AT36" s="59">
        <f t="shared" ca="1" si="200"/>
        <v>0</v>
      </c>
      <c r="AU36" s="59">
        <f t="shared" ca="1" si="200"/>
        <v>0</v>
      </c>
      <c r="AV36" s="59">
        <f t="shared" ca="1" si="200"/>
        <v>0</v>
      </c>
      <c r="AW36" s="57">
        <f ca="1">INDEX('General Inputs'!$F$51:$AN$51,MATCH($H36,'General Inputs'!$F$50:$AN$50,0))*$AM36</f>
        <v>12155.457552370452</v>
      </c>
      <c r="AX36" s="59">
        <f t="shared" ca="1" si="175"/>
        <v>0</v>
      </c>
      <c r="AY36" s="55"/>
      <c r="AZ36" s="59">
        <f t="shared" ca="1" si="176"/>
        <v>8143.4484153093008</v>
      </c>
      <c r="BA36" s="59">
        <f t="shared" ca="1" si="176"/>
        <v>1005.6915550181747</v>
      </c>
      <c r="BB36" s="59">
        <f t="shared" ca="1" si="176"/>
        <v>0</v>
      </c>
      <c r="BC36" s="59">
        <f t="shared" ca="1" si="176"/>
        <v>0</v>
      </c>
      <c r="BD36" s="57">
        <f ca="1">INDEX('General Inputs'!$F$51:$AN$51,MATCH($H36,'General Inputs'!$F$50:$AN$50,0))*$AM36</f>
        <v>12155.457552370452</v>
      </c>
      <c r="BE36" s="55"/>
      <c r="BF36" s="59">
        <f t="shared" ca="1" si="177"/>
        <v>32223.997659458222</v>
      </c>
      <c r="BG36" s="59">
        <f t="shared" ca="1" si="177"/>
        <v>0</v>
      </c>
      <c r="BH36" s="57">
        <f t="shared" ca="1" si="177"/>
        <v>0</v>
      </c>
      <c r="BI36" s="59">
        <f t="shared" ca="1" si="177"/>
        <v>0</v>
      </c>
      <c r="BJ36" s="55"/>
      <c r="BK36" s="59">
        <f t="shared" ca="1" si="201"/>
        <v>8143.4484153093008</v>
      </c>
      <c r="BL36" s="59">
        <f t="shared" ca="1" si="201"/>
        <v>1005.6915550181747</v>
      </c>
      <c r="BM36" s="59">
        <f t="shared" ca="1" si="201"/>
        <v>0</v>
      </c>
      <c r="BN36" s="59">
        <f t="shared" ca="1" si="201"/>
        <v>0</v>
      </c>
      <c r="BO36" s="59">
        <f t="shared" ca="1" si="201"/>
        <v>3084.8992286116368</v>
      </c>
      <c r="BP36" s="57">
        <f ca="1">INDEX('General Inputs'!$F$51:$AN$51,MATCH($H36,'General Inputs'!$F$50:$AN$50,0))*$AM36</f>
        <v>12155.457552370452</v>
      </c>
      <c r="BQ36" s="59">
        <f t="shared" ca="1" si="179"/>
        <v>0</v>
      </c>
      <c r="BR36" s="55"/>
      <c r="BS36" s="59">
        <f t="shared" ca="1" si="202"/>
        <v>8143.4484153093008</v>
      </c>
      <c r="BT36" s="59">
        <f t="shared" ca="1" si="202"/>
        <v>1005.6915550181747</v>
      </c>
      <c r="BU36" s="59">
        <f t="shared" ca="1" si="202"/>
        <v>0</v>
      </c>
      <c r="BV36" s="59">
        <f t="shared" ca="1" si="202"/>
        <v>32223.997659458222</v>
      </c>
      <c r="BW36" s="59">
        <f t="shared" ca="1" si="202"/>
        <v>0</v>
      </c>
      <c r="BX36" s="59">
        <f t="shared" ca="1" si="202"/>
        <v>0</v>
      </c>
      <c r="BY36" s="57">
        <f ca="1">INDEX('General Inputs'!$F$51:$AN$51,MATCH($H36,'General Inputs'!$F$50:$AN$50,0))*$AM36</f>
        <v>12155.457552370452</v>
      </c>
      <c r="BZ36" s="55"/>
      <c r="CA36" s="88">
        <f t="shared" ca="1" si="203"/>
        <v>0</v>
      </c>
      <c r="CB36" s="88">
        <f t="shared" ca="1" si="203"/>
        <v>35337.440362481691</v>
      </c>
      <c r="CC36" s="88">
        <f t="shared" ca="1" si="203"/>
        <v>35337.440362481691</v>
      </c>
      <c r="CD36" s="88">
        <f t="shared" ca="1" si="203"/>
        <v>34580.870301831405</v>
      </c>
      <c r="CE36" s="88">
        <f t="shared" ca="1" si="203"/>
        <v>34580.870301831405</v>
      </c>
      <c r="CF36" s="88">
        <f t="shared" ca="1" si="203"/>
        <v>34580.870301831405</v>
      </c>
      <c r="CG36" s="88">
        <f t="shared" ca="1" si="203"/>
        <v>32435.870301831405</v>
      </c>
      <c r="CH36" s="88">
        <f t="shared" ca="1" si="203"/>
        <v>32435.870301831405</v>
      </c>
      <c r="CI36" s="88">
        <f t="shared" ca="1" si="203"/>
        <v>32435.870301831405</v>
      </c>
      <c r="CJ36" s="88">
        <f t="shared" ca="1" si="203"/>
        <v>32435.870301831405</v>
      </c>
      <c r="CK36" s="88">
        <f t="shared" ca="1" si="204"/>
        <v>30377.908369367575</v>
      </c>
      <c r="CL36" s="88">
        <f t="shared" ca="1" si="204"/>
        <v>23544.738268123267</v>
      </c>
      <c r="CM36" s="88">
        <f t="shared" ca="1" si="204"/>
        <v>23544.738268123267</v>
      </c>
      <c r="CN36" s="88">
        <f t="shared" ca="1" si="204"/>
        <v>23544.738268123267</v>
      </c>
      <c r="CO36" s="88">
        <f t="shared" ca="1" si="204"/>
        <v>23544.738268123267</v>
      </c>
      <c r="CP36" s="88">
        <f t="shared" ca="1" si="204"/>
        <v>23544.738268123267</v>
      </c>
      <c r="CQ36" s="88">
        <f t="shared" ca="1" si="204"/>
        <v>0</v>
      </c>
      <c r="CR36" s="88">
        <f t="shared" ca="1" si="204"/>
        <v>0</v>
      </c>
      <c r="CS36" s="88">
        <f t="shared" ca="1" si="204"/>
        <v>0</v>
      </c>
      <c r="CT36" s="88">
        <f t="shared" ca="1" si="204"/>
        <v>0</v>
      </c>
      <c r="CU36" s="88">
        <f t="shared" ca="1" si="205"/>
        <v>0</v>
      </c>
      <c r="CV36" s="88">
        <f t="shared" ca="1" si="205"/>
        <v>0</v>
      </c>
      <c r="CW36" s="88">
        <f t="shared" ca="1" si="205"/>
        <v>0</v>
      </c>
      <c r="CX36" s="88">
        <f t="shared" ca="1" si="205"/>
        <v>0</v>
      </c>
      <c r="CY36" s="88">
        <f t="shared" ca="1" si="205"/>
        <v>0</v>
      </c>
      <c r="CZ36" s="88">
        <f t="shared" ca="1" si="205"/>
        <v>0</v>
      </c>
      <c r="DA36" s="88">
        <f t="shared" ca="1" si="205"/>
        <v>0</v>
      </c>
      <c r="DB36" s="88">
        <f t="shared" ca="1" si="205"/>
        <v>0</v>
      </c>
      <c r="DC36" s="88">
        <f t="shared" ca="1" si="205"/>
        <v>0</v>
      </c>
      <c r="DD36" s="88">
        <f t="shared" ca="1" si="205"/>
        <v>0</v>
      </c>
      <c r="DE36" s="88">
        <f t="shared" ca="1" si="205"/>
        <v>0</v>
      </c>
      <c r="DF36" s="88">
        <f t="shared" ca="1" si="205"/>
        <v>0</v>
      </c>
      <c r="DG36" s="88">
        <f t="shared" ca="1" si="205"/>
        <v>0</v>
      </c>
      <c r="DH36" s="88">
        <f t="shared" ca="1" si="205"/>
        <v>0</v>
      </c>
      <c r="DI36" s="88">
        <f t="shared" ca="1" si="205"/>
        <v>0</v>
      </c>
      <c r="DJ36" s="169"/>
      <c r="DK36" s="88">
        <f t="shared" ca="1" si="206"/>
        <v>0</v>
      </c>
      <c r="DL36" s="88">
        <f t="shared" ca="1" si="206"/>
        <v>5.9845573556071914</v>
      </c>
      <c r="DM36" s="88">
        <f t="shared" ca="1" si="206"/>
        <v>5.9845573556071914</v>
      </c>
      <c r="DN36" s="88">
        <f t="shared" ca="1" si="206"/>
        <v>5.8982500249375258</v>
      </c>
      <c r="DO36" s="88">
        <f t="shared" ca="1" si="206"/>
        <v>5.8982500249375258</v>
      </c>
      <c r="DP36" s="88">
        <f t="shared" ca="1" si="206"/>
        <v>5.8982500249375258</v>
      </c>
      <c r="DQ36" s="88">
        <f t="shared" ca="1" si="206"/>
        <v>5.6522500249375254</v>
      </c>
      <c r="DR36" s="88">
        <f t="shared" ca="1" si="206"/>
        <v>5.6522500249375254</v>
      </c>
      <c r="DS36" s="88">
        <f t="shared" ca="1" si="206"/>
        <v>5.6522500249375254</v>
      </c>
      <c r="DT36" s="88">
        <f t="shared" ca="1" si="206"/>
        <v>5.6522500249375254</v>
      </c>
      <c r="DU36" s="88">
        <f t="shared" ca="1" si="207"/>
        <v>4.7815738227412901</v>
      </c>
      <c r="DV36" s="88">
        <f t="shared" ca="1" si="207"/>
        <v>4.1692106111878076</v>
      </c>
      <c r="DW36" s="88">
        <f t="shared" ca="1" si="207"/>
        <v>4.1692106111878076</v>
      </c>
      <c r="DX36" s="88">
        <f t="shared" ca="1" si="207"/>
        <v>4.1692106111878076</v>
      </c>
      <c r="DY36" s="88">
        <f t="shared" ca="1" si="207"/>
        <v>4.1692106111878076</v>
      </c>
      <c r="DZ36" s="88">
        <f t="shared" ca="1" si="207"/>
        <v>4.1692106111878076</v>
      </c>
      <c r="EA36" s="88">
        <f t="shared" ca="1" si="207"/>
        <v>0</v>
      </c>
      <c r="EB36" s="88">
        <f t="shared" ca="1" si="207"/>
        <v>0</v>
      </c>
      <c r="EC36" s="88">
        <f t="shared" ca="1" si="207"/>
        <v>0</v>
      </c>
      <c r="ED36" s="88">
        <f t="shared" ca="1" si="207"/>
        <v>0</v>
      </c>
      <c r="EE36" s="88">
        <f t="shared" ca="1" si="208"/>
        <v>0</v>
      </c>
      <c r="EF36" s="88">
        <f t="shared" ca="1" si="208"/>
        <v>0</v>
      </c>
      <c r="EG36" s="88">
        <f t="shared" ca="1" si="208"/>
        <v>0</v>
      </c>
      <c r="EH36" s="88">
        <f t="shared" ca="1" si="208"/>
        <v>0</v>
      </c>
      <c r="EI36" s="88">
        <f t="shared" ca="1" si="208"/>
        <v>0</v>
      </c>
      <c r="EJ36" s="88">
        <f t="shared" ca="1" si="208"/>
        <v>0</v>
      </c>
      <c r="EK36" s="88">
        <f t="shared" ca="1" si="208"/>
        <v>0</v>
      </c>
      <c r="EL36" s="88">
        <f t="shared" ca="1" si="208"/>
        <v>0</v>
      </c>
      <c r="EM36" s="88">
        <f t="shared" ca="1" si="208"/>
        <v>0</v>
      </c>
      <c r="EN36" s="88">
        <f t="shared" ca="1" si="208"/>
        <v>0</v>
      </c>
      <c r="EO36" s="88">
        <f t="shared" ca="1" si="208"/>
        <v>0</v>
      </c>
      <c r="EP36" s="88">
        <f t="shared" ca="1" si="208"/>
        <v>0</v>
      </c>
      <c r="EQ36" s="88">
        <f t="shared" ca="1" si="208"/>
        <v>0</v>
      </c>
      <c r="ER36" s="88">
        <f t="shared" ca="1" si="208"/>
        <v>0</v>
      </c>
      <c r="ES36" s="88">
        <f t="shared" ca="1" si="208"/>
        <v>0</v>
      </c>
      <c r="ET36" s="169"/>
      <c r="EU36" s="88">
        <f t="shared" ca="1" si="209"/>
        <v>0</v>
      </c>
      <c r="EV36" s="88">
        <f t="shared" ca="1" si="209"/>
        <v>0</v>
      </c>
      <c r="EW36" s="88">
        <f t="shared" ca="1" si="209"/>
        <v>0</v>
      </c>
      <c r="EX36" s="88">
        <f t="shared" ca="1" si="209"/>
        <v>0</v>
      </c>
      <c r="EY36" s="88">
        <f t="shared" ca="1" si="209"/>
        <v>0</v>
      </c>
      <c r="EZ36" s="88">
        <f t="shared" ca="1" si="209"/>
        <v>0</v>
      </c>
      <c r="FA36" s="88">
        <f t="shared" ca="1" si="209"/>
        <v>0</v>
      </c>
      <c r="FB36" s="88">
        <f t="shared" ca="1" si="209"/>
        <v>0</v>
      </c>
      <c r="FC36" s="88">
        <f t="shared" ca="1" si="209"/>
        <v>0</v>
      </c>
      <c r="FD36" s="88">
        <f t="shared" ca="1" si="209"/>
        <v>0</v>
      </c>
      <c r="FE36" s="88">
        <f t="shared" ca="1" si="210"/>
        <v>0</v>
      </c>
      <c r="FF36" s="88">
        <f t="shared" ca="1" si="210"/>
        <v>0</v>
      </c>
      <c r="FG36" s="88">
        <f t="shared" ca="1" si="210"/>
        <v>0</v>
      </c>
      <c r="FH36" s="88">
        <f t="shared" ca="1" si="210"/>
        <v>0</v>
      </c>
      <c r="FI36" s="88">
        <f t="shared" ca="1" si="210"/>
        <v>0</v>
      </c>
      <c r="FJ36" s="88">
        <f t="shared" ca="1" si="210"/>
        <v>0</v>
      </c>
      <c r="FK36" s="88">
        <f t="shared" ca="1" si="210"/>
        <v>0</v>
      </c>
      <c r="FL36" s="88">
        <f t="shared" ca="1" si="210"/>
        <v>0</v>
      </c>
      <c r="FM36" s="88">
        <f t="shared" ca="1" si="210"/>
        <v>0</v>
      </c>
      <c r="FN36" s="88">
        <f t="shared" ca="1" si="210"/>
        <v>0</v>
      </c>
      <c r="FO36" s="88">
        <f t="shared" ca="1" si="211"/>
        <v>0</v>
      </c>
      <c r="FP36" s="88">
        <f t="shared" ca="1" si="211"/>
        <v>0</v>
      </c>
      <c r="FQ36" s="88">
        <f t="shared" ca="1" si="211"/>
        <v>0</v>
      </c>
      <c r="FR36" s="88">
        <f t="shared" ca="1" si="211"/>
        <v>0</v>
      </c>
      <c r="FS36" s="88">
        <f t="shared" ca="1" si="211"/>
        <v>0</v>
      </c>
      <c r="FT36" s="88">
        <f t="shared" ca="1" si="211"/>
        <v>0</v>
      </c>
      <c r="FU36" s="88">
        <f t="shared" ca="1" si="211"/>
        <v>0</v>
      </c>
      <c r="FV36" s="88">
        <f t="shared" ca="1" si="211"/>
        <v>0</v>
      </c>
      <c r="FW36" s="88">
        <f t="shared" ca="1" si="211"/>
        <v>0</v>
      </c>
      <c r="FX36" s="88">
        <f t="shared" ca="1" si="211"/>
        <v>0</v>
      </c>
      <c r="FY36" s="88">
        <f t="shared" ca="1" si="211"/>
        <v>0</v>
      </c>
      <c r="FZ36" s="88">
        <f t="shared" ca="1" si="211"/>
        <v>0</v>
      </c>
      <c r="GA36" s="88">
        <f t="shared" ca="1" si="211"/>
        <v>0</v>
      </c>
      <c r="GB36" s="88">
        <f t="shared" ca="1" si="211"/>
        <v>0</v>
      </c>
      <c r="GC36" s="88">
        <f t="shared" ca="1" si="211"/>
        <v>0</v>
      </c>
      <c r="GD36" s="60"/>
    </row>
    <row r="37" spans="1:186" s="54" customFormat="1">
      <c r="A37" s="61"/>
      <c r="B37" s="100" t="str">
        <f t="shared" si="0"/>
        <v>C&amp;I_C&amp;I Custom_0_All_2018</v>
      </c>
      <c r="C37" s="146"/>
      <c r="D37" s="136" t="s">
        <v>256</v>
      </c>
      <c r="E37" s="136" t="s">
        <v>254</v>
      </c>
      <c r="F37" s="136">
        <v>0</v>
      </c>
      <c r="G37" s="136" t="s">
        <v>98</v>
      </c>
      <c r="H37" s="136">
        <v>2018</v>
      </c>
      <c r="I37" s="55"/>
      <c r="J37" s="58">
        <f t="shared" ca="1" si="163"/>
        <v>1.074290065430006</v>
      </c>
      <c r="K37" s="58">
        <f t="shared" ca="1" si="190"/>
        <v>1.7704569635566276</v>
      </c>
      <c r="L37" s="58">
        <f t="shared" ca="1" si="164"/>
        <v>0.49994333136042518</v>
      </c>
      <c r="M37" s="58">
        <f t="shared" ca="1" si="165"/>
        <v>1.4181050893957667</v>
      </c>
      <c r="N37" s="58">
        <f t="shared" ca="1" si="166"/>
        <v>1.7704569635566276</v>
      </c>
      <c r="O37" s="55"/>
      <c r="P37" s="175">
        <f ca="1">IFERROR(($AW37+AV37)/SUMPRODUCT($CA37:$DI37,'General Inputs'!$F$51:$AN$51),"n/a")</f>
        <v>2.1111703868044354E-2</v>
      </c>
      <c r="Q37" s="175">
        <f t="shared" ca="1" si="167"/>
        <v>0.18698083173189722</v>
      </c>
      <c r="R37" s="56">
        <f t="shared" ca="1" si="195"/>
        <v>29986.180257446817</v>
      </c>
      <c r="S37" s="55"/>
      <c r="T37" s="56"/>
      <c r="U37" s="146"/>
      <c r="V37" s="137"/>
      <c r="W37" s="55"/>
      <c r="X37" s="138">
        <f t="shared" ca="1" si="169"/>
        <v>1999078.6838297872</v>
      </c>
      <c r="Y37" s="138">
        <f t="shared" ca="1" si="169"/>
        <v>484.29976595744682</v>
      </c>
      <c r="Z37" s="138">
        <f t="shared" ca="1" si="169"/>
        <v>0</v>
      </c>
      <c r="AA37" s="55"/>
      <c r="AB37" s="138">
        <f t="shared" ca="1" si="170"/>
        <v>0</v>
      </c>
      <c r="AC37" s="138">
        <f t="shared" ca="1" si="170"/>
        <v>0</v>
      </c>
      <c r="AD37" s="138">
        <f t="shared" ca="1" si="170"/>
        <v>0</v>
      </c>
      <c r="AE37" s="55"/>
      <c r="AF37" s="57">
        <f t="shared" ca="1" si="196"/>
        <v>0</v>
      </c>
      <c r="AG37" s="57">
        <f t="shared" ca="1" si="196"/>
        <v>484394.89999999997</v>
      </c>
      <c r="AH37" s="57">
        <f t="shared" ca="1" si="196"/>
        <v>0</v>
      </c>
      <c r="AI37" s="57">
        <f t="shared" ca="1" si="196"/>
        <v>242170</v>
      </c>
      <c r="AJ37" s="57">
        <f t="shared" ca="1" si="196"/>
        <v>0</v>
      </c>
      <c r="AK37" s="63"/>
      <c r="AL37" s="88"/>
      <c r="AM37" s="57">
        <f ca="1">SUMIFS(OFFSET('Program Inputs'!$N$5,,,TotalPrograms),OFFSET('Program Inputs'!$B$5,,,TotalPrograms),SUBSTITUTE($B37,"All","*"))+AF37</f>
        <v>131619.39499999999</v>
      </c>
      <c r="AN37" s="57">
        <f t="shared" ca="1" si="197"/>
        <v>373789.39500000002</v>
      </c>
      <c r="AO37" s="55"/>
      <c r="AP37" s="59">
        <f t="shared" ca="1" si="198"/>
        <v>608028.33267306956</v>
      </c>
      <c r="AQ37" s="59">
        <f t="shared" ca="1" si="199"/>
        <v>565981.52793090767</v>
      </c>
      <c r="AR37" s="59">
        <f t="shared" ca="1" si="200"/>
        <v>517800.51693530183</v>
      </c>
      <c r="AS37" s="59">
        <f t="shared" ca="1" si="200"/>
        <v>90227.815737767683</v>
      </c>
      <c r="AT37" s="59">
        <f t="shared" ca="1" si="200"/>
        <v>0</v>
      </c>
      <c r="AU37" s="59">
        <f t="shared" ca="1" si="200"/>
        <v>0</v>
      </c>
      <c r="AV37" s="59">
        <f t="shared" ca="1" si="200"/>
        <v>222500.91877986034</v>
      </c>
      <c r="AW37" s="57">
        <f ca="1">INDEX('General Inputs'!$F$51:$AN$51,MATCH($H37,'General Inputs'!$F$50:$AN$50,0))*$AM37</f>
        <v>120929.24935685408</v>
      </c>
      <c r="AX37" s="59">
        <f t="shared" ca="1" si="175"/>
        <v>445052.27857405361</v>
      </c>
      <c r="AY37" s="55"/>
      <c r="AZ37" s="59">
        <f t="shared" ca="1" si="176"/>
        <v>517800.51693530183</v>
      </c>
      <c r="BA37" s="59">
        <f t="shared" ca="1" si="176"/>
        <v>90227.815737767683</v>
      </c>
      <c r="BB37" s="59">
        <f t="shared" ca="1" si="176"/>
        <v>0</v>
      </c>
      <c r="BC37" s="59">
        <f t="shared" ca="1" si="176"/>
        <v>222500.91877986034</v>
      </c>
      <c r="BD37" s="57">
        <f ca="1">INDEX('General Inputs'!$F$51:$AN$51,MATCH($H37,'General Inputs'!$F$50:$AN$50,0))*$AM37</f>
        <v>120929.24935685408</v>
      </c>
      <c r="BE37" s="55"/>
      <c r="BF37" s="59">
        <f t="shared" ca="1" si="177"/>
        <v>0</v>
      </c>
      <c r="BG37" s="59">
        <f t="shared" ca="1" si="177"/>
        <v>0</v>
      </c>
      <c r="BH37" s="57">
        <f t="shared" ca="1" si="177"/>
        <v>222500.91877986034</v>
      </c>
      <c r="BI37" s="59">
        <f t="shared" ca="1" si="177"/>
        <v>445052.27857405361</v>
      </c>
      <c r="BJ37" s="55"/>
      <c r="BK37" s="59">
        <f t="shared" ca="1" si="201"/>
        <v>517800.51693530183</v>
      </c>
      <c r="BL37" s="59">
        <f t="shared" ca="1" si="201"/>
        <v>90227.815737767683</v>
      </c>
      <c r="BM37" s="59">
        <f t="shared" ca="1" si="201"/>
        <v>0</v>
      </c>
      <c r="BN37" s="59">
        <f t="shared" ca="1" si="201"/>
        <v>0</v>
      </c>
      <c r="BO37" s="59">
        <f t="shared" ca="1" si="201"/>
        <v>194592.95258974296</v>
      </c>
      <c r="BP37" s="57">
        <f ca="1">INDEX('General Inputs'!$F$51:$AN$51,MATCH($H37,'General Inputs'!$F$50:$AN$50,0))*$AM37</f>
        <v>120929.24935685408</v>
      </c>
      <c r="BQ37" s="59">
        <f t="shared" ca="1" si="179"/>
        <v>445052.27857405361</v>
      </c>
      <c r="BR37" s="55"/>
      <c r="BS37" s="59">
        <f t="shared" ca="1" si="202"/>
        <v>517800.51693530183</v>
      </c>
      <c r="BT37" s="59">
        <f t="shared" ca="1" si="202"/>
        <v>90227.815737767683</v>
      </c>
      <c r="BU37" s="59">
        <f t="shared" ca="1" si="202"/>
        <v>0</v>
      </c>
      <c r="BV37" s="59">
        <f t="shared" ca="1" si="202"/>
        <v>0</v>
      </c>
      <c r="BW37" s="59">
        <f t="shared" ca="1" si="202"/>
        <v>0</v>
      </c>
      <c r="BX37" s="59">
        <f t="shared" ca="1" si="202"/>
        <v>222500.91877986034</v>
      </c>
      <c r="BY37" s="57">
        <f ca="1">INDEX('General Inputs'!$F$51:$AN$51,MATCH($H37,'General Inputs'!$F$50:$AN$50,0))*$AM37</f>
        <v>120929.24935685408</v>
      </c>
      <c r="BZ37" s="55"/>
      <c r="CA37" s="88">
        <f t="shared" ca="1" si="203"/>
        <v>0</v>
      </c>
      <c r="CB37" s="88">
        <f t="shared" ca="1" si="203"/>
        <v>1999078.6838297872</v>
      </c>
      <c r="CC37" s="88">
        <f t="shared" ca="1" si="203"/>
        <v>1999078.6838297872</v>
      </c>
      <c r="CD37" s="88">
        <f t="shared" ca="1" si="203"/>
        <v>1999078.6838297872</v>
      </c>
      <c r="CE37" s="88">
        <f t="shared" ca="1" si="203"/>
        <v>1999078.6838297872</v>
      </c>
      <c r="CF37" s="88">
        <f t="shared" ca="1" si="203"/>
        <v>1999078.6838297872</v>
      </c>
      <c r="CG37" s="88">
        <f t="shared" ca="1" si="203"/>
        <v>1999078.6838297872</v>
      </c>
      <c r="CH37" s="88">
        <f t="shared" ca="1" si="203"/>
        <v>1999078.6838297872</v>
      </c>
      <c r="CI37" s="88">
        <f t="shared" ca="1" si="203"/>
        <v>1999078.6838297872</v>
      </c>
      <c r="CJ37" s="88">
        <f t="shared" ca="1" si="203"/>
        <v>1999078.6838297872</v>
      </c>
      <c r="CK37" s="88">
        <f t="shared" ca="1" si="204"/>
        <v>1999078.6838297872</v>
      </c>
      <c r="CL37" s="88">
        <f t="shared" ca="1" si="204"/>
        <v>1999078.6838297872</v>
      </c>
      <c r="CM37" s="88">
        <f t="shared" ca="1" si="204"/>
        <v>1999078.6838297872</v>
      </c>
      <c r="CN37" s="88">
        <f t="shared" ca="1" si="204"/>
        <v>1999078.6838297872</v>
      </c>
      <c r="CO37" s="88">
        <f t="shared" ca="1" si="204"/>
        <v>1999078.6838297872</v>
      </c>
      <c r="CP37" s="88">
        <f t="shared" ca="1" si="204"/>
        <v>1999078.6838297872</v>
      </c>
      <c r="CQ37" s="88">
        <f t="shared" ca="1" si="204"/>
        <v>0</v>
      </c>
      <c r="CR37" s="88">
        <f t="shared" ca="1" si="204"/>
        <v>0</v>
      </c>
      <c r="CS37" s="88">
        <f t="shared" ca="1" si="204"/>
        <v>0</v>
      </c>
      <c r="CT37" s="88">
        <f t="shared" ca="1" si="204"/>
        <v>0</v>
      </c>
      <c r="CU37" s="88">
        <f t="shared" ca="1" si="205"/>
        <v>0</v>
      </c>
      <c r="CV37" s="88">
        <f t="shared" ca="1" si="205"/>
        <v>0</v>
      </c>
      <c r="CW37" s="88">
        <f t="shared" ca="1" si="205"/>
        <v>0</v>
      </c>
      <c r="CX37" s="88">
        <f t="shared" ca="1" si="205"/>
        <v>0</v>
      </c>
      <c r="CY37" s="88">
        <f t="shared" ca="1" si="205"/>
        <v>0</v>
      </c>
      <c r="CZ37" s="88">
        <f t="shared" ca="1" si="205"/>
        <v>0</v>
      </c>
      <c r="DA37" s="88">
        <f t="shared" ca="1" si="205"/>
        <v>0</v>
      </c>
      <c r="DB37" s="88">
        <f t="shared" ca="1" si="205"/>
        <v>0</v>
      </c>
      <c r="DC37" s="88">
        <f t="shared" ca="1" si="205"/>
        <v>0</v>
      </c>
      <c r="DD37" s="88">
        <f t="shared" ca="1" si="205"/>
        <v>0</v>
      </c>
      <c r="DE37" s="88">
        <f t="shared" ca="1" si="205"/>
        <v>0</v>
      </c>
      <c r="DF37" s="88">
        <f t="shared" ca="1" si="205"/>
        <v>0</v>
      </c>
      <c r="DG37" s="88">
        <f t="shared" ca="1" si="205"/>
        <v>0</v>
      </c>
      <c r="DH37" s="88">
        <f t="shared" ca="1" si="205"/>
        <v>0</v>
      </c>
      <c r="DI37" s="88">
        <f t="shared" ca="1" si="205"/>
        <v>0</v>
      </c>
      <c r="DJ37" s="169"/>
      <c r="DK37" s="88">
        <f t="shared" ca="1" si="206"/>
        <v>0</v>
      </c>
      <c r="DL37" s="88">
        <f t="shared" ca="1" si="206"/>
        <v>484.29976595744682</v>
      </c>
      <c r="DM37" s="88">
        <f t="shared" ca="1" si="206"/>
        <v>484.29976595744682</v>
      </c>
      <c r="DN37" s="88">
        <f t="shared" ca="1" si="206"/>
        <v>484.29976595744682</v>
      </c>
      <c r="DO37" s="88">
        <f t="shared" ca="1" si="206"/>
        <v>484.29976595744682</v>
      </c>
      <c r="DP37" s="88">
        <f t="shared" ca="1" si="206"/>
        <v>484.29976595744682</v>
      </c>
      <c r="DQ37" s="88">
        <f t="shared" ca="1" si="206"/>
        <v>484.29976595744682</v>
      </c>
      <c r="DR37" s="88">
        <f t="shared" ca="1" si="206"/>
        <v>484.29976595744682</v>
      </c>
      <c r="DS37" s="88">
        <f t="shared" ca="1" si="206"/>
        <v>484.29976595744682</v>
      </c>
      <c r="DT37" s="88">
        <f t="shared" ca="1" si="206"/>
        <v>484.29976595744682</v>
      </c>
      <c r="DU37" s="88">
        <f t="shared" ca="1" si="207"/>
        <v>484.29976595744682</v>
      </c>
      <c r="DV37" s="88">
        <f t="shared" ca="1" si="207"/>
        <v>484.29976595744682</v>
      </c>
      <c r="DW37" s="88">
        <f t="shared" ca="1" si="207"/>
        <v>484.29976595744682</v>
      </c>
      <c r="DX37" s="88">
        <f t="shared" ca="1" si="207"/>
        <v>484.29976595744682</v>
      </c>
      <c r="DY37" s="88">
        <f t="shared" ca="1" si="207"/>
        <v>484.29976595744682</v>
      </c>
      <c r="DZ37" s="88">
        <f t="shared" ca="1" si="207"/>
        <v>484.29976595744682</v>
      </c>
      <c r="EA37" s="88">
        <f t="shared" ca="1" si="207"/>
        <v>0</v>
      </c>
      <c r="EB37" s="88">
        <f t="shared" ca="1" si="207"/>
        <v>0</v>
      </c>
      <c r="EC37" s="88">
        <f t="shared" ca="1" si="207"/>
        <v>0</v>
      </c>
      <c r="ED37" s="88">
        <f t="shared" ca="1" si="207"/>
        <v>0</v>
      </c>
      <c r="EE37" s="88">
        <f t="shared" ca="1" si="208"/>
        <v>0</v>
      </c>
      <c r="EF37" s="88">
        <f t="shared" ca="1" si="208"/>
        <v>0</v>
      </c>
      <c r="EG37" s="88">
        <f t="shared" ca="1" si="208"/>
        <v>0</v>
      </c>
      <c r="EH37" s="88">
        <f t="shared" ca="1" si="208"/>
        <v>0</v>
      </c>
      <c r="EI37" s="88">
        <f t="shared" ca="1" si="208"/>
        <v>0</v>
      </c>
      <c r="EJ37" s="88">
        <f t="shared" ca="1" si="208"/>
        <v>0</v>
      </c>
      <c r="EK37" s="88">
        <f t="shared" ca="1" si="208"/>
        <v>0</v>
      </c>
      <c r="EL37" s="88">
        <f t="shared" ca="1" si="208"/>
        <v>0</v>
      </c>
      <c r="EM37" s="88">
        <f t="shared" ca="1" si="208"/>
        <v>0</v>
      </c>
      <c r="EN37" s="88">
        <f t="shared" ca="1" si="208"/>
        <v>0</v>
      </c>
      <c r="EO37" s="88">
        <f t="shared" ca="1" si="208"/>
        <v>0</v>
      </c>
      <c r="EP37" s="88">
        <f t="shared" ca="1" si="208"/>
        <v>0</v>
      </c>
      <c r="EQ37" s="88">
        <f t="shared" ca="1" si="208"/>
        <v>0</v>
      </c>
      <c r="ER37" s="88">
        <f t="shared" ca="1" si="208"/>
        <v>0</v>
      </c>
      <c r="ES37" s="88">
        <f t="shared" ca="1" si="208"/>
        <v>0</v>
      </c>
      <c r="ET37" s="169"/>
      <c r="EU37" s="88">
        <f t="shared" ca="1" si="209"/>
        <v>0</v>
      </c>
      <c r="EV37" s="88">
        <f t="shared" ca="1" si="209"/>
        <v>0</v>
      </c>
      <c r="EW37" s="88">
        <f t="shared" ca="1" si="209"/>
        <v>0</v>
      </c>
      <c r="EX37" s="88">
        <f t="shared" ca="1" si="209"/>
        <v>0</v>
      </c>
      <c r="EY37" s="88">
        <f t="shared" ca="1" si="209"/>
        <v>0</v>
      </c>
      <c r="EZ37" s="88">
        <f t="shared" ca="1" si="209"/>
        <v>0</v>
      </c>
      <c r="FA37" s="88">
        <f t="shared" ca="1" si="209"/>
        <v>0</v>
      </c>
      <c r="FB37" s="88">
        <f t="shared" ca="1" si="209"/>
        <v>0</v>
      </c>
      <c r="FC37" s="88">
        <f t="shared" ca="1" si="209"/>
        <v>0</v>
      </c>
      <c r="FD37" s="88">
        <f t="shared" ca="1" si="209"/>
        <v>0</v>
      </c>
      <c r="FE37" s="88">
        <f t="shared" ca="1" si="210"/>
        <v>0</v>
      </c>
      <c r="FF37" s="88">
        <f t="shared" ca="1" si="210"/>
        <v>0</v>
      </c>
      <c r="FG37" s="88">
        <f t="shared" ca="1" si="210"/>
        <v>0</v>
      </c>
      <c r="FH37" s="88">
        <f t="shared" ca="1" si="210"/>
        <v>0</v>
      </c>
      <c r="FI37" s="88">
        <f t="shared" ca="1" si="210"/>
        <v>0</v>
      </c>
      <c r="FJ37" s="88">
        <f t="shared" ca="1" si="210"/>
        <v>0</v>
      </c>
      <c r="FK37" s="88">
        <f t="shared" ca="1" si="210"/>
        <v>0</v>
      </c>
      <c r="FL37" s="88">
        <f t="shared" ca="1" si="210"/>
        <v>0</v>
      </c>
      <c r="FM37" s="88">
        <f t="shared" ca="1" si="210"/>
        <v>0</v>
      </c>
      <c r="FN37" s="88">
        <f t="shared" ca="1" si="210"/>
        <v>0</v>
      </c>
      <c r="FO37" s="88">
        <f t="shared" ca="1" si="211"/>
        <v>0</v>
      </c>
      <c r="FP37" s="88">
        <f t="shared" ca="1" si="211"/>
        <v>0</v>
      </c>
      <c r="FQ37" s="88">
        <f t="shared" ca="1" si="211"/>
        <v>0</v>
      </c>
      <c r="FR37" s="88">
        <f t="shared" ca="1" si="211"/>
        <v>0</v>
      </c>
      <c r="FS37" s="88">
        <f t="shared" ca="1" si="211"/>
        <v>0</v>
      </c>
      <c r="FT37" s="88">
        <f t="shared" ca="1" si="211"/>
        <v>0</v>
      </c>
      <c r="FU37" s="88">
        <f t="shared" ca="1" si="211"/>
        <v>0</v>
      </c>
      <c r="FV37" s="88">
        <f t="shared" ca="1" si="211"/>
        <v>0</v>
      </c>
      <c r="FW37" s="88">
        <f t="shared" ca="1" si="211"/>
        <v>0</v>
      </c>
      <c r="FX37" s="88">
        <f t="shared" ca="1" si="211"/>
        <v>0</v>
      </c>
      <c r="FY37" s="88">
        <f t="shared" ca="1" si="211"/>
        <v>0</v>
      </c>
      <c r="FZ37" s="88">
        <f t="shared" ca="1" si="211"/>
        <v>0</v>
      </c>
      <c r="GA37" s="88">
        <f t="shared" ca="1" si="211"/>
        <v>0</v>
      </c>
      <c r="GB37" s="88">
        <f t="shared" ca="1" si="211"/>
        <v>0</v>
      </c>
      <c r="GC37" s="88">
        <f t="shared" ca="1" si="211"/>
        <v>0</v>
      </c>
      <c r="GD37" s="60"/>
    </row>
    <row r="38" spans="1:186" s="54" customFormat="1">
      <c r="A38" s="61"/>
      <c r="B38" s="100" t="str">
        <f t="shared" si="0"/>
        <v>C&amp;I_C&amp;I Prescriptive_0_All_2018</v>
      </c>
      <c r="C38" s="146"/>
      <c r="D38" s="136" t="s">
        <v>256</v>
      </c>
      <c r="E38" s="136" t="s">
        <v>255</v>
      </c>
      <c r="F38" s="136">
        <v>0</v>
      </c>
      <c r="G38" s="136" t="s">
        <v>98</v>
      </c>
      <c r="H38" s="136">
        <v>2018</v>
      </c>
      <c r="I38" s="55"/>
      <c r="J38" s="58">
        <f t="shared" ca="1" si="163"/>
        <v>1.0973941898461086</v>
      </c>
      <c r="K38" s="58">
        <f t="shared" ca="1" si="190"/>
        <v>2.3188733082194024</v>
      </c>
      <c r="L38" s="58">
        <f t="shared" ca="1" si="164"/>
        <v>0.34843672619071991</v>
      </c>
      <c r="M38" s="58">
        <f t="shared" ca="1" si="165"/>
        <v>1.4510549174471417</v>
      </c>
      <c r="N38" s="58">
        <f t="shared" ca="1" si="166"/>
        <v>2.3188733082194024</v>
      </c>
      <c r="O38" s="55"/>
      <c r="P38" s="175">
        <f ca="1">IFERROR(($AW38+AV38)/SUMPRODUCT($CA38:$DI38,'General Inputs'!$F$51:$AN$51),"n/a")</f>
        <v>1.6007029654995286E-2</v>
      </c>
      <c r="Q38" s="175">
        <f t="shared" ca="1" si="167"/>
        <v>0.12352977621919846</v>
      </c>
      <c r="R38" s="56">
        <f t="shared" ca="1" si="195"/>
        <v>27907.201675032844</v>
      </c>
      <c r="S38" s="55"/>
      <c r="T38" s="56"/>
      <c r="U38" s="146"/>
      <c r="V38" s="137"/>
      <c r="W38" s="55"/>
      <c r="X38" s="138">
        <f t="shared" ca="1" si="169"/>
        <v>2315597.1681874068</v>
      </c>
      <c r="Y38" s="138">
        <f t="shared" ca="1" si="169"/>
        <v>593.67290476684536</v>
      </c>
      <c r="Z38" s="138">
        <f t="shared" ca="1" si="169"/>
        <v>0</v>
      </c>
      <c r="AA38" s="55"/>
      <c r="AB38" s="138">
        <f t="shared" ca="1" si="170"/>
        <v>0</v>
      </c>
      <c r="AC38" s="138">
        <f t="shared" ca="1" si="170"/>
        <v>0</v>
      </c>
      <c r="AD38" s="138">
        <f t="shared" ca="1" si="170"/>
        <v>0</v>
      </c>
      <c r="AE38" s="55"/>
      <c r="AF38" s="57">
        <f t="shared" ca="1" si="196"/>
        <v>0</v>
      </c>
      <c r="AG38" s="57">
        <f t="shared" ca="1" si="196"/>
        <v>488654</v>
      </c>
      <c r="AH38" s="57">
        <f t="shared" ca="1" si="196"/>
        <v>0</v>
      </c>
      <c r="AI38" s="57">
        <f t="shared" ca="1" si="196"/>
        <v>170265</v>
      </c>
      <c r="AJ38" s="57">
        <f t="shared" ca="1" si="196"/>
        <v>0</v>
      </c>
      <c r="AK38" s="63"/>
      <c r="AL38" s="88"/>
      <c r="AM38" s="57">
        <f ca="1">SUMIFS(OFFSET('Program Inputs'!$N$5,,,TotalPrograms),OFFSET('Program Inputs'!$B$5,,,TotalPrograms),SUBSTITUTE($B38,"All","*"))+AF38</f>
        <v>115780.2</v>
      </c>
      <c r="AN38" s="57">
        <f t="shared" ca="1" si="197"/>
        <v>286045.2</v>
      </c>
      <c r="AO38" s="55"/>
      <c r="AP38" s="59">
        <f t="shared" ca="1" si="198"/>
        <v>609429.05110646889</v>
      </c>
      <c r="AQ38" s="59">
        <f t="shared" ca="1" si="199"/>
        <v>555341.96986402059</v>
      </c>
      <c r="AR38" s="59">
        <f t="shared" ca="1" si="200"/>
        <v>516023.72103445616</v>
      </c>
      <c r="AS38" s="59">
        <f t="shared" ca="1" si="200"/>
        <v>93405.330072012701</v>
      </c>
      <c r="AT38" s="59">
        <f t="shared" ca="1" si="200"/>
        <v>0</v>
      </c>
      <c r="AU38" s="59">
        <f t="shared" ca="1" si="200"/>
        <v>0</v>
      </c>
      <c r="AV38" s="59">
        <f t="shared" ca="1" si="200"/>
        <v>156436.05292172002</v>
      </c>
      <c r="AW38" s="57">
        <f ca="1">INDEX('General Inputs'!$F$51:$AN$51,MATCH($H38,'General Inputs'!$F$50:$AN$50,0))*$AM38</f>
        <v>106376.51598676956</v>
      </c>
      <c r="AX38" s="59">
        <f t="shared" ca="1" si="175"/>
        <v>448965.45387725107</v>
      </c>
      <c r="AY38" s="55"/>
      <c r="AZ38" s="59">
        <f t="shared" ca="1" si="176"/>
        <v>516023.72103445616</v>
      </c>
      <c r="BA38" s="59">
        <f t="shared" ca="1" si="176"/>
        <v>93405.330072012701</v>
      </c>
      <c r="BB38" s="59">
        <f t="shared" ca="1" si="176"/>
        <v>0</v>
      </c>
      <c r="BC38" s="59">
        <f t="shared" ca="1" si="176"/>
        <v>156436.05292172002</v>
      </c>
      <c r="BD38" s="57">
        <f ca="1">INDEX('General Inputs'!$F$51:$AN$51,MATCH($H38,'General Inputs'!$F$50:$AN$50,0))*$AM38</f>
        <v>106376.51598676956</v>
      </c>
      <c r="BE38" s="55"/>
      <c r="BF38" s="59">
        <f t="shared" ca="1" si="177"/>
        <v>0</v>
      </c>
      <c r="BG38" s="59">
        <f t="shared" ca="1" si="177"/>
        <v>0</v>
      </c>
      <c r="BH38" s="57">
        <f t="shared" ca="1" si="177"/>
        <v>156436.05292172002</v>
      </c>
      <c r="BI38" s="59">
        <f t="shared" ca="1" si="177"/>
        <v>448965.45387725107</v>
      </c>
      <c r="BJ38" s="55"/>
      <c r="BK38" s="59">
        <f t="shared" ca="1" si="201"/>
        <v>516023.72103445616</v>
      </c>
      <c r="BL38" s="59">
        <f t="shared" ca="1" si="201"/>
        <v>93405.330072012701</v>
      </c>
      <c r="BM38" s="59">
        <f t="shared" ca="1" si="201"/>
        <v>0</v>
      </c>
      <c r="BN38" s="59">
        <f t="shared" ca="1" si="201"/>
        <v>0</v>
      </c>
      <c r="BO38" s="59">
        <f t="shared" ca="1" si="201"/>
        <v>196402.64512950054</v>
      </c>
      <c r="BP38" s="57">
        <f ca="1">INDEX('General Inputs'!$F$51:$AN$51,MATCH($H38,'General Inputs'!$F$50:$AN$50,0))*$AM38</f>
        <v>106376.51598676956</v>
      </c>
      <c r="BQ38" s="59">
        <f t="shared" ca="1" si="179"/>
        <v>448965.45387725107</v>
      </c>
      <c r="BR38" s="55"/>
      <c r="BS38" s="59">
        <f t="shared" ca="1" si="202"/>
        <v>516023.72103445616</v>
      </c>
      <c r="BT38" s="59">
        <f t="shared" ca="1" si="202"/>
        <v>93405.330072012701</v>
      </c>
      <c r="BU38" s="59">
        <f t="shared" ca="1" si="202"/>
        <v>0</v>
      </c>
      <c r="BV38" s="59">
        <f t="shared" ca="1" si="202"/>
        <v>0</v>
      </c>
      <c r="BW38" s="59">
        <f t="shared" ca="1" si="202"/>
        <v>0</v>
      </c>
      <c r="BX38" s="59">
        <f t="shared" ca="1" si="202"/>
        <v>156436.05292172002</v>
      </c>
      <c r="BY38" s="57">
        <f ca="1">INDEX('General Inputs'!$F$51:$AN$51,MATCH($H38,'General Inputs'!$F$50:$AN$50,0))*$AM38</f>
        <v>106376.51598676956</v>
      </c>
      <c r="BZ38" s="55"/>
      <c r="CA38" s="88">
        <f t="shared" ca="1" si="203"/>
        <v>0</v>
      </c>
      <c r="CB38" s="88">
        <f t="shared" ca="1" si="203"/>
        <v>2315597.1681874068</v>
      </c>
      <c r="CC38" s="88">
        <f t="shared" ca="1" si="203"/>
        <v>2315597.1681874068</v>
      </c>
      <c r="CD38" s="88">
        <f t="shared" ca="1" si="203"/>
        <v>2315597.1681874068</v>
      </c>
      <c r="CE38" s="88">
        <f t="shared" ca="1" si="203"/>
        <v>2315597.1681874068</v>
      </c>
      <c r="CF38" s="88">
        <f t="shared" ca="1" si="203"/>
        <v>2315597.1681874068</v>
      </c>
      <c r="CG38" s="88">
        <f t="shared" ca="1" si="203"/>
        <v>2315597.1681874068</v>
      </c>
      <c r="CH38" s="88">
        <f t="shared" ca="1" si="203"/>
        <v>2315597.1681874068</v>
      </c>
      <c r="CI38" s="88">
        <f t="shared" ca="1" si="203"/>
        <v>2315597.1681874068</v>
      </c>
      <c r="CJ38" s="88">
        <f t="shared" ca="1" si="203"/>
        <v>1675720.1922094063</v>
      </c>
      <c r="CK38" s="88">
        <f t="shared" ca="1" si="204"/>
        <v>1675720.1922094063</v>
      </c>
      <c r="CL38" s="88">
        <f t="shared" ca="1" si="204"/>
        <v>1235262.9217094064</v>
      </c>
      <c r="CM38" s="88">
        <f t="shared" ca="1" si="204"/>
        <v>1235262.9217094064</v>
      </c>
      <c r="CN38" s="88">
        <f t="shared" ca="1" si="204"/>
        <v>1235262.9217094064</v>
      </c>
      <c r="CO38" s="88">
        <f t="shared" ca="1" si="204"/>
        <v>1220997.1490532772</v>
      </c>
      <c r="CP38" s="88">
        <f t="shared" ca="1" si="204"/>
        <v>1034510.4789332774</v>
      </c>
      <c r="CQ38" s="88">
        <f t="shared" ca="1" si="204"/>
        <v>69687.551999999981</v>
      </c>
      <c r="CR38" s="88">
        <f t="shared" ca="1" si="204"/>
        <v>0</v>
      </c>
      <c r="CS38" s="88">
        <f t="shared" ca="1" si="204"/>
        <v>0</v>
      </c>
      <c r="CT38" s="88">
        <f t="shared" ca="1" si="204"/>
        <v>0</v>
      </c>
      <c r="CU38" s="88">
        <f t="shared" ca="1" si="205"/>
        <v>0</v>
      </c>
      <c r="CV38" s="88">
        <f t="shared" ca="1" si="205"/>
        <v>0</v>
      </c>
      <c r="CW38" s="88">
        <f t="shared" ca="1" si="205"/>
        <v>0</v>
      </c>
      <c r="CX38" s="88">
        <f t="shared" ca="1" si="205"/>
        <v>0</v>
      </c>
      <c r="CY38" s="88">
        <f t="shared" ca="1" si="205"/>
        <v>0</v>
      </c>
      <c r="CZ38" s="88">
        <f t="shared" ca="1" si="205"/>
        <v>0</v>
      </c>
      <c r="DA38" s="88">
        <f t="shared" ca="1" si="205"/>
        <v>0</v>
      </c>
      <c r="DB38" s="88">
        <f t="shared" ca="1" si="205"/>
        <v>0</v>
      </c>
      <c r="DC38" s="88">
        <f t="shared" ca="1" si="205"/>
        <v>0</v>
      </c>
      <c r="DD38" s="88">
        <f t="shared" ca="1" si="205"/>
        <v>0</v>
      </c>
      <c r="DE38" s="88">
        <f t="shared" ca="1" si="205"/>
        <v>0</v>
      </c>
      <c r="DF38" s="88">
        <f t="shared" ca="1" si="205"/>
        <v>0</v>
      </c>
      <c r="DG38" s="88">
        <f t="shared" ca="1" si="205"/>
        <v>0</v>
      </c>
      <c r="DH38" s="88">
        <f t="shared" ca="1" si="205"/>
        <v>0</v>
      </c>
      <c r="DI38" s="88">
        <f t="shared" ca="1" si="205"/>
        <v>0</v>
      </c>
      <c r="DJ38" s="169"/>
      <c r="DK38" s="88">
        <f t="shared" ca="1" si="206"/>
        <v>0</v>
      </c>
      <c r="DL38" s="88">
        <f t="shared" ca="1" si="206"/>
        <v>593.67290476684536</v>
      </c>
      <c r="DM38" s="88">
        <f t="shared" ca="1" si="206"/>
        <v>593.67290476684536</v>
      </c>
      <c r="DN38" s="88">
        <f t="shared" ca="1" si="206"/>
        <v>593.67290476684536</v>
      </c>
      <c r="DO38" s="88">
        <f t="shared" ca="1" si="206"/>
        <v>593.67290476684536</v>
      </c>
      <c r="DP38" s="88">
        <f t="shared" ca="1" si="206"/>
        <v>593.67290476684536</v>
      </c>
      <c r="DQ38" s="88">
        <f t="shared" ca="1" si="206"/>
        <v>593.67290476684536</v>
      </c>
      <c r="DR38" s="88">
        <f t="shared" ca="1" si="206"/>
        <v>593.67290476684536</v>
      </c>
      <c r="DS38" s="88">
        <f t="shared" ca="1" si="206"/>
        <v>593.67290476684536</v>
      </c>
      <c r="DT38" s="88">
        <f t="shared" ca="1" si="206"/>
        <v>398.52865476684525</v>
      </c>
      <c r="DU38" s="88">
        <f t="shared" ca="1" si="207"/>
        <v>398.52865476684525</v>
      </c>
      <c r="DV38" s="88">
        <f t="shared" ca="1" si="207"/>
        <v>289.69715476684519</v>
      </c>
      <c r="DW38" s="88">
        <f t="shared" ca="1" si="207"/>
        <v>289.69715476684519</v>
      </c>
      <c r="DX38" s="88">
        <f t="shared" ca="1" si="207"/>
        <v>289.69715476684519</v>
      </c>
      <c r="DY38" s="88">
        <f t="shared" ca="1" si="207"/>
        <v>289.02131871523227</v>
      </c>
      <c r="DZ38" s="88">
        <f t="shared" ca="1" si="207"/>
        <v>249.5754067152323</v>
      </c>
      <c r="EA38" s="88">
        <f t="shared" ca="1" si="207"/>
        <v>9.3632000000000009</v>
      </c>
      <c r="EB38" s="88">
        <f t="shared" ca="1" si="207"/>
        <v>0</v>
      </c>
      <c r="EC38" s="88">
        <f t="shared" ca="1" si="207"/>
        <v>0</v>
      </c>
      <c r="ED38" s="88">
        <f t="shared" ca="1" si="207"/>
        <v>0</v>
      </c>
      <c r="EE38" s="88">
        <f t="shared" ca="1" si="208"/>
        <v>0</v>
      </c>
      <c r="EF38" s="88">
        <f t="shared" ca="1" si="208"/>
        <v>0</v>
      </c>
      <c r="EG38" s="88">
        <f t="shared" ca="1" si="208"/>
        <v>0</v>
      </c>
      <c r="EH38" s="88">
        <f t="shared" ca="1" si="208"/>
        <v>0</v>
      </c>
      <c r="EI38" s="88">
        <f t="shared" ca="1" si="208"/>
        <v>0</v>
      </c>
      <c r="EJ38" s="88">
        <f t="shared" ca="1" si="208"/>
        <v>0</v>
      </c>
      <c r="EK38" s="88">
        <f t="shared" ca="1" si="208"/>
        <v>0</v>
      </c>
      <c r="EL38" s="88">
        <f t="shared" ca="1" si="208"/>
        <v>0</v>
      </c>
      <c r="EM38" s="88">
        <f t="shared" ca="1" si="208"/>
        <v>0</v>
      </c>
      <c r="EN38" s="88">
        <f t="shared" ca="1" si="208"/>
        <v>0</v>
      </c>
      <c r="EO38" s="88">
        <f t="shared" ca="1" si="208"/>
        <v>0</v>
      </c>
      <c r="EP38" s="88">
        <f t="shared" ca="1" si="208"/>
        <v>0</v>
      </c>
      <c r="EQ38" s="88">
        <f t="shared" ca="1" si="208"/>
        <v>0</v>
      </c>
      <c r="ER38" s="88">
        <f t="shared" ca="1" si="208"/>
        <v>0</v>
      </c>
      <c r="ES38" s="88">
        <f t="shared" ca="1" si="208"/>
        <v>0</v>
      </c>
      <c r="ET38" s="169"/>
      <c r="EU38" s="88">
        <f t="shared" ca="1" si="209"/>
        <v>0</v>
      </c>
      <c r="EV38" s="88">
        <f t="shared" ca="1" si="209"/>
        <v>0</v>
      </c>
      <c r="EW38" s="88">
        <f t="shared" ca="1" si="209"/>
        <v>0</v>
      </c>
      <c r="EX38" s="88">
        <f t="shared" ca="1" si="209"/>
        <v>0</v>
      </c>
      <c r="EY38" s="88">
        <f t="shared" ca="1" si="209"/>
        <v>0</v>
      </c>
      <c r="EZ38" s="88">
        <f t="shared" ca="1" si="209"/>
        <v>0</v>
      </c>
      <c r="FA38" s="88">
        <f t="shared" ca="1" si="209"/>
        <v>0</v>
      </c>
      <c r="FB38" s="88">
        <f t="shared" ca="1" si="209"/>
        <v>0</v>
      </c>
      <c r="FC38" s="88">
        <f t="shared" ca="1" si="209"/>
        <v>0</v>
      </c>
      <c r="FD38" s="88">
        <f t="shared" ca="1" si="209"/>
        <v>0</v>
      </c>
      <c r="FE38" s="88">
        <f t="shared" ca="1" si="210"/>
        <v>0</v>
      </c>
      <c r="FF38" s="88">
        <f t="shared" ca="1" si="210"/>
        <v>0</v>
      </c>
      <c r="FG38" s="88">
        <f t="shared" ca="1" si="210"/>
        <v>0</v>
      </c>
      <c r="FH38" s="88">
        <f t="shared" ca="1" si="210"/>
        <v>0</v>
      </c>
      <c r="FI38" s="88">
        <f t="shared" ca="1" si="210"/>
        <v>0</v>
      </c>
      <c r="FJ38" s="88">
        <f t="shared" ca="1" si="210"/>
        <v>0</v>
      </c>
      <c r="FK38" s="88">
        <f t="shared" ca="1" si="210"/>
        <v>0</v>
      </c>
      <c r="FL38" s="88">
        <f t="shared" ca="1" si="210"/>
        <v>0</v>
      </c>
      <c r="FM38" s="88">
        <f t="shared" ca="1" si="210"/>
        <v>0</v>
      </c>
      <c r="FN38" s="88">
        <f t="shared" ca="1" si="210"/>
        <v>0</v>
      </c>
      <c r="FO38" s="88">
        <f t="shared" ca="1" si="211"/>
        <v>0</v>
      </c>
      <c r="FP38" s="88">
        <f t="shared" ca="1" si="211"/>
        <v>0</v>
      </c>
      <c r="FQ38" s="88">
        <f t="shared" ca="1" si="211"/>
        <v>0</v>
      </c>
      <c r="FR38" s="88">
        <f t="shared" ca="1" si="211"/>
        <v>0</v>
      </c>
      <c r="FS38" s="88">
        <f t="shared" ca="1" si="211"/>
        <v>0</v>
      </c>
      <c r="FT38" s="88">
        <f t="shared" ca="1" si="211"/>
        <v>0</v>
      </c>
      <c r="FU38" s="88">
        <f t="shared" ca="1" si="211"/>
        <v>0</v>
      </c>
      <c r="FV38" s="88">
        <f t="shared" ca="1" si="211"/>
        <v>0</v>
      </c>
      <c r="FW38" s="88">
        <f t="shared" ca="1" si="211"/>
        <v>0</v>
      </c>
      <c r="FX38" s="88">
        <f t="shared" ca="1" si="211"/>
        <v>0</v>
      </c>
      <c r="FY38" s="88">
        <f t="shared" ca="1" si="211"/>
        <v>0</v>
      </c>
      <c r="FZ38" s="88">
        <f t="shared" ca="1" si="211"/>
        <v>0</v>
      </c>
      <c r="GA38" s="88">
        <f t="shared" ca="1" si="211"/>
        <v>0</v>
      </c>
      <c r="GB38" s="88">
        <f t="shared" ca="1" si="211"/>
        <v>0</v>
      </c>
      <c r="GC38" s="88">
        <f t="shared" ca="1" si="211"/>
        <v>0</v>
      </c>
      <c r="GD38" s="60"/>
    </row>
    <row r="39" spans="1:186" s="54" customFormat="1">
      <c r="A39" s="61"/>
      <c r="B39" s="100" t="str">
        <f t="shared" si="0"/>
        <v>Residential_Residential Lighting_0_All_2019</v>
      </c>
      <c r="C39" s="146"/>
      <c r="D39" s="136" t="s">
        <v>2</v>
      </c>
      <c r="E39" s="136" t="s">
        <v>249</v>
      </c>
      <c r="F39" s="136">
        <v>0</v>
      </c>
      <c r="G39" s="136" t="s">
        <v>98</v>
      </c>
      <c r="H39" s="136">
        <v>2019</v>
      </c>
      <c r="I39" s="55"/>
      <c r="J39" s="58">
        <f t="shared" ca="1" si="163"/>
        <v>0.75978719756385704</v>
      </c>
      <c r="K39" s="58">
        <f ca="1">IFERROR(SUMIFS($AZ39:$BD39,$AZ$7:$BD$7,"BENEFIT")/SUMIFS($AZ39:$BD39,$AZ$7:$BD$7,"COST"),"n/a")</f>
        <v>1.0109169557583917</v>
      </c>
      <c r="L39" s="58">
        <f t="shared" ca="1" si="164"/>
        <v>4.4612994336752747</v>
      </c>
      <c r="M39" s="58">
        <f t="shared" ca="1" si="165"/>
        <v>1.031259779323372</v>
      </c>
      <c r="N39" s="58">
        <f t="shared" ca="1" si="166"/>
        <v>0.21225803237465912</v>
      </c>
      <c r="O39" s="55"/>
      <c r="P39" s="175">
        <f ca="1">IFERROR(($AW39+AV39)/SUMPRODUCT($CA39:$DI39,'General Inputs'!$F$51:$AN$51),"n/a")</f>
        <v>3.3117875414432688E-2</v>
      </c>
      <c r="Q39" s="175">
        <f t="shared" ca="1" si="167"/>
        <v>0.23296575388531121</v>
      </c>
      <c r="R39" s="56">
        <f t="shared" ca="1" si="195"/>
        <v>1662.3087022079994</v>
      </c>
      <c r="S39" s="55"/>
      <c r="T39" s="56"/>
      <c r="U39" s="146"/>
      <c r="V39" s="137"/>
      <c r="W39" s="55"/>
      <c r="X39" s="138">
        <f t="shared" ca="1" si="169"/>
        <v>166230.87022079999</v>
      </c>
      <c r="Y39" s="138">
        <f t="shared" ca="1" si="169"/>
        <v>14.591627366399997</v>
      </c>
      <c r="Z39" s="138">
        <f t="shared" ca="1" si="169"/>
        <v>0</v>
      </c>
      <c r="AA39" s="55"/>
      <c r="AB39" s="138">
        <f t="shared" ca="1" si="170"/>
        <v>0</v>
      </c>
      <c r="AC39" s="138">
        <f t="shared" ca="1" si="170"/>
        <v>0</v>
      </c>
      <c r="AD39" s="138">
        <f t="shared" ca="1" si="170"/>
        <v>0</v>
      </c>
      <c r="AE39" s="55"/>
      <c r="AF39" s="57">
        <f t="shared" ca="1" si="196"/>
        <v>0</v>
      </c>
      <c r="AG39" s="57">
        <f t="shared" ca="1" si="196"/>
        <v>38400</v>
      </c>
      <c r="AH39" s="57">
        <f t="shared" ca="1" si="196"/>
        <v>0</v>
      </c>
      <c r="AI39" s="57">
        <f t="shared" ca="1" si="196"/>
        <v>25600</v>
      </c>
      <c r="AJ39" s="57">
        <f t="shared" ca="1" si="196"/>
        <v>0</v>
      </c>
      <c r="AK39" s="63"/>
      <c r="AL39" s="88"/>
      <c r="AM39" s="57">
        <f ca="1">SUMIFS(OFFSET('Program Inputs'!$N$5,,,TotalPrograms),OFFSET('Program Inputs'!$B$5,,,TotalPrograms),SUBSTITUTE($B39,"All","*"))+AF39</f>
        <v>13126.1</v>
      </c>
      <c r="AN39" s="57">
        <f ca="1">AM39+AI39</f>
        <v>38726.1</v>
      </c>
      <c r="AO39" s="55"/>
      <c r="AP39" s="59">
        <f t="shared" ca="1" si="198"/>
        <v>33047.77135306783</v>
      </c>
      <c r="AQ39" s="59">
        <f t="shared" ca="1" si="199"/>
        <v>43496.088719355263</v>
      </c>
      <c r="AR39" s="59">
        <f t="shared" ca="1" si="200"/>
        <v>31085.141102718491</v>
      </c>
      <c r="AS39" s="59">
        <f t="shared" ca="1" si="200"/>
        <v>1962.6302503493403</v>
      </c>
      <c r="AT39" s="59">
        <f t="shared" ca="1" si="200"/>
        <v>0</v>
      </c>
      <c r="AU39" s="59">
        <f t="shared" ca="1" si="200"/>
        <v>0</v>
      </c>
      <c r="AV39" s="59">
        <f t="shared" ca="1" si="200"/>
        <v>21610.404653476486</v>
      </c>
      <c r="AW39" s="57">
        <f ca="1">INDEX('General Inputs'!$F$51:$AN$51,MATCH($H39,'General Inputs'!$F$50:$AN$50,0))*$AM39</f>
        <v>11080.481739140534</v>
      </c>
      <c r="AX39" s="59">
        <f t="shared" ca="1" si="175"/>
        <v>32415.606980214729</v>
      </c>
      <c r="AY39" s="55"/>
      <c r="AZ39" s="59">
        <f t="shared" ca="1" si="176"/>
        <v>31085.141102718491</v>
      </c>
      <c r="BA39" s="59">
        <f t="shared" ca="1" si="176"/>
        <v>1962.6302503493403</v>
      </c>
      <c r="BB39" s="59">
        <f t="shared" ca="1" si="176"/>
        <v>0</v>
      </c>
      <c r="BC39" s="59">
        <f t="shared" ca="1" si="176"/>
        <v>21610.404653476486</v>
      </c>
      <c r="BD39" s="57">
        <f ca="1">INDEX('General Inputs'!$F$51:$AN$51,MATCH($H39,'General Inputs'!$F$50:$AN$50,0))*$AM39</f>
        <v>11080.481739140534</v>
      </c>
      <c r="BE39" s="55"/>
      <c r="BF39" s="59">
        <f t="shared" ca="1" si="177"/>
        <v>123005.32440959576</v>
      </c>
      <c r="BG39" s="59">
        <f t="shared" ca="1" si="177"/>
        <v>0</v>
      </c>
      <c r="BH39" s="57">
        <f t="shared" ca="1" si="177"/>
        <v>21610.404653476486</v>
      </c>
      <c r="BI39" s="59">
        <f t="shared" ca="1" si="177"/>
        <v>32415.606980214729</v>
      </c>
      <c r="BJ39" s="55"/>
      <c r="BK39" s="59">
        <f t="shared" ca="1" si="201"/>
        <v>31085.141102718491</v>
      </c>
      <c r="BL39" s="59">
        <f t="shared" ca="1" si="201"/>
        <v>1962.6302503493403</v>
      </c>
      <c r="BM39" s="59">
        <f t="shared" ca="1" si="201"/>
        <v>0</v>
      </c>
      <c r="BN39" s="59">
        <f t="shared" ca="1" si="201"/>
        <v>0</v>
      </c>
      <c r="BO39" s="59">
        <f t="shared" ca="1" si="201"/>
        <v>11807.995501084291</v>
      </c>
      <c r="BP39" s="57">
        <f ca="1">INDEX('General Inputs'!$F$51:$AN$51,MATCH($H39,'General Inputs'!$F$50:$AN$50,0))*$AM39</f>
        <v>11080.481739140534</v>
      </c>
      <c r="BQ39" s="59">
        <f t="shared" ca="1" si="179"/>
        <v>32415.606980214729</v>
      </c>
      <c r="BR39" s="55"/>
      <c r="BS39" s="59">
        <f t="shared" ca="1" si="202"/>
        <v>31085.141102718491</v>
      </c>
      <c r="BT39" s="59">
        <f t="shared" ca="1" si="202"/>
        <v>1962.6302503493403</v>
      </c>
      <c r="BU39" s="59">
        <f t="shared" ca="1" si="202"/>
        <v>0</v>
      </c>
      <c r="BV39" s="59">
        <f t="shared" ca="1" si="202"/>
        <v>123005.32440959576</v>
      </c>
      <c r="BW39" s="59">
        <f t="shared" ca="1" si="202"/>
        <v>0</v>
      </c>
      <c r="BX39" s="59">
        <f t="shared" ca="1" si="202"/>
        <v>21610.404653476486</v>
      </c>
      <c r="BY39" s="57">
        <f ca="1">INDEX('General Inputs'!$F$51:$AN$51,MATCH($H39,'General Inputs'!$F$50:$AN$50,0))*$AM39</f>
        <v>11080.481739140534</v>
      </c>
      <c r="BZ39" s="55"/>
      <c r="CA39" s="88">
        <f t="shared" ca="1" si="203"/>
        <v>0</v>
      </c>
      <c r="CB39" s="88">
        <f t="shared" ca="1" si="203"/>
        <v>0</v>
      </c>
      <c r="CC39" s="88">
        <f t="shared" ca="1" si="203"/>
        <v>166230.87022079999</v>
      </c>
      <c r="CD39" s="88">
        <f t="shared" ca="1" si="203"/>
        <v>166230.87022079999</v>
      </c>
      <c r="CE39" s="88">
        <f t="shared" ca="1" si="203"/>
        <v>166230.87022079999</v>
      </c>
      <c r="CF39" s="88">
        <f t="shared" ca="1" si="203"/>
        <v>166230.87022079999</v>
      </c>
      <c r="CG39" s="88">
        <f t="shared" ca="1" si="203"/>
        <v>166230.87022079999</v>
      </c>
      <c r="CH39" s="88">
        <f t="shared" ca="1" si="203"/>
        <v>166230.87022079999</v>
      </c>
      <c r="CI39" s="88">
        <f t="shared" ca="1" si="203"/>
        <v>166230.87022079999</v>
      </c>
      <c r="CJ39" s="88">
        <f t="shared" ca="1" si="203"/>
        <v>166230.87022079999</v>
      </c>
      <c r="CK39" s="88">
        <f t="shared" ca="1" si="204"/>
        <v>166230.87022079999</v>
      </c>
      <c r="CL39" s="88">
        <f t="shared" ca="1" si="204"/>
        <v>166230.87022079999</v>
      </c>
      <c r="CM39" s="88">
        <f t="shared" ca="1" si="204"/>
        <v>0</v>
      </c>
      <c r="CN39" s="88">
        <f t="shared" ca="1" si="204"/>
        <v>0</v>
      </c>
      <c r="CO39" s="88">
        <f t="shared" ca="1" si="204"/>
        <v>0</v>
      </c>
      <c r="CP39" s="88">
        <f t="shared" ca="1" si="204"/>
        <v>0</v>
      </c>
      <c r="CQ39" s="88">
        <f t="shared" ca="1" si="204"/>
        <v>0</v>
      </c>
      <c r="CR39" s="88">
        <f t="shared" ca="1" si="204"/>
        <v>0</v>
      </c>
      <c r="CS39" s="88">
        <f t="shared" ca="1" si="204"/>
        <v>0</v>
      </c>
      <c r="CT39" s="88">
        <f t="shared" ca="1" si="204"/>
        <v>0</v>
      </c>
      <c r="CU39" s="88">
        <f t="shared" ca="1" si="205"/>
        <v>0</v>
      </c>
      <c r="CV39" s="88">
        <f t="shared" ca="1" si="205"/>
        <v>0</v>
      </c>
      <c r="CW39" s="88">
        <f t="shared" ca="1" si="205"/>
        <v>0</v>
      </c>
      <c r="CX39" s="88">
        <f t="shared" ca="1" si="205"/>
        <v>0</v>
      </c>
      <c r="CY39" s="88">
        <f t="shared" ca="1" si="205"/>
        <v>0</v>
      </c>
      <c r="CZ39" s="88">
        <f t="shared" ca="1" si="205"/>
        <v>0</v>
      </c>
      <c r="DA39" s="88">
        <f t="shared" ca="1" si="205"/>
        <v>0</v>
      </c>
      <c r="DB39" s="88">
        <f t="shared" ca="1" si="205"/>
        <v>0</v>
      </c>
      <c r="DC39" s="88">
        <f t="shared" ca="1" si="205"/>
        <v>0</v>
      </c>
      <c r="DD39" s="88">
        <f t="shared" ca="1" si="205"/>
        <v>0</v>
      </c>
      <c r="DE39" s="88">
        <f t="shared" ca="1" si="205"/>
        <v>0</v>
      </c>
      <c r="DF39" s="88">
        <f t="shared" ca="1" si="205"/>
        <v>0</v>
      </c>
      <c r="DG39" s="88">
        <f t="shared" ca="1" si="205"/>
        <v>0</v>
      </c>
      <c r="DH39" s="88">
        <f t="shared" ca="1" si="205"/>
        <v>0</v>
      </c>
      <c r="DI39" s="88">
        <f t="shared" ca="1" si="205"/>
        <v>0</v>
      </c>
      <c r="DJ39" s="169"/>
      <c r="DK39" s="88">
        <f t="shared" ca="1" si="206"/>
        <v>0</v>
      </c>
      <c r="DL39" s="88">
        <f t="shared" ca="1" si="206"/>
        <v>0</v>
      </c>
      <c r="DM39" s="88">
        <f t="shared" ca="1" si="206"/>
        <v>14.591627366399997</v>
      </c>
      <c r="DN39" s="88">
        <f t="shared" ca="1" si="206"/>
        <v>14.591627366399997</v>
      </c>
      <c r="DO39" s="88">
        <f t="shared" ca="1" si="206"/>
        <v>14.591627366399997</v>
      </c>
      <c r="DP39" s="88">
        <f t="shared" ca="1" si="206"/>
        <v>14.591627366399997</v>
      </c>
      <c r="DQ39" s="88">
        <f t="shared" ca="1" si="206"/>
        <v>14.591627366399997</v>
      </c>
      <c r="DR39" s="88">
        <f t="shared" ca="1" si="206"/>
        <v>14.591627366399997</v>
      </c>
      <c r="DS39" s="88">
        <f t="shared" ca="1" si="206"/>
        <v>14.591627366399997</v>
      </c>
      <c r="DT39" s="88">
        <f t="shared" ca="1" si="206"/>
        <v>14.591627366399997</v>
      </c>
      <c r="DU39" s="88">
        <f t="shared" ca="1" si="207"/>
        <v>14.591627366399997</v>
      </c>
      <c r="DV39" s="88">
        <f t="shared" ca="1" si="207"/>
        <v>14.591627366399997</v>
      </c>
      <c r="DW39" s="88">
        <f t="shared" ca="1" si="207"/>
        <v>0</v>
      </c>
      <c r="DX39" s="88">
        <f t="shared" ca="1" si="207"/>
        <v>0</v>
      </c>
      <c r="DY39" s="88">
        <f t="shared" ca="1" si="207"/>
        <v>0</v>
      </c>
      <c r="DZ39" s="88">
        <f t="shared" ca="1" si="207"/>
        <v>0</v>
      </c>
      <c r="EA39" s="88">
        <f t="shared" ca="1" si="207"/>
        <v>0</v>
      </c>
      <c r="EB39" s="88">
        <f t="shared" ca="1" si="207"/>
        <v>0</v>
      </c>
      <c r="EC39" s="88">
        <f t="shared" ca="1" si="207"/>
        <v>0</v>
      </c>
      <c r="ED39" s="88">
        <f t="shared" ca="1" si="207"/>
        <v>0</v>
      </c>
      <c r="EE39" s="88">
        <f t="shared" ca="1" si="208"/>
        <v>0</v>
      </c>
      <c r="EF39" s="88">
        <f t="shared" ca="1" si="208"/>
        <v>0</v>
      </c>
      <c r="EG39" s="88">
        <f t="shared" ca="1" si="208"/>
        <v>0</v>
      </c>
      <c r="EH39" s="88">
        <f t="shared" ca="1" si="208"/>
        <v>0</v>
      </c>
      <c r="EI39" s="88">
        <f t="shared" ca="1" si="208"/>
        <v>0</v>
      </c>
      <c r="EJ39" s="88">
        <f t="shared" ca="1" si="208"/>
        <v>0</v>
      </c>
      <c r="EK39" s="88">
        <f t="shared" ca="1" si="208"/>
        <v>0</v>
      </c>
      <c r="EL39" s="88">
        <f t="shared" ca="1" si="208"/>
        <v>0</v>
      </c>
      <c r="EM39" s="88">
        <f t="shared" ca="1" si="208"/>
        <v>0</v>
      </c>
      <c r="EN39" s="88">
        <f t="shared" ca="1" si="208"/>
        <v>0</v>
      </c>
      <c r="EO39" s="88">
        <f t="shared" ca="1" si="208"/>
        <v>0</v>
      </c>
      <c r="EP39" s="88">
        <f t="shared" ca="1" si="208"/>
        <v>0</v>
      </c>
      <c r="EQ39" s="88">
        <f t="shared" ca="1" si="208"/>
        <v>0</v>
      </c>
      <c r="ER39" s="88">
        <f t="shared" ca="1" si="208"/>
        <v>0</v>
      </c>
      <c r="ES39" s="88">
        <f t="shared" ca="1" si="208"/>
        <v>0</v>
      </c>
      <c r="ET39" s="169"/>
      <c r="EU39" s="88">
        <f t="shared" ca="1" si="209"/>
        <v>0</v>
      </c>
      <c r="EV39" s="88">
        <f t="shared" ca="1" si="209"/>
        <v>0</v>
      </c>
      <c r="EW39" s="88">
        <f t="shared" ca="1" si="209"/>
        <v>0</v>
      </c>
      <c r="EX39" s="88">
        <f t="shared" ca="1" si="209"/>
        <v>0</v>
      </c>
      <c r="EY39" s="88">
        <f t="shared" ca="1" si="209"/>
        <v>0</v>
      </c>
      <c r="EZ39" s="88">
        <f t="shared" ca="1" si="209"/>
        <v>0</v>
      </c>
      <c r="FA39" s="88">
        <f t="shared" ca="1" si="209"/>
        <v>0</v>
      </c>
      <c r="FB39" s="88">
        <f t="shared" ca="1" si="209"/>
        <v>0</v>
      </c>
      <c r="FC39" s="88">
        <f t="shared" ca="1" si="209"/>
        <v>0</v>
      </c>
      <c r="FD39" s="88">
        <f t="shared" ca="1" si="209"/>
        <v>0</v>
      </c>
      <c r="FE39" s="88">
        <f t="shared" ca="1" si="210"/>
        <v>0</v>
      </c>
      <c r="FF39" s="88">
        <f t="shared" ca="1" si="210"/>
        <v>0</v>
      </c>
      <c r="FG39" s="88">
        <f t="shared" ca="1" si="210"/>
        <v>0</v>
      </c>
      <c r="FH39" s="88">
        <f t="shared" ca="1" si="210"/>
        <v>0</v>
      </c>
      <c r="FI39" s="88">
        <f t="shared" ca="1" si="210"/>
        <v>0</v>
      </c>
      <c r="FJ39" s="88">
        <f t="shared" ca="1" si="210"/>
        <v>0</v>
      </c>
      <c r="FK39" s="88">
        <f t="shared" ca="1" si="210"/>
        <v>0</v>
      </c>
      <c r="FL39" s="88">
        <f t="shared" ca="1" si="210"/>
        <v>0</v>
      </c>
      <c r="FM39" s="88">
        <f t="shared" ca="1" si="210"/>
        <v>0</v>
      </c>
      <c r="FN39" s="88">
        <f t="shared" ca="1" si="210"/>
        <v>0</v>
      </c>
      <c r="FO39" s="88">
        <f t="shared" ca="1" si="211"/>
        <v>0</v>
      </c>
      <c r="FP39" s="88">
        <f t="shared" ca="1" si="211"/>
        <v>0</v>
      </c>
      <c r="FQ39" s="88">
        <f t="shared" ca="1" si="211"/>
        <v>0</v>
      </c>
      <c r="FR39" s="88">
        <f t="shared" ca="1" si="211"/>
        <v>0</v>
      </c>
      <c r="FS39" s="88">
        <f t="shared" ca="1" si="211"/>
        <v>0</v>
      </c>
      <c r="FT39" s="88">
        <f t="shared" ca="1" si="211"/>
        <v>0</v>
      </c>
      <c r="FU39" s="88">
        <f t="shared" ca="1" si="211"/>
        <v>0</v>
      </c>
      <c r="FV39" s="88">
        <f t="shared" ca="1" si="211"/>
        <v>0</v>
      </c>
      <c r="FW39" s="88">
        <f t="shared" ca="1" si="211"/>
        <v>0</v>
      </c>
      <c r="FX39" s="88">
        <f t="shared" ca="1" si="211"/>
        <v>0</v>
      </c>
      <c r="FY39" s="88">
        <f t="shared" ca="1" si="211"/>
        <v>0</v>
      </c>
      <c r="FZ39" s="88">
        <f t="shared" ca="1" si="211"/>
        <v>0</v>
      </c>
      <c r="GA39" s="88">
        <f t="shared" ca="1" si="211"/>
        <v>0</v>
      </c>
      <c r="GB39" s="88">
        <f t="shared" ca="1" si="211"/>
        <v>0</v>
      </c>
      <c r="GC39" s="88">
        <f t="shared" ca="1" si="211"/>
        <v>0</v>
      </c>
      <c r="GD39" s="60"/>
    </row>
    <row r="40" spans="1:186" s="54" customFormat="1">
      <c r="A40" s="61"/>
      <c r="B40" s="100" t="str">
        <f t="shared" si="0"/>
        <v>Residential_Appliance Recycling_0_All_2019</v>
      </c>
      <c r="C40" s="146"/>
      <c r="D40" s="136" t="s">
        <v>2</v>
      </c>
      <c r="E40" s="136" t="s">
        <v>120</v>
      </c>
      <c r="F40" s="136">
        <v>0</v>
      </c>
      <c r="G40" s="136" t="s">
        <v>98</v>
      </c>
      <c r="H40" s="136">
        <v>2019</v>
      </c>
      <c r="I40" s="55"/>
      <c r="J40" s="58">
        <f t="shared" ca="1" si="163"/>
        <v>1.2152286809341517</v>
      </c>
      <c r="K40" s="58">
        <f t="shared" ca="1" si="190"/>
        <v>1.327080985219558</v>
      </c>
      <c r="L40" s="58">
        <f t="shared" ca="1" si="164"/>
        <v>11.011150955716078</v>
      </c>
      <c r="M40" s="58">
        <f t="shared" ca="1" si="165"/>
        <v>1.6467496801857255</v>
      </c>
      <c r="N40" s="58">
        <f t="shared" ca="1" si="166"/>
        <v>0.22674067772697837</v>
      </c>
      <c r="O40" s="55"/>
      <c r="P40" s="175">
        <f ca="1">IFERROR(($AW40+AV40)/SUMPRODUCT($CA40:$DI40,'General Inputs'!$F$51:$AN$51),"n/a")</f>
        <v>2.5384616126381456E-2</v>
      </c>
      <c r="Q40" s="175">
        <f t="shared" ca="1" si="167"/>
        <v>0.15383298583139837</v>
      </c>
      <c r="R40" s="56">
        <f t="shared" ref="R40:R47" ca="1" si="212">SUM(CA40:DI40)/1000</f>
        <v>844.12</v>
      </c>
      <c r="S40" s="55"/>
      <c r="T40" s="56"/>
      <c r="U40" s="146"/>
      <c r="V40" s="137"/>
      <c r="W40" s="55"/>
      <c r="X40" s="138">
        <f t="shared" ca="1" si="169"/>
        <v>105515</v>
      </c>
      <c r="Y40" s="138">
        <f t="shared" ca="1" si="169"/>
        <v>12.045091324200914</v>
      </c>
      <c r="Z40" s="138">
        <f t="shared" ca="1" si="169"/>
        <v>0</v>
      </c>
      <c r="AA40" s="55"/>
      <c r="AB40" s="138">
        <f t="shared" ca="1" si="170"/>
        <v>0</v>
      </c>
      <c r="AC40" s="138">
        <f t="shared" ca="1" si="170"/>
        <v>0</v>
      </c>
      <c r="AD40" s="138">
        <f t="shared" ca="1" si="170"/>
        <v>0</v>
      </c>
      <c r="AE40" s="55"/>
      <c r="AF40" s="57">
        <f t="shared" ca="1" si="196"/>
        <v>0</v>
      </c>
      <c r="AG40" s="57">
        <f t="shared" ca="1" si="196"/>
        <v>7719</v>
      </c>
      <c r="AH40" s="57">
        <f t="shared" ca="1" si="196"/>
        <v>0</v>
      </c>
      <c r="AI40" s="57">
        <f t="shared" ca="1" si="196"/>
        <v>6225</v>
      </c>
      <c r="AJ40" s="57">
        <f t="shared" ca="1" si="196"/>
        <v>0</v>
      </c>
      <c r="AK40" s="63"/>
      <c r="AL40" s="88"/>
      <c r="AM40" s="57">
        <f ca="1">SUMIFS(OFFSET('Program Inputs'!$N$5,,,TotalPrograms),OFFSET('Program Inputs'!$B$5,,,TotalPrograms),SUBSTITUTE($B40,"All","*"))+AF40</f>
        <v>10006.6875</v>
      </c>
      <c r="AN40" s="57">
        <f t="shared" ref="AN40:AN47" ca="1" si="213">AM40+AI40</f>
        <v>16231.6875</v>
      </c>
      <c r="AO40" s="55"/>
      <c r="AP40" s="59">
        <f t="shared" ref="AP40:AP47" ca="1" si="214">SUMIFS(AR40:AX40,$AR$7:$AX$7,"BENEFIT")</f>
        <v>18183.774340301861</v>
      </c>
      <c r="AQ40" s="59">
        <f t="shared" ref="AQ40:AQ47" ca="1" si="215">SUMIFS(AR40:AX40,$AR$7:$AX$7,"COST")</f>
        <v>14963.253110783982</v>
      </c>
      <c r="AR40" s="59">
        <f t="shared" ca="1" si="200"/>
        <v>16804.017333814325</v>
      </c>
      <c r="AS40" s="59">
        <f t="shared" ca="1" si="200"/>
        <v>1379.757006487536</v>
      </c>
      <c r="AT40" s="59">
        <f t="shared" ca="1" si="200"/>
        <v>0</v>
      </c>
      <c r="AU40" s="59">
        <f t="shared" ca="1" si="200"/>
        <v>0</v>
      </c>
      <c r="AV40" s="59">
        <f t="shared" ca="1" si="200"/>
        <v>5254.8737878082466</v>
      </c>
      <c r="AW40" s="57">
        <f ca="1">INDEX('General Inputs'!$F$51:$AN$51,MATCH($H40,'General Inputs'!$F$50:$AN$50,0))*$AM40</f>
        <v>8447.2096139017558</v>
      </c>
      <c r="AX40" s="59">
        <f t="shared" ca="1" si="175"/>
        <v>6516.0434968822256</v>
      </c>
      <c r="AY40" s="55"/>
      <c r="AZ40" s="59">
        <f t="shared" ca="1" si="176"/>
        <v>16804.017333814325</v>
      </c>
      <c r="BA40" s="59">
        <f t="shared" ca="1" si="176"/>
        <v>1379.757006487536</v>
      </c>
      <c r="BB40" s="59">
        <f t="shared" ca="1" si="176"/>
        <v>0</v>
      </c>
      <c r="BC40" s="59">
        <f t="shared" ca="1" si="176"/>
        <v>5254.8737878082466</v>
      </c>
      <c r="BD40" s="57">
        <f ca="1">INDEX('General Inputs'!$F$51:$AN$51,MATCH($H40,'General Inputs'!$F$50:$AN$50,0))*$AM40</f>
        <v>8447.2096139017558</v>
      </c>
      <c r="BE40" s="55"/>
      <c r="BF40" s="59">
        <f t="shared" ca="1" si="177"/>
        <v>66494.264790374</v>
      </c>
      <c r="BG40" s="59">
        <f t="shared" ca="1" si="177"/>
        <v>0</v>
      </c>
      <c r="BH40" s="57">
        <f t="shared" ca="1" si="177"/>
        <v>5254.8737878082466</v>
      </c>
      <c r="BI40" s="59">
        <f t="shared" ca="1" si="177"/>
        <v>6516.0434968822256</v>
      </c>
      <c r="BJ40" s="55"/>
      <c r="BK40" s="59">
        <f t="shared" ca="1" si="201"/>
        <v>16804.017333814325</v>
      </c>
      <c r="BL40" s="59">
        <f t="shared" ca="1" si="201"/>
        <v>1379.757006487536</v>
      </c>
      <c r="BM40" s="59">
        <f t="shared" ca="1" si="201"/>
        <v>0</v>
      </c>
      <c r="BN40" s="59">
        <f t="shared" ca="1" si="201"/>
        <v>0</v>
      </c>
      <c r="BO40" s="59">
        <f t="shared" ca="1" si="201"/>
        <v>6456.9579344197227</v>
      </c>
      <c r="BP40" s="57">
        <f ca="1">INDEX('General Inputs'!$F$51:$AN$51,MATCH($H40,'General Inputs'!$F$50:$AN$50,0))*$AM40</f>
        <v>8447.2096139017558</v>
      </c>
      <c r="BQ40" s="59">
        <f t="shared" ca="1" si="179"/>
        <v>6516.0434968822256</v>
      </c>
      <c r="BR40" s="55"/>
      <c r="BS40" s="59">
        <f t="shared" ca="1" si="202"/>
        <v>16804.017333814325</v>
      </c>
      <c r="BT40" s="59">
        <f t="shared" ca="1" si="202"/>
        <v>1379.757006487536</v>
      </c>
      <c r="BU40" s="59">
        <f t="shared" ca="1" si="202"/>
        <v>0</v>
      </c>
      <c r="BV40" s="59">
        <f t="shared" ca="1" si="202"/>
        <v>66494.264790374</v>
      </c>
      <c r="BW40" s="59">
        <f t="shared" ca="1" si="202"/>
        <v>0</v>
      </c>
      <c r="BX40" s="59">
        <f t="shared" ca="1" si="202"/>
        <v>5254.8737878082466</v>
      </c>
      <c r="BY40" s="57">
        <f ca="1">INDEX('General Inputs'!$F$51:$AN$51,MATCH($H40,'General Inputs'!$F$50:$AN$50,0))*$AM40</f>
        <v>8447.2096139017558</v>
      </c>
      <c r="BZ40" s="55"/>
      <c r="CA40" s="88">
        <f t="shared" ca="1" si="203"/>
        <v>0</v>
      </c>
      <c r="CB40" s="88">
        <f t="shared" ca="1" si="203"/>
        <v>0</v>
      </c>
      <c r="CC40" s="88">
        <f t="shared" ca="1" si="203"/>
        <v>105515</v>
      </c>
      <c r="CD40" s="88">
        <f t="shared" ca="1" si="203"/>
        <v>105515</v>
      </c>
      <c r="CE40" s="88">
        <f t="shared" ca="1" si="203"/>
        <v>105515</v>
      </c>
      <c r="CF40" s="88">
        <f t="shared" ca="1" si="203"/>
        <v>105515</v>
      </c>
      <c r="CG40" s="88">
        <f t="shared" ca="1" si="203"/>
        <v>105515</v>
      </c>
      <c r="CH40" s="88">
        <f t="shared" ca="1" si="203"/>
        <v>105515</v>
      </c>
      <c r="CI40" s="88">
        <f t="shared" ca="1" si="203"/>
        <v>105515</v>
      </c>
      <c r="CJ40" s="88">
        <f t="shared" ca="1" si="203"/>
        <v>105515</v>
      </c>
      <c r="CK40" s="88">
        <f t="shared" ca="1" si="204"/>
        <v>0</v>
      </c>
      <c r="CL40" s="88">
        <f t="shared" ca="1" si="204"/>
        <v>0</v>
      </c>
      <c r="CM40" s="88">
        <f t="shared" ca="1" si="204"/>
        <v>0</v>
      </c>
      <c r="CN40" s="88">
        <f t="shared" ca="1" si="204"/>
        <v>0</v>
      </c>
      <c r="CO40" s="88">
        <f t="shared" ca="1" si="204"/>
        <v>0</v>
      </c>
      <c r="CP40" s="88">
        <f t="shared" ca="1" si="204"/>
        <v>0</v>
      </c>
      <c r="CQ40" s="88">
        <f t="shared" ca="1" si="204"/>
        <v>0</v>
      </c>
      <c r="CR40" s="88">
        <f t="shared" ca="1" si="204"/>
        <v>0</v>
      </c>
      <c r="CS40" s="88">
        <f t="shared" ca="1" si="204"/>
        <v>0</v>
      </c>
      <c r="CT40" s="88">
        <f t="shared" ca="1" si="204"/>
        <v>0</v>
      </c>
      <c r="CU40" s="88">
        <f t="shared" ca="1" si="205"/>
        <v>0</v>
      </c>
      <c r="CV40" s="88">
        <f t="shared" ca="1" si="205"/>
        <v>0</v>
      </c>
      <c r="CW40" s="88">
        <f t="shared" ca="1" si="205"/>
        <v>0</v>
      </c>
      <c r="CX40" s="88">
        <f t="shared" ca="1" si="205"/>
        <v>0</v>
      </c>
      <c r="CY40" s="88">
        <f t="shared" ca="1" si="205"/>
        <v>0</v>
      </c>
      <c r="CZ40" s="88">
        <f t="shared" ca="1" si="205"/>
        <v>0</v>
      </c>
      <c r="DA40" s="88">
        <f t="shared" ca="1" si="205"/>
        <v>0</v>
      </c>
      <c r="DB40" s="88">
        <f t="shared" ca="1" si="205"/>
        <v>0</v>
      </c>
      <c r="DC40" s="88">
        <f t="shared" ca="1" si="205"/>
        <v>0</v>
      </c>
      <c r="DD40" s="88">
        <f t="shared" ca="1" si="205"/>
        <v>0</v>
      </c>
      <c r="DE40" s="88">
        <f t="shared" ca="1" si="205"/>
        <v>0</v>
      </c>
      <c r="DF40" s="88">
        <f t="shared" ca="1" si="205"/>
        <v>0</v>
      </c>
      <c r="DG40" s="88">
        <f t="shared" ca="1" si="205"/>
        <v>0</v>
      </c>
      <c r="DH40" s="88">
        <f t="shared" ca="1" si="205"/>
        <v>0</v>
      </c>
      <c r="DI40" s="88">
        <f t="shared" ca="1" si="205"/>
        <v>0</v>
      </c>
      <c r="DJ40" s="169"/>
      <c r="DK40" s="88">
        <f t="shared" ca="1" si="206"/>
        <v>0</v>
      </c>
      <c r="DL40" s="88">
        <f t="shared" ca="1" si="206"/>
        <v>0</v>
      </c>
      <c r="DM40" s="88">
        <f t="shared" ca="1" si="206"/>
        <v>12.045091324200914</v>
      </c>
      <c r="DN40" s="88">
        <f t="shared" ca="1" si="206"/>
        <v>12.045091324200914</v>
      </c>
      <c r="DO40" s="88">
        <f t="shared" ca="1" si="206"/>
        <v>12.045091324200914</v>
      </c>
      <c r="DP40" s="88">
        <f t="shared" ca="1" si="206"/>
        <v>12.045091324200914</v>
      </c>
      <c r="DQ40" s="88">
        <f t="shared" ca="1" si="206"/>
        <v>12.045091324200914</v>
      </c>
      <c r="DR40" s="88">
        <f t="shared" ca="1" si="206"/>
        <v>12.045091324200914</v>
      </c>
      <c r="DS40" s="88">
        <f t="shared" ca="1" si="206"/>
        <v>12.045091324200914</v>
      </c>
      <c r="DT40" s="88">
        <f t="shared" ca="1" si="206"/>
        <v>12.045091324200914</v>
      </c>
      <c r="DU40" s="88">
        <f t="shared" ca="1" si="207"/>
        <v>0</v>
      </c>
      <c r="DV40" s="88">
        <f t="shared" ca="1" si="207"/>
        <v>0</v>
      </c>
      <c r="DW40" s="88">
        <f t="shared" ca="1" si="207"/>
        <v>0</v>
      </c>
      <c r="DX40" s="88">
        <f t="shared" ca="1" si="207"/>
        <v>0</v>
      </c>
      <c r="DY40" s="88">
        <f t="shared" ca="1" si="207"/>
        <v>0</v>
      </c>
      <c r="DZ40" s="88">
        <f t="shared" ca="1" si="207"/>
        <v>0</v>
      </c>
      <c r="EA40" s="88">
        <f t="shared" ca="1" si="207"/>
        <v>0</v>
      </c>
      <c r="EB40" s="88">
        <f t="shared" ca="1" si="207"/>
        <v>0</v>
      </c>
      <c r="EC40" s="88">
        <f t="shared" ca="1" si="207"/>
        <v>0</v>
      </c>
      <c r="ED40" s="88">
        <f t="shared" ca="1" si="207"/>
        <v>0</v>
      </c>
      <c r="EE40" s="88">
        <f t="shared" ca="1" si="208"/>
        <v>0</v>
      </c>
      <c r="EF40" s="88">
        <f t="shared" ca="1" si="208"/>
        <v>0</v>
      </c>
      <c r="EG40" s="88">
        <f t="shared" ca="1" si="208"/>
        <v>0</v>
      </c>
      <c r="EH40" s="88">
        <f t="shared" ca="1" si="208"/>
        <v>0</v>
      </c>
      <c r="EI40" s="88">
        <f t="shared" ca="1" si="208"/>
        <v>0</v>
      </c>
      <c r="EJ40" s="88">
        <f t="shared" ca="1" si="208"/>
        <v>0</v>
      </c>
      <c r="EK40" s="88">
        <f t="shared" ca="1" si="208"/>
        <v>0</v>
      </c>
      <c r="EL40" s="88">
        <f t="shared" ca="1" si="208"/>
        <v>0</v>
      </c>
      <c r="EM40" s="88">
        <f t="shared" ca="1" si="208"/>
        <v>0</v>
      </c>
      <c r="EN40" s="88">
        <f t="shared" ca="1" si="208"/>
        <v>0</v>
      </c>
      <c r="EO40" s="88">
        <f t="shared" ca="1" si="208"/>
        <v>0</v>
      </c>
      <c r="EP40" s="88">
        <f t="shared" ca="1" si="208"/>
        <v>0</v>
      </c>
      <c r="EQ40" s="88">
        <f t="shared" ca="1" si="208"/>
        <v>0</v>
      </c>
      <c r="ER40" s="88">
        <f t="shared" ca="1" si="208"/>
        <v>0</v>
      </c>
      <c r="ES40" s="88">
        <f t="shared" ca="1" si="208"/>
        <v>0</v>
      </c>
      <c r="ET40" s="169"/>
      <c r="EU40" s="88">
        <f t="shared" ca="1" si="209"/>
        <v>0</v>
      </c>
      <c r="EV40" s="88">
        <f t="shared" ca="1" si="209"/>
        <v>0</v>
      </c>
      <c r="EW40" s="88">
        <f t="shared" ca="1" si="209"/>
        <v>0</v>
      </c>
      <c r="EX40" s="88">
        <f t="shared" ca="1" si="209"/>
        <v>0</v>
      </c>
      <c r="EY40" s="88">
        <f t="shared" ca="1" si="209"/>
        <v>0</v>
      </c>
      <c r="EZ40" s="88">
        <f t="shared" ca="1" si="209"/>
        <v>0</v>
      </c>
      <c r="FA40" s="88">
        <f t="shared" ca="1" si="209"/>
        <v>0</v>
      </c>
      <c r="FB40" s="88">
        <f t="shared" ca="1" si="209"/>
        <v>0</v>
      </c>
      <c r="FC40" s="88">
        <f t="shared" ca="1" si="209"/>
        <v>0</v>
      </c>
      <c r="FD40" s="88">
        <f t="shared" ca="1" si="209"/>
        <v>0</v>
      </c>
      <c r="FE40" s="88">
        <f t="shared" ca="1" si="210"/>
        <v>0</v>
      </c>
      <c r="FF40" s="88">
        <f t="shared" ca="1" si="210"/>
        <v>0</v>
      </c>
      <c r="FG40" s="88">
        <f t="shared" ca="1" si="210"/>
        <v>0</v>
      </c>
      <c r="FH40" s="88">
        <f t="shared" ca="1" si="210"/>
        <v>0</v>
      </c>
      <c r="FI40" s="88">
        <f t="shared" ca="1" si="210"/>
        <v>0</v>
      </c>
      <c r="FJ40" s="88">
        <f t="shared" ca="1" si="210"/>
        <v>0</v>
      </c>
      <c r="FK40" s="88">
        <f t="shared" ca="1" si="210"/>
        <v>0</v>
      </c>
      <c r="FL40" s="88">
        <f t="shared" ca="1" si="210"/>
        <v>0</v>
      </c>
      <c r="FM40" s="88">
        <f t="shared" ca="1" si="210"/>
        <v>0</v>
      </c>
      <c r="FN40" s="88">
        <f t="shared" ca="1" si="210"/>
        <v>0</v>
      </c>
      <c r="FO40" s="88">
        <f t="shared" ca="1" si="211"/>
        <v>0</v>
      </c>
      <c r="FP40" s="88">
        <f t="shared" ca="1" si="211"/>
        <v>0</v>
      </c>
      <c r="FQ40" s="88">
        <f t="shared" ca="1" si="211"/>
        <v>0</v>
      </c>
      <c r="FR40" s="88">
        <f t="shared" ca="1" si="211"/>
        <v>0</v>
      </c>
      <c r="FS40" s="88">
        <f t="shared" ca="1" si="211"/>
        <v>0</v>
      </c>
      <c r="FT40" s="88">
        <f t="shared" ca="1" si="211"/>
        <v>0</v>
      </c>
      <c r="FU40" s="88">
        <f t="shared" ca="1" si="211"/>
        <v>0</v>
      </c>
      <c r="FV40" s="88">
        <f t="shared" ca="1" si="211"/>
        <v>0</v>
      </c>
      <c r="FW40" s="88">
        <f t="shared" ca="1" si="211"/>
        <v>0</v>
      </c>
      <c r="FX40" s="88">
        <f t="shared" ca="1" si="211"/>
        <v>0</v>
      </c>
      <c r="FY40" s="88">
        <f t="shared" ca="1" si="211"/>
        <v>0</v>
      </c>
      <c r="FZ40" s="88">
        <f t="shared" ca="1" si="211"/>
        <v>0</v>
      </c>
      <c r="GA40" s="88">
        <f t="shared" ca="1" si="211"/>
        <v>0</v>
      </c>
      <c r="GB40" s="88">
        <f t="shared" ca="1" si="211"/>
        <v>0</v>
      </c>
      <c r="GC40" s="88">
        <f t="shared" ca="1" si="211"/>
        <v>0</v>
      </c>
      <c r="GD40" s="60"/>
    </row>
    <row r="41" spans="1:186" s="54" customFormat="1">
      <c r="A41" s="61"/>
      <c r="B41" s="100" t="str">
        <f t="shared" si="0"/>
        <v>Residential_High Efficiency HVAC_0_All_2019</v>
      </c>
      <c r="C41" s="146"/>
      <c r="D41" s="136" t="s">
        <v>2</v>
      </c>
      <c r="E41" s="136" t="s">
        <v>250</v>
      </c>
      <c r="F41" s="136">
        <v>0</v>
      </c>
      <c r="G41" s="136" t="s">
        <v>98</v>
      </c>
      <c r="H41" s="136">
        <v>2019</v>
      </c>
      <c r="I41" s="55"/>
      <c r="J41" s="58">
        <f t="shared" ca="1" si="163"/>
        <v>0.88986689500709981</v>
      </c>
      <c r="K41" s="58">
        <f t="shared" ca="1" si="190"/>
        <v>2.2020223241524874</v>
      </c>
      <c r="L41" s="58">
        <f t="shared" ca="1" si="164"/>
        <v>3.3750340219058237</v>
      </c>
      <c r="M41" s="58">
        <f t="shared" ca="1" si="165"/>
        <v>1.1468292586382534</v>
      </c>
      <c r="N41" s="58">
        <f t="shared" ca="1" si="166"/>
        <v>0.28012274279894356</v>
      </c>
      <c r="O41" s="55"/>
      <c r="P41" s="175">
        <f ca="1">IFERROR(($AW41+AV41)/SUMPRODUCT($CA41:$DI41,'General Inputs'!$F$51:$AN$51),"n/a")</f>
        <v>1.8812467605998601E-2</v>
      </c>
      <c r="Q41" s="175">
        <f t="shared" ca="1" si="167"/>
        <v>0.17946274389932224</v>
      </c>
      <c r="R41" s="56">
        <f t="shared" ca="1" si="212"/>
        <v>4809.7564950850228</v>
      </c>
      <c r="S41" s="55"/>
      <c r="T41" s="56"/>
      <c r="U41" s="146"/>
      <c r="V41" s="137"/>
      <c r="W41" s="55"/>
      <c r="X41" s="138">
        <f t="shared" ca="1" si="169"/>
        <v>272162.08745476819</v>
      </c>
      <c r="Y41" s="138">
        <f t="shared" ca="1" si="169"/>
        <v>101.21229802854266</v>
      </c>
      <c r="Z41" s="138">
        <f t="shared" ca="1" si="169"/>
        <v>0</v>
      </c>
      <c r="AA41" s="55"/>
      <c r="AB41" s="138">
        <f t="shared" ca="1" si="170"/>
        <v>0</v>
      </c>
      <c r="AC41" s="138">
        <f t="shared" ca="1" si="170"/>
        <v>0</v>
      </c>
      <c r="AD41" s="138">
        <f t="shared" ca="1" si="170"/>
        <v>0</v>
      </c>
      <c r="AE41" s="55"/>
      <c r="AF41" s="57">
        <f t="shared" ref="AF41:AJ47" ca="1" si="216">SUMIFS(OFFSET(AF$49,,,InputRows),OFFSET($B$49,,,InputRows),SUBSTITUTE($B41,"All","*"))</f>
        <v>0</v>
      </c>
      <c r="AG41" s="57">
        <f t="shared" ca="1" si="216"/>
        <v>110771.5</v>
      </c>
      <c r="AH41" s="57">
        <f t="shared" ca="1" si="216"/>
        <v>0</v>
      </c>
      <c r="AI41" s="57">
        <f t="shared" ca="1" si="216"/>
        <v>38750</v>
      </c>
      <c r="AJ41" s="57">
        <f t="shared" ca="1" si="216"/>
        <v>0</v>
      </c>
      <c r="AK41" s="63"/>
      <c r="AL41" s="88"/>
      <c r="AM41" s="57">
        <f ca="1">SUMIFS(OFFSET('Program Inputs'!$N$5,,,TotalPrograms),OFFSET('Program Inputs'!$B$5,,,TotalPrograms),SUBSTITUTE($B41,"All","*"))+AF41</f>
        <v>10092.955</v>
      </c>
      <c r="AN41" s="57">
        <f t="shared" ca="1" si="213"/>
        <v>48842.955000000002</v>
      </c>
      <c r="AO41" s="55"/>
      <c r="AP41" s="59">
        <f t="shared" ca="1" si="214"/>
        <v>90791.790780940035</v>
      </c>
      <c r="AQ41" s="59">
        <f t="shared" ca="1" si="215"/>
        <v>102028.50706140231</v>
      </c>
      <c r="AR41" s="59">
        <f t="shared" ref="AR41:AV47" ca="1" si="217">SUMIFS(OFFSET(AR$49,,,InputRows),OFFSET($B$49,,,InputRows),SUBSTITUTE($B41,"All","*"))</f>
        <v>71488.489222743403</v>
      </c>
      <c r="AS41" s="59">
        <f t="shared" ca="1" si="217"/>
        <v>19303.301558196639</v>
      </c>
      <c r="AT41" s="59">
        <f t="shared" ca="1" si="217"/>
        <v>0</v>
      </c>
      <c r="AU41" s="59">
        <f t="shared" ca="1" si="217"/>
        <v>0</v>
      </c>
      <c r="AV41" s="59">
        <f t="shared" ca="1" si="217"/>
        <v>32711.061731336475</v>
      </c>
      <c r="AW41" s="57">
        <f ca="1">INDEX('General Inputs'!$F$51:$AN$51,MATCH($H41,'General Inputs'!$F$50:$AN$50,0))*$AM41</f>
        <v>8520.0328788800289</v>
      </c>
      <c r="AX41" s="59">
        <f t="shared" ca="1" si="175"/>
        <v>93508.474182522288</v>
      </c>
      <c r="AY41" s="55"/>
      <c r="AZ41" s="59">
        <f t="shared" ca="1" si="176"/>
        <v>71488.489222743403</v>
      </c>
      <c r="BA41" s="59">
        <f t="shared" ca="1" si="176"/>
        <v>19303.301558196639</v>
      </c>
      <c r="BB41" s="59">
        <f t="shared" ca="1" si="176"/>
        <v>0</v>
      </c>
      <c r="BC41" s="59">
        <f t="shared" ca="1" si="176"/>
        <v>32711.061731336475</v>
      </c>
      <c r="BD41" s="57">
        <f ca="1">INDEX('General Inputs'!$F$51:$AN$51,MATCH($H41,'General Inputs'!$F$50:$AN$50,0))*$AM41</f>
        <v>8520.0328788800289</v>
      </c>
      <c r="BE41" s="55"/>
      <c r="BF41" s="59">
        <f t="shared" ca="1" si="177"/>
        <v>282883.21997117862</v>
      </c>
      <c r="BG41" s="59">
        <f t="shared" ca="1" si="177"/>
        <v>0</v>
      </c>
      <c r="BH41" s="57">
        <f t="shared" ca="1" si="177"/>
        <v>32711.061731336475</v>
      </c>
      <c r="BI41" s="59">
        <f t="shared" ca="1" si="177"/>
        <v>93508.474182522288</v>
      </c>
      <c r="BJ41" s="55"/>
      <c r="BK41" s="59">
        <f t="shared" ref="BK41:BO47" ca="1" si="218">SUMIFS(OFFSET(BK$49,,,InputRows),OFFSET($B$49,,,InputRows),SUBSTITUTE($B41,"All","*"))</f>
        <v>71488.489222743403</v>
      </c>
      <c r="BL41" s="59">
        <f t="shared" ca="1" si="218"/>
        <v>19303.301558196639</v>
      </c>
      <c r="BM41" s="59">
        <f t="shared" ca="1" si="218"/>
        <v>0</v>
      </c>
      <c r="BN41" s="59">
        <f t="shared" ca="1" si="218"/>
        <v>0</v>
      </c>
      <c r="BO41" s="59">
        <f t="shared" ca="1" si="218"/>
        <v>26217.486332255779</v>
      </c>
      <c r="BP41" s="57">
        <f ca="1">INDEX('General Inputs'!$F$51:$AN$51,MATCH($H41,'General Inputs'!$F$50:$AN$50,0))*$AM41</f>
        <v>8520.0328788800289</v>
      </c>
      <c r="BQ41" s="59">
        <f t="shared" ca="1" si="179"/>
        <v>93508.474182522288</v>
      </c>
      <c r="BR41" s="55"/>
      <c r="BS41" s="59">
        <f t="shared" ref="BS41:BX47" ca="1" si="219">SUMIFS(OFFSET(BS$49,,,InputRows),OFFSET($B$49,,,InputRows),SUBSTITUTE($B41,"All","*"))</f>
        <v>71488.489222743403</v>
      </c>
      <c r="BT41" s="59">
        <f t="shared" ca="1" si="219"/>
        <v>19303.301558196639</v>
      </c>
      <c r="BU41" s="59">
        <f t="shared" ca="1" si="219"/>
        <v>0</v>
      </c>
      <c r="BV41" s="59">
        <f t="shared" ca="1" si="219"/>
        <v>282883.21997117862</v>
      </c>
      <c r="BW41" s="59">
        <f t="shared" ca="1" si="219"/>
        <v>0</v>
      </c>
      <c r="BX41" s="59">
        <f t="shared" ca="1" si="219"/>
        <v>32711.061731336475</v>
      </c>
      <c r="BY41" s="57">
        <f ca="1">INDEX('General Inputs'!$F$51:$AN$51,MATCH($H41,'General Inputs'!$F$50:$AN$50,0))*$AM41</f>
        <v>8520.0328788800289</v>
      </c>
      <c r="BZ41" s="55"/>
      <c r="CA41" s="88">
        <f t="shared" ref="CA41:CJ47" ca="1" si="220">SUMIFS(OFFSET(CA$49,,,InputRows),OFFSET($B$49,,,InputRows),SUBSTITUTE($B41,"All","*"))</f>
        <v>0</v>
      </c>
      <c r="CB41" s="88">
        <f t="shared" ca="1" si="220"/>
        <v>0</v>
      </c>
      <c r="CC41" s="88">
        <f t="shared" ca="1" si="220"/>
        <v>272162.08745476819</v>
      </c>
      <c r="CD41" s="88">
        <f t="shared" ca="1" si="220"/>
        <v>272162.08745476819</v>
      </c>
      <c r="CE41" s="88">
        <f t="shared" ca="1" si="220"/>
        <v>272162.08745476819</v>
      </c>
      <c r="CF41" s="88">
        <f t="shared" ca="1" si="220"/>
        <v>272162.08745476819</v>
      </c>
      <c r="CG41" s="88">
        <f t="shared" ca="1" si="220"/>
        <v>272162.08745476819</v>
      </c>
      <c r="CH41" s="88">
        <f t="shared" ca="1" si="220"/>
        <v>272162.08745476819</v>
      </c>
      <c r="CI41" s="88">
        <f t="shared" ca="1" si="220"/>
        <v>272162.08745476819</v>
      </c>
      <c r="CJ41" s="88">
        <f t="shared" ca="1" si="220"/>
        <v>272162.08745476819</v>
      </c>
      <c r="CK41" s="88">
        <f t="shared" ref="CK41:CT47" ca="1" si="221">SUMIFS(OFFSET(CK$49,,,InputRows),OFFSET($B$49,,,InputRows),SUBSTITUTE($B41,"All","*"))</f>
        <v>272162.08745476819</v>
      </c>
      <c r="CL41" s="88">
        <f t="shared" ca="1" si="221"/>
        <v>272162.08745476819</v>
      </c>
      <c r="CM41" s="88">
        <f t="shared" ca="1" si="221"/>
        <v>272162.08745476819</v>
      </c>
      <c r="CN41" s="88">
        <f t="shared" ca="1" si="221"/>
        <v>272162.08745476819</v>
      </c>
      <c r="CO41" s="88">
        <f t="shared" ca="1" si="221"/>
        <v>272162.08745476819</v>
      </c>
      <c r="CP41" s="88">
        <f t="shared" ca="1" si="221"/>
        <v>254329.87163460677</v>
      </c>
      <c r="CQ41" s="88">
        <f t="shared" ca="1" si="221"/>
        <v>254329.87163460677</v>
      </c>
      <c r="CR41" s="88">
        <f t="shared" ca="1" si="221"/>
        <v>254329.87163460677</v>
      </c>
      <c r="CS41" s="88">
        <f t="shared" ca="1" si="221"/>
        <v>254329.87163460677</v>
      </c>
      <c r="CT41" s="88">
        <f t="shared" ca="1" si="221"/>
        <v>254329.87163460677</v>
      </c>
      <c r="CU41" s="88">
        <f t="shared" ref="CU41:DI47" ca="1" si="222">SUMIFS(OFFSET(CU$49,,,InputRows),OFFSET($B$49,,,InputRows),SUBSTITUTE($B41,"All","*"))</f>
        <v>0</v>
      </c>
      <c r="CV41" s="88">
        <f t="shared" ca="1" si="222"/>
        <v>0</v>
      </c>
      <c r="CW41" s="88">
        <f t="shared" ca="1" si="222"/>
        <v>0</v>
      </c>
      <c r="CX41" s="88">
        <f t="shared" ca="1" si="222"/>
        <v>0</v>
      </c>
      <c r="CY41" s="88">
        <f t="shared" ca="1" si="222"/>
        <v>0</v>
      </c>
      <c r="CZ41" s="88">
        <f t="shared" ca="1" si="222"/>
        <v>0</v>
      </c>
      <c r="DA41" s="88">
        <f t="shared" ca="1" si="222"/>
        <v>0</v>
      </c>
      <c r="DB41" s="88">
        <f t="shared" ca="1" si="222"/>
        <v>0</v>
      </c>
      <c r="DC41" s="88">
        <f t="shared" ca="1" si="222"/>
        <v>0</v>
      </c>
      <c r="DD41" s="88">
        <f t="shared" ca="1" si="222"/>
        <v>0</v>
      </c>
      <c r="DE41" s="88">
        <f t="shared" ca="1" si="222"/>
        <v>0</v>
      </c>
      <c r="DF41" s="88">
        <f t="shared" ca="1" si="222"/>
        <v>0</v>
      </c>
      <c r="DG41" s="88">
        <f t="shared" ca="1" si="222"/>
        <v>0</v>
      </c>
      <c r="DH41" s="88">
        <f t="shared" ca="1" si="222"/>
        <v>0</v>
      </c>
      <c r="DI41" s="88">
        <f t="shared" ca="1" si="222"/>
        <v>0</v>
      </c>
      <c r="DJ41" s="169"/>
      <c r="DK41" s="88">
        <f t="shared" ref="DK41:DT47" ca="1" si="223">SUMIFS(OFFSET(DK$49,,,InputRows),OFFSET($B$49,,,InputRows),SUBSTITUTE($B41,"All","*"))</f>
        <v>0</v>
      </c>
      <c r="DL41" s="88">
        <f t="shared" ca="1" si="223"/>
        <v>0</v>
      </c>
      <c r="DM41" s="88">
        <f t="shared" ca="1" si="223"/>
        <v>101.21229802854266</v>
      </c>
      <c r="DN41" s="88">
        <f t="shared" ca="1" si="223"/>
        <v>101.21229802854266</v>
      </c>
      <c r="DO41" s="88">
        <f t="shared" ca="1" si="223"/>
        <v>101.21229802854266</v>
      </c>
      <c r="DP41" s="88">
        <f t="shared" ca="1" si="223"/>
        <v>101.21229802854266</v>
      </c>
      <c r="DQ41" s="88">
        <f t="shared" ca="1" si="223"/>
        <v>101.21229802854266</v>
      </c>
      <c r="DR41" s="88">
        <f t="shared" ca="1" si="223"/>
        <v>101.21229802854266</v>
      </c>
      <c r="DS41" s="88">
        <f t="shared" ca="1" si="223"/>
        <v>101.21229802854266</v>
      </c>
      <c r="DT41" s="88">
        <f t="shared" ca="1" si="223"/>
        <v>101.21229802854266</v>
      </c>
      <c r="DU41" s="88">
        <f t="shared" ref="DU41:ED47" ca="1" si="224">SUMIFS(OFFSET(DU$49,,,InputRows),OFFSET($B$49,,,InputRows),SUBSTITUTE($B41,"All","*"))</f>
        <v>101.21229802854266</v>
      </c>
      <c r="DV41" s="88">
        <f t="shared" ca="1" si="224"/>
        <v>101.21229802854266</v>
      </c>
      <c r="DW41" s="88">
        <f t="shared" ca="1" si="224"/>
        <v>101.21229802854266</v>
      </c>
      <c r="DX41" s="88">
        <f t="shared" ca="1" si="224"/>
        <v>101.21229802854266</v>
      </c>
      <c r="DY41" s="88">
        <f t="shared" ca="1" si="224"/>
        <v>101.21229802854266</v>
      </c>
      <c r="DZ41" s="88">
        <f t="shared" ca="1" si="224"/>
        <v>100.36750296402653</v>
      </c>
      <c r="EA41" s="88">
        <f t="shared" ca="1" si="224"/>
        <v>100.36750296402653</v>
      </c>
      <c r="EB41" s="88">
        <f t="shared" ca="1" si="224"/>
        <v>100.36750296402653</v>
      </c>
      <c r="EC41" s="88">
        <f t="shared" ca="1" si="224"/>
        <v>100.36750296402653</v>
      </c>
      <c r="ED41" s="88">
        <f t="shared" ca="1" si="224"/>
        <v>100.36750296402653</v>
      </c>
      <c r="EE41" s="88">
        <f t="shared" ref="EE41:ES47" ca="1" si="225">SUMIFS(OFFSET(EE$49,,,InputRows),OFFSET($B$49,,,InputRows),SUBSTITUTE($B41,"All","*"))</f>
        <v>0</v>
      </c>
      <c r="EF41" s="88">
        <f t="shared" ca="1" si="225"/>
        <v>0</v>
      </c>
      <c r="EG41" s="88">
        <f t="shared" ca="1" si="225"/>
        <v>0</v>
      </c>
      <c r="EH41" s="88">
        <f t="shared" ca="1" si="225"/>
        <v>0</v>
      </c>
      <c r="EI41" s="88">
        <f t="shared" ca="1" si="225"/>
        <v>0</v>
      </c>
      <c r="EJ41" s="88">
        <f t="shared" ca="1" si="225"/>
        <v>0</v>
      </c>
      <c r="EK41" s="88">
        <f t="shared" ca="1" si="225"/>
        <v>0</v>
      </c>
      <c r="EL41" s="88">
        <f t="shared" ca="1" si="225"/>
        <v>0</v>
      </c>
      <c r="EM41" s="88">
        <f t="shared" ca="1" si="225"/>
        <v>0</v>
      </c>
      <c r="EN41" s="88">
        <f t="shared" ca="1" si="225"/>
        <v>0</v>
      </c>
      <c r="EO41" s="88">
        <f t="shared" ca="1" si="225"/>
        <v>0</v>
      </c>
      <c r="EP41" s="88">
        <f t="shared" ca="1" si="225"/>
        <v>0</v>
      </c>
      <c r="EQ41" s="88">
        <f t="shared" ca="1" si="225"/>
        <v>0</v>
      </c>
      <c r="ER41" s="88">
        <f t="shared" ca="1" si="225"/>
        <v>0</v>
      </c>
      <c r="ES41" s="88">
        <f t="shared" ca="1" si="225"/>
        <v>0</v>
      </c>
      <c r="ET41" s="169"/>
      <c r="EU41" s="88">
        <f t="shared" ref="EU41:FD47" ca="1" si="226">SUMIFS(OFFSET(EU$49,,,InputRows),OFFSET($B$49,,,InputRows),SUBSTITUTE($B41,"All","*"))</f>
        <v>0</v>
      </c>
      <c r="EV41" s="88">
        <f t="shared" ca="1" si="226"/>
        <v>0</v>
      </c>
      <c r="EW41" s="88">
        <f t="shared" ca="1" si="226"/>
        <v>0</v>
      </c>
      <c r="EX41" s="88">
        <f t="shared" ca="1" si="226"/>
        <v>0</v>
      </c>
      <c r="EY41" s="88">
        <f t="shared" ca="1" si="226"/>
        <v>0</v>
      </c>
      <c r="EZ41" s="88">
        <f t="shared" ca="1" si="226"/>
        <v>0</v>
      </c>
      <c r="FA41" s="88">
        <f t="shared" ca="1" si="226"/>
        <v>0</v>
      </c>
      <c r="FB41" s="88">
        <f t="shared" ca="1" si="226"/>
        <v>0</v>
      </c>
      <c r="FC41" s="88">
        <f t="shared" ca="1" si="226"/>
        <v>0</v>
      </c>
      <c r="FD41" s="88">
        <f t="shared" ca="1" si="226"/>
        <v>0</v>
      </c>
      <c r="FE41" s="88">
        <f t="shared" ref="FE41:FN47" ca="1" si="227">SUMIFS(OFFSET(FE$49,,,InputRows),OFFSET($B$49,,,InputRows),SUBSTITUTE($B41,"All","*"))</f>
        <v>0</v>
      </c>
      <c r="FF41" s="88">
        <f t="shared" ca="1" si="227"/>
        <v>0</v>
      </c>
      <c r="FG41" s="88">
        <f t="shared" ca="1" si="227"/>
        <v>0</v>
      </c>
      <c r="FH41" s="88">
        <f t="shared" ca="1" si="227"/>
        <v>0</v>
      </c>
      <c r="FI41" s="88">
        <f t="shared" ca="1" si="227"/>
        <v>0</v>
      </c>
      <c r="FJ41" s="88">
        <f t="shared" ca="1" si="227"/>
        <v>0</v>
      </c>
      <c r="FK41" s="88">
        <f t="shared" ca="1" si="227"/>
        <v>0</v>
      </c>
      <c r="FL41" s="88">
        <f t="shared" ca="1" si="227"/>
        <v>0</v>
      </c>
      <c r="FM41" s="88">
        <f t="shared" ca="1" si="227"/>
        <v>0</v>
      </c>
      <c r="FN41" s="88">
        <f t="shared" ca="1" si="227"/>
        <v>0</v>
      </c>
      <c r="FO41" s="88">
        <f t="shared" ref="FO41:GC47" ca="1" si="228">SUMIFS(OFFSET(FO$49,,,InputRows),OFFSET($B$49,,,InputRows),SUBSTITUTE($B41,"All","*"))</f>
        <v>0</v>
      </c>
      <c r="FP41" s="88">
        <f t="shared" ca="1" si="228"/>
        <v>0</v>
      </c>
      <c r="FQ41" s="88">
        <f t="shared" ca="1" si="228"/>
        <v>0</v>
      </c>
      <c r="FR41" s="88">
        <f t="shared" ca="1" si="228"/>
        <v>0</v>
      </c>
      <c r="FS41" s="88">
        <f t="shared" ca="1" si="228"/>
        <v>0</v>
      </c>
      <c r="FT41" s="88">
        <f t="shared" ca="1" si="228"/>
        <v>0</v>
      </c>
      <c r="FU41" s="88">
        <f t="shared" ca="1" si="228"/>
        <v>0</v>
      </c>
      <c r="FV41" s="88">
        <f t="shared" ca="1" si="228"/>
        <v>0</v>
      </c>
      <c r="FW41" s="88">
        <f t="shared" ca="1" si="228"/>
        <v>0</v>
      </c>
      <c r="FX41" s="88">
        <f t="shared" ca="1" si="228"/>
        <v>0</v>
      </c>
      <c r="FY41" s="88">
        <f t="shared" ca="1" si="228"/>
        <v>0</v>
      </c>
      <c r="FZ41" s="88">
        <f t="shared" ca="1" si="228"/>
        <v>0</v>
      </c>
      <c r="GA41" s="88">
        <f t="shared" ca="1" si="228"/>
        <v>0</v>
      </c>
      <c r="GB41" s="88">
        <f t="shared" ca="1" si="228"/>
        <v>0</v>
      </c>
      <c r="GC41" s="88">
        <f t="shared" ca="1" si="228"/>
        <v>0</v>
      </c>
      <c r="GD41" s="60"/>
    </row>
    <row r="42" spans="1:186" s="54" customFormat="1">
      <c r="A42" s="61"/>
      <c r="B42" s="100" t="str">
        <f t="shared" si="0"/>
        <v>Residential_Whole House Efficiency_0_All_2019</v>
      </c>
      <c r="C42" s="146"/>
      <c r="D42" s="136" t="s">
        <v>2</v>
      </c>
      <c r="E42" s="136" t="s">
        <v>219</v>
      </c>
      <c r="F42" s="136">
        <v>0</v>
      </c>
      <c r="G42" s="136" t="s">
        <v>98</v>
      </c>
      <c r="H42" s="136">
        <v>2019</v>
      </c>
      <c r="I42" s="55"/>
      <c r="J42" s="58">
        <f t="shared" ca="1" si="163"/>
        <v>0.71384239438489028</v>
      </c>
      <c r="K42" s="58">
        <f t="shared" ca="1" si="190"/>
        <v>0.71384239438489028</v>
      </c>
      <c r="L42" s="58" t="str">
        <f t="shared" ca="1" si="164"/>
        <v>n/a</v>
      </c>
      <c r="M42" s="58">
        <f t="shared" ca="1" si="165"/>
        <v>0.96006938390777463</v>
      </c>
      <c r="N42" s="58">
        <f t="shared" ca="1" si="166"/>
        <v>0.19864078224498569</v>
      </c>
      <c r="O42" s="55"/>
      <c r="P42" s="175">
        <f ca="1">IFERROR(($AW42+AV42)/SUMPRODUCT($CA42:$DI42,'General Inputs'!$F$51:$AN$51),"n/a")</f>
        <v>4.8582101325363058E-2</v>
      </c>
      <c r="Q42" s="175">
        <f t="shared" ca="1" si="167"/>
        <v>0.36215249885735262</v>
      </c>
      <c r="R42" s="56">
        <f t="shared" ca="1" si="212"/>
        <v>400.23631269677543</v>
      </c>
      <c r="S42" s="55"/>
      <c r="T42" s="56"/>
      <c r="U42" s="146"/>
      <c r="V42" s="137"/>
      <c r="W42" s="55"/>
      <c r="X42" s="138">
        <f t="shared" ca="1" si="169"/>
        <v>34770.228121385633</v>
      </c>
      <c r="Y42" s="138">
        <f t="shared" ca="1" si="169"/>
        <v>4.5497772774931642</v>
      </c>
      <c r="Z42" s="138">
        <f t="shared" ca="1" si="169"/>
        <v>0</v>
      </c>
      <c r="AA42" s="55"/>
      <c r="AB42" s="138">
        <f t="shared" ca="1" si="170"/>
        <v>0</v>
      </c>
      <c r="AC42" s="138">
        <f t="shared" ca="1" si="170"/>
        <v>0</v>
      </c>
      <c r="AD42" s="138">
        <f t="shared" ca="1" si="170"/>
        <v>0</v>
      </c>
      <c r="AE42" s="55"/>
      <c r="AF42" s="57">
        <f t="shared" ca="1" si="216"/>
        <v>0</v>
      </c>
      <c r="AG42" s="57">
        <f t="shared" ca="1" si="216"/>
        <v>0</v>
      </c>
      <c r="AH42" s="57">
        <f t="shared" ca="1" si="216"/>
        <v>0</v>
      </c>
      <c r="AI42" s="57">
        <f t="shared" ca="1" si="216"/>
        <v>0</v>
      </c>
      <c r="AJ42" s="57">
        <f t="shared" ca="1" si="216"/>
        <v>0</v>
      </c>
      <c r="AK42" s="63"/>
      <c r="AL42" s="88"/>
      <c r="AM42" s="57">
        <f ca="1">SUMIFS(OFFSET('Program Inputs'!$N$5,,,TotalPrograms),OFFSET('Program Inputs'!$B$5,,,TotalPrograms),SUBSTITUTE($B42,"All","*"))+AF42</f>
        <v>12592.125</v>
      </c>
      <c r="AN42" s="57">
        <f t="shared" ca="1" si="213"/>
        <v>12592.125</v>
      </c>
      <c r="AO42" s="55"/>
      <c r="AP42" s="59">
        <f t="shared" ca="1" si="214"/>
        <v>7587.9471381761814</v>
      </c>
      <c r="AQ42" s="59">
        <f t="shared" ca="1" si="215"/>
        <v>10629.723308482718</v>
      </c>
      <c r="AR42" s="59">
        <f t="shared" ca="1" si="217"/>
        <v>6967.2226413698299</v>
      </c>
      <c r="AS42" s="59">
        <f t="shared" ca="1" si="217"/>
        <v>620.72449680635191</v>
      </c>
      <c r="AT42" s="59">
        <f t="shared" ca="1" si="217"/>
        <v>0</v>
      </c>
      <c r="AU42" s="59">
        <f t="shared" ca="1" si="217"/>
        <v>0</v>
      </c>
      <c r="AV42" s="59">
        <f t="shared" ca="1" si="217"/>
        <v>0</v>
      </c>
      <c r="AW42" s="57">
        <f ca="1">INDEX('General Inputs'!$F$51:$AN$51,MATCH($H42,'General Inputs'!$F$50:$AN$50,0))*$AM42</f>
        <v>10629.723308482718</v>
      </c>
      <c r="AX42" s="59">
        <f t="shared" ca="1" si="175"/>
        <v>0</v>
      </c>
      <c r="AY42" s="55"/>
      <c r="AZ42" s="59">
        <f t="shared" ca="1" si="176"/>
        <v>6967.2226413698299</v>
      </c>
      <c r="BA42" s="59">
        <f t="shared" ca="1" si="176"/>
        <v>620.72449680635191</v>
      </c>
      <c r="BB42" s="59">
        <f t="shared" ca="1" si="176"/>
        <v>0</v>
      </c>
      <c r="BC42" s="59">
        <f t="shared" ca="1" si="176"/>
        <v>0</v>
      </c>
      <c r="BD42" s="57">
        <f ca="1">INDEX('General Inputs'!$F$51:$AN$51,MATCH($H42,'General Inputs'!$F$50:$AN$50,0))*$AM42</f>
        <v>10629.723308482718</v>
      </c>
      <c r="BE42" s="55"/>
      <c r="BF42" s="59">
        <f t="shared" ca="1" si="177"/>
        <v>27569.618500481211</v>
      </c>
      <c r="BG42" s="59">
        <f t="shared" ca="1" si="177"/>
        <v>0</v>
      </c>
      <c r="BH42" s="57">
        <f t="shared" ca="1" si="177"/>
        <v>0</v>
      </c>
      <c r="BI42" s="59">
        <f t="shared" ca="1" si="177"/>
        <v>0</v>
      </c>
      <c r="BJ42" s="55"/>
      <c r="BK42" s="59">
        <f t="shared" ca="1" si="218"/>
        <v>6967.2226413698299</v>
      </c>
      <c r="BL42" s="59">
        <f t="shared" ca="1" si="218"/>
        <v>620.72449680635191</v>
      </c>
      <c r="BM42" s="59">
        <f t="shared" ca="1" si="218"/>
        <v>0</v>
      </c>
      <c r="BN42" s="59">
        <f t="shared" ca="1" si="218"/>
        <v>0</v>
      </c>
      <c r="BO42" s="59">
        <f t="shared" ca="1" si="218"/>
        <v>2617.3247697089337</v>
      </c>
      <c r="BP42" s="57">
        <f ca="1">INDEX('General Inputs'!$F$51:$AN$51,MATCH($H42,'General Inputs'!$F$50:$AN$50,0))*$AM42</f>
        <v>10629.723308482718</v>
      </c>
      <c r="BQ42" s="59">
        <f t="shared" ca="1" si="179"/>
        <v>0</v>
      </c>
      <c r="BR42" s="55"/>
      <c r="BS42" s="59">
        <f t="shared" ca="1" si="219"/>
        <v>6967.2226413698299</v>
      </c>
      <c r="BT42" s="59">
        <f t="shared" ca="1" si="219"/>
        <v>620.72449680635191</v>
      </c>
      <c r="BU42" s="59">
        <f t="shared" ca="1" si="219"/>
        <v>0</v>
      </c>
      <c r="BV42" s="59">
        <f t="shared" ca="1" si="219"/>
        <v>27569.618500481211</v>
      </c>
      <c r="BW42" s="59">
        <f t="shared" ca="1" si="219"/>
        <v>0</v>
      </c>
      <c r="BX42" s="59">
        <f t="shared" ca="1" si="219"/>
        <v>0</v>
      </c>
      <c r="BY42" s="57">
        <f ca="1">INDEX('General Inputs'!$F$51:$AN$51,MATCH($H42,'General Inputs'!$F$50:$AN$50,0))*$AM42</f>
        <v>10629.723308482718</v>
      </c>
      <c r="BZ42" s="55"/>
      <c r="CA42" s="88">
        <f t="shared" ca="1" si="220"/>
        <v>0</v>
      </c>
      <c r="CB42" s="88">
        <f t="shared" ca="1" si="220"/>
        <v>0</v>
      </c>
      <c r="CC42" s="88">
        <f t="shared" ca="1" si="220"/>
        <v>34770.228121385633</v>
      </c>
      <c r="CD42" s="88">
        <f t="shared" ca="1" si="220"/>
        <v>34770.228121385633</v>
      </c>
      <c r="CE42" s="88">
        <f t="shared" ca="1" si="220"/>
        <v>34770.228121385633</v>
      </c>
      <c r="CF42" s="88">
        <f t="shared" ca="1" si="220"/>
        <v>34770.228121385633</v>
      </c>
      <c r="CG42" s="88">
        <f t="shared" ca="1" si="220"/>
        <v>34770.228121385633</v>
      </c>
      <c r="CH42" s="88">
        <f t="shared" ca="1" si="220"/>
        <v>30480.228121385629</v>
      </c>
      <c r="CI42" s="88">
        <f t="shared" ca="1" si="220"/>
        <v>30480.228121385629</v>
      </c>
      <c r="CJ42" s="88">
        <f t="shared" ca="1" si="220"/>
        <v>30480.228121385629</v>
      </c>
      <c r="CK42" s="88">
        <f t="shared" ca="1" si="221"/>
        <v>30480.228121385629</v>
      </c>
      <c r="CL42" s="88">
        <f t="shared" ca="1" si="221"/>
        <v>26364.304256457974</v>
      </c>
      <c r="CM42" s="88">
        <f t="shared" ca="1" si="221"/>
        <v>15619.991069569352</v>
      </c>
      <c r="CN42" s="88">
        <f t="shared" ca="1" si="221"/>
        <v>15619.991069569352</v>
      </c>
      <c r="CO42" s="88">
        <f t="shared" ca="1" si="221"/>
        <v>15619.991069569352</v>
      </c>
      <c r="CP42" s="88">
        <f t="shared" ca="1" si="221"/>
        <v>15619.991069569352</v>
      </c>
      <c r="CQ42" s="88">
        <f t="shared" ca="1" si="221"/>
        <v>15619.991069569352</v>
      </c>
      <c r="CR42" s="88">
        <f t="shared" ca="1" si="221"/>
        <v>0</v>
      </c>
      <c r="CS42" s="88">
        <f t="shared" ca="1" si="221"/>
        <v>0</v>
      </c>
      <c r="CT42" s="88">
        <f t="shared" ca="1" si="221"/>
        <v>0</v>
      </c>
      <c r="CU42" s="88">
        <f t="shared" ca="1" si="222"/>
        <v>0</v>
      </c>
      <c r="CV42" s="88">
        <f t="shared" ca="1" si="222"/>
        <v>0</v>
      </c>
      <c r="CW42" s="88">
        <f t="shared" ca="1" si="222"/>
        <v>0</v>
      </c>
      <c r="CX42" s="88">
        <f t="shared" ca="1" si="222"/>
        <v>0</v>
      </c>
      <c r="CY42" s="88">
        <f t="shared" ca="1" si="222"/>
        <v>0</v>
      </c>
      <c r="CZ42" s="88">
        <f t="shared" ca="1" si="222"/>
        <v>0</v>
      </c>
      <c r="DA42" s="88">
        <f t="shared" ca="1" si="222"/>
        <v>0</v>
      </c>
      <c r="DB42" s="88">
        <f t="shared" ca="1" si="222"/>
        <v>0</v>
      </c>
      <c r="DC42" s="88">
        <f t="shared" ca="1" si="222"/>
        <v>0</v>
      </c>
      <c r="DD42" s="88">
        <f t="shared" ca="1" si="222"/>
        <v>0</v>
      </c>
      <c r="DE42" s="88">
        <f t="shared" ca="1" si="222"/>
        <v>0</v>
      </c>
      <c r="DF42" s="88">
        <f t="shared" ca="1" si="222"/>
        <v>0</v>
      </c>
      <c r="DG42" s="88">
        <f t="shared" ca="1" si="222"/>
        <v>0</v>
      </c>
      <c r="DH42" s="88">
        <f t="shared" ca="1" si="222"/>
        <v>0</v>
      </c>
      <c r="DI42" s="88">
        <f t="shared" ca="1" si="222"/>
        <v>0</v>
      </c>
      <c r="DJ42" s="169"/>
      <c r="DK42" s="88">
        <f t="shared" ca="1" si="223"/>
        <v>0</v>
      </c>
      <c r="DL42" s="88">
        <f t="shared" ca="1" si="223"/>
        <v>0</v>
      </c>
      <c r="DM42" s="88">
        <f t="shared" ca="1" si="223"/>
        <v>4.5497772774931642</v>
      </c>
      <c r="DN42" s="88">
        <f t="shared" ca="1" si="223"/>
        <v>4.5497772774931642</v>
      </c>
      <c r="DO42" s="88">
        <f t="shared" ca="1" si="223"/>
        <v>4.5497772774931642</v>
      </c>
      <c r="DP42" s="88">
        <f t="shared" ca="1" si="223"/>
        <v>4.5497772774931642</v>
      </c>
      <c r="DQ42" s="88">
        <f t="shared" ca="1" si="223"/>
        <v>4.5497772774931642</v>
      </c>
      <c r="DR42" s="88">
        <f t="shared" ca="1" si="223"/>
        <v>4.0577772774931642</v>
      </c>
      <c r="DS42" s="88">
        <f t="shared" ca="1" si="223"/>
        <v>4.0577772774931642</v>
      </c>
      <c r="DT42" s="88">
        <f t="shared" ca="1" si="223"/>
        <v>4.0577772774931642</v>
      </c>
      <c r="DU42" s="88">
        <f t="shared" ca="1" si="224"/>
        <v>4.0577772774931642</v>
      </c>
      <c r="DV42" s="88">
        <f t="shared" ca="1" si="224"/>
        <v>2.3164248731006944</v>
      </c>
      <c r="DW42" s="88">
        <f t="shared" ca="1" si="224"/>
        <v>1.3481918997937288</v>
      </c>
      <c r="DX42" s="88">
        <f t="shared" ca="1" si="224"/>
        <v>1.3481918997937288</v>
      </c>
      <c r="DY42" s="88">
        <f t="shared" ca="1" si="224"/>
        <v>1.3481918997937288</v>
      </c>
      <c r="DZ42" s="88">
        <f t="shared" ca="1" si="224"/>
        <v>1.3481918997937288</v>
      </c>
      <c r="EA42" s="88">
        <f t="shared" ca="1" si="224"/>
        <v>1.3481918997937288</v>
      </c>
      <c r="EB42" s="88">
        <f t="shared" ca="1" si="224"/>
        <v>0</v>
      </c>
      <c r="EC42" s="88">
        <f t="shared" ca="1" si="224"/>
        <v>0</v>
      </c>
      <c r="ED42" s="88">
        <f t="shared" ca="1" si="224"/>
        <v>0</v>
      </c>
      <c r="EE42" s="88">
        <f t="shared" ca="1" si="225"/>
        <v>0</v>
      </c>
      <c r="EF42" s="88">
        <f t="shared" ca="1" si="225"/>
        <v>0</v>
      </c>
      <c r="EG42" s="88">
        <f t="shared" ca="1" si="225"/>
        <v>0</v>
      </c>
      <c r="EH42" s="88">
        <f t="shared" ca="1" si="225"/>
        <v>0</v>
      </c>
      <c r="EI42" s="88">
        <f t="shared" ca="1" si="225"/>
        <v>0</v>
      </c>
      <c r="EJ42" s="88">
        <f t="shared" ca="1" si="225"/>
        <v>0</v>
      </c>
      <c r="EK42" s="88">
        <f t="shared" ca="1" si="225"/>
        <v>0</v>
      </c>
      <c r="EL42" s="88">
        <f t="shared" ca="1" si="225"/>
        <v>0</v>
      </c>
      <c r="EM42" s="88">
        <f t="shared" ca="1" si="225"/>
        <v>0</v>
      </c>
      <c r="EN42" s="88">
        <f t="shared" ca="1" si="225"/>
        <v>0</v>
      </c>
      <c r="EO42" s="88">
        <f t="shared" ca="1" si="225"/>
        <v>0</v>
      </c>
      <c r="EP42" s="88">
        <f t="shared" ca="1" si="225"/>
        <v>0</v>
      </c>
      <c r="EQ42" s="88">
        <f t="shared" ca="1" si="225"/>
        <v>0</v>
      </c>
      <c r="ER42" s="88">
        <f t="shared" ca="1" si="225"/>
        <v>0</v>
      </c>
      <c r="ES42" s="88">
        <f t="shared" ca="1" si="225"/>
        <v>0</v>
      </c>
      <c r="ET42" s="169"/>
      <c r="EU42" s="88">
        <f t="shared" ca="1" si="226"/>
        <v>0</v>
      </c>
      <c r="EV42" s="88">
        <f t="shared" ca="1" si="226"/>
        <v>0</v>
      </c>
      <c r="EW42" s="88">
        <f t="shared" ca="1" si="226"/>
        <v>0</v>
      </c>
      <c r="EX42" s="88">
        <f t="shared" ca="1" si="226"/>
        <v>0</v>
      </c>
      <c r="EY42" s="88">
        <f t="shared" ca="1" si="226"/>
        <v>0</v>
      </c>
      <c r="EZ42" s="88">
        <f t="shared" ca="1" si="226"/>
        <v>0</v>
      </c>
      <c r="FA42" s="88">
        <f t="shared" ca="1" si="226"/>
        <v>0</v>
      </c>
      <c r="FB42" s="88">
        <f t="shared" ca="1" si="226"/>
        <v>0</v>
      </c>
      <c r="FC42" s="88">
        <f t="shared" ca="1" si="226"/>
        <v>0</v>
      </c>
      <c r="FD42" s="88">
        <f t="shared" ca="1" si="226"/>
        <v>0</v>
      </c>
      <c r="FE42" s="88">
        <f t="shared" ca="1" si="227"/>
        <v>0</v>
      </c>
      <c r="FF42" s="88">
        <f t="shared" ca="1" si="227"/>
        <v>0</v>
      </c>
      <c r="FG42" s="88">
        <f t="shared" ca="1" si="227"/>
        <v>0</v>
      </c>
      <c r="FH42" s="88">
        <f t="shared" ca="1" si="227"/>
        <v>0</v>
      </c>
      <c r="FI42" s="88">
        <f t="shared" ca="1" si="227"/>
        <v>0</v>
      </c>
      <c r="FJ42" s="88">
        <f t="shared" ca="1" si="227"/>
        <v>0</v>
      </c>
      <c r="FK42" s="88">
        <f t="shared" ca="1" si="227"/>
        <v>0</v>
      </c>
      <c r="FL42" s="88">
        <f t="shared" ca="1" si="227"/>
        <v>0</v>
      </c>
      <c r="FM42" s="88">
        <f t="shared" ca="1" si="227"/>
        <v>0</v>
      </c>
      <c r="FN42" s="88">
        <f t="shared" ca="1" si="227"/>
        <v>0</v>
      </c>
      <c r="FO42" s="88">
        <f t="shared" ca="1" si="228"/>
        <v>0</v>
      </c>
      <c r="FP42" s="88">
        <f t="shared" ca="1" si="228"/>
        <v>0</v>
      </c>
      <c r="FQ42" s="88">
        <f t="shared" ca="1" si="228"/>
        <v>0</v>
      </c>
      <c r="FR42" s="88">
        <f t="shared" ca="1" si="228"/>
        <v>0</v>
      </c>
      <c r="FS42" s="88">
        <f t="shared" ca="1" si="228"/>
        <v>0</v>
      </c>
      <c r="FT42" s="88">
        <f t="shared" ca="1" si="228"/>
        <v>0</v>
      </c>
      <c r="FU42" s="88">
        <f t="shared" ca="1" si="228"/>
        <v>0</v>
      </c>
      <c r="FV42" s="88">
        <f t="shared" ca="1" si="228"/>
        <v>0</v>
      </c>
      <c r="FW42" s="88">
        <f t="shared" ca="1" si="228"/>
        <v>0</v>
      </c>
      <c r="FX42" s="88">
        <f t="shared" ca="1" si="228"/>
        <v>0</v>
      </c>
      <c r="FY42" s="88">
        <f t="shared" ca="1" si="228"/>
        <v>0</v>
      </c>
      <c r="FZ42" s="88">
        <f t="shared" ca="1" si="228"/>
        <v>0</v>
      </c>
      <c r="GA42" s="88">
        <f t="shared" ca="1" si="228"/>
        <v>0</v>
      </c>
      <c r="GB42" s="88">
        <f t="shared" ca="1" si="228"/>
        <v>0</v>
      </c>
      <c r="GC42" s="88">
        <f t="shared" ca="1" si="228"/>
        <v>0</v>
      </c>
      <c r="GD42" s="60"/>
    </row>
    <row r="43" spans="1:186" s="54" customFormat="1">
      <c r="A43" s="61"/>
      <c r="B43" s="100" t="str">
        <f t="shared" si="0"/>
        <v>Residential_Residential Audit_0_All_2019</v>
      </c>
      <c r="C43" s="146"/>
      <c r="D43" s="136" t="s">
        <v>2</v>
      </c>
      <c r="E43" s="136" t="s">
        <v>251</v>
      </c>
      <c r="F43" s="136">
        <v>0</v>
      </c>
      <c r="G43" s="136" t="s">
        <v>98</v>
      </c>
      <c r="H43" s="136">
        <v>2019</v>
      </c>
      <c r="I43" s="55"/>
      <c r="J43" s="58">
        <f t="shared" ca="1" si="163"/>
        <v>0.71826112421631083</v>
      </c>
      <c r="K43" s="58">
        <f t="shared" ca="1" si="190"/>
        <v>0.71826112421631083</v>
      </c>
      <c r="L43" s="58" t="str">
        <f t="shared" ca="1" si="164"/>
        <v>n/a</v>
      </c>
      <c r="M43" s="58">
        <f t="shared" ca="1" si="165"/>
        <v>0.96285268727652884</v>
      </c>
      <c r="N43" s="58">
        <f t="shared" ca="1" si="166"/>
        <v>0.20262465790061546</v>
      </c>
      <c r="O43" s="55"/>
      <c r="P43" s="175">
        <f ca="1">IFERROR(($AW43+AV43)/SUMPRODUCT($CA43:$DI43,'General Inputs'!$F$51:$AN$51),"n/a")</f>
        <v>4.8906938589270921E-2</v>
      </c>
      <c r="Q43" s="175">
        <f t="shared" ca="1" si="167"/>
        <v>0.33875153399656333</v>
      </c>
      <c r="R43" s="56">
        <f t="shared" ca="1" si="212"/>
        <v>940.91138271669013</v>
      </c>
      <c r="S43" s="55"/>
      <c r="T43" s="56"/>
      <c r="U43" s="146"/>
      <c r="V43" s="137"/>
      <c r="W43" s="55"/>
      <c r="X43" s="138">
        <f t="shared" ca="1" si="169"/>
        <v>96320.597031838159</v>
      </c>
      <c r="Y43" s="138">
        <f t="shared" ca="1" si="169"/>
        <v>16.066260315621943</v>
      </c>
      <c r="Z43" s="138">
        <f t="shared" ca="1" si="169"/>
        <v>0</v>
      </c>
      <c r="AA43" s="55"/>
      <c r="AB43" s="138">
        <f t="shared" ca="1" si="170"/>
        <v>0</v>
      </c>
      <c r="AC43" s="138">
        <f t="shared" ca="1" si="170"/>
        <v>0</v>
      </c>
      <c r="AD43" s="138">
        <f t="shared" ca="1" si="170"/>
        <v>0</v>
      </c>
      <c r="AE43" s="55"/>
      <c r="AF43" s="57">
        <f t="shared" ca="1" si="216"/>
        <v>0</v>
      </c>
      <c r="AG43" s="57">
        <f t="shared" ca="1" si="216"/>
        <v>0</v>
      </c>
      <c r="AH43" s="57">
        <f t="shared" ca="1" si="216"/>
        <v>0</v>
      </c>
      <c r="AI43" s="57">
        <f t="shared" ca="1" si="216"/>
        <v>0</v>
      </c>
      <c r="AJ43" s="57">
        <f t="shared" ca="1" si="216"/>
        <v>0</v>
      </c>
      <c r="AK43" s="63"/>
      <c r="AL43" s="88"/>
      <c r="AM43" s="57">
        <f ca="1">SUMIFS(OFFSET('Program Inputs'!$N$5,,,TotalPrograms),OFFSET('Program Inputs'!$B$5,,,TotalPrograms),SUBSTITUTE($B43,"All","*"))+AF43</f>
        <v>32628.75</v>
      </c>
      <c r="AN43" s="57">
        <f t="shared" ca="1" si="213"/>
        <v>32628.75</v>
      </c>
      <c r="AO43" s="55"/>
      <c r="AP43" s="59">
        <f t="shared" ca="1" si="214"/>
        <v>19783.618611587004</v>
      </c>
      <c r="AQ43" s="59">
        <f t="shared" ca="1" si="215"/>
        <v>27543.769173325032</v>
      </c>
      <c r="AR43" s="59">
        <f t="shared" ca="1" si="217"/>
        <v>17713.469399242418</v>
      </c>
      <c r="AS43" s="59">
        <f t="shared" ca="1" si="217"/>
        <v>2070.149212344586</v>
      </c>
      <c r="AT43" s="59">
        <f t="shared" ca="1" si="217"/>
        <v>0</v>
      </c>
      <c r="AU43" s="59">
        <f t="shared" ca="1" si="217"/>
        <v>0</v>
      </c>
      <c r="AV43" s="59">
        <f t="shared" ca="1" si="217"/>
        <v>0</v>
      </c>
      <c r="AW43" s="57">
        <f ca="1">INDEX('General Inputs'!$F$51:$AN$51,MATCH($H43,'General Inputs'!$F$50:$AN$50,0))*$AM43</f>
        <v>27543.769173325032</v>
      </c>
      <c r="AX43" s="59">
        <f t="shared" ca="1" si="175"/>
        <v>0</v>
      </c>
      <c r="AY43" s="55"/>
      <c r="AZ43" s="59">
        <f t="shared" ca="1" si="176"/>
        <v>17713.469399242418</v>
      </c>
      <c r="BA43" s="59">
        <f t="shared" ca="1" si="176"/>
        <v>2070.149212344586</v>
      </c>
      <c r="BB43" s="59">
        <f t="shared" ca="1" si="176"/>
        <v>0</v>
      </c>
      <c r="BC43" s="59">
        <f t="shared" ca="1" si="176"/>
        <v>0</v>
      </c>
      <c r="BD43" s="57">
        <f ca="1">INDEX('General Inputs'!$F$51:$AN$51,MATCH($H43,'General Inputs'!$F$50:$AN$50,0))*$AM43</f>
        <v>27543.769173325032</v>
      </c>
      <c r="BE43" s="55"/>
      <c r="BF43" s="59">
        <f t="shared" ca="1" si="177"/>
        <v>70093.008189134911</v>
      </c>
      <c r="BG43" s="59">
        <f t="shared" ca="1" si="177"/>
        <v>0</v>
      </c>
      <c r="BH43" s="57">
        <f t="shared" ca="1" si="177"/>
        <v>0</v>
      </c>
      <c r="BI43" s="59">
        <f t="shared" ca="1" si="177"/>
        <v>0</v>
      </c>
      <c r="BJ43" s="55"/>
      <c r="BK43" s="59">
        <f t="shared" ca="1" si="218"/>
        <v>17713.469399242418</v>
      </c>
      <c r="BL43" s="59">
        <f t="shared" ca="1" si="218"/>
        <v>2070.149212344586</v>
      </c>
      <c r="BM43" s="59">
        <f t="shared" ca="1" si="218"/>
        <v>0</v>
      </c>
      <c r="BN43" s="59">
        <f t="shared" ca="1" si="218"/>
        <v>0</v>
      </c>
      <c r="BO43" s="59">
        <f t="shared" ca="1" si="218"/>
        <v>6736.9735546734209</v>
      </c>
      <c r="BP43" s="57">
        <f ca="1">INDEX('General Inputs'!$F$51:$AN$51,MATCH($H43,'General Inputs'!$F$50:$AN$50,0))*$AM43</f>
        <v>27543.769173325032</v>
      </c>
      <c r="BQ43" s="59">
        <f t="shared" ca="1" si="179"/>
        <v>0</v>
      </c>
      <c r="BR43" s="55"/>
      <c r="BS43" s="59">
        <f t="shared" ca="1" si="219"/>
        <v>17713.469399242418</v>
      </c>
      <c r="BT43" s="59">
        <f t="shared" ca="1" si="219"/>
        <v>2070.149212344586</v>
      </c>
      <c r="BU43" s="59">
        <f t="shared" ca="1" si="219"/>
        <v>0</v>
      </c>
      <c r="BV43" s="59">
        <f t="shared" ca="1" si="219"/>
        <v>70093.008189134911</v>
      </c>
      <c r="BW43" s="59">
        <f t="shared" ca="1" si="219"/>
        <v>0</v>
      </c>
      <c r="BX43" s="59">
        <f t="shared" ca="1" si="219"/>
        <v>0</v>
      </c>
      <c r="BY43" s="57">
        <f ca="1">INDEX('General Inputs'!$F$51:$AN$51,MATCH($H43,'General Inputs'!$F$50:$AN$50,0))*$AM43</f>
        <v>27543.769173325032</v>
      </c>
      <c r="BZ43" s="55"/>
      <c r="CA43" s="88">
        <f t="shared" ca="1" si="220"/>
        <v>0</v>
      </c>
      <c r="CB43" s="88">
        <f t="shared" ca="1" si="220"/>
        <v>0</v>
      </c>
      <c r="CC43" s="88">
        <f t="shared" ca="1" si="220"/>
        <v>96320.597031838159</v>
      </c>
      <c r="CD43" s="88">
        <f t="shared" ca="1" si="220"/>
        <v>96320.597031838159</v>
      </c>
      <c r="CE43" s="88">
        <f t="shared" ca="1" si="220"/>
        <v>96320.597031838159</v>
      </c>
      <c r="CF43" s="88">
        <f t="shared" ca="1" si="220"/>
        <v>96320.597031838159</v>
      </c>
      <c r="CG43" s="88">
        <f t="shared" ca="1" si="220"/>
        <v>96320.597031838159</v>
      </c>
      <c r="CH43" s="88">
        <f t="shared" ca="1" si="220"/>
        <v>96320.597031838159</v>
      </c>
      <c r="CI43" s="88">
        <f t="shared" ca="1" si="220"/>
        <v>96320.597031838159</v>
      </c>
      <c r="CJ43" s="88">
        <f t="shared" ca="1" si="220"/>
        <v>96320.597031838159</v>
      </c>
      <c r="CK43" s="88">
        <f t="shared" ca="1" si="221"/>
        <v>96320.597031838159</v>
      </c>
      <c r="CL43" s="88">
        <f t="shared" ca="1" si="221"/>
        <v>74026.009430146689</v>
      </c>
      <c r="CM43" s="88">
        <f t="shared" ca="1" si="221"/>
        <v>0</v>
      </c>
      <c r="CN43" s="88">
        <f t="shared" ca="1" si="221"/>
        <v>0</v>
      </c>
      <c r="CO43" s="88">
        <f t="shared" ca="1" si="221"/>
        <v>0</v>
      </c>
      <c r="CP43" s="88">
        <f t="shared" ca="1" si="221"/>
        <v>0</v>
      </c>
      <c r="CQ43" s="88">
        <f t="shared" ca="1" si="221"/>
        <v>0</v>
      </c>
      <c r="CR43" s="88">
        <f t="shared" ca="1" si="221"/>
        <v>0</v>
      </c>
      <c r="CS43" s="88">
        <f t="shared" ca="1" si="221"/>
        <v>0</v>
      </c>
      <c r="CT43" s="88">
        <f t="shared" ca="1" si="221"/>
        <v>0</v>
      </c>
      <c r="CU43" s="88">
        <f t="shared" ca="1" si="222"/>
        <v>0</v>
      </c>
      <c r="CV43" s="88">
        <f t="shared" ca="1" si="222"/>
        <v>0</v>
      </c>
      <c r="CW43" s="88">
        <f t="shared" ca="1" si="222"/>
        <v>0</v>
      </c>
      <c r="CX43" s="88">
        <f t="shared" ca="1" si="222"/>
        <v>0</v>
      </c>
      <c r="CY43" s="88">
        <f t="shared" ca="1" si="222"/>
        <v>0</v>
      </c>
      <c r="CZ43" s="88">
        <f t="shared" ca="1" si="222"/>
        <v>0</v>
      </c>
      <c r="DA43" s="88">
        <f t="shared" ca="1" si="222"/>
        <v>0</v>
      </c>
      <c r="DB43" s="88">
        <f t="shared" ca="1" si="222"/>
        <v>0</v>
      </c>
      <c r="DC43" s="88">
        <f t="shared" ca="1" si="222"/>
        <v>0</v>
      </c>
      <c r="DD43" s="88">
        <f t="shared" ca="1" si="222"/>
        <v>0</v>
      </c>
      <c r="DE43" s="88">
        <f t="shared" ca="1" si="222"/>
        <v>0</v>
      </c>
      <c r="DF43" s="88">
        <f t="shared" ca="1" si="222"/>
        <v>0</v>
      </c>
      <c r="DG43" s="88">
        <f t="shared" ca="1" si="222"/>
        <v>0</v>
      </c>
      <c r="DH43" s="88">
        <f t="shared" ca="1" si="222"/>
        <v>0</v>
      </c>
      <c r="DI43" s="88">
        <f t="shared" ca="1" si="222"/>
        <v>0</v>
      </c>
      <c r="DJ43" s="169"/>
      <c r="DK43" s="88">
        <f t="shared" ca="1" si="223"/>
        <v>0</v>
      </c>
      <c r="DL43" s="88">
        <f t="shared" ca="1" si="223"/>
        <v>0</v>
      </c>
      <c r="DM43" s="88">
        <f t="shared" ca="1" si="223"/>
        <v>16.066260315621943</v>
      </c>
      <c r="DN43" s="88">
        <f t="shared" ca="1" si="223"/>
        <v>16.066260315621943</v>
      </c>
      <c r="DO43" s="88">
        <f t="shared" ca="1" si="223"/>
        <v>16.066260315621943</v>
      </c>
      <c r="DP43" s="88">
        <f t="shared" ca="1" si="223"/>
        <v>16.066260315621943</v>
      </c>
      <c r="DQ43" s="88">
        <f t="shared" ca="1" si="223"/>
        <v>16.066260315621943</v>
      </c>
      <c r="DR43" s="88">
        <f t="shared" ca="1" si="223"/>
        <v>16.066260315621943</v>
      </c>
      <c r="DS43" s="88">
        <f t="shared" ca="1" si="223"/>
        <v>16.066260315621943</v>
      </c>
      <c r="DT43" s="88">
        <f t="shared" ca="1" si="223"/>
        <v>16.066260315621943</v>
      </c>
      <c r="DU43" s="88">
        <f t="shared" ca="1" si="224"/>
        <v>16.066260315621943</v>
      </c>
      <c r="DV43" s="88">
        <f t="shared" ca="1" si="224"/>
        <v>6.6339347918293967</v>
      </c>
      <c r="DW43" s="88">
        <f t="shared" ca="1" si="224"/>
        <v>0</v>
      </c>
      <c r="DX43" s="88">
        <f t="shared" ca="1" si="224"/>
        <v>0</v>
      </c>
      <c r="DY43" s="88">
        <f t="shared" ca="1" si="224"/>
        <v>0</v>
      </c>
      <c r="DZ43" s="88">
        <f t="shared" ca="1" si="224"/>
        <v>0</v>
      </c>
      <c r="EA43" s="88">
        <f t="shared" ca="1" si="224"/>
        <v>0</v>
      </c>
      <c r="EB43" s="88">
        <f t="shared" ca="1" si="224"/>
        <v>0</v>
      </c>
      <c r="EC43" s="88">
        <f t="shared" ca="1" si="224"/>
        <v>0</v>
      </c>
      <c r="ED43" s="88">
        <f t="shared" ca="1" si="224"/>
        <v>0</v>
      </c>
      <c r="EE43" s="88">
        <f t="shared" ca="1" si="225"/>
        <v>0</v>
      </c>
      <c r="EF43" s="88">
        <f t="shared" ca="1" si="225"/>
        <v>0</v>
      </c>
      <c r="EG43" s="88">
        <f t="shared" ca="1" si="225"/>
        <v>0</v>
      </c>
      <c r="EH43" s="88">
        <f t="shared" ca="1" si="225"/>
        <v>0</v>
      </c>
      <c r="EI43" s="88">
        <f t="shared" ca="1" si="225"/>
        <v>0</v>
      </c>
      <c r="EJ43" s="88">
        <f t="shared" ca="1" si="225"/>
        <v>0</v>
      </c>
      <c r="EK43" s="88">
        <f t="shared" ca="1" si="225"/>
        <v>0</v>
      </c>
      <c r="EL43" s="88">
        <f t="shared" ca="1" si="225"/>
        <v>0</v>
      </c>
      <c r="EM43" s="88">
        <f t="shared" ca="1" si="225"/>
        <v>0</v>
      </c>
      <c r="EN43" s="88">
        <f t="shared" ca="1" si="225"/>
        <v>0</v>
      </c>
      <c r="EO43" s="88">
        <f t="shared" ca="1" si="225"/>
        <v>0</v>
      </c>
      <c r="EP43" s="88">
        <f t="shared" ca="1" si="225"/>
        <v>0</v>
      </c>
      <c r="EQ43" s="88">
        <f t="shared" ca="1" si="225"/>
        <v>0</v>
      </c>
      <c r="ER43" s="88">
        <f t="shared" ca="1" si="225"/>
        <v>0</v>
      </c>
      <c r="ES43" s="88">
        <f t="shared" ca="1" si="225"/>
        <v>0</v>
      </c>
      <c r="ET43" s="169"/>
      <c r="EU43" s="88">
        <f t="shared" ca="1" si="226"/>
        <v>0</v>
      </c>
      <c r="EV43" s="88">
        <f t="shared" ca="1" si="226"/>
        <v>0</v>
      </c>
      <c r="EW43" s="88">
        <f t="shared" ca="1" si="226"/>
        <v>0</v>
      </c>
      <c r="EX43" s="88">
        <f t="shared" ca="1" si="226"/>
        <v>0</v>
      </c>
      <c r="EY43" s="88">
        <f t="shared" ca="1" si="226"/>
        <v>0</v>
      </c>
      <c r="EZ43" s="88">
        <f t="shared" ca="1" si="226"/>
        <v>0</v>
      </c>
      <c r="FA43" s="88">
        <f t="shared" ca="1" si="226"/>
        <v>0</v>
      </c>
      <c r="FB43" s="88">
        <f t="shared" ca="1" si="226"/>
        <v>0</v>
      </c>
      <c r="FC43" s="88">
        <f t="shared" ca="1" si="226"/>
        <v>0</v>
      </c>
      <c r="FD43" s="88">
        <f t="shared" ca="1" si="226"/>
        <v>0</v>
      </c>
      <c r="FE43" s="88">
        <f t="shared" ca="1" si="227"/>
        <v>0</v>
      </c>
      <c r="FF43" s="88">
        <f t="shared" ca="1" si="227"/>
        <v>0</v>
      </c>
      <c r="FG43" s="88">
        <f t="shared" ca="1" si="227"/>
        <v>0</v>
      </c>
      <c r="FH43" s="88">
        <f t="shared" ca="1" si="227"/>
        <v>0</v>
      </c>
      <c r="FI43" s="88">
        <f t="shared" ca="1" si="227"/>
        <v>0</v>
      </c>
      <c r="FJ43" s="88">
        <f t="shared" ca="1" si="227"/>
        <v>0</v>
      </c>
      <c r="FK43" s="88">
        <f t="shared" ca="1" si="227"/>
        <v>0</v>
      </c>
      <c r="FL43" s="88">
        <f t="shared" ca="1" si="227"/>
        <v>0</v>
      </c>
      <c r="FM43" s="88">
        <f t="shared" ca="1" si="227"/>
        <v>0</v>
      </c>
      <c r="FN43" s="88">
        <f t="shared" ca="1" si="227"/>
        <v>0</v>
      </c>
      <c r="FO43" s="88">
        <f t="shared" ca="1" si="228"/>
        <v>0</v>
      </c>
      <c r="FP43" s="88">
        <f t="shared" ca="1" si="228"/>
        <v>0</v>
      </c>
      <c r="FQ43" s="88">
        <f t="shared" ca="1" si="228"/>
        <v>0</v>
      </c>
      <c r="FR43" s="88">
        <f t="shared" ca="1" si="228"/>
        <v>0</v>
      </c>
      <c r="FS43" s="88">
        <f t="shared" ca="1" si="228"/>
        <v>0</v>
      </c>
      <c r="FT43" s="88">
        <f t="shared" ca="1" si="228"/>
        <v>0</v>
      </c>
      <c r="FU43" s="88">
        <f t="shared" ca="1" si="228"/>
        <v>0</v>
      </c>
      <c r="FV43" s="88">
        <f t="shared" ca="1" si="228"/>
        <v>0</v>
      </c>
      <c r="FW43" s="88">
        <f t="shared" ca="1" si="228"/>
        <v>0</v>
      </c>
      <c r="FX43" s="88">
        <f t="shared" ca="1" si="228"/>
        <v>0</v>
      </c>
      <c r="FY43" s="88">
        <f t="shared" ca="1" si="228"/>
        <v>0</v>
      </c>
      <c r="FZ43" s="88">
        <f t="shared" ca="1" si="228"/>
        <v>0</v>
      </c>
      <c r="GA43" s="88">
        <f t="shared" ca="1" si="228"/>
        <v>0</v>
      </c>
      <c r="GB43" s="88">
        <f t="shared" ca="1" si="228"/>
        <v>0</v>
      </c>
      <c r="GC43" s="88">
        <f t="shared" ca="1" si="228"/>
        <v>0</v>
      </c>
      <c r="GD43" s="60"/>
    </row>
    <row r="44" spans="1:186" s="54" customFormat="1">
      <c r="A44" s="61"/>
      <c r="B44" s="100" t="str">
        <f t="shared" si="0"/>
        <v>Residential_School-Based Education_0_All_2019</v>
      </c>
      <c r="C44" s="146"/>
      <c r="D44" s="136" t="s">
        <v>2</v>
      </c>
      <c r="E44" s="136" t="s">
        <v>252</v>
      </c>
      <c r="F44" s="136">
        <v>0</v>
      </c>
      <c r="G44" s="136" t="s">
        <v>98</v>
      </c>
      <c r="H44" s="136">
        <v>2019</v>
      </c>
      <c r="I44" s="55"/>
      <c r="J44" s="58">
        <f t="shared" ca="1" si="163"/>
        <v>1.0033193096588928</v>
      </c>
      <c r="K44" s="58">
        <f t="shared" ca="1" si="190"/>
        <v>1.0033193096588928</v>
      </c>
      <c r="L44" s="58" t="str">
        <f t="shared" ca="1" si="164"/>
        <v>n/a</v>
      </c>
      <c r="M44" s="58">
        <f t="shared" ca="1" si="165"/>
        <v>1.3695529819712939</v>
      </c>
      <c r="N44" s="58">
        <f t="shared" ca="1" si="166"/>
        <v>0.21338590123223156</v>
      </c>
      <c r="O44" s="55"/>
      <c r="P44" s="175">
        <f ca="1">IFERROR(($AW44+AV44)/SUMPRODUCT($CA44:$DI44,'General Inputs'!$F$51:$AN$51),"n/a")</f>
        <v>3.2662820102013906E-2</v>
      </c>
      <c r="Q44" s="175">
        <f t="shared" ca="1" si="167"/>
        <v>0.13885390428211586</v>
      </c>
      <c r="R44" s="56">
        <f t="shared" ca="1" si="212"/>
        <v>2382</v>
      </c>
      <c r="S44" s="55"/>
      <c r="T44" s="56"/>
      <c r="U44" s="146"/>
      <c r="V44" s="137"/>
      <c r="W44" s="55"/>
      <c r="X44" s="138">
        <f t="shared" ca="1" si="169"/>
        <v>476400</v>
      </c>
      <c r="Y44" s="138">
        <f t="shared" ca="1" si="169"/>
        <v>48</v>
      </c>
      <c r="Z44" s="138">
        <f t="shared" ca="1" si="169"/>
        <v>0</v>
      </c>
      <c r="AA44" s="55"/>
      <c r="AB44" s="138">
        <f t="shared" ca="1" si="170"/>
        <v>0</v>
      </c>
      <c r="AC44" s="138">
        <f t="shared" ca="1" si="170"/>
        <v>0</v>
      </c>
      <c r="AD44" s="138">
        <f t="shared" ca="1" si="170"/>
        <v>0</v>
      </c>
      <c r="AE44" s="55"/>
      <c r="AF44" s="57">
        <f t="shared" ca="1" si="216"/>
        <v>0</v>
      </c>
      <c r="AG44" s="57">
        <f t="shared" ca="1" si="216"/>
        <v>0</v>
      </c>
      <c r="AH44" s="57">
        <f t="shared" ca="1" si="216"/>
        <v>0</v>
      </c>
      <c r="AI44" s="57">
        <f t="shared" ca="1" si="216"/>
        <v>0</v>
      </c>
      <c r="AJ44" s="57">
        <f t="shared" ca="1" si="216"/>
        <v>0</v>
      </c>
      <c r="AK44" s="63"/>
      <c r="AL44" s="88"/>
      <c r="AM44" s="57">
        <f ca="1">SUMIFS(OFFSET('Program Inputs'!$N$5,,,TotalPrograms),OFFSET('Program Inputs'!$B$5,,,TotalPrograms),SUBSTITUTE($B44,"All","*"))+AF44</f>
        <v>66150</v>
      </c>
      <c r="AN44" s="57">
        <f t="shared" ca="1" si="213"/>
        <v>66150</v>
      </c>
      <c r="AO44" s="55"/>
      <c r="AP44" s="59">
        <f t="shared" ca="1" si="214"/>
        <v>56026.301359942561</v>
      </c>
      <c r="AQ44" s="59">
        <f t="shared" ca="1" si="215"/>
        <v>55840.947962010527</v>
      </c>
      <c r="AR44" s="59">
        <f t="shared" ca="1" si="217"/>
        <v>52240.397746733019</v>
      </c>
      <c r="AS44" s="59">
        <f t="shared" ca="1" si="217"/>
        <v>3785.9036132095412</v>
      </c>
      <c r="AT44" s="59">
        <f t="shared" ca="1" si="217"/>
        <v>0</v>
      </c>
      <c r="AU44" s="59">
        <f t="shared" ca="1" si="217"/>
        <v>0</v>
      </c>
      <c r="AV44" s="59">
        <f t="shared" ca="1" si="217"/>
        <v>0</v>
      </c>
      <c r="AW44" s="57">
        <f ca="1">INDEX('General Inputs'!$F$51:$AN$51,MATCH($H44,'General Inputs'!$F$50:$AN$50,0))*$AM44</f>
        <v>55840.947962010527</v>
      </c>
      <c r="AX44" s="59">
        <f t="shared" ca="1" si="175"/>
        <v>0</v>
      </c>
      <c r="AY44" s="55"/>
      <c r="AZ44" s="59">
        <f t="shared" ca="1" si="176"/>
        <v>52240.397746733019</v>
      </c>
      <c r="BA44" s="59">
        <f t="shared" ca="1" si="176"/>
        <v>3785.9036132095412</v>
      </c>
      <c r="BB44" s="59">
        <f t="shared" ca="1" si="176"/>
        <v>0</v>
      </c>
      <c r="BC44" s="59">
        <f t="shared" ca="1" si="176"/>
        <v>0</v>
      </c>
      <c r="BD44" s="57">
        <f ca="1">INDEX('General Inputs'!$F$51:$AN$51,MATCH($H44,'General Inputs'!$F$50:$AN$50,0))*$AM44</f>
        <v>55840.947962010527</v>
      </c>
      <c r="BE44" s="55"/>
      <c r="BF44" s="59">
        <f t="shared" ca="1" si="177"/>
        <v>206717.64206858465</v>
      </c>
      <c r="BG44" s="59">
        <f t="shared" ca="1" si="177"/>
        <v>0</v>
      </c>
      <c r="BH44" s="57">
        <f t="shared" ca="1" si="177"/>
        <v>0</v>
      </c>
      <c r="BI44" s="59">
        <f t="shared" ca="1" si="177"/>
        <v>0</v>
      </c>
      <c r="BJ44" s="55"/>
      <c r="BK44" s="59">
        <f t="shared" ca="1" si="218"/>
        <v>52240.397746733019</v>
      </c>
      <c r="BL44" s="59">
        <f t="shared" ca="1" si="218"/>
        <v>3785.9036132095412</v>
      </c>
      <c r="BM44" s="59">
        <f t="shared" ca="1" si="218"/>
        <v>0</v>
      </c>
      <c r="BN44" s="59">
        <f t="shared" ca="1" si="218"/>
        <v>0</v>
      </c>
      <c r="BO44" s="59">
        <f t="shared" ca="1" si="218"/>
        <v>20450.835437532813</v>
      </c>
      <c r="BP44" s="57">
        <f ca="1">INDEX('General Inputs'!$F$51:$AN$51,MATCH($H44,'General Inputs'!$F$50:$AN$50,0))*$AM44</f>
        <v>55840.947962010527</v>
      </c>
      <c r="BQ44" s="59">
        <f t="shared" ca="1" si="179"/>
        <v>0</v>
      </c>
      <c r="BR44" s="55"/>
      <c r="BS44" s="59">
        <f t="shared" ca="1" si="219"/>
        <v>52240.397746733019</v>
      </c>
      <c r="BT44" s="59">
        <f t="shared" ca="1" si="219"/>
        <v>3785.9036132095412</v>
      </c>
      <c r="BU44" s="59">
        <f t="shared" ca="1" si="219"/>
        <v>0</v>
      </c>
      <c r="BV44" s="59">
        <f t="shared" ca="1" si="219"/>
        <v>206717.64206858465</v>
      </c>
      <c r="BW44" s="59">
        <f t="shared" ca="1" si="219"/>
        <v>0</v>
      </c>
      <c r="BX44" s="59">
        <f t="shared" ca="1" si="219"/>
        <v>0</v>
      </c>
      <c r="BY44" s="57">
        <f ca="1">INDEX('General Inputs'!$F$51:$AN$51,MATCH($H44,'General Inputs'!$F$50:$AN$50,0))*$AM44</f>
        <v>55840.947962010527</v>
      </c>
      <c r="BZ44" s="55"/>
      <c r="CA44" s="88">
        <f t="shared" ca="1" si="220"/>
        <v>0</v>
      </c>
      <c r="CB44" s="88">
        <f t="shared" ca="1" si="220"/>
        <v>0</v>
      </c>
      <c r="CC44" s="88">
        <f t="shared" ca="1" si="220"/>
        <v>476400</v>
      </c>
      <c r="CD44" s="88">
        <f t="shared" ca="1" si="220"/>
        <v>476400</v>
      </c>
      <c r="CE44" s="88">
        <f t="shared" ca="1" si="220"/>
        <v>476400</v>
      </c>
      <c r="CF44" s="88">
        <f t="shared" ca="1" si="220"/>
        <v>476400</v>
      </c>
      <c r="CG44" s="88">
        <f t="shared" ca="1" si="220"/>
        <v>476400</v>
      </c>
      <c r="CH44" s="88">
        <f t="shared" ca="1" si="220"/>
        <v>0</v>
      </c>
      <c r="CI44" s="88">
        <f t="shared" ca="1" si="220"/>
        <v>0</v>
      </c>
      <c r="CJ44" s="88">
        <f t="shared" ca="1" si="220"/>
        <v>0</v>
      </c>
      <c r="CK44" s="88">
        <f t="shared" ca="1" si="221"/>
        <v>0</v>
      </c>
      <c r="CL44" s="88">
        <f t="shared" ca="1" si="221"/>
        <v>0</v>
      </c>
      <c r="CM44" s="88">
        <f t="shared" ca="1" si="221"/>
        <v>0</v>
      </c>
      <c r="CN44" s="88">
        <f t="shared" ca="1" si="221"/>
        <v>0</v>
      </c>
      <c r="CO44" s="88">
        <f t="shared" ca="1" si="221"/>
        <v>0</v>
      </c>
      <c r="CP44" s="88">
        <f t="shared" ca="1" si="221"/>
        <v>0</v>
      </c>
      <c r="CQ44" s="88">
        <f t="shared" ca="1" si="221"/>
        <v>0</v>
      </c>
      <c r="CR44" s="88">
        <f t="shared" ca="1" si="221"/>
        <v>0</v>
      </c>
      <c r="CS44" s="88">
        <f t="shared" ca="1" si="221"/>
        <v>0</v>
      </c>
      <c r="CT44" s="88">
        <f t="shared" ca="1" si="221"/>
        <v>0</v>
      </c>
      <c r="CU44" s="88">
        <f t="shared" ca="1" si="222"/>
        <v>0</v>
      </c>
      <c r="CV44" s="88">
        <f t="shared" ca="1" si="222"/>
        <v>0</v>
      </c>
      <c r="CW44" s="88">
        <f t="shared" ca="1" si="222"/>
        <v>0</v>
      </c>
      <c r="CX44" s="88">
        <f t="shared" ca="1" si="222"/>
        <v>0</v>
      </c>
      <c r="CY44" s="88">
        <f t="shared" ca="1" si="222"/>
        <v>0</v>
      </c>
      <c r="CZ44" s="88">
        <f t="shared" ca="1" si="222"/>
        <v>0</v>
      </c>
      <c r="DA44" s="88">
        <f t="shared" ca="1" si="222"/>
        <v>0</v>
      </c>
      <c r="DB44" s="88">
        <f t="shared" ca="1" si="222"/>
        <v>0</v>
      </c>
      <c r="DC44" s="88">
        <f t="shared" ca="1" si="222"/>
        <v>0</v>
      </c>
      <c r="DD44" s="88">
        <f t="shared" ca="1" si="222"/>
        <v>0</v>
      </c>
      <c r="DE44" s="88">
        <f t="shared" ca="1" si="222"/>
        <v>0</v>
      </c>
      <c r="DF44" s="88">
        <f t="shared" ca="1" si="222"/>
        <v>0</v>
      </c>
      <c r="DG44" s="88">
        <f t="shared" ca="1" si="222"/>
        <v>0</v>
      </c>
      <c r="DH44" s="88">
        <f t="shared" ca="1" si="222"/>
        <v>0</v>
      </c>
      <c r="DI44" s="88">
        <f t="shared" ca="1" si="222"/>
        <v>0</v>
      </c>
      <c r="DJ44" s="169"/>
      <c r="DK44" s="88">
        <f t="shared" ca="1" si="223"/>
        <v>0</v>
      </c>
      <c r="DL44" s="88">
        <f t="shared" ca="1" si="223"/>
        <v>0</v>
      </c>
      <c r="DM44" s="88">
        <f t="shared" ca="1" si="223"/>
        <v>48</v>
      </c>
      <c r="DN44" s="88">
        <f t="shared" ca="1" si="223"/>
        <v>48</v>
      </c>
      <c r="DO44" s="88">
        <f t="shared" ca="1" si="223"/>
        <v>48</v>
      </c>
      <c r="DP44" s="88">
        <f t="shared" ca="1" si="223"/>
        <v>48</v>
      </c>
      <c r="DQ44" s="88">
        <f t="shared" ca="1" si="223"/>
        <v>48</v>
      </c>
      <c r="DR44" s="88">
        <f t="shared" ca="1" si="223"/>
        <v>0</v>
      </c>
      <c r="DS44" s="88">
        <f t="shared" ca="1" si="223"/>
        <v>0</v>
      </c>
      <c r="DT44" s="88">
        <f t="shared" ca="1" si="223"/>
        <v>0</v>
      </c>
      <c r="DU44" s="88">
        <f t="shared" ca="1" si="224"/>
        <v>0</v>
      </c>
      <c r="DV44" s="88">
        <f t="shared" ca="1" si="224"/>
        <v>0</v>
      </c>
      <c r="DW44" s="88">
        <f t="shared" ca="1" si="224"/>
        <v>0</v>
      </c>
      <c r="DX44" s="88">
        <f t="shared" ca="1" si="224"/>
        <v>0</v>
      </c>
      <c r="DY44" s="88">
        <f t="shared" ca="1" si="224"/>
        <v>0</v>
      </c>
      <c r="DZ44" s="88">
        <f t="shared" ca="1" si="224"/>
        <v>0</v>
      </c>
      <c r="EA44" s="88">
        <f t="shared" ca="1" si="224"/>
        <v>0</v>
      </c>
      <c r="EB44" s="88">
        <f t="shared" ca="1" si="224"/>
        <v>0</v>
      </c>
      <c r="EC44" s="88">
        <f t="shared" ca="1" si="224"/>
        <v>0</v>
      </c>
      <c r="ED44" s="88">
        <f t="shared" ca="1" si="224"/>
        <v>0</v>
      </c>
      <c r="EE44" s="88">
        <f t="shared" ca="1" si="225"/>
        <v>0</v>
      </c>
      <c r="EF44" s="88">
        <f t="shared" ca="1" si="225"/>
        <v>0</v>
      </c>
      <c r="EG44" s="88">
        <f t="shared" ca="1" si="225"/>
        <v>0</v>
      </c>
      <c r="EH44" s="88">
        <f t="shared" ca="1" si="225"/>
        <v>0</v>
      </c>
      <c r="EI44" s="88">
        <f t="shared" ca="1" si="225"/>
        <v>0</v>
      </c>
      <c r="EJ44" s="88">
        <f t="shared" ca="1" si="225"/>
        <v>0</v>
      </c>
      <c r="EK44" s="88">
        <f t="shared" ca="1" si="225"/>
        <v>0</v>
      </c>
      <c r="EL44" s="88">
        <f t="shared" ca="1" si="225"/>
        <v>0</v>
      </c>
      <c r="EM44" s="88">
        <f t="shared" ca="1" si="225"/>
        <v>0</v>
      </c>
      <c r="EN44" s="88">
        <f t="shared" ca="1" si="225"/>
        <v>0</v>
      </c>
      <c r="EO44" s="88">
        <f t="shared" ca="1" si="225"/>
        <v>0</v>
      </c>
      <c r="EP44" s="88">
        <f t="shared" ca="1" si="225"/>
        <v>0</v>
      </c>
      <c r="EQ44" s="88">
        <f t="shared" ca="1" si="225"/>
        <v>0</v>
      </c>
      <c r="ER44" s="88">
        <f t="shared" ca="1" si="225"/>
        <v>0</v>
      </c>
      <c r="ES44" s="88">
        <f t="shared" ca="1" si="225"/>
        <v>0</v>
      </c>
      <c r="ET44" s="169"/>
      <c r="EU44" s="88">
        <f t="shared" ca="1" si="226"/>
        <v>0</v>
      </c>
      <c r="EV44" s="88">
        <f t="shared" ca="1" si="226"/>
        <v>0</v>
      </c>
      <c r="EW44" s="88">
        <f t="shared" ca="1" si="226"/>
        <v>0</v>
      </c>
      <c r="EX44" s="88">
        <f t="shared" ca="1" si="226"/>
        <v>0</v>
      </c>
      <c r="EY44" s="88">
        <f t="shared" ca="1" si="226"/>
        <v>0</v>
      </c>
      <c r="EZ44" s="88">
        <f t="shared" ca="1" si="226"/>
        <v>0</v>
      </c>
      <c r="FA44" s="88">
        <f t="shared" ca="1" si="226"/>
        <v>0</v>
      </c>
      <c r="FB44" s="88">
        <f t="shared" ca="1" si="226"/>
        <v>0</v>
      </c>
      <c r="FC44" s="88">
        <f t="shared" ca="1" si="226"/>
        <v>0</v>
      </c>
      <c r="FD44" s="88">
        <f t="shared" ca="1" si="226"/>
        <v>0</v>
      </c>
      <c r="FE44" s="88">
        <f t="shared" ca="1" si="227"/>
        <v>0</v>
      </c>
      <c r="FF44" s="88">
        <f t="shared" ca="1" si="227"/>
        <v>0</v>
      </c>
      <c r="FG44" s="88">
        <f t="shared" ca="1" si="227"/>
        <v>0</v>
      </c>
      <c r="FH44" s="88">
        <f t="shared" ca="1" si="227"/>
        <v>0</v>
      </c>
      <c r="FI44" s="88">
        <f t="shared" ca="1" si="227"/>
        <v>0</v>
      </c>
      <c r="FJ44" s="88">
        <f t="shared" ca="1" si="227"/>
        <v>0</v>
      </c>
      <c r="FK44" s="88">
        <f t="shared" ca="1" si="227"/>
        <v>0</v>
      </c>
      <c r="FL44" s="88">
        <f t="shared" ca="1" si="227"/>
        <v>0</v>
      </c>
      <c r="FM44" s="88">
        <f t="shared" ca="1" si="227"/>
        <v>0</v>
      </c>
      <c r="FN44" s="88">
        <f t="shared" ca="1" si="227"/>
        <v>0</v>
      </c>
      <c r="FO44" s="88">
        <f t="shared" ca="1" si="228"/>
        <v>0</v>
      </c>
      <c r="FP44" s="88">
        <f t="shared" ca="1" si="228"/>
        <v>0</v>
      </c>
      <c r="FQ44" s="88">
        <f t="shared" ca="1" si="228"/>
        <v>0</v>
      </c>
      <c r="FR44" s="88">
        <f t="shared" ca="1" si="228"/>
        <v>0</v>
      </c>
      <c r="FS44" s="88">
        <f t="shared" ca="1" si="228"/>
        <v>0</v>
      </c>
      <c r="FT44" s="88">
        <f t="shared" ca="1" si="228"/>
        <v>0</v>
      </c>
      <c r="FU44" s="88">
        <f t="shared" ca="1" si="228"/>
        <v>0</v>
      </c>
      <c r="FV44" s="88">
        <f t="shared" ca="1" si="228"/>
        <v>0</v>
      </c>
      <c r="FW44" s="88">
        <f t="shared" ca="1" si="228"/>
        <v>0</v>
      </c>
      <c r="FX44" s="88">
        <f t="shared" ca="1" si="228"/>
        <v>0</v>
      </c>
      <c r="FY44" s="88">
        <f t="shared" ca="1" si="228"/>
        <v>0</v>
      </c>
      <c r="FZ44" s="88">
        <f t="shared" ca="1" si="228"/>
        <v>0</v>
      </c>
      <c r="GA44" s="88">
        <f t="shared" ca="1" si="228"/>
        <v>0</v>
      </c>
      <c r="GB44" s="88">
        <f t="shared" ca="1" si="228"/>
        <v>0</v>
      </c>
      <c r="GC44" s="88">
        <f t="shared" ca="1" si="228"/>
        <v>0</v>
      </c>
      <c r="GD44" s="60"/>
    </row>
    <row r="45" spans="1:186" s="54" customFormat="1">
      <c r="A45" s="61"/>
      <c r="B45" s="100" t="str">
        <f t="shared" si="0"/>
        <v>Residential_Weatherization_0_All_2019</v>
      </c>
      <c r="C45" s="146"/>
      <c r="D45" s="136" t="s">
        <v>2</v>
      </c>
      <c r="E45" s="136" t="s">
        <v>253</v>
      </c>
      <c r="F45" s="136">
        <v>0</v>
      </c>
      <c r="G45" s="136" t="s">
        <v>98</v>
      </c>
      <c r="H45" s="136">
        <v>2019</v>
      </c>
      <c r="I45" s="55"/>
      <c r="J45" s="58">
        <f t="shared" ca="1" si="163"/>
        <v>0.76396770996674168</v>
      </c>
      <c r="K45" s="58">
        <f t="shared" ca="1" si="190"/>
        <v>0.76396770996674168</v>
      </c>
      <c r="L45" s="58" t="str">
        <f t="shared" ca="1" si="164"/>
        <v>n/a</v>
      </c>
      <c r="M45" s="58">
        <f t="shared" ca="1" si="165"/>
        <v>1.0177548846017308</v>
      </c>
      <c r="N45" s="58">
        <f t="shared" ca="1" si="166"/>
        <v>0.20699496973834849</v>
      </c>
      <c r="O45" s="55"/>
      <c r="P45" s="175">
        <f ca="1">IFERROR(($AW45+AV45)/SUMPRODUCT($CA45:$DI45,'General Inputs'!$F$51:$AN$51),"n/a")</f>
        <v>4.7134866335324516E-2</v>
      </c>
      <c r="Q45" s="175">
        <f t="shared" ca="1" si="167"/>
        <v>0.37439044436411689</v>
      </c>
      <c r="R45" s="56">
        <f t="shared" ca="1" si="212"/>
        <v>452.26257254776698</v>
      </c>
      <c r="S45" s="55"/>
      <c r="T45" s="56"/>
      <c r="U45" s="146"/>
      <c r="V45" s="137"/>
      <c r="W45" s="55"/>
      <c r="X45" s="138">
        <f t="shared" ca="1" si="169"/>
        <v>35337.440362481691</v>
      </c>
      <c r="Y45" s="138">
        <f t="shared" ca="1" si="169"/>
        <v>5.9845573556071914</v>
      </c>
      <c r="Z45" s="138">
        <f t="shared" ca="1" si="169"/>
        <v>0</v>
      </c>
      <c r="AA45" s="55"/>
      <c r="AB45" s="138">
        <f t="shared" ca="1" si="170"/>
        <v>0</v>
      </c>
      <c r="AC45" s="138">
        <f t="shared" ca="1" si="170"/>
        <v>0</v>
      </c>
      <c r="AD45" s="138">
        <f t="shared" ca="1" si="170"/>
        <v>0</v>
      </c>
      <c r="AE45" s="55"/>
      <c r="AF45" s="57">
        <f t="shared" ca="1" si="216"/>
        <v>0</v>
      </c>
      <c r="AG45" s="57">
        <f t="shared" ca="1" si="216"/>
        <v>0</v>
      </c>
      <c r="AH45" s="57">
        <f t="shared" ca="1" si="216"/>
        <v>0</v>
      </c>
      <c r="AI45" s="57">
        <f t="shared" ca="1" si="216"/>
        <v>0</v>
      </c>
      <c r="AJ45" s="57">
        <f t="shared" ca="1" si="216"/>
        <v>0</v>
      </c>
      <c r="AK45" s="63"/>
      <c r="AL45" s="88"/>
      <c r="AM45" s="57">
        <f ca="1">SUMIFS(OFFSET('Program Inputs'!$N$5,,,TotalPrograms),OFFSET('Program Inputs'!$B$5,,,TotalPrograms),SUBSTITUTE($B45,"All","*"))+AF45</f>
        <v>13230</v>
      </c>
      <c r="AN45" s="57">
        <f t="shared" ca="1" si="213"/>
        <v>13230</v>
      </c>
      <c r="AO45" s="55"/>
      <c r="AP45" s="59">
        <f t="shared" ca="1" si="214"/>
        <v>8532.136227381834</v>
      </c>
      <c r="AQ45" s="59">
        <f t="shared" ca="1" si="215"/>
        <v>11168.189592402105</v>
      </c>
      <c r="AR45" s="59">
        <f t="shared" ca="1" si="217"/>
        <v>7594.2669437145723</v>
      </c>
      <c r="AS45" s="59">
        <f t="shared" ca="1" si="217"/>
        <v>937.86928366726124</v>
      </c>
      <c r="AT45" s="59">
        <f t="shared" ca="1" si="217"/>
        <v>0</v>
      </c>
      <c r="AU45" s="59">
        <f t="shared" ca="1" si="217"/>
        <v>0</v>
      </c>
      <c r="AV45" s="59">
        <f t="shared" ca="1" si="217"/>
        <v>0</v>
      </c>
      <c r="AW45" s="57">
        <f ca="1">INDEX('General Inputs'!$F$51:$AN$51,MATCH($H45,'General Inputs'!$F$50:$AN$50,0))*$AM45</f>
        <v>11168.189592402105</v>
      </c>
      <c r="AX45" s="59">
        <f t="shared" ca="1" si="175"/>
        <v>0</v>
      </c>
      <c r="AY45" s="55"/>
      <c r="AZ45" s="59">
        <f t="shared" ca="1" si="176"/>
        <v>7594.2669437145723</v>
      </c>
      <c r="BA45" s="59">
        <f t="shared" ca="1" si="176"/>
        <v>937.86928366726124</v>
      </c>
      <c r="BB45" s="59">
        <f t="shared" ca="1" si="176"/>
        <v>0</v>
      </c>
      <c r="BC45" s="59">
        <f t="shared" ca="1" si="176"/>
        <v>0</v>
      </c>
      <c r="BD45" s="57">
        <f ca="1">INDEX('General Inputs'!$F$51:$AN$51,MATCH($H45,'General Inputs'!$F$50:$AN$50,0))*$AM45</f>
        <v>11168.189592402105</v>
      </c>
      <c r="BE45" s="55"/>
      <c r="BF45" s="59">
        <f t="shared" ca="1" si="177"/>
        <v>30050.861470369426</v>
      </c>
      <c r="BG45" s="59">
        <f t="shared" ca="1" si="177"/>
        <v>0</v>
      </c>
      <c r="BH45" s="57">
        <f t="shared" ca="1" si="177"/>
        <v>0</v>
      </c>
      <c r="BI45" s="59">
        <f t="shared" ca="1" si="177"/>
        <v>0</v>
      </c>
      <c r="BJ45" s="55"/>
      <c r="BK45" s="59">
        <f t="shared" ca="1" si="218"/>
        <v>7594.2669437145723</v>
      </c>
      <c r="BL45" s="59">
        <f t="shared" ca="1" si="218"/>
        <v>937.86928366726124</v>
      </c>
      <c r="BM45" s="59">
        <f t="shared" ca="1" si="218"/>
        <v>0</v>
      </c>
      <c r="BN45" s="59">
        <f t="shared" ca="1" si="218"/>
        <v>0</v>
      </c>
      <c r="BO45" s="59">
        <f t="shared" ca="1" si="218"/>
        <v>2834.3432824436195</v>
      </c>
      <c r="BP45" s="57">
        <f ca="1">INDEX('General Inputs'!$F$51:$AN$51,MATCH($H45,'General Inputs'!$F$50:$AN$50,0))*$AM45</f>
        <v>11168.189592402105</v>
      </c>
      <c r="BQ45" s="59">
        <f t="shared" ca="1" si="179"/>
        <v>0</v>
      </c>
      <c r="BR45" s="55"/>
      <c r="BS45" s="59">
        <f t="shared" ca="1" si="219"/>
        <v>7594.2669437145723</v>
      </c>
      <c r="BT45" s="59">
        <f t="shared" ca="1" si="219"/>
        <v>937.86928366726124</v>
      </c>
      <c r="BU45" s="59">
        <f t="shared" ca="1" si="219"/>
        <v>0</v>
      </c>
      <c r="BV45" s="59">
        <f t="shared" ca="1" si="219"/>
        <v>30050.861470369426</v>
      </c>
      <c r="BW45" s="59">
        <f t="shared" ca="1" si="219"/>
        <v>0</v>
      </c>
      <c r="BX45" s="59">
        <f t="shared" ca="1" si="219"/>
        <v>0</v>
      </c>
      <c r="BY45" s="57">
        <f ca="1">INDEX('General Inputs'!$F$51:$AN$51,MATCH($H45,'General Inputs'!$F$50:$AN$50,0))*$AM45</f>
        <v>11168.189592402105</v>
      </c>
      <c r="BZ45" s="55"/>
      <c r="CA45" s="88">
        <f t="shared" ca="1" si="220"/>
        <v>0</v>
      </c>
      <c r="CB45" s="88">
        <f t="shared" ca="1" si="220"/>
        <v>0</v>
      </c>
      <c r="CC45" s="88">
        <f t="shared" ca="1" si="220"/>
        <v>35337.440362481691</v>
      </c>
      <c r="CD45" s="88">
        <f t="shared" ca="1" si="220"/>
        <v>35337.440362481691</v>
      </c>
      <c r="CE45" s="88">
        <f t="shared" ca="1" si="220"/>
        <v>34580.870301831405</v>
      </c>
      <c r="CF45" s="88">
        <f t="shared" ca="1" si="220"/>
        <v>34580.870301831405</v>
      </c>
      <c r="CG45" s="88">
        <f t="shared" ca="1" si="220"/>
        <v>34580.870301831405</v>
      </c>
      <c r="CH45" s="88">
        <f t="shared" ca="1" si="220"/>
        <v>32435.870301831405</v>
      </c>
      <c r="CI45" s="88">
        <f t="shared" ca="1" si="220"/>
        <v>32435.870301831405</v>
      </c>
      <c r="CJ45" s="88">
        <f t="shared" ca="1" si="220"/>
        <v>32435.870301831405</v>
      </c>
      <c r="CK45" s="88">
        <f t="shared" ca="1" si="221"/>
        <v>32435.870301831405</v>
      </c>
      <c r="CL45" s="88">
        <f t="shared" ca="1" si="221"/>
        <v>30377.908369367575</v>
      </c>
      <c r="CM45" s="88">
        <f t="shared" ca="1" si="221"/>
        <v>23544.738268123267</v>
      </c>
      <c r="CN45" s="88">
        <f t="shared" ca="1" si="221"/>
        <v>23544.738268123267</v>
      </c>
      <c r="CO45" s="88">
        <f t="shared" ca="1" si="221"/>
        <v>23544.738268123267</v>
      </c>
      <c r="CP45" s="88">
        <f t="shared" ca="1" si="221"/>
        <v>23544.738268123267</v>
      </c>
      <c r="CQ45" s="88">
        <f t="shared" ca="1" si="221"/>
        <v>23544.738268123267</v>
      </c>
      <c r="CR45" s="88">
        <f t="shared" ca="1" si="221"/>
        <v>0</v>
      </c>
      <c r="CS45" s="88">
        <f t="shared" ca="1" si="221"/>
        <v>0</v>
      </c>
      <c r="CT45" s="88">
        <f t="shared" ca="1" si="221"/>
        <v>0</v>
      </c>
      <c r="CU45" s="88">
        <f t="shared" ca="1" si="222"/>
        <v>0</v>
      </c>
      <c r="CV45" s="88">
        <f t="shared" ca="1" si="222"/>
        <v>0</v>
      </c>
      <c r="CW45" s="88">
        <f t="shared" ca="1" si="222"/>
        <v>0</v>
      </c>
      <c r="CX45" s="88">
        <f t="shared" ca="1" si="222"/>
        <v>0</v>
      </c>
      <c r="CY45" s="88">
        <f t="shared" ca="1" si="222"/>
        <v>0</v>
      </c>
      <c r="CZ45" s="88">
        <f t="shared" ca="1" si="222"/>
        <v>0</v>
      </c>
      <c r="DA45" s="88">
        <f t="shared" ca="1" si="222"/>
        <v>0</v>
      </c>
      <c r="DB45" s="88">
        <f t="shared" ca="1" si="222"/>
        <v>0</v>
      </c>
      <c r="DC45" s="88">
        <f t="shared" ca="1" si="222"/>
        <v>0</v>
      </c>
      <c r="DD45" s="88">
        <f t="shared" ca="1" si="222"/>
        <v>0</v>
      </c>
      <c r="DE45" s="88">
        <f t="shared" ca="1" si="222"/>
        <v>0</v>
      </c>
      <c r="DF45" s="88">
        <f t="shared" ca="1" si="222"/>
        <v>0</v>
      </c>
      <c r="DG45" s="88">
        <f t="shared" ca="1" si="222"/>
        <v>0</v>
      </c>
      <c r="DH45" s="88">
        <f t="shared" ca="1" si="222"/>
        <v>0</v>
      </c>
      <c r="DI45" s="88">
        <f t="shared" ca="1" si="222"/>
        <v>0</v>
      </c>
      <c r="DJ45" s="169"/>
      <c r="DK45" s="88">
        <f t="shared" ca="1" si="223"/>
        <v>0</v>
      </c>
      <c r="DL45" s="88">
        <f t="shared" ca="1" si="223"/>
        <v>0</v>
      </c>
      <c r="DM45" s="88">
        <f t="shared" ca="1" si="223"/>
        <v>5.9845573556071914</v>
      </c>
      <c r="DN45" s="88">
        <f t="shared" ca="1" si="223"/>
        <v>5.9845573556071914</v>
      </c>
      <c r="DO45" s="88">
        <f t="shared" ca="1" si="223"/>
        <v>5.8982500249375258</v>
      </c>
      <c r="DP45" s="88">
        <f t="shared" ca="1" si="223"/>
        <v>5.8982500249375258</v>
      </c>
      <c r="DQ45" s="88">
        <f t="shared" ca="1" si="223"/>
        <v>5.8982500249375258</v>
      </c>
      <c r="DR45" s="88">
        <f t="shared" ca="1" si="223"/>
        <v>5.6522500249375254</v>
      </c>
      <c r="DS45" s="88">
        <f t="shared" ca="1" si="223"/>
        <v>5.6522500249375254</v>
      </c>
      <c r="DT45" s="88">
        <f t="shared" ca="1" si="223"/>
        <v>5.6522500249375254</v>
      </c>
      <c r="DU45" s="88">
        <f t="shared" ca="1" si="224"/>
        <v>5.6522500249375254</v>
      </c>
      <c r="DV45" s="88">
        <f t="shared" ca="1" si="224"/>
        <v>4.7815738227412901</v>
      </c>
      <c r="DW45" s="88">
        <f t="shared" ca="1" si="224"/>
        <v>4.1692106111878076</v>
      </c>
      <c r="DX45" s="88">
        <f t="shared" ca="1" si="224"/>
        <v>4.1692106111878076</v>
      </c>
      <c r="DY45" s="88">
        <f t="shared" ca="1" si="224"/>
        <v>4.1692106111878076</v>
      </c>
      <c r="DZ45" s="88">
        <f t="shared" ca="1" si="224"/>
        <v>4.1692106111878076</v>
      </c>
      <c r="EA45" s="88">
        <f t="shared" ca="1" si="224"/>
        <v>4.1692106111878076</v>
      </c>
      <c r="EB45" s="88">
        <f t="shared" ca="1" si="224"/>
        <v>0</v>
      </c>
      <c r="EC45" s="88">
        <f t="shared" ca="1" si="224"/>
        <v>0</v>
      </c>
      <c r="ED45" s="88">
        <f t="shared" ca="1" si="224"/>
        <v>0</v>
      </c>
      <c r="EE45" s="88">
        <f t="shared" ca="1" si="225"/>
        <v>0</v>
      </c>
      <c r="EF45" s="88">
        <f t="shared" ca="1" si="225"/>
        <v>0</v>
      </c>
      <c r="EG45" s="88">
        <f t="shared" ca="1" si="225"/>
        <v>0</v>
      </c>
      <c r="EH45" s="88">
        <f t="shared" ca="1" si="225"/>
        <v>0</v>
      </c>
      <c r="EI45" s="88">
        <f t="shared" ca="1" si="225"/>
        <v>0</v>
      </c>
      <c r="EJ45" s="88">
        <f t="shared" ca="1" si="225"/>
        <v>0</v>
      </c>
      <c r="EK45" s="88">
        <f t="shared" ca="1" si="225"/>
        <v>0</v>
      </c>
      <c r="EL45" s="88">
        <f t="shared" ca="1" si="225"/>
        <v>0</v>
      </c>
      <c r="EM45" s="88">
        <f t="shared" ca="1" si="225"/>
        <v>0</v>
      </c>
      <c r="EN45" s="88">
        <f t="shared" ca="1" si="225"/>
        <v>0</v>
      </c>
      <c r="EO45" s="88">
        <f t="shared" ca="1" si="225"/>
        <v>0</v>
      </c>
      <c r="EP45" s="88">
        <f t="shared" ca="1" si="225"/>
        <v>0</v>
      </c>
      <c r="EQ45" s="88">
        <f t="shared" ca="1" si="225"/>
        <v>0</v>
      </c>
      <c r="ER45" s="88">
        <f t="shared" ca="1" si="225"/>
        <v>0</v>
      </c>
      <c r="ES45" s="88">
        <f t="shared" ca="1" si="225"/>
        <v>0</v>
      </c>
      <c r="ET45" s="169"/>
      <c r="EU45" s="88">
        <f t="shared" ca="1" si="226"/>
        <v>0</v>
      </c>
      <c r="EV45" s="88">
        <f t="shared" ca="1" si="226"/>
        <v>0</v>
      </c>
      <c r="EW45" s="88">
        <f t="shared" ca="1" si="226"/>
        <v>0</v>
      </c>
      <c r="EX45" s="88">
        <f t="shared" ca="1" si="226"/>
        <v>0</v>
      </c>
      <c r="EY45" s="88">
        <f t="shared" ca="1" si="226"/>
        <v>0</v>
      </c>
      <c r="EZ45" s="88">
        <f t="shared" ca="1" si="226"/>
        <v>0</v>
      </c>
      <c r="FA45" s="88">
        <f t="shared" ca="1" si="226"/>
        <v>0</v>
      </c>
      <c r="FB45" s="88">
        <f t="shared" ca="1" si="226"/>
        <v>0</v>
      </c>
      <c r="FC45" s="88">
        <f t="shared" ca="1" si="226"/>
        <v>0</v>
      </c>
      <c r="FD45" s="88">
        <f t="shared" ca="1" si="226"/>
        <v>0</v>
      </c>
      <c r="FE45" s="88">
        <f t="shared" ca="1" si="227"/>
        <v>0</v>
      </c>
      <c r="FF45" s="88">
        <f t="shared" ca="1" si="227"/>
        <v>0</v>
      </c>
      <c r="FG45" s="88">
        <f t="shared" ca="1" si="227"/>
        <v>0</v>
      </c>
      <c r="FH45" s="88">
        <f t="shared" ca="1" si="227"/>
        <v>0</v>
      </c>
      <c r="FI45" s="88">
        <f t="shared" ca="1" si="227"/>
        <v>0</v>
      </c>
      <c r="FJ45" s="88">
        <f t="shared" ca="1" si="227"/>
        <v>0</v>
      </c>
      <c r="FK45" s="88">
        <f t="shared" ca="1" si="227"/>
        <v>0</v>
      </c>
      <c r="FL45" s="88">
        <f t="shared" ca="1" si="227"/>
        <v>0</v>
      </c>
      <c r="FM45" s="88">
        <f t="shared" ca="1" si="227"/>
        <v>0</v>
      </c>
      <c r="FN45" s="88">
        <f t="shared" ca="1" si="227"/>
        <v>0</v>
      </c>
      <c r="FO45" s="88">
        <f t="shared" ca="1" si="228"/>
        <v>0</v>
      </c>
      <c r="FP45" s="88">
        <f t="shared" ca="1" si="228"/>
        <v>0</v>
      </c>
      <c r="FQ45" s="88">
        <f t="shared" ca="1" si="228"/>
        <v>0</v>
      </c>
      <c r="FR45" s="88">
        <f t="shared" ca="1" si="228"/>
        <v>0</v>
      </c>
      <c r="FS45" s="88">
        <f t="shared" ca="1" si="228"/>
        <v>0</v>
      </c>
      <c r="FT45" s="88">
        <f t="shared" ca="1" si="228"/>
        <v>0</v>
      </c>
      <c r="FU45" s="88">
        <f t="shared" ca="1" si="228"/>
        <v>0</v>
      </c>
      <c r="FV45" s="88">
        <f t="shared" ca="1" si="228"/>
        <v>0</v>
      </c>
      <c r="FW45" s="88">
        <f t="shared" ca="1" si="228"/>
        <v>0</v>
      </c>
      <c r="FX45" s="88">
        <f t="shared" ca="1" si="228"/>
        <v>0</v>
      </c>
      <c r="FY45" s="88">
        <f t="shared" ca="1" si="228"/>
        <v>0</v>
      </c>
      <c r="FZ45" s="88">
        <f t="shared" ca="1" si="228"/>
        <v>0</v>
      </c>
      <c r="GA45" s="88">
        <f t="shared" ca="1" si="228"/>
        <v>0</v>
      </c>
      <c r="GB45" s="88">
        <f t="shared" ca="1" si="228"/>
        <v>0</v>
      </c>
      <c r="GC45" s="88">
        <f t="shared" ca="1" si="228"/>
        <v>0</v>
      </c>
      <c r="GD45" s="60"/>
    </row>
    <row r="46" spans="1:186" s="54" customFormat="1">
      <c r="A46" s="61"/>
      <c r="B46" s="100" t="str">
        <f t="shared" si="0"/>
        <v>C&amp;I_C&amp;I Custom_0_All_2019</v>
      </c>
      <c r="C46" s="146"/>
      <c r="D46" s="136" t="s">
        <v>256</v>
      </c>
      <c r="E46" s="136" t="s">
        <v>254</v>
      </c>
      <c r="F46" s="136">
        <v>0</v>
      </c>
      <c r="G46" s="136" t="s">
        <v>98</v>
      </c>
      <c r="H46" s="136">
        <v>2019</v>
      </c>
      <c r="I46" s="55"/>
      <c r="J46" s="58">
        <f t="shared" ca="1" si="163"/>
        <v>1.0904044164114557</v>
      </c>
      <c r="K46" s="58">
        <f t="shared" ca="1" si="190"/>
        <v>1.7970138180099766</v>
      </c>
      <c r="L46" s="58">
        <f t="shared" ca="1" si="164"/>
        <v>0.49994333136042507</v>
      </c>
      <c r="M46" s="58">
        <f t="shared" ca="1" si="165"/>
        <v>1.4342194403772164</v>
      </c>
      <c r="N46" s="58">
        <f t="shared" ca="1" si="166"/>
        <v>1.7970138180099766</v>
      </c>
      <c r="O46" s="55"/>
      <c r="P46" s="175">
        <f ca="1">IFERROR(($AW46+AV46)/SUMPRODUCT($CA46:$DI46,'General Inputs'!$F$51:$AN$51),"n/a")</f>
        <v>2.1111703868044358E-2</v>
      </c>
      <c r="Q46" s="175">
        <f t="shared" ca="1" si="167"/>
        <v>0.18698083173189722</v>
      </c>
      <c r="R46" s="56">
        <f t="shared" ca="1" si="212"/>
        <v>30477.756982978728</v>
      </c>
      <c r="S46" s="55"/>
      <c r="T46" s="56"/>
      <c r="U46" s="146"/>
      <c r="V46" s="137"/>
      <c r="W46" s="55"/>
      <c r="X46" s="138">
        <f t="shared" ca="1" si="169"/>
        <v>2031850.4655319147</v>
      </c>
      <c r="Y46" s="138">
        <f t="shared" ca="1" si="169"/>
        <v>492.23910638297872</v>
      </c>
      <c r="Z46" s="138">
        <f t="shared" ca="1" si="169"/>
        <v>0</v>
      </c>
      <c r="AA46" s="55"/>
      <c r="AB46" s="138">
        <f t="shared" ca="1" si="170"/>
        <v>0</v>
      </c>
      <c r="AC46" s="138">
        <f t="shared" ca="1" si="170"/>
        <v>0</v>
      </c>
      <c r="AD46" s="138">
        <f t="shared" ca="1" si="170"/>
        <v>0</v>
      </c>
      <c r="AE46" s="55"/>
      <c r="AF46" s="57">
        <f t="shared" ca="1" si="216"/>
        <v>0</v>
      </c>
      <c r="AG46" s="57">
        <f t="shared" ca="1" si="216"/>
        <v>492335.8</v>
      </c>
      <c r="AH46" s="57">
        <f t="shared" ca="1" si="216"/>
        <v>0</v>
      </c>
      <c r="AI46" s="57">
        <f t="shared" ca="1" si="216"/>
        <v>246140</v>
      </c>
      <c r="AJ46" s="57">
        <f t="shared" ca="1" si="216"/>
        <v>0</v>
      </c>
      <c r="AK46" s="63"/>
      <c r="AL46" s="88"/>
      <c r="AM46" s="57">
        <f ca="1">SUMIFS(OFFSET('Program Inputs'!$N$5,,,TotalPrograms),OFFSET('Program Inputs'!$B$5,,,TotalPrograms),SUBSTITUTE($B46,"All","*"))+AF46</f>
        <v>133777.09</v>
      </c>
      <c r="AN46" s="57">
        <f t="shared" ca="1" si="213"/>
        <v>379917.08999999997</v>
      </c>
      <c r="AO46" s="55"/>
      <c r="AP46" s="59">
        <f t="shared" ca="1" si="214"/>
        <v>576319.32231876324</v>
      </c>
      <c r="AQ46" s="59">
        <f t="shared" ca="1" si="215"/>
        <v>528537.22311162541</v>
      </c>
      <c r="AR46" s="59">
        <f t="shared" ca="1" si="217"/>
        <v>490796.93655807798</v>
      </c>
      <c r="AS46" s="59">
        <f t="shared" ca="1" si="217"/>
        <v>85522.385760685269</v>
      </c>
      <c r="AT46" s="59">
        <f t="shared" ca="1" si="217"/>
        <v>0</v>
      </c>
      <c r="AU46" s="59">
        <f t="shared" ca="1" si="217"/>
        <v>0</v>
      </c>
      <c r="AV46" s="59">
        <f t="shared" ca="1" si="217"/>
        <v>207780.66411744928</v>
      </c>
      <c r="AW46" s="57">
        <f ca="1">INDEX('General Inputs'!$F$51:$AN$51,MATCH($H46,'General Inputs'!$F$50:$AN$50,0))*$AM46</f>
        <v>112928.7909478337</v>
      </c>
      <c r="AX46" s="59">
        <f t="shared" ca="1" si="175"/>
        <v>415608.43216379173</v>
      </c>
      <c r="AY46" s="55"/>
      <c r="AZ46" s="59">
        <f t="shared" ca="1" si="176"/>
        <v>490796.93655807798</v>
      </c>
      <c r="BA46" s="59">
        <f t="shared" ca="1" si="176"/>
        <v>85522.385760685269</v>
      </c>
      <c r="BB46" s="59">
        <f t="shared" ca="1" si="176"/>
        <v>0</v>
      </c>
      <c r="BC46" s="59">
        <f t="shared" ca="1" si="176"/>
        <v>207780.66411744928</v>
      </c>
      <c r="BD46" s="57">
        <f ca="1">INDEX('General Inputs'!$F$51:$AN$51,MATCH($H46,'General Inputs'!$F$50:$AN$50,0))*$AM46</f>
        <v>112928.7909478337</v>
      </c>
      <c r="BE46" s="55"/>
      <c r="BF46" s="59">
        <f t="shared" ca="1" si="177"/>
        <v>0</v>
      </c>
      <c r="BG46" s="59">
        <f t="shared" ca="1" si="177"/>
        <v>0</v>
      </c>
      <c r="BH46" s="57">
        <f t="shared" ca="1" si="177"/>
        <v>207780.66411744928</v>
      </c>
      <c r="BI46" s="59">
        <f t="shared" ca="1" si="177"/>
        <v>415608.43216379173</v>
      </c>
      <c r="BJ46" s="55"/>
      <c r="BK46" s="59">
        <f t="shared" ca="1" si="218"/>
        <v>490796.93655807798</v>
      </c>
      <c r="BL46" s="59">
        <f t="shared" ca="1" si="218"/>
        <v>85522.385760685269</v>
      </c>
      <c r="BM46" s="59">
        <f t="shared" ca="1" si="218"/>
        <v>0</v>
      </c>
      <c r="BN46" s="59">
        <f t="shared" ca="1" si="218"/>
        <v>0</v>
      </c>
      <c r="BO46" s="59">
        <f t="shared" ca="1" si="218"/>
        <v>181719.03803092014</v>
      </c>
      <c r="BP46" s="57">
        <f ca="1">INDEX('General Inputs'!$F$51:$AN$51,MATCH($H46,'General Inputs'!$F$50:$AN$50,0))*$AM46</f>
        <v>112928.7909478337</v>
      </c>
      <c r="BQ46" s="59">
        <f t="shared" ca="1" si="179"/>
        <v>415608.43216379173</v>
      </c>
      <c r="BR46" s="55"/>
      <c r="BS46" s="59">
        <f t="shared" ca="1" si="219"/>
        <v>490796.93655807798</v>
      </c>
      <c r="BT46" s="59">
        <f t="shared" ca="1" si="219"/>
        <v>85522.385760685269</v>
      </c>
      <c r="BU46" s="59">
        <f t="shared" ca="1" si="219"/>
        <v>0</v>
      </c>
      <c r="BV46" s="59">
        <f t="shared" ca="1" si="219"/>
        <v>0</v>
      </c>
      <c r="BW46" s="59">
        <f t="shared" ca="1" si="219"/>
        <v>0</v>
      </c>
      <c r="BX46" s="59">
        <f t="shared" ca="1" si="219"/>
        <v>207780.66411744928</v>
      </c>
      <c r="BY46" s="57">
        <f ca="1">INDEX('General Inputs'!$F$51:$AN$51,MATCH($H46,'General Inputs'!$F$50:$AN$50,0))*$AM46</f>
        <v>112928.7909478337</v>
      </c>
      <c r="BZ46" s="55"/>
      <c r="CA46" s="88">
        <f t="shared" ca="1" si="220"/>
        <v>0</v>
      </c>
      <c r="CB46" s="88">
        <f t="shared" ca="1" si="220"/>
        <v>0</v>
      </c>
      <c r="CC46" s="88">
        <f t="shared" ca="1" si="220"/>
        <v>2031850.4655319147</v>
      </c>
      <c r="CD46" s="88">
        <f t="shared" ca="1" si="220"/>
        <v>2031850.4655319147</v>
      </c>
      <c r="CE46" s="88">
        <f t="shared" ca="1" si="220"/>
        <v>2031850.4655319147</v>
      </c>
      <c r="CF46" s="88">
        <f t="shared" ca="1" si="220"/>
        <v>2031850.4655319147</v>
      </c>
      <c r="CG46" s="88">
        <f t="shared" ca="1" si="220"/>
        <v>2031850.4655319147</v>
      </c>
      <c r="CH46" s="88">
        <f t="shared" ca="1" si="220"/>
        <v>2031850.4655319147</v>
      </c>
      <c r="CI46" s="88">
        <f t="shared" ca="1" si="220"/>
        <v>2031850.4655319147</v>
      </c>
      <c r="CJ46" s="88">
        <f t="shared" ca="1" si="220"/>
        <v>2031850.4655319147</v>
      </c>
      <c r="CK46" s="88">
        <f t="shared" ca="1" si="221"/>
        <v>2031850.4655319147</v>
      </c>
      <c r="CL46" s="88">
        <f t="shared" ca="1" si="221"/>
        <v>2031850.4655319147</v>
      </c>
      <c r="CM46" s="88">
        <f t="shared" ca="1" si="221"/>
        <v>2031850.4655319147</v>
      </c>
      <c r="CN46" s="88">
        <f t="shared" ca="1" si="221"/>
        <v>2031850.4655319147</v>
      </c>
      <c r="CO46" s="88">
        <f t="shared" ca="1" si="221"/>
        <v>2031850.4655319147</v>
      </c>
      <c r="CP46" s="88">
        <f t="shared" ca="1" si="221"/>
        <v>2031850.4655319147</v>
      </c>
      <c r="CQ46" s="88">
        <f t="shared" ca="1" si="221"/>
        <v>2031850.4655319147</v>
      </c>
      <c r="CR46" s="88">
        <f t="shared" ca="1" si="221"/>
        <v>0</v>
      </c>
      <c r="CS46" s="88">
        <f t="shared" ca="1" si="221"/>
        <v>0</v>
      </c>
      <c r="CT46" s="88">
        <f t="shared" ca="1" si="221"/>
        <v>0</v>
      </c>
      <c r="CU46" s="88">
        <f t="shared" ca="1" si="222"/>
        <v>0</v>
      </c>
      <c r="CV46" s="88">
        <f t="shared" ca="1" si="222"/>
        <v>0</v>
      </c>
      <c r="CW46" s="88">
        <f t="shared" ca="1" si="222"/>
        <v>0</v>
      </c>
      <c r="CX46" s="88">
        <f t="shared" ca="1" si="222"/>
        <v>0</v>
      </c>
      <c r="CY46" s="88">
        <f t="shared" ca="1" si="222"/>
        <v>0</v>
      </c>
      <c r="CZ46" s="88">
        <f t="shared" ca="1" si="222"/>
        <v>0</v>
      </c>
      <c r="DA46" s="88">
        <f t="shared" ca="1" si="222"/>
        <v>0</v>
      </c>
      <c r="DB46" s="88">
        <f t="shared" ca="1" si="222"/>
        <v>0</v>
      </c>
      <c r="DC46" s="88">
        <f t="shared" ca="1" si="222"/>
        <v>0</v>
      </c>
      <c r="DD46" s="88">
        <f t="shared" ca="1" si="222"/>
        <v>0</v>
      </c>
      <c r="DE46" s="88">
        <f t="shared" ca="1" si="222"/>
        <v>0</v>
      </c>
      <c r="DF46" s="88">
        <f t="shared" ca="1" si="222"/>
        <v>0</v>
      </c>
      <c r="DG46" s="88">
        <f t="shared" ca="1" si="222"/>
        <v>0</v>
      </c>
      <c r="DH46" s="88">
        <f t="shared" ca="1" si="222"/>
        <v>0</v>
      </c>
      <c r="DI46" s="88">
        <f t="shared" ca="1" si="222"/>
        <v>0</v>
      </c>
      <c r="DJ46" s="169"/>
      <c r="DK46" s="88">
        <f t="shared" ca="1" si="223"/>
        <v>0</v>
      </c>
      <c r="DL46" s="88">
        <f t="shared" ca="1" si="223"/>
        <v>0</v>
      </c>
      <c r="DM46" s="88">
        <f t="shared" ca="1" si="223"/>
        <v>492.23910638297872</v>
      </c>
      <c r="DN46" s="88">
        <f t="shared" ca="1" si="223"/>
        <v>492.23910638297872</v>
      </c>
      <c r="DO46" s="88">
        <f t="shared" ca="1" si="223"/>
        <v>492.23910638297872</v>
      </c>
      <c r="DP46" s="88">
        <f t="shared" ca="1" si="223"/>
        <v>492.23910638297872</v>
      </c>
      <c r="DQ46" s="88">
        <f t="shared" ca="1" si="223"/>
        <v>492.23910638297872</v>
      </c>
      <c r="DR46" s="88">
        <f t="shared" ca="1" si="223"/>
        <v>492.23910638297872</v>
      </c>
      <c r="DS46" s="88">
        <f t="shared" ca="1" si="223"/>
        <v>492.23910638297872</v>
      </c>
      <c r="DT46" s="88">
        <f t="shared" ca="1" si="223"/>
        <v>492.23910638297872</v>
      </c>
      <c r="DU46" s="88">
        <f t="shared" ca="1" si="224"/>
        <v>492.23910638297872</v>
      </c>
      <c r="DV46" s="88">
        <f t="shared" ca="1" si="224"/>
        <v>492.23910638297872</v>
      </c>
      <c r="DW46" s="88">
        <f t="shared" ca="1" si="224"/>
        <v>492.23910638297872</v>
      </c>
      <c r="DX46" s="88">
        <f t="shared" ca="1" si="224"/>
        <v>492.23910638297872</v>
      </c>
      <c r="DY46" s="88">
        <f t="shared" ca="1" si="224"/>
        <v>492.23910638297872</v>
      </c>
      <c r="DZ46" s="88">
        <f t="shared" ca="1" si="224"/>
        <v>492.23910638297872</v>
      </c>
      <c r="EA46" s="88">
        <f t="shared" ca="1" si="224"/>
        <v>492.23910638297872</v>
      </c>
      <c r="EB46" s="88">
        <f t="shared" ca="1" si="224"/>
        <v>0</v>
      </c>
      <c r="EC46" s="88">
        <f t="shared" ca="1" si="224"/>
        <v>0</v>
      </c>
      <c r="ED46" s="88">
        <f t="shared" ca="1" si="224"/>
        <v>0</v>
      </c>
      <c r="EE46" s="88">
        <f t="shared" ca="1" si="225"/>
        <v>0</v>
      </c>
      <c r="EF46" s="88">
        <f t="shared" ca="1" si="225"/>
        <v>0</v>
      </c>
      <c r="EG46" s="88">
        <f t="shared" ca="1" si="225"/>
        <v>0</v>
      </c>
      <c r="EH46" s="88">
        <f t="shared" ca="1" si="225"/>
        <v>0</v>
      </c>
      <c r="EI46" s="88">
        <f t="shared" ca="1" si="225"/>
        <v>0</v>
      </c>
      <c r="EJ46" s="88">
        <f t="shared" ca="1" si="225"/>
        <v>0</v>
      </c>
      <c r="EK46" s="88">
        <f t="shared" ca="1" si="225"/>
        <v>0</v>
      </c>
      <c r="EL46" s="88">
        <f t="shared" ca="1" si="225"/>
        <v>0</v>
      </c>
      <c r="EM46" s="88">
        <f t="shared" ca="1" si="225"/>
        <v>0</v>
      </c>
      <c r="EN46" s="88">
        <f t="shared" ca="1" si="225"/>
        <v>0</v>
      </c>
      <c r="EO46" s="88">
        <f t="shared" ca="1" si="225"/>
        <v>0</v>
      </c>
      <c r="EP46" s="88">
        <f t="shared" ca="1" si="225"/>
        <v>0</v>
      </c>
      <c r="EQ46" s="88">
        <f t="shared" ca="1" si="225"/>
        <v>0</v>
      </c>
      <c r="ER46" s="88">
        <f t="shared" ca="1" si="225"/>
        <v>0</v>
      </c>
      <c r="ES46" s="88">
        <f t="shared" ca="1" si="225"/>
        <v>0</v>
      </c>
      <c r="ET46" s="169"/>
      <c r="EU46" s="88">
        <f t="shared" ca="1" si="226"/>
        <v>0</v>
      </c>
      <c r="EV46" s="88">
        <f t="shared" ca="1" si="226"/>
        <v>0</v>
      </c>
      <c r="EW46" s="88">
        <f t="shared" ca="1" si="226"/>
        <v>0</v>
      </c>
      <c r="EX46" s="88">
        <f t="shared" ca="1" si="226"/>
        <v>0</v>
      </c>
      <c r="EY46" s="88">
        <f t="shared" ca="1" si="226"/>
        <v>0</v>
      </c>
      <c r="EZ46" s="88">
        <f t="shared" ca="1" si="226"/>
        <v>0</v>
      </c>
      <c r="FA46" s="88">
        <f t="shared" ca="1" si="226"/>
        <v>0</v>
      </c>
      <c r="FB46" s="88">
        <f t="shared" ca="1" si="226"/>
        <v>0</v>
      </c>
      <c r="FC46" s="88">
        <f t="shared" ca="1" si="226"/>
        <v>0</v>
      </c>
      <c r="FD46" s="88">
        <f t="shared" ca="1" si="226"/>
        <v>0</v>
      </c>
      <c r="FE46" s="88">
        <f t="shared" ca="1" si="227"/>
        <v>0</v>
      </c>
      <c r="FF46" s="88">
        <f t="shared" ca="1" si="227"/>
        <v>0</v>
      </c>
      <c r="FG46" s="88">
        <f t="shared" ca="1" si="227"/>
        <v>0</v>
      </c>
      <c r="FH46" s="88">
        <f t="shared" ca="1" si="227"/>
        <v>0</v>
      </c>
      <c r="FI46" s="88">
        <f t="shared" ca="1" si="227"/>
        <v>0</v>
      </c>
      <c r="FJ46" s="88">
        <f t="shared" ca="1" si="227"/>
        <v>0</v>
      </c>
      <c r="FK46" s="88">
        <f t="shared" ca="1" si="227"/>
        <v>0</v>
      </c>
      <c r="FL46" s="88">
        <f t="shared" ca="1" si="227"/>
        <v>0</v>
      </c>
      <c r="FM46" s="88">
        <f t="shared" ca="1" si="227"/>
        <v>0</v>
      </c>
      <c r="FN46" s="88">
        <f t="shared" ca="1" si="227"/>
        <v>0</v>
      </c>
      <c r="FO46" s="88">
        <f t="shared" ca="1" si="228"/>
        <v>0</v>
      </c>
      <c r="FP46" s="88">
        <f t="shared" ca="1" si="228"/>
        <v>0</v>
      </c>
      <c r="FQ46" s="88">
        <f t="shared" ca="1" si="228"/>
        <v>0</v>
      </c>
      <c r="FR46" s="88">
        <f t="shared" ca="1" si="228"/>
        <v>0</v>
      </c>
      <c r="FS46" s="88">
        <f t="shared" ca="1" si="228"/>
        <v>0</v>
      </c>
      <c r="FT46" s="88">
        <f t="shared" ca="1" si="228"/>
        <v>0</v>
      </c>
      <c r="FU46" s="88">
        <f t="shared" ca="1" si="228"/>
        <v>0</v>
      </c>
      <c r="FV46" s="88">
        <f t="shared" ca="1" si="228"/>
        <v>0</v>
      </c>
      <c r="FW46" s="88">
        <f t="shared" ca="1" si="228"/>
        <v>0</v>
      </c>
      <c r="FX46" s="88">
        <f t="shared" ca="1" si="228"/>
        <v>0</v>
      </c>
      <c r="FY46" s="88">
        <f t="shared" ca="1" si="228"/>
        <v>0</v>
      </c>
      <c r="FZ46" s="88">
        <f t="shared" ca="1" si="228"/>
        <v>0</v>
      </c>
      <c r="GA46" s="88">
        <f t="shared" ca="1" si="228"/>
        <v>0</v>
      </c>
      <c r="GB46" s="88">
        <f t="shared" ca="1" si="228"/>
        <v>0</v>
      </c>
      <c r="GC46" s="88">
        <f t="shared" ca="1" si="228"/>
        <v>0</v>
      </c>
      <c r="GD46" s="60"/>
    </row>
    <row r="47" spans="1:186" s="54" customFormat="1">
      <c r="A47" s="61"/>
      <c r="B47" s="100" t="str">
        <f t="shared" si="0"/>
        <v>C&amp;I_C&amp;I Prescriptive_0_All_2019</v>
      </c>
      <c r="C47" s="146"/>
      <c r="D47" s="136" t="s">
        <v>256</v>
      </c>
      <c r="E47" s="136" t="s">
        <v>255</v>
      </c>
      <c r="F47" s="136">
        <v>0</v>
      </c>
      <c r="G47" s="136" t="s">
        <v>98</v>
      </c>
      <c r="H47" s="136">
        <v>2019</v>
      </c>
      <c r="I47" s="55"/>
      <c r="J47" s="58">
        <f t="shared" ca="1" si="163"/>
        <v>1.1138356118562622</v>
      </c>
      <c r="K47" s="58">
        <f t="shared" ca="1" si="190"/>
        <v>2.3536152222930173</v>
      </c>
      <c r="L47" s="58">
        <f t="shared" ca="1" si="164"/>
        <v>0.34843672619071964</v>
      </c>
      <c r="M47" s="58">
        <f t="shared" ca="1" si="165"/>
        <v>1.4674963394572953</v>
      </c>
      <c r="N47" s="58">
        <f t="shared" ca="1" si="166"/>
        <v>2.3536152222930173</v>
      </c>
      <c r="O47" s="55"/>
      <c r="P47" s="175">
        <f ca="1">IFERROR(($AW47+AV47)/SUMPRODUCT($CA47:$DI47,'General Inputs'!$F$51:$AN$51),"n/a")</f>
        <v>1.6007029654995276E-2</v>
      </c>
      <c r="Q47" s="175">
        <f t="shared" ca="1" si="167"/>
        <v>0.12352977621919846</v>
      </c>
      <c r="R47" s="56">
        <f t="shared" ca="1" si="212"/>
        <v>27907.201675032844</v>
      </c>
      <c r="S47" s="55"/>
      <c r="T47" s="56"/>
      <c r="U47" s="146"/>
      <c r="V47" s="137"/>
      <c r="W47" s="55"/>
      <c r="X47" s="138">
        <f t="shared" ca="1" si="169"/>
        <v>2315597.1681874068</v>
      </c>
      <c r="Y47" s="138">
        <f t="shared" ca="1" si="169"/>
        <v>593.67290476684536</v>
      </c>
      <c r="Z47" s="138">
        <f t="shared" ca="1" si="169"/>
        <v>0</v>
      </c>
      <c r="AA47" s="55"/>
      <c r="AB47" s="138">
        <f t="shared" ca="1" si="170"/>
        <v>0</v>
      </c>
      <c r="AC47" s="138">
        <f t="shared" ca="1" si="170"/>
        <v>0</v>
      </c>
      <c r="AD47" s="138">
        <f t="shared" ca="1" si="170"/>
        <v>0</v>
      </c>
      <c r="AE47" s="55"/>
      <c r="AF47" s="57">
        <f t="shared" ca="1" si="216"/>
        <v>0</v>
      </c>
      <c r="AG47" s="57">
        <f t="shared" ca="1" si="216"/>
        <v>488654</v>
      </c>
      <c r="AH47" s="57">
        <f t="shared" ca="1" si="216"/>
        <v>0</v>
      </c>
      <c r="AI47" s="57">
        <f t="shared" ca="1" si="216"/>
        <v>170265</v>
      </c>
      <c r="AJ47" s="57">
        <f t="shared" ca="1" si="216"/>
        <v>0</v>
      </c>
      <c r="AK47" s="63"/>
      <c r="AL47" s="88"/>
      <c r="AM47" s="57">
        <f ca="1">SUMIFS(OFFSET('Program Inputs'!$N$5,,,TotalPrograms),OFFSET('Program Inputs'!$B$5,,,TotalPrograms),SUBSTITUTE($B47,"All","*"))+AF47</f>
        <v>115780.2</v>
      </c>
      <c r="AN47" s="57">
        <f t="shared" ca="1" si="213"/>
        <v>286045.2</v>
      </c>
      <c r="AO47" s="55"/>
      <c r="AP47" s="59">
        <f t="shared" ca="1" si="214"/>
        <v>568320.1605962452</v>
      </c>
      <c r="AQ47" s="59">
        <f t="shared" ca="1" si="215"/>
        <v>510237.01751563814</v>
      </c>
      <c r="AR47" s="59">
        <f t="shared" ca="1" si="217"/>
        <v>481214.81683172093</v>
      </c>
      <c r="AS47" s="59">
        <f t="shared" ca="1" si="217"/>
        <v>87105.343764524237</v>
      </c>
      <c r="AT47" s="59">
        <f t="shared" ca="1" si="217"/>
        <v>0</v>
      </c>
      <c r="AU47" s="59">
        <f t="shared" ca="1" si="217"/>
        <v>0</v>
      </c>
      <c r="AV47" s="59">
        <f t="shared" ca="1" si="217"/>
        <v>143730.29485641298</v>
      </c>
      <c r="AW47" s="57">
        <f ca="1">INDEX('General Inputs'!$F$51:$AN$51,MATCH($H47,'General Inputs'!$F$50:$AN$50,0))*$AM47</f>
        <v>97736.60050236086</v>
      </c>
      <c r="AX47" s="59">
        <f t="shared" ca="1" si="175"/>
        <v>412500.4170132773</v>
      </c>
      <c r="AY47" s="55"/>
      <c r="AZ47" s="59">
        <f t="shared" ca="1" si="176"/>
        <v>481214.81683172093</v>
      </c>
      <c r="BA47" s="59">
        <f t="shared" ca="1" si="176"/>
        <v>87105.343764524237</v>
      </c>
      <c r="BB47" s="59">
        <f t="shared" ca="1" si="176"/>
        <v>0</v>
      </c>
      <c r="BC47" s="59">
        <f t="shared" ca="1" si="176"/>
        <v>143730.29485641298</v>
      </c>
      <c r="BD47" s="57">
        <f ca="1">INDEX('General Inputs'!$F$51:$AN$51,MATCH($H47,'General Inputs'!$F$50:$AN$50,0))*$AM47</f>
        <v>97736.60050236086</v>
      </c>
      <c r="BE47" s="55"/>
      <c r="BF47" s="59">
        <f t="shared" ca="1" si="177"/>
        <v>0</v>
      </c>
      <c r="BG47" s="59">
        <f t="shared" ca="1" si="177"/>
        <v>0</v>
      </c>
      <c r="BH47" s="57">
        <f t="shared" ca="1" si="177"/>
        <v>143730.29485641298</v>
      </c>
      <c r="BI47" s="59">
        <f t="shared" ca="1" si="177"/>
        <v>412500.4170132773</v>
      </c>
      <c r="BJ47" s="55"/>
      <c r="BK47" s="59">
        <f t="shared" ca="1" si="218"/>
        <v>481214.81683172093</v>
      </c>
      <c r="BL47" s="59">
        <f t="shared" ca="1" si="218"/>
        <v>87105.343764524237</v>
      </c>
      <c r="BM47" s="59">
        <f t="shared" ca="1" si="218"/>
        <v>0</v>
      </c>
      <c r="BN47" s="59">
        <f t="shared" ca="1" si="218"/>
        <v>0</v>
      </c>
      <c r="BO47" s="59">
        <f t="shared" ca="1" si="218"/>
        <v>180450.79486356169</v>
      </c>
      <c r="BP47" s="57">
        <f ca="1">INDEX('General Inputs'!$F$51:$AN$51,MATCH($H47,'General Inputs'!$F$50:$AN$50,0))*$AM47</f>
        <v>97736.60050236086</v>
      </c>
      <c r="BQ47" s="59">
        <f t="shared" ca="1" si="179"/>
        <v>412500.4170132773</v>
      </c>
      <c r="BR47" s="55"/>
      <c r="BS47" s="59">
        <f t="shared" ca="1" si="219"/>
        <v>481214.81683172093</v>
      </c>
      <c r="BT47" s="59">
        <f t="shared" ca="1" si="219"/>
        <v>87105.343764524237</v>
      </c>
      <c r="BU47" s="59">
        <f t="shared" ca="1" si="219"/>
        <v>0</v>
      </c>
      <c r="BV47" s="59">
        <f t="shared" ca="1" si="219"/>
        <v>0</v>
      </c>
      <c r="BW47" s="59">
        <f t="shared" ca="1" si="219"/>
        <v>0</v>
      </c>
      <c r="BX47" s="59">
        <f t="shared" ca="1" si="219"/>
        <v>143730.29485641298</v>
      </c>
      <c r="BY47" s="57">
        <f ca="1">INDEX('General Inputs'!$F$51:$AN$51,MATCH($H47,'General Inputs'!$F$50:$AN$50,0))*$AM47</f>
        <v>97736.60050236086</v>
      </c>
      <c r="BZ47" s="55"/>
      <c r="CA47" s="88">
        <f t="shared" ca="1" si="220"/>
        <v>0</v>
      </c>
      <c r="CB47" s="88">
        <f t="shared" ca="1" si="220"/>
        <v>0</v>
      </c>
      <c r="CC47" s="88">
        <f t="shared" ca="1" si="220"/>
        <v>2315597.1681874068</v>
      </c>
      <c r="CD47" s="88">
        <f t="shared" ca="1" si="220"/>
        <v>2315597.1681874068</v>
      </c>
      <c r="CE47" s="88">
        <f t="shared" ca="1" si="220"/>
        <v>2315597.1681874068</v>
      </c>
      <c r="CF47" s="88">
        <f t="shared" ca="1" si="220"/>
        <v>2315597.1681874068</v>
      </c>
      <c r="CG47" s="88">
        <f t="shared" ca="1" si="220"/>
        <v>2315597.1681874068</v>
      </c>
      <c r="CH47" s="88">
        <f t="shared" ca="1" si="220"/>
        <v>2315597.1681874068</v>
      </c>
      <c r="CI47" s="88">
        <f t="shared" ca="1" si="220"/>
        <v>2315597.1681874068</v>
      </c>
      <c r="CJ47" s="88">
        <f t="shared" ca="1" si="220"/>
        <v>2315597.1681874068</v>
      </c>
      <c r="CK47" s="88">
        <f t="shared" ca="1" si="221"/>
        <v>1675720.1922094063</v>
      </c>
      <c r="CL47" s="88">
        <f t="shared" ca="1" si="221"/>
        <v>1675720.1922094063</v>
      </c>
      <c r="CM47" s="88">
        <f t="shared" ca="1" si="221"/>
        <v>1235262.9217094064</v>
      </c>
      <c r="CN47" s="88">
        <f t="shared" ca="1" si="221"/>
        <v>1235262.9217094064</v>
      </c>
      <c r="CO47" s="88">
        <f t="shared" ca="1" si="221"/>
        <v>1235262.9217094064</v>
      </c>
      <c r="CP47" s="88">
        <f t="shared" ca="1" si="221"/>
        <v>1220997.1490532772</v>
      </c>
      <c r="CQ47" s="88">
        <f t="shared" ca="1" si="221"/>
        <v>1034510.4789332774</v>
      </c>
      <c r="CR47" s="88">
        <f t="shared" ca="1" si="221"/>
        <v>69687.551999999981</v>
      </c>
      <c r="CS47" s="88">
        <f t="shared" ca="1" si="221"/>
        <v>0</v>
      </c>
      <c r="CT47" s="88">
        <f t="shared" ca="1" si="221"/>
        <v>0</v>
      </c>
      <c r="CU47" s="88">
        <f t="shared" ca="1" si="222"/>
        <v>0</v>
      </c>
      <c r="CV47" s="88">
        <f t="shared" ca="1" si="222"/>
        <v>0</v>
      </c>
      <c r="CW47" s="88">
        <f t="shared" ca="1" si="222"/>
        <v>0</v>
      </c>
      <c r="CX47" s="88">
        <f t="shared" ca="1" si="222"/>
        <v>0</v>
      </c>
      <c r="CY47" s="88">
        <f t="shared" ca="1" si="222"/>
        <v>0</v>
      </c>
      <c r="CZ47" s="88">
        <f t="shared" ca="1" si="222"/>
        <v>0</v>
      </c>
      <c r="DA47" s="88">
        <f t="shared" ca="1" si="222"/>
        <v>0</v>
      </c>
      <c r="DB47" s="88">
        <f t="shared" ca="1" si="222"/>
        <v>0</v>
      </c>
      <c r="DC47" s="88">
        <f t="shared" ca="1" si="222"/>
        <v>0</v>
      </c>
      <c r="DD47" s="88">
        <f t="shared" ca="1" si="222"/>
        <v>0</v>
      </c>
      <c r="DE47" s="88">
        <f t="shared" ca="1" si="222"/>
        <v>0</v>
      </c>
      <c r="DF47" s="88">
        <f t="shared" ca="1" si="222"/>
        <v>0</v>
      </c>
      <c r="DG47" s="88">
        <f t="shared" ca="1" si="222"/>
        <v>0</v>
      </c>
      <c r="DH47" s="88">
        <f t="shared" ca="1" si="222"/>
        <v>0</v>
      </c>
      <c r="DI47" s="88">
        <f t="shared" ca="1" si="222"/>
        <v>0</v>
      </c>
      <c r="DJ47" s="169"/>
      <c r="DK47" s="88">
        <f t="shared" ca="1" si="223"/>
        <v>0</v>
      </c>
      <c r="DL47" s="88">
        <f t="shared" ca="1" si="223"/>
        <v>0</v>
      </c>
      <c r="DM47" s="88">
        <f t="shared" ca="1" si="223"/>
        <v>593.67290476684536</v>
      </c>
      <c r="DN47" s="88">
        <f t="shared" ca="1" si="223"/>
        <v>593.67290476684536</v>
      </c>
      <c r="DO47" s="88">
        <f t="shared" ca="1" si="223"/>
        <v>593.67290476684536</v>
      </c>
      <c r="DP47" s="88">
        <f t="shared" ca="1" si="223"/>
        <v>593.67290476684536</v>
      </c>
      <c r="DQ47" s="88">
        <f t="shared" ca="1" si="223"/>
        <v>593.67290476684536</v>
      </c>
      <c r="DR47" s="88">
        <f t="shared" ca="1" si="223"/>
        <v>593.67290476684536</v>
      </c>
      <c r="DS47" s="88">
        <f t="shared" ca="1" si="223"/>
        <v>593.67290476684536</v>
      </c>
      <c r="DT47" s="88">
        <f t="shared" ca="1" si="223"/>
        <v>593.67290476684536</v>
      </c>
      <c r="DU47" s="88">
        <f t="shared" ca="1" si="224"/>
        <v>398.52865476684525</v>
      </c>
      <c r="DV47" s="88">
        <f t="shared" ca="1" si="224"/>
        <v>398.52865476684525</v>
      </c>
      <c r="DW47" s="88">
        <f t="shared" ca="1" si="224"/>
        <v>289.69715476684519</v>
      </c>
      <c r="DX47" s="88">
        <f t="shared" ca="1" si="224"/>
        <v>289.69715476684519</v>
      </c>
      <c r="DY47" s="88">
        <f t="shared" ca="1" si="224"/>
        <v>289.69715476684519</v>
      </c>
      <c r="DZ47" s="88">
        <f t="shared" ca="1" si="224"/>
        <v>289.02131871523227</v>
      </c>
      <c r="EA47" s="88">
        <f t="shared" ca="1" si="224"/>
        <v>249.5754067152323</v>
      </c>
      <c r="EB47" s="88">
        <f t="shared" ca="1" si="224"/>
        <v>9.3632000000000009</v>
      </c>
      <c r="EC47" s="88">
        <f t="shared" ca="1" si="224"/>
        <v>0</v>
      </c>
      <c r="ED47" s="88">
        <f t="shared" ca="1" si="224"/>
        <v>0</v>
      </c>
      <c r="EE47" s="88">
        <f t="shared" ca="1" si="225"/>
        <v>0</v>
      </c>
      <c r="EF47" s="88">
        <f t="shared" ca="1" si="225"/>
        <v>0</v>
      </c>
      <c r="EG47" s="88">
        <f t="shared" ca="1" si="225"/>
        <v>0</v>
      </c>
      <c r="EH47" s="88">
        <f t="shared" ca="1" si="225"/>
        <v>0</v>
      </c>
      <c r="EI47" s="88">
        <f t="shared" ca="1" si="225"/>
        <v>0</v>
      </c>
      <c r="EJ47" s="88">
        <f t="shared" ca="1" si="225"/>
        <v>0</v>
      </c>
      <c r="EK47" s="88">
        <f t="shared" ca="1" si="225"/>
        <v>0</v>
      </c>
      <c r="EL47" s="88">
        <f t="shared" ca="1" si="225"/>
        <v>0</v>
      </c>
      <c r="EM47" s="88">
        <f t="shared" ca="1" si="225"/>
        <v>0</v>
      </c>
      <c r="EN47" s="88">
        <f t="shared" ca="1" si="225"/>
        <v>0</v>
      </c>
      <c r="EO47" s="88">
        <f t="shared" ca="1" si="225"/>
        <v>0</v>
      </c>
      <c r="EP47" s="88">
        <f t="shared" ca="1" si="225"/>
        <v>0</v>
      </c>
      <c r="EQ47" s="88">
        <f t="shared" ca="1" si="225"/>
        <v>0</v>
      </c>
      <c r="ER47" s="88">
        <f t="shared" ca="1" si="225"/>
        <v>0</v>
      </c>
      <c r="ES47" s="88">
        <f t="shared" ca="1" si="225"/>
        <v>0</v>
      </c>
      <c r="ET47" s="169"/>
      <c r="EU47" s="88">
        <f t="shared" ca="1" si="226"/>
        <v>0</v>
      </c>
      <c r="EV47" s="88">
        <f t="shared" ca="1" si="226"/>
        <v>0</v>
      </c>
      <c r="EW47" s="88">
        <f t="shared" ca="1" si="226"/>
        <v>0</v>
      </c>
      <c r="EX47" s="88">
        <f t="shared" ca="1" si="226"/>
        <v>0</v>
      </c>
      <c r="EY47" s="88">
        <f t="shared" ca="1" si="226"/>
        <v>0</v>
      </c>
      <c r="EZ47" s="88">
        <f t="shared" ca="1" si="226"/>
        <v>0</v>
      </c>
      <c r="FA47" s="88">
        <f t="shared" ca="1" si="226"/>
        <v>0</v>
      </c>
      <c r="FB47" s="88">
        <f t="shared" ca="1" si="226"/>
        <v>0</v>
      </c>
      <c r="FC47" s="88">
        <f t="shared" ca="1" si="226"/>
        <v>0</v>
      </c>
      <c r="FD47" s="88">
        <f t="shared" ca="1" si="226"/>
        <v>0</v>
      </c>
      <c r="FE47" s="88">
        <f t="shared" ca="1" si="227"/>
        <v>0</v>
      </c>
      <c r="FF47" s="88">
        <f t="shared" ca="1" si="227"/>
        <v>0</v>
      </c>
      <c r="FG47" s="88">
        <f t="shared" ca="1" si="227"/>
        <v>0</v>
      </c>
      <c r="FH47" s="88">
        <f t="shared" ca="1" si="227"/>
        <v>0</v>
      </c>
      <c r="FI47" s="88">
        <f t="shared" ca="1" si="227"/>
        <v>0</v>
      </c>
      <c r="FJ47" s="88">
        <f t="shared" ca="1" si="227"/>
        <v>0</v>
      </c>
      <c r="FK47" s="88">
        <f t="shared" ca="1" si="227"/>
        <v>0</v>
      </c>
      <c r="FL47" s="88">
        <f t="shared" ca="1" si="227"/>
        <v>0</v>
      </c>
      <c r="FM47" s="88">
        <f t="shared" ca="1" si="227"/>
        <v>0</v>
      </c>
      <c r="FN47" s="88">
        <f t="shared" ca="1" si="227"/>
        <v>0</v>
      </c>
      <c r="FO47" s="88">
        <f t="shared" ca="1" si="228"/>
        <v>0</v>
      </c>
      <c r="FP47" s="88">
        <f t="shared" ca="1" si="228"/>
        <v>0</v>
      </c>
      <c r="FQ47" s="88">
        <f t="shared" ca="1" si="228"/>
        <v>0</v>
      </c>
      <c r="FR47" s="88">
        <f t="shared" ca="1" si="228"/>
        <v>0</v>
      </c>
      <c r="FS47" s="88">
        <f t="shared" ca="1" si="228"/>
        <v>0</v>
      </c>
      <c r="FT47" s="88">
        <f t="shared" ca="1" si="228"/>
        <v>0</v>
      </c>
      <c r="FU47" s="88">
        <f t="shared" ca="1" si="228"/>
        <v>0</v>
      </c>
      <c r="FV47" s="88">
        <f t="shared" ca="1" si="228"/>
        <v>0</v>
      </c>
      <c r="FW47" s="88">
        <f t="shared" ca="1" si="228"/>
        <v>0</v>
      </c>
      <c r="FX47" s="88">
        <f t="shared" ca="1" si="228"/>
        <v>0</v>
      </c>
      <c r="FY47" s="88">
        <f t="shared" ca="1" si="228"/>
        <v>0</v>
      </c>
      <c r="FZ47" s="88">
        <f t="shared" ca="1" si="228"/>
        <v>0</v>
      </c>
      <c r="GA47" s="88">
        <f t="shared" ca="1" si="228"/>
        <v>0</v>
      </c>
      <c r="GB47" s="88">
        <f t="shared" ca="1" si="228"/>
        <v>0</v>
      </c>
      <c r="GC47" s="88">
        <f t="shared" ca="1" si="228"/>
        <v>0</v>
      </c>
      <c r="GD47" s="60"/>
    </row>
    <row r="48" spans="1:186" s="178" customFormat="1">
      <c r="A48" s="176"/>
      <c r="B48" s="177" t="str">
        <f t="shared" si="0"/>
        <v>____</v>
      </c>
      <c r="C48" s="177"/>
      <c r="D48" s="177"/>
      <c r="E48" s="177"/>
      <c r="F48" s="177"/>
      <c r="G48" s="177"/>
      <c r="H48" s="177"/>
      <c r="I48" s="177"/>
      <c r="J48" s="177"/>
      <c r="K48" s="177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7"/>
      <c r="AS48" s="177"/>
      <c r="AT48" s="177"/>
      <c r="AU48" s="177"/>
      <c r="AV48" s="177"/>
      <c r="AW48" s="177"/>
      <c r="AX48" s="177"/>
      <c r="AY48" s="177"/>
      <c r="AZ48" s="177"/>
      <c r="BA48" s="177"/>
      <c r="BB48" s="177"/>
      <c r="BC48" s="177"/>
      <c r="BD48" s="177"/>
      <c r="BE48" s="177"/>
      <c r="BF48" s="177"/>
      <c r="BG48" s="177"/>
      <c r="BH48" s="177"/>
      <c r="BI48" s="177"/>
      <c r="BJ48" s="177"/>
      <c r="BK48" s="177"/>
      <c r="BL48" s="177"/>
      <c r="BM48" s="177"/>
      <c r="BN48" s="177"/>
      <c r="BO48" s="177"/>
      <c r="BP48" s="177"/>
      <c r="BQ48" s="177"/>
      <c r="BR48" s="177"/>
      <c r="BS48" s="177"/>
      <c r="BT48" s="177"/>
      <c r="BU48" s="177"/>
      <c r="BV48" s="177"/>
      <c r="BW48" s="177"/>
      <c r="BX48" s="177"/>
      <c r="BY48" s="177"/>
      <c r="BZ48" s="177"/>
      <c r="CA48" s="179"/>
      <c r="CB48" s="179"/>
      <c r="CC48" s="179"/>
      <c r="CD48" s="179"/>
      <c r="CE48" s="179"/>
      <c r="CF48" s="179"/>
      <c r="CG48" s="179"/>
      <c r="CH48" s="179"/>
      <c r="CI48" s="179"/>
      <c r="CJ48" s="179"/>
      <c r="CK48" s="179"/>
      <c r="CL48" s="179"/>
      <c r="CM48" s="179"/>
      <c r="CN48" s="179"/>
      <c r="CO48" s="179"/>
      <c r="CP48" s="179"/>
      <c r="CQ48" s="179"/>
      <c r="CR48" s="179"/>
      <c r="CS48" s="179"/>
      <c r="CT48" s="179"/>
      <c r="CU48" s="179"/>
      <c r="CV48" s="179"/>
      <c r="CW48" s="179"/>
      <c r="CX48" s="179"/>
      <c r="CY48" s="179"/>
      <c r="CZ48" s="179"/>
      <c r="DA48" s="179"/>
      <c r="DB48" s="179"/>
      <c r="DC48" s="179"/>
      <c r="DD48" s="179"/>
      <c r="DE48" s="179"/>
      <c r="DF48" s="179"/>
      <c r="DG48" s="179"/>
      <c r="DH48" s="179"/>
      <c r="DI48" s="179"/>
      <c r="DJ48" s="179"/>
      <c r="DK48" s="179"/>
      <c r="DL48" s="179"/>
      <c r="DM48" s="179"/>
      <c r="DN48" s="179"/>
      <c r="DO48" s="179"/>
      <c r="DP48" s="179"/>
      <c r="DQ48" s="179"/>
      <c r="DR48" s="179"/>
      <c r="DS48" s="179"/>
      <c r="DT48" s="179"/>
      <c r="DU48" s="179"/>
      <c r="DV48" s="179"/>
      <c r="DW48" s="179"/>
      <c r="DX48" s="179"/>
      <c r="DY48" s="179"/>
      <c r="DZ48" s="179"/>
      <c r="EA48" s="179"/>
      <c r="EB48" s="179"/>
      <c r="EC48" s="179"/>
      <c r="ED48" s="179"/>
      <c r="EE48" s="179"/>
      <c r="EF48" s="179"/>
      <c r="EG48" s="179"/>
      <c r="EH48" s="179"/>
      <c r="EI48" s="179"/>
      <c r="EJ48" s="179"/>
      <c r="EK48" s="179"/>
      <c r="EL48" s="179"/>
      <c r="EM48" s="179"/>
      <c r="EN48" s="179"/>
      <c r="EO48" s="179"/>
      <c r="EP48" s="179"/>
      <c r="EQ48" s="179"/>
      <c r="ER48" s="179"/>
      <c r="ES48" s="179"/>
      <c r="ET48" s="179"/>
      <c r="EU48" s="179"/>
      <c r="EV48" s="179"/>
      <c r="EW48" s="179"/>
      <c r="EX48" s="179"/>
      <c r="EY48" s="179"/>
      <c r="EZ48" s="179"/>
      <c r="FA48" s="179"/>
      <c r="FB48" s="179"/>
      <c r="FC48" s="179"/>
      <c r="FD48" s="179"/>
      <c r="FE48" s="179"/>
      <c r="FF48" s="179"/>
      <c r="FG48" s="179"/>
      <c r="FH48" s="179"/>
      <c r="FI48" s="179"/>
      <c r="FJ48" s="179"/>
      <c r="FK48" s="179"/>
      <c r="FL48" s="179"/>
      <c r="FM48" s="179"/>
      <c r="FN48" s="179"/>
      <c r="FO48" s="179"/>
      <c r="FP48" s="179"/>
      <c r="FQ48" s="179"/>
      <c r="FR48" s="179"/>
      <c r="FS48" s="179"/>
      <c r="FT48" s="179"/>
      <c r="FU48" s="179"/>
      <c r="FV48" s="179"/>
      <c r="FW48" s="179"/>
      <c r="FX48" s="179"/>
      <c r="FY48" s="179"/>
      <c r="FZ48" s="179"/>
      <c r="GA48" s="179"/>
      <c r="GB48" s="179"/>
      <c r="GC48" s="179"/>
      <c r="GD48" s="177"/>
    </row>
    <row r="49" spans="1:186" s="54" customFormat="1">
      <c r="A49" s="61"/>
      <c r="B49" s="100" t="str">
        <f t="shared" si="0"/>
        <v>Residential_Residential Lighting_0_LED_2017</v>
      </c>
      <c r="C49" s="100">
        <f>INDEX('Measure Inputs'!$D:$D,MATCH($B49,'Measure Inputs'!$B:$B,0))</f>
        <v>1</v>
      </c>
      <c r="D49" s="101" t="s">
        <v>2</v>
      </c>
      <c r="E49" s="101" t="s">
        <v>249</v>
      </c>
      <c r="F49" s="101">
        <v>0</v>
      </c>
      <c r="G49" s="101" t="s">
        <v>216</v>
      </c>
      <c r="H49" s="101">
        <v>2017</v>
      </c>
      <c r="I49" s="55"/>
      <c r="J49" s="58">
        <f t="shared" ref="J49:J276" ca="1" si="229">IFERROR(SUMIFS($AR49:$AX49,$AR$7:$AX$7,"BENEFIT")/SUMIFS($AR49:$AX49,$AR$7:$AX$7,"COST"),"n/a")</f>
        <v>0.98959145050219266</v>
      </c>
      <c r="K49" s="58">
        <f ca="1">IFERROR(SUMIFS($AZ49:$BD49,$AZ$7:$BD$7,"BENEFIT")/SUMIFS($AZ49:$BD49,$AZ$7:$BD$7,"COST"),"n/a")</f>
        <v>1.4843871757532889</v>
      </c>
      <c r="L49" s="58">
        <f t="shared" ref="L49:L276" ca="1" si="230">IFERROR(SUMIFS($BF49:$BI49,$BF$7:$BI$7,"BENEFIT")/SUMIFS($BF49:$BI49,$BF$7:$BI$7,"COST"),"n/a")</f>
        <v>4.3499715437649789</v>
      </c>
      <c r="M49" s="58">
        <f t="shared" ref="M49:M276" ca="1" si="231">IFERROR(SUMIFS($BK49:$BQ49,$BK$7:$BQ$7,"BENEFIT")/SUMIFS($BK49:$BQ49,$BK$7:$BQ$7,"COST"),"n/a")</f>
        <v>1.3538602889136238</v>
      </c>
      <c r="N49" s="58">
        <f t="shared" ref="N49:N276" ca="1" si="232">IFERROR(SUMIFS($BS49:$BY49,$BS$7:$BY$7,"BENEFIT")/SUMIFS($BS49:$BY49,$BS$7:$BY$7,"COST"),"n/a")</f>
        <v>0.22749377565943418</v>
      </c>
      <c r="O49" s="55"/>
      <c r="P49" s="175">
        <f ca="1">IFERROR(($AW49+AV49)/SUMPRODUCT($CA49:$DI49,'General Inputs'!$F$51:$AN$51),"n/a")</f>
        <v>2.1892666976779915E-2</v>
      </c>
      <c r="Q49" s="175">
        <f t="shared" ref="Q49:Q105" ca="1" si="233">IFERROR($AN49/X49,"n/a")</f>
        <v>0.15400268293125224</v>
      </c>
      <c r="R49" s="56">
        <f t="shared" ref="R49" ca="1" si="234">SUM(CA49:DI49)/1000</f>
        <v>1298.6786736000001</v>
      </c>
      <c r="S49" s="55"/>
      <c r="T49" s="56">
        <f ca="1">INDEX(OFFSET('Measure Inputs'!$L$7,,,InputRows),$C49)</f>
        <v>4000</v>
      </c>
      <c r="U49" s="134">
        <f ca="1">INDEX(OFFSET('Measure Inputs'!$T$7,,,InputRows),$C49)</f>
        <v>1</v>
      </c>
      <c r="V49" s="134">
        <f ca="1">INDEX(OFFSET('Measure Inputs'!$U$7,,,InputRows),$C49)</f>
        <v>1</v>
      </c>
      <c r="W49" s="55"/>
      <c r="X49" s="96">
        <f ca="1">INDEX(OFFSET('Measure Inputs'!$V$7,,,InputRows),$C49)*$T49*$V49*$U49</f>
        <v>129867.86735999999</v>
      </c>
      <c r="Y49" s="96">
        <f ca="1">INDEX(OFFSET('Measure Inputs'!$W$7,,,InputRows),$C49)*$T49*$V49*$U49</f>
        <v>11.399708879999999</v>
      </c>
      <c r="Z49" s="96">
        <f ca="1">INDEX(OFFSET('Measure Inputs'!$X$7,,,InputRows),$C49)*$T49*$V49*$U49</f>
        <v>0</v>
      </c>
      <c r="AA49" s="55"/>
      <c r="AB49" s="96">
        <f ca="1">INDEX(OFFSET('Measure Inputs'!$Z$7,,,InputRows),$C49)*$T49*$V49*$U49</f>
        <v>0</v>
      </c>
      <c r="AC49" s="96">
        <f ca="1">INDEX(OFFSET('Measure Inputs'!$AA$7,,,InputRows),$C49)*$T49*$V49*$U49</f>
        <v>0</v>
      </c>
      <c r="AD49" s="96">
        <f ca="1">INDEX(OFFSET('Measure Inputs'!$AB$7,,,InputRows),$C49)*$T49*$V49*$U49</f>
        <v>0</v>
      </c>
      <c r="AE49" s="55"/>
      <c r="AF49" s="57">
        <f ca="1">INDEX(OFFSET('Measure Inputs'!$Q$7,,,InputRows),$C49)*$T49</f>
        <v>0</v>
      </c>
      <c r="AG49" s="57">
        <f ca="1">INDEX(OFFSET('Measure Inputs'!$P$7,,,InputRows),$C49)*$T49*$V49</f>
        <v>30000</v>
      </c>
      <c r="AH49" s="57">
        <f ca="1">INDEX(OFFSET('Measure Inputs'!$R$7,,,InputRows),$C49)*$T49*$V49</f>
        <v>0</v>
      </c>
      <c r="AI49" s="57">
        <f ca="1">INDEX(OFFSET('Measure Inputs'!$O$7,,,InputRows),$C49)*$T49</f>
        <v>20000</v>
      </c>
      <c r="AJ49" s="57">
        <f ca="1">INDEX(OFFSET('Measure Inputs'!$S$7,,,InputRows),$C49)*$T49</f>
        <v>0</v>
      </c>
      <c r="AK49" s="63">
        <f ca="1">INDEX(OFFSET('Measure Inputs'!$M$7,,,InputRows),$C49)</f>
        <v>10</v>
      </c>
      <c r="AL49" s="88">
        <f ca="1">INDEX(OFFSET('Measure Inputs'!$N$7,,,InputRows),$C49)</f>
        <v>0</v>
      </c>
      <c r="AM49" s="57">
        <f ca="1">SUMIFS(OFFSET('Program Inputs'!$N$5,,,TotalPrograms),OFFSET('Program Inputs'!$B$5,,,TotalPrograms),SUBSTITUTE($B49,"All","*"))+AF49</f>
        <v>0</v>
      </c>
      <c r="AN49" s="57">
        <f ca="1">AM49+AI49</f>
        <v>20000</v>
      </c>
      <c r="AO49" s="55"/>
      <c r="AP49" s="59">
        <f t="shared" ref="AP49" ca="1" si="235">SUMIFS(AR49:AX49,$AR$7:$AX$7,"BENEFIT")</f>
        <v>29687.74351506578</v>
      </c>
      <c r="AQ49" s="59">
        <f t="shared" ref="AQ49" ca="1" si="236">SUMIFS(AR49:AX49,$AR$7:$AX$7,"COST")</f>
        <v>30000</v>
      </c>
      <c r="AR49" s="59">
        <f ca="1">SUMPRODUCT($CA49:$DI49,'General Inputs'!$F$32:$AN$32,'General Inputs'!$F$51:$AN$51)/(1-Loss_ElectricEnergy)</f>
        <v>27924.657500435878</v>
      </c>
      <c r="AS49" s="59">
        <f ca="1">SUMPRODUCT($DK49:$ES49,'General Inputs'!$F$33:$AN$33,'General Inputs'!$F$51:$AN$51)/(1-Loss_ElectricDemand)</f>
        <v>1763.0860146299008</v>
      </c>
      <c r="AT49" s="59">
        <f ca="1">SUMPRODUCT($EU49:$GC49,'General Inputs'!$F$34:$AN$34,'General Inputs'!$F$51:$AN$51)/(1-Loss_GasEnergy)</f>
        <v>0</v>
      </c>
      <c r="AU49" s="59">
        <f ca="1">INDEX('General Inputs'!$F$51:$AN$51,MATCH($H49,'General Inputs'!$F$50:$AN$50,0))*$AJ49</f>
        <v>0</v>
      </c>
      <c r="AV49" s="59">
        <f ca="1">INDEX('General Inputs'!$F$51:$AN$51,MATCH($H49,'General Inputs'!$F$50:$AN$50,0))*$AI49</f>
        <v>20000</v>
      </c>
      <c r="AW49" s="59">
        <f ca="1">INDEX('General Inputs'!$F$51:$AN$51,MATCH($H49,'General Inputs'!$F$50:$AN$50,0))*$AM49</f>
        <v>0</v>
      </c>
      <c r="AX49" s="59">
        <f ca="1">SUM(INDEX('General Inputs'!$F$51:$AN$51,MATCH($H49,'General Inputs'!$F$50:$AN$50,0))*$AG49,INDEX('General Inputs'!$F$51:$AN$51,MATCH($H49+$AL49,'General Inputs'!$F$50:$AN$50,0))*-$AH49)</f>
        <v>30000</v>
      </c>
      <c r="AY49" s="55"/>
      <c r="AZ49" s="59">
        <f ca="1">SUMPRODUCT($CA49:$DI49,'General Inputs'!$F$32:$AN$32,'General Inputs'!$F$52:$AN$52)/(1-Loss_ElectricEnergy)</f>
        <v>27924.657500435878</v>
      </c>
      <c r="BA49" s="59">
        <f ca="1">SUMPRODUCT($DK49:$ES49,'General Inputs'!$F$33:$AN$33,'General Inputs'!$F$52:$AN$52)/(1-Loss_ElectricDemand)</f>
        <v>1763.0860146299008</v>
      </c>
      <c r="BB49" s="59">
        <f ca="1">SUMPRODUCT($EU49:$GC49,'General Inputs'!$F$34:$AN$34,'General Inputs'!$F$52:$AN$52)/(1-Loss_GasEnergy)</f>
        <v>0</v>
      </c>
      <c r="BC49" s="59">
        <f ca="1">INDEX('General Inputs'!$F$52:$AN$52,MATCH($H49,'General Inputs'!$F$50:$AN$50,0))*$AI49</f>
        <v>20000</v>
      </c>
      <c r="BD49" s="59">
        <f ca="1">INDEX('General Inputs'!$F$52:$AN$52,MATCH($H49,'General Inputs'!$F$50:$AN$50,0))*$AM49</f>
        <v>0</v>
      </c>
      <c r="BE49" s="55"/>
      <c r="BF49" s="59">
        <f ca="1">SUMPRODUCT($CA49:$DI49,OFFSET('General Inputs'!$F$40:$AN$40,MATCH($D49&amp;" Electric ($/kWh)",'General Inputs'!$E$40:$E$46,0),),'General Inputs'!$F$54:$AN$54)</f>
        <v>110499.14631294936</v>
      </c>
      <c r="BG49" s="59">
        <f ca="1">SUMPRODUCT($EU49:$GC49,OFFSET('General Inputs'!$F$40:$AN$40,MATCH($D49&amp;" Natural Gas ($/therm)",'General Inputs'!$E$40:$E$46,0),),'General Inputs'!$F$54:$AN$54)</f>
        <v>0</v>
      </c>
      <c r="BH49" s="59">
        <f ca="1">INDEX('General Inputs'!$F$54:$AN$54,MATCH($H49,'General Inputs'!$F$50:$AN$50,0))*$AI49</f>
        <v>20000</v>
      </c>
      <c r="BI49" s="59">
        <f ca="1">SUM(INDEX('General Inputs'!$F$54:$AN$54,MATCH($H49,'General Inputs'!$F$50:$AN$50,0))*$AG49,INDEX('General Inputs'!$F$51:$AN$51,MATCH($H49+$AL49,'General Inputs'!$F$50:$AN$50,0))*-$AH49)</f>
        <v>30000</v>
      </c>
      <c r="BJ49" s="55"/>
      <c r="BK49" s="59">
        <f ca="1">SUMPRODUCT($CA49:$DI49,'General Inputs'!$F$32:$AN$32,'General Inputs'!$F$53:$AN$53)/(1-Loss_ElectricEnergy)</f>
        <v>27924.657500435878</v>
      </c>
      <c r="BL49" s="59">
        <f ca="1">SUMPRODUCT($DK49:$ES49,'General Inputs'!$F$33:$AN$33,'General Inputs'!$F$53:$AN$53)/(1-Loss_ElectricDemand)</f>
        <v>1763.0860146299008</v>
      </c>
      <c r="BM49" s="59">
        <f ca="1">SUMPRODUCT($EU49:$GC49,'General Inputs'!$F$34:$AN$34,'General Inputs'!$F$53:$AN$53)/(1-Loss_GasEnergy)</f>
        <v>0</v>
      </c>
      <c r="BN49" s="59">
        <f ca="1">INDEX('General Inputs'!$F$53:$AN$53,MATCH($H49,'General Inputs'!$F$50:$AN$50,0))*$AJ49</f>
        <v>0</v>
      </c>
      <c r="BO49" s="59">
        <f ca="1">SUMPRODUCT($CA49:$DI49,'General Inputs'!$F$35:$AN$35,'General Inputs'!$F$53:$AN$53)/(1-Loss_ElectricEnergy)</f>
        <v>10928.06515234293</v>
      </c>
      <c r="BP49" s="59">
        <f ca="1">INDEX('General Inputs'!$F$51:$AN$51,MATCH($H49,'General Inputs'!$F$50:$AN$50,0))*$AM49</f>
        <v>0</v>
      </c>
      <c r="BQ49" s="59">
        <f ca="1">SUM(INDEX('General Inputs'!$F$53:$AN$53,MATCH($H49,'General Inputs'!$F$50:$AN$50,0))*$AG49,INDEX('General Inputs'!$F$53:$AN$53,MATCH($H49+$AL49,'General Inputs'!$F$50:$AN$50,0))*-$AH49)</f>
        <v>30000</v>
      </c>
      <c r="BR49" s="55"/>
      <c r="BS49" s="59">
        <f ca="1">SUMPRODUCT($CA49:$DI49,'General Inputs'!$F$32:$AN$32,'General Inputs'!$F$55:$AN$55)/(1-Loss_ElectricEnergy)</f>
        <v>27924.657500435878</v>
      </c>
      <c r="BT49" s="59">
        <f ca="1">SUMPRODUCT($DK49:$ES49,'General Inputs'!$F$33:$AN$33,'General Inputs'!$F$55:$AN$55)/(1-Loss_ElectricDemand)</f>
        <v>1763.0860146299008</v>
      </c>
      <c r="BU49" s="59">
        <f ca="1">SUMPRODUCT($EU49:$GC49,'General Inputs'!$F$34:$AN$34,'General Inputs'!$F$55:$AN$55)/(1-Loss_GasEnergy)</f>
        <v>0</v>
      </c>
      <c r="BV49" s="59">
        <f ca="1">SUMPRODUCT($CA49:$DI49,OFFSET('General Inputs'!$F$40:$AN$40,MATCH($D49&amp;" Electric ($/kWh)",'General Inputs'!$E$40:$E$46,0),),'General Inputs'!$F$55:$AN$55)</f>
        <v>110499.14631294936</v>
      </c>
      <c r="BW49" s="59">
        <f ca="1">SUMPRODUCT($EU49:$GC49,OFFSET('General Inputs'!$F$40:$AN$40,MATCH($D49&amp;" Natural Gas ($/therm)",'General Inputs'!$E$40:$E$46,0),),'General Inputs'!$F$55:$AN$55)</f>
        <v>0</v>
      </c>
      <c r="BX49" s="59">
        <f ca="1">INDEX('General Inputs'!$F$55:$AN$55,MATCH($H49,'General Inputs'!$F$50:$AN$50,0))*$AI49</f>
        <v>20000</v>
      </c>
      <c r="BY49" s="59">
        <f ca="1">INDEX('General Inputs'!$F$51:$AN$51,MATCH($H49,'General Inputs'!$F$50:$AN$50,0))*$AM49</f>
        <v>0</v>
      </c>
      <c r="BZ49" s="55"/>
      <c r="CA49" s="88">
        <f t="shared" ref="CA49:CJ58" ca="1" si="237">IF(AND($H49&lt;=CA$8,$H49+$AK49&gt;CA$8),IF(AND($H49+$AL49&lt;=CA$8,$AL49&gt;0),$AB49,$X49),0)</f>
        <v>129867.86735999999</v>
      </c>
      <c r="CB49" s="88">
        <f t="shared" ca="1" si="237"/>
        <v>129867.86735999999</v>
      </c>
      <c r="CC49" s="88">
        <f t="shared" ca="1" si="237"/>
        <v>129867.86735999999</v>
      </c>
      <c r="CD49" s="88">
        <f t="shared" ca="1" si="237"/>
        <v>129867.86735999999</v>
      </c>
      <c r="CE49" s="88">
        <f t="shared" ca="1" si="237"/>
        <v>129867.86735999999</v>
      </c>
      <c r="CF49" s="88">
        <f t="shared" ca="1" si="237"/>
        <v>129867.86735999999</v>
      </c>
      <c r="CG49" s="88">
        <f t="shared" ca="1" si="237"/>
        <v>129867.86735999999</v>
      </c>
      <c r="CH49" s="88">
        <f t="shared" ca="1" si="237"/>
        <v>129867.86735999999</v>
      </c>
      <c r="CI49" s="88">
        <f t="shared" ca="1" si="237"/>
        <v>129867.86735999999</v>
      </c>
      <c r="CJ49" s="88">
        <f t="shared" ca="1" si="237"/>
        <v>129867.86735999999</v>
      </c>
      <c r="CK49" s="88">
        <f t="shared" ref="CK49:CT58" ca="1" si="238">IF(AND($H49&lt;=CK$8,$H49+$AK49&gt;CK$8),IF(AND($H49+$AL49&lt;=CK$8,$AL49&gt;0),$AB49,$X49),0)</f>
        <v>0</v>
      </c>
      <c r="CL49" s="88">
        <f t="shared" ca="1" si="238"/>
        <v>0</v>
      </c>
      <c r="CM49" s="88">
        <f t="shared" ca="1" si="238"/>
        <v>0</v>
      </c>
      <c r="CN49" s="88">
        <f t="shared" ca="1" si="238"/>
        <v>0</v>
      </c>
      <c r="CO49" s="88">
        <f t="shared" ca="1" si="238"/>
        <v>0</v>
      </c>
      <c r="CP49" s="88">
        <f t="shared" ca="1" si="238"/>
        <v>0</v>
      </c>
      <c r="CQ49" s="88">
        <f t="shared" ca="1" si="238"/>
        <v>0</v>
      </c>
      <c r="CR49" s="88">
        <f t="shared" ca="1" si="238"/>
        <v>0</v>
      </c>
      <c r="CS49" s="88">
        <f t="shared" ca="1" si="238"/>
        <v>0</v>
      </c>
      <c r="CT49" s="88">
        <f t="shared" ca="1" si="238"/>
        <v>0</v>
      </c>
      <c r="CU49" s="88">
        <f t="shared" ref="CU49:DI58" ca="1" si="239">IF(AND($H49&lt;=CU$8,$H49+$AK49&gt;CU$8),IF(AND($H49+$AL49&lt;=CU$8,$AL49&gt;0),$AB49,$X49),0)</f>
        <v>0</v>
      </c>
      <c r="CV49" s="88">
        <f t="shared" ca="1" si="239"/>
        <v>0</v>
      </c>
      <c r="CW49" s="88">
        <f t="shared" ca="1" si="239"/>
        <v>0</v>
      </c>
      <c r="CX49" s="88">
        <f t="shared" ca="1" si="239"/>
        <v>0</v>
      </c>
      <c r="CY49" s="88">
        <f t="shared" ca="1" si="239"/>
        <v>0</v>
      </c>
      <c r="CZ49" s="88">
        <f t="shared" ca="1" si="239"/>
        <v>0</v>
      </c>
      <c r="DA49" s="88">
        <f t="shared" ca="1" si="239"/>
        <v>0</v>
      </c>
      <c r="DB49" s="88">
        <f t="shared" ca="1" si="239"/>
        <v>0</v>
      </c>
      <c r="DC49" s="88">
        <f t="shared" ca="1" si="239"/>
        <v>0</v>
      </c>
      <c r="DD49" s="88">
        <f t="shared" ca="1" si="239"/>
        <v>0</v>
      </c>
      <c r="DE49" s="88">
        <f t="shared" ca="1" si="239"/>
        <v>0</v>
      </c>
      <c r="DF49" s="88">
        <f t="shared" ca="1" si="239"/>
        <v>0</v>
      </c>
      <c r="DG49" s="88">
        <f t="shared" ca="1" si="239"/>
        <v>0</v>
      </c>
      <c r="DH49" s="88">
        <f t="shared" ca="1" si="239"/>
        <v>0</v>
      </c>
      <c r="DI49" s="88">
        <f t="shared" ca="1" si="239"/>
        <v>0</v>
      </c>
      <c r="DJ49" s="169"/>
      <c r="DK49" s="88">
        <f t="shared" ref="DK49:DT58" ca="1" si="240">IF(AND($H49&lt;=DK$8,$H49+$AK49&gt;DK$8),IF(AND($H49+$AL49&lt;=DK$8,$AL49&gt;0),$AC49,$Y49),0)</f>
        <v>11.399708879999999</v>
      </c>
      <c r="DL49" s="88">
        <f t="shared" ca="1" si="240"/>
        <v>11.399708879999999</v>
      </c>
      <c r="DM49" s="88">
        <f t="shared" ca="1" si="240"/>
        <v>11.399708879999999</v>
      </c>
      <c r="DN49" s="88">
        <f t="shared" ca="1" si="240"/>
        <v>11.399708879999999</v>
      </c>
      <c r="DO49" s="88">
        <f t="shared" ca="1" si="240"/>
        <v>11.399708879999999</v>
      </c>
      <c r="DP49" s="88">
        <f t="shared" ca="1" si="240"/>
        <v>11.399708879999999</v>
      </c>
      <c r="DQ49" s="88">
        <f t="shared" ca="1" si="240"/>
        <v>11.399708879999999</v>
      </c>
      <c r="DR49" s="88">
        <f t="shared" ca="1" si="240"/>
        <v>11.399708879999999</v>
      </c>
      <c r="DS49" s="88">
        <f t="shared" ca="1" si="240"/>
        <v>11.399708879999999</v>
      </c>
      <c r="DT49" s="88">
        <f t="shared" ca="1" si="240"/>
        <v>11.399708879999999</v>
      </c>
      <c r="DU49" s="88">
        <f t="shared" ref="DU49:ED58" ca="1" si="241">IF(AND($H49&lt;=DU$8,$H49+$AK49&gt;DU$8),IF(AND($H49+$AL49&lt;=DU$8,$AL49&gt;0),$AC49,$Y49),0)</f>
        <v>0</v>
      </c>
      <c r="DV49" s="88">
        <f t="shared" ca="1" si="241"/>
        <v>0</v>
      </c>
      <c r="DW49" s="88">
        <f t="shared" ca="1" si="241"/>
        <v>0</v>
      </c>
      <c r="DX49" s="88">
        <f t="shared" ca="1" si="241"/>
        <v>0</v>
      </c>
      <c r="DY49" s="88">
        <f t="shared" ca="1" si="241"/>
        <v>0</v>
      </c>
      <c r="DZ49" s="88">
        <f t="shared" ca="1" si="241"/>
        <v>0</v>
      </c>
      <c r="EA49" s="88">
        <f t="shared" ca="1" si="241"/>
        <v>0</v>
      </c>
      <c r="EB49" s="88">
        <f t="shared" ca="1" si="241"/>
        <v>0</v>
      </c>
      <c r="EC49" s="88">
        <f t="shared" ca="1" si="241"/>
        <v>0</v>
      </c>
      <c r="ED49" s="88">
        <f t="shared" ca="1" si="241"/>
        <v>0</v>
      </c>
      <c r="EE49" s="88">
        <f t="shared" ref="EE49:ES58" ca="1" si="242">IF(AND($H49&lt;=EE$8,$H49+$AK49&gt;EE$8),IF(AND($H49+$AL49&lt;=EE$8,$AL49&gt;0),$AC49,$Y49),0)</f>
        <v>0</v>
      </c>
      <c r="EF49" s="88">
        <f t="shared" ca="1" si="242"/>
        <v>0</v>
      </c>
      <c r="EG49" s="88">
        <f t="shared" ca="1" si="242"/>
        <v>0</v>
      </c>
      <c r="EH49" s="88">
        <f t="shared" ca="1" si="242"/>
        <v>0</v>
      </c>
      <c r="EI49" s="88">
        <f t="shared" ca="1" si="242"/>
        <v>0</v>
      </c>
      <c r="EJ49" s="88">
        <f t="shared" ca="1" si="242"/>
        <v>0</v>
      </c>
      <c r="EK49" s="88">
        <f t="shared" ca="1" si="242"/>
        <v>0</v>
      </c>
      <c r="EL49" s="88">
        <f t="shared" ca="1" si="242"/>
        <v>0</v>
      </c>
      <c r="EM49" s="88">
        <f t="shared" ca="1" si="242"/>
        <v>0</v>
      </c>
      <c r="EN49" s="88">
        <f t="shared" ca="1" si="242"/>
        <v>0</v>
      </c>
      <c r="EO49" s="88">
        <f t="shared" ca="1" si="242"/>
        <v>0</v>
      </c>
      <c r="EP49" s="88">
        <f t="shared" ca="1" si="242"/>
        <v>0</v>
      </c>
      <c r="EQ49" s="88">
        <f t="shared" ca="1" si="242"/>
        <v>0</v>
      </c>
      <c r="ER49" s="88">
        <f t="shared" ca="1" si="242"/>
        <v>0</v>
      </c>
      <c r="ES49" s="88">
        <f t="shared" ca="1" si="242"/>
        <v>0</v>
      </c>
      <c r="ET49" s="169"/>
      <c r="EU49" s="88">
        <f t="shared" ref="EU49:FD58" ca="1" si="243">IF(AND($H49&lt;=EU$8,$H49+$AK49&gt;EU$8),IF(AND($H49+$AL49&lt;=EU$8,$AL49&gt;0),$AD49,$Z49),0)</f>
        <v>0</v>
      </c>
      <c r="EV49" s="88">
        <f t="shared" ca="1" si="243"/>
        <v>0</v>
      </c>
      <c r="EW49" s="88">
        <f t="shared" ca="1" si="243"/>
        <v>0</v>
      </c>
      <c r="EX49" s="88">
        <f t="shared" ca="1" si="243"/>
        <v>0</v>
      </c>
      <c r="EY49" s="88">
        <f t="shared" ca="1" si="243"/>
        <v>0</v>
      </c>
      <c r="EZ49" s="88">
        <f t="shared" ca="1" si="243"/>
        <v>0</v>
      </c>
      <c r="FA49" s="88">
        <f t="shared" ca="1" si="243"/>
        <v>0</v>
      </c>
      <c r="FB49" s="88">
        <f t="shared" ca="1" si="243"/>
        <v>0</v>
      </c>
      <c r="FC49" s="88">
        <f t="shared" ca="1" si="243"/>
        <v>0</v>
      </c>
      <c r="FD49" s="88">
        <f t="shared" ca="1" si="243"/>
        <v>0</v>
      </c>
      <c r="FE49" s="88">
        <f t="shared" ref="FE49:FN58" ca="1" si="244">IF(AND($H49&lt;=FE$8,$H49+$AK49&gt;FE$8),IF(AND($H49+$AL49&lt;=FE$8,$AL49&gt;0),$AD49,$Z49),0)</f>
        <v>0</v>
      </c>
      <c r="FF49" s="88">
        <f t="shared" ca="1" si="244"/>
        <v>0</v>
      </c>
      <c r="FG49" s="88">
        <f t="shared" ca="1" si="244"/>
        <v>0</v>
      </c>
      <c r="FH49" s="88">
        <f t="shared" ca="1" si="244"/>
        <v>0</v>
      </c>
      <c r="FI49" s="88">
        <f t="shared" ca="1" si="244"/>
        <v>0</v>
      </c>
      <c r="FJ49" s="88">
        <f t="shared" ca="1" si="244"/>
        <v>0</v>
      </c>
      <c r="FK49" s="88">
        <f t="shared" ca="1" si="244"/>
        <v>0</v>
      </c>
      <c r="FL49" s="88">
        <f t="shared" ca="1" si="244"/>
        <v>0</v>
      </c>
      <c r="FM49" s="88">
        <f t="shared" ca="1" si="244"/>
        <v>0</v>
      </c>
      <c r="FN49" s="88">
        <f t="shared" ca="1" si="244"/>
        <v>0</v>
      </c>
      <c r="FO49" s="88">
        <f t="shared" ref="FO49:GC58" ca="1" si="245">IF(AND($H49&lt;=FO$8,$H49+$AK49&gt;FO$8),IF(AND($H49+$AL49&lt;=FO$8,$AL49&gt;0),$AD49,$Z49),0)</f>
        <v>0</v>
      </c>
      <c r="FP49" s="88">
        <f t="shared" ca="1" si="245"/>
        <v>0</v>
      </c>
      <c r="FQ49" s="88">
        <f t="shared" ca="1" si="245"/>
        <v>0</v>
      </c>
      <c r="FR49" s="88">
        <f t="shared" ca="1" si="245"/>
        <v>0</v>
      </c>
      <c r="FS49" s="88">
        <f t="shared" ca="1" si="245"/>
        <v>0</v>
      </c>
      <c r="FT49" s="88">
        <f t="shared" ca="1" si="245"/>
        <v>0</v>
      </c>
      <c r="FU49" s="88">
        <f t="shared" ca="1" si="245"/>
        <v>0</v>
      </c>
      <c r="FV49" s="88">
        <f t="shared" ca="1" si="245"/>
        <v>0</v>
      </c>
      <c r="FW49" s="88">
        <f t="shared" ca="1" si="245"/>
        <v>0</v>
      </c>
      <c r="FX49" s="88">
        <f t="shared" ca="1" si="245"/>
        <v>0</v>
      </c>
      <c r="FY49" s="88">
        <f t="shared" ca="1" si="245"/>
        <v>0</v>
      </c>
      <c r="FZ49" s="88">
        <f t="shared" ca="1" si="245"/>
        <v>0</v>
      </c>
      <c r="GA49" s="88">
        <f t="shared" ca="1" si="245"/>
        <v>0</v>
      </c>
      <c r="GB49" s="88">
        <f t="shared" ca="1" si="245"/>
        <v>0</v>
      </c>
      <c r="GC49" s="88">
        <f t="shared" ca="1" si="245"/>
        <v>0</v>
      </c>
      <c r="GD49" s="60"/>
    </row>
    <row r="50" spans="1:186" s="54" customFormat="1">
      <c r="A50" s="61"/>
      <c r="B50" s="100" t="str">
        <f t="shared" si="0"/>
        <v>Residential_Residential Lighting_0_ENERGY STAR Fixture_2017</v>
      </c>
      <c r="C50" s="100">
        <f>INDEX('Measure Inputs'!$D:$D,MATCH($B50,'Measure Inputs'!$B:$B,0))</f>
        <v>2</v>
      </c>
      <c r="D50" s="101" t="s">
        <v>2</v>
      </c>
      <c r="E50" s="101" t="s">
        <v>249</v>
      </c>
      <c r="F50" s="101">
        <v>0</v>
      </c>
      <c r="G50" s="101" t="s">
        <v>257</v>
      </c>
      <c r="H50" s="101">
        <v>2017</v>
      </c>
      <c r="I50" s="55"/>
      <c r="J50" s="58">
        <f t="shared" ca="1" si="229"/>
        <v>0.98959145050219266</v>
      </c>
      <c r="K50" s="58">
        <f t="shared" ref="K50:K276" ca="1" si="246">IFERROR(SUMIFS($AZ50:$BD50,$AZ$7:$BD$7,"BENEFIT")/SUMIFS($AZ50:$BD50,$AZ$7:$BD$7,"COST"),"n/a")</f>
        <v>1.4843871757532889</v>
      </c>
      <c r="L50" s="58">
        <f t="shared" ca="1" si="230"/>
        <v>4.3499715437649789</v>
      </c>
      <c r="M50" s="58">
        <f t="shared" ca="1" si="231"/>
        <v>1.3538602889136238</v>
      </c>
      <c r="N50" s="58">
        <f t="shared" ca="1" si="232"/>
        <v>0.22749377565943418</v>
      </c>
      <c r="O50" s="55"/>
      <c r="P50" s="175">
        <f ca="1">IFERROR(($AW50+AV50)/SUMPRODUCT($CA50:$DI50,'General Inputs'!$F$51:$AN$51),"n/a")</f>
        <v>2.1892666976779915E-2</v>
      </c>
      <c r="Q50" s="175">
        <f t="shared" ca="1" si="233"/>
        <v>0.15400268293125224</v>
      </c>
      <c r="R50" s="56">
        <f t="shared" ref="R50:R59" ca="1" si="247">SUM(CA50:DI50)/1000</f>
        <v>324.66966840000003</v>
      </c>
      <c r="S50" s="55"/>
      <c r="T50" s="56">
        <f ca="1">INDEX(OFFSET('Measure Inputs'!$L$7,,,InputRows),$C50)</f>
        <v>500</v>
      </c>
      <c r="U50" s="134">
        <f ca="1">INDEX(OFFSET('Measure Inputs'!$T$7,,,InputRows),$C50)</f>
        <v>1</v>
      </c>
      <c r="V50" s="134">
        <f ca="1">INDEX(OFFSET('Measure Inputs'!$U$7,,,InputRows),$C50)</f>
        <v>1</v>
      </c>
      <c r="W50" s="55"/>
      <c r="X50" s="96">
        <f ca="1">INDEX(OFFSET('Measure Inputs'!$V$7,,,InputRows),$C50)*$T50*$V50*$U50</f>
        <v>32466.966839999997</v>
      </c>
      <c r="Y50" s="96">
        <f ca="1">INDEX(OFFSET('Measure Inputs'!$W$7,,,InputRows),$C50)*$T50*$V50*$U50</f>
        <v>2.8499272199999997</v>
      </c>
      <c r="Z50" s="96">
        <f ca="1">INDEX(OFFSET('Measure Inputs'!$X$7,,,InputRows),$C50)*$T50*$V50*$U50</f>
        <v>0</v>
      </c>
      <c r="AA50" s="55"/>
      <c r="AB50" s="96">
        <f ca="1">INDEX(OFFSET('Measure Inputs'!$Z$7,,,InputRows),$C50)*$T50*$V50*$U50</f>
        <v>0</v>
      </c>
      <c r="AC50" s="96">
        <f ca="1">INDEX(OFFSET('Measure Inputs'!$AA$7,,,InputRows),$C50)*$T50*$V50*$U50</f>
        <v>0</v>
      </c>
      <c r="AD50" s="96">
        <f ca="1">INDEX(OFFSET('Measure Inputs'!$AB$7,,,InputRows),$C50)*$T50*$V50*$U50</f>
        <v>0</v>
      </c>
      <c r="AE50" s="55"/>
      <c r="AF50" s="57">
        <f ca="1">INDEX(OFFSET('Measure Inputs'!$Q$7,,,InputRows),$C50)*$T50</f>
        <v>0</v>
      </c>
      <c r="AG50" s="57">
        <f ca="1">INDEX(OFFSET('Measure Inputs'!$P$7,,,InputRows),$C50)*$T50*$V50</f>
        <v>7500</v>
      </c>
      <c r="AH50" s="57">
        <f ca="1">INDEX(OFFSET('Measure Inputs'!$R$7,,,InputRows),$C50)*$T50*$V50</f>
        <v>0</v>
      </c>
      <c r="AI50" s="57">
        <f ca="1">INDEX(OFFSET('Measure Inputs'!$O$7,,,InputRows),$C50)*$T50</f>
        <v>5000</v>
      </c>
      <c r="AJ50" s="57">
        <f ca="1">INDEX(OFFSET('Measure Inputs'!$S$7,,,InputRows),$C50)*$T50</f>
        <v>0</v>
      </c>
      <c r="AK50" s="63">
        <f ca="1">INDEX(OFFSET('Measure Inputs'!$M$7,,,InputRows),$C50)</f>
        <v>10</v>
      </c>
      <c r="AL50" s="88">
        <f ca="1">INDEX(OFFSET('Measure Inputs'!$N$7,,,InputRows),$C50)</f>
        <v>0</v>
      </c>
      <c r="AM50" s="57">
        <f ca="1">SUMIFS(OFFSET('Program Inputs'!$N$5,,,TotalPrograms),OFFSET('Program Inputs'!$B$5,,,TotalPrograms),SUBSTITUTE($B50,"All","*"))+AF50</f>
        <v>0</v>
      </c>
      <c r="AN50" s="57">
        <f t="shared" ref="AN50:AN59" ca="1" si="248">AM50+AI50</f>
        <v>5000</v>
      </c>
      <c r="AO50" s="55"/>
      <c r="AP50" s="59">
        <f t="shared" ref="AP50:AP59" ca="1" si="249">SUMIFS(AR50:AX50,$AR$7:$AX$7,"BENEFIT")</f>
        <v>7421.9358787664451</v>
      </c>
      <c r="AQ50" s="59">
        <f t="shared" ref="AQ50:AQ59" ca="1" si="250">SUMIFS(AR50:AX50,$AR$7:$AX$7,"COST")</f>
        <v>7500</v>
      </c>
      <c r="AR50" s="59">
        <f ca="1">SUMPRODUCT($CA50:$DI50,'General Inputs'!$F$32:$AN$32,'General Inputs'!$F$51:$AN$51)/(1-Loss_ElectricEnergy)</f>
        <v>6981.1643751089696</v>
      </c>
      <c r="AS50" s="59">
        <f ca="1">SUMPRODUCT($DK50:$ES50,'General Inputs'!$F$33:$AN$33,'General Inputs'!$F$51:$AN$51)/(1-Loss_ElectricDemand)</f>
        <v>440.77150365747519</v>
      </c>
      <c r="AT50" s="59">
        <f ca="1">SUMPRODUCT($EU50:$GC50,'General Inputs'!$F$34:$AN$34,'General Inputs'!$F$51:$AN$51)/(1-Loss_GasEnergy)</f>
        <v>0</v>
      </c>
      <c r="AU50" s="59">
        <f ca="1">INDEX('General Inputs'!$F$51:$AN$51,MATCH($H50,'General Inputs'!$F$50:$AN$50,0))*$AJ50</f>
        <v>0</v>
      </c>
      <c r="AV50" s="59">
        <f ca="1">INDEX('General Inputs'!$F$51:$AN$51,MATCH($H50,'General Inputs'!$F$50:$AN$50,0))*$AI50</f>
        <v>5000</v>
      </c>
      <c r="AW50" s="59">
        <f ca="1">INDEX('General Inputs'!$F$51:$AN$51,MATCH($H50,'General Inputs'!$F$50:$AN$50,0))*$AM50</f>
        <v>0</v>
      </c>
      <c r="AX50" s="59">
        <f ca="1">SUM(INDEX('General Inputs'!$F$51:$AN$51,MATCH($H50,'General Inputs'!$F$50:$AN$50,0))*$AG50,INDEX('General Inputs'!$F$51:$AN$51,MATCH($H50+$AL50,'General Inputs'!$F$50:$AN$50,0))*-$AH50)</f>
        <v>7500</v>
      </c>
      <c r="AY50" s="55"/>
      <c r="AZ50" s="59">
        <f ca="1">SUMPRODUCT($CA50:$DI50,'General Inputs'!$F$32:$AN$32,'General Inputs'!$F$52:$AN$52)/(1-Loss_ElectricEnergy)</f>
        <v>6981.1643751089696</v>
      </c>
      <c r="BA50" s="59">
        <f ca="1">SUMPRODUCT($DK50:$ES50,'General Inputs'!$F$33:$AN$33,'General Inputs'!$F$52:$AN$52)/(1-Loss_ElectricDemand)</f>
        <v>440.77150365747519</v>
      </c>
      <c r="BB50" s="59">
        <f ca="1">SUMPRODUCT($EU50:$GC50,'General Inputs'!$F$34:$AN$34,'General Inputs'!$F$52:$AN$52)/(1-Loss_GasEnergy)</f>
        <v>0</v>
      </c>
      <c r="BC50" s="59">
        <f ca="1">INDEX('General Inputs'!$F$52:$AN$52,MATCH($H50,'General Inputs'!$F$50:$AN$50,0))*$AI50</f>
        <v>5000</v>
      </c>
      <c r="BD50" s="59">
        <f ca="1">INDEX('General Inputs'!$F$52:$AN$52,MATCH($H50,'General Inputs'!$F$50:$AN$50,0))*$AM50</f>
        <v>0</v>
      </c>
      <c r="BE50" s="55"/>
      <c r="BF50" s="59">
        <f ca="1">SUMPRODUCT($CA50:$DI50,OFFSET('General Inputs'!$F$40:$AN$40,MATCH($D50&amp;" Electric ($/kWh)",'General Inputs'!$E$40:$E$46,0),),'General Inputs'!$F$54:$AN$54)</f>
        <v>27624.786578237341</v>
      </c>
      <c r="BG50" s="59">
        <f ca="1">SUMPRODUCT($EU50:$GC50,OFFSET('General Inputs'!$F$40:$AN$40,MATCH($D50&amp;" Natural Gas ($/therm)",'General Inputs'!$E$40:$E$46,0),),'General Inputs'!$F$54:$AN$54)</f>
        <v>0</v>
      </c>
      <c r="BH50" s="59">
        <f ca="1">INDEX('General Inputs'!$F$54:$AN$54,MATCH($H50,'General Inputs'!$F$50:$AN$50,0))*$AI50</f>
        <v>5000</v>
      </c>
      <c r="BI50" s="59">
        <f ca="1">SUM(INDEX('General Inputs'!$F$54:$AN$54,MATCH($H50,'General Inputs'!$F$50:$AN$50,0))*$AG50,INDEX('General Inputs'!$F$51:$AN$51,MATCH($H50+$AL50,'General Inputs'!$F$50:$AN$50,0))*-$AH50)</f>
        <v>7500</v>
      </c>
      <c r="BJ50" s="55"/>
      <c r="BK50" s="59">
        <f ca="1">SUMPRODUCT($CA50:$DI50,'General Inputs'!$F$32:$AN$32,'General Inputs'!$F$53:$AN$53)/(1-Loss_ElectricEnergy)</f>
        <v>6981.1643751089696</v>
      </c>
      <c r="BL50" s="59">
        <f ca="1">SUMPRODUCT($DK50:$ES50,'General Inputs'!$F$33:$AN$33,'General Inputs'!$F$53:$AN$53)/(1-Loss_ElectricDemand)</f>
        <v>440.77150365747519</v>
      </c>
      <c r="BM50" s="59">
        <f ca="1">SUMPRODUCT($EU50:$GC50,'General Inputs'!$F$34:$AN$34,'General Inputs'!$F$53:$AN$53)/(1-Loss_GasEnergy)</f>
        <v>0</v>
      </c>
      <c r="BN50" s="59">
        <f ca="1">INDEX('General Inputs'!$F$53:$AN$53,MATCH($H50,'General Inputs'!$F$50:$AN$50,0))*$AJ50</f>
        <v>0</v>
      </c>
      <c r="BO50" s="59">
        <f ca="1">SUMPRODUCT($CA50:$DI50,'General Inputs'!$F$35:$AN$35,'General Inputs'!$F$53:$AN$53)/(1-Loss_ElectricEnergy)</f>
        <v>2732.0162880857324</v>
      </c>
      <c r="BP50" s="59">
        <f ca="1">INDEX('General Inputs'!$F$51:$AN$51,MATCH($H50,'General Inputs'!$F$50:$AN$50,0))*$AM50</f>
        <v>0</v>
      </c>
      <c r="BQ50" s="59">
        <f ca="1">SUM(INDEX('General Inputs'!$F$53:$AN$53,MATCH($H50,'General Inputs'!$F$50:$AN$50,0))*$AG50,INDEX('General Inputs'!$F$53:$AN$53,MATCH($H50+$AL50,'General Inputs'!$F$50:$AN$50,0))*-$AH50)</f>
        <v>7500</v>
      </c>
      <c r="BR50" s="55"/>
      <c r="BS50" s="59">
        <f ca="1">SUMPRODUCT($CA50:$DI50,'General Inputs'!$F$32:$AN$32,'General Inputs'!$F$55:$AN$55)/(1-Loss_ElectricEnergy)</f>
        <v>6981.1643751089696</v>
      </c>
      <c r="BT50" s="59">
        <f ca="1">SUMPRODUCT($DK50:$ES50,'General Inputs'!$F$33:$AN$33,'General Inputs'!$F$55:$AN$55)/(1-Loss_ElectricDemand)</f>
        <v>440.77150365747519</v>
      </c>
      <c r="BU50" s="59">
        <f ca="1">SUMPRODUCT($EU50:$GC50,'General Inputs'!$F$34:$AN$34,'General Inputs'!$F$55:$AN$55)/(1-Loss_GasEnergy)</f>
        <v>0</v>
      </c>
      <c r="BV50" s="59">
        <f ca="1">SUMPRODUCT($CA50:$DI50,OFFSET('General Inputs'!$F$40:$AN$40,MATCH($D50&amp;" Electric ($/kWh)",'General Inputs'!$E$40:$E$46,0),),'General Inputs'!$F$55:$AN$55)</f>
        <v>27624.786578237341</v>
      </c>
      <c r="BW50" s="59">
        <f ca="1">SUMPRODUCT($EU50:$GC50,OFFSET('General Inputs'!$F$40:$AN$40,MATCH($D50&amp;" Natural Gas ($/therm)",'General Inputs'!$E$40:$E$46,0),),'General Inputs'!$F$55:$AN$55)</f>
        <v>0</v>
      </c>
      <c r="BX50" s="59">
        <f ca="1">INDEX('General Inputs'!$F$55:$AN$55,MATCH($H50,'General Inputs'!$F$50:$AN$50,0))*$AI50</f>
        <v>5000</v>
      </c>
      <c r="BY50" s="59">
        <f ca="1">INDEX('General Inputs'!$F$51:$AN$51,MATCH($H50,'General Inputs'!$F$50:$AN$50,0))*$AM50</f>
        <v>0</v>
      </c>
      <c r="BZ50" s="55"/>
      <c r="CA50" s="88">
        <f t="shared" ca="1" si="237"/>
        <v>32466.966839999997</v>
      </c>
      <c r="CB50" s="88">
        <f t="shared" ca="1" si="237"/>
        <v>32466.966839999997</v>
      </c>
      <c r="CC50" s="88">
        <f t="shared" ca="1" si="237"/>
        <v>32466.966839999997</v>
      </c>
      <c r="CD50" s="88">
        <f t="shared" ca="1" si="237"/>
        <v>32466.966839999997</v>
      </c>
      <c r="CE50" s="88">
        <f t="shared" ca="1" si="237"/>
        <v>32466.966839999997</v>
      </c>
      <c r="CF50" s="88">
        <f t="shared" ca="1" si="237"/>
        <v>32466.966839999997</v>
      </c>
      <c r="CG50" s="88">
        <f t="shared" ca="1" si="237"/>
        <v>32466.966839999997</v>
      </c>
      <c r="CH50" s="88">
        <f t="shared" ca="1" si="237"/>
        <v>32466.966839999997</v>
      </c>
      <c r="CI50" s="88">
        <f t="shared" ca="1" si="237"/>
        <v>32466.966839999997</v>
      </c>
      <c r="CJ50" s="88">
        <f t="shared" ca="1" si="237"/>
        <v>32466.966839999997</v>
      </c>
      <c r="CK50" s="88">
        <f t="shared" ca="1" si="238"/>
        <v>0</v>
      </c>
      <c r="CL50" s="88">
        <f t="shared" ca="1" si="238"/>
        <v>0</v>
      </c>
      <c r="CM50" s="88">
        <f t="shared" ca="1" si="238"/>
        <v>0</v>
      </c>
      <c r="CN50" s="88">
        <f t="shared" ca="1" si="238"/>
        <v>0</v>
      </c>
      <c r="CO50" s="88">
        <f t="shared" ca="1" si="238"/>
        <v>0</v>
      </c>
      <c r="CP50" s="88">
        <f t="shared" ca="1" si="238"/>
        <v>0</v>
      </c>
      <c r="CQ50" s="88">
        <f t="shared" ca="1" si="238"/>
        <v>0</v>
      </c>
      <c r="CR50" s="88">
        <f t="shared" ca="1" si="238"/>
        <v>0</v>
      </c>
      <c r="CS50" s="88">
        <f t="shared" ca="1" si="238"/>
        <v>0</v>
      </c>
      <c r="CT50" s="88">
        <f t="shared" ca="1" si="238"/>
        <v>0</v>
      </c>
      <c r="CU50" s="88">
        <f t="shared" ca="1" si="239"/>
        <v>0</v>
      </c>
      <c r="CV50" s="88">
        <f t="shared" ca="1" si="239"/>
        <v>0</v>
      </c>
      <c r="CW50" s="88">
        <f t="shared" ca="1" si="239"/>
        <v>0</v>
      </c>
      <c r="CX50" s="88">
        <f t="shared" ca="1" si="239"/>
        <v>0</v>
      </c>
      <c r="CY50" s="88">
        <f t="shared" ca="1" si="239"/>
        <v>0</v>
      </c>
      <c r="CZ50" s="88">
        <f t="shared" ca="1" si="239"/>
        <v>0</v>
      </c>
      <c r="DA50" s="88">
        <f t="shared" ca="1" si="239"/>
        <v>0</v>
      </c>
      <c r="DB50" s="88">
        <f t="shared" ca="1" si="239"/>
        <v>0</v>
      </c>
      <c r="DC50" s="88">
        <f t="shared" ca="1" si="239"/>
        <v>0</v>
      </c>
      <c r="DD50" s="88">
        <f t="shared" ca="1" si="239"/>
        <v>0</v>
      </c>
      <c r="DE50" s="88">
        <f t="shared" ca="1" si="239"/>
        <v>0</v>
      </c>
      <c r="DF50" s="88">
        <f t="shared" ca="1" si="239"/>
        <v>0</v>
      </c>
      <c r="DG50" s="88">
        <f t="shared" ca="1" si="239"/>
        <v>0</v>
      </c>
      <c r="DH50" s="88">
        <f t="shared" ca="1" si="239"/>
        <v>0</v>
      </c>
      <c r="DI50" s="88">
        <f t="shared" ca="1" si="239"/>
        <v>0</v>
      </c>
      <c r="DJ50" s="169"/>
      <c r="DK50" s="88">
        <f t="shared" ca="1" si="240"/>
        <v>2.8499272199999997</v>
      </c>
      <c r="DL50" s="88">
        <f t="shared" ca="1" si="240"/>
        <v>2.8499272199999997</v>
      </c>
      <c r="DM50" s="88">
        <f t="shared" ca="1" si="240"/>
        <v>2.8499272199999997</v>
      </c>
      <c r="DN50" s="88">
        <f t="shared" ca="1" si="240"/>
        <v>2.8499272199999997</v>
      </c>
      <c r="DO50" s="88">
        <f t="shared" ca="1" si="240"/>
        <v>2.8499272199999997</v>
      </c>
      <c r="DP50" s="88">
        <f t="shared" ca="1" si="240"/>
        <v>2.8499272199999997</v>
      </c>
      <c r="DQ50" s="88">
        <f t="shared" ca="1" si="240"/>
        <v>2.8499272199999997</v>
      </c>
      <c r="DR50" s="88">
        <f t="shared" ca="1" si="240"/>
        <v>2.8499272199999997</v>
      </c>
      <c r="DS50" s="88">
        <f t="shared" ca="1" si="240"/>
        <v>2.8499272199999997</v>
      </c>
      <c r="DT50" s="88">
        <f t="shared" ca="1" si="240"/>
        <v>2.8499272199999997</v>
      </c>
      <c r="DU50" s="88">
        <f t="shared" ca="1" si="241"/>
        <v>0</v>
      </c>
      <c r="DV50" s="88">
        <f t="shared" ca="1" si="241"/>
        <v>0</v>
      </c>
      <c r="DW50" s="88">
        <f t="shared" ca="1" si="241"/>
        <v>0</v>
      </c>
      <c r="DX50" s="88">
        <f t="shared" ca="1" si="241"/>
        <v>0</v>
      </c>
      <c r="DY50" s="88">
        <f t="shared" ca="1" si="241"/>
        <v>0</v>
      </c>
      <c r="DZ50" s="88">
        <f t="shared" ca="1" si="241"/>
        <v>0</v>
      </c>
      <c r="EA50" s="88">
        <f t="shared" ca="1" si="241"/>
        <v>0</v>
      </c>
      <c r="EB50" s="88">
        <f t="shared" ca="1" si="241"/>
        <v>0</v>
      </c>
      <c r="EC50" s="88">
        <f t="shared" ca="1" si="241"/>
        <v>0</v>
      </c>
      <c r="ED50" s="88">
        <f t="shared" ca="1" si="241"/>
        <v>0</v>
      </c>
      <c r="EE50" s="88">
        <f t="shared" ca="1" si="242"/>
        <v>0</v>
      </c>
      <c r="EF50" s="88">
        <f t="shared" ca="1" si="242"/>
        <v>0</v>
      </c>
      <c r="EG50" s="88">
        <f t="shared" ca="1" si="242"/>
        <v>0</v>
      </c>
      <c r="EH50" s="88">
        <f t="shared" ca="1" si="242"/>
        <v>0</v>
      </c>
      <c r="EI50" s="88">
        <f t="shared" ca="1" si="242"/>
        <v>0</v>
      </c>
      <c r="EJ50" s="88">
        <f t="shared" ca="1" si="242"/>
        <v>0</v>
      </c>
      <c r="EK50" s="88">
        <f t="shared" ca="1" si="242"/>
        <v>0</v>
      </c>
      <c r="EL50" s="88">
        <f t="shared" ca="1" si="242"/>
        <v>0</v>
      </c>
      <c r="EM50" s="88">
        <f t="shared" ca="1" si="242"/>
        <v>0</v>
      </c>
      <c r="EN50" s="88">
        <f t="shared" ca="1" si="242"/>
        <v>0</v>
      </c>
      <c r="EO50" s="88">
        <f t="shared" ca="1" si="242"/>
        <v>0</v>
      </c>
      <c r="EP50" s="88">
        <f t="shared" ca="1" si="242"/>
        <v>0</v>
      </c>
      <c r="EQ50" s="88">
        <f t="shared" ca="1" si="242"/>
        <v>0</v>
      </c>
      <c r="ER50" s="88">
        <f t="shared" ca="1" si="242"/>
        <v>0</v>
      </c>
      <c r="ES50" s="88">
        <f t="shared" ca="1" si="242"/>
        <v>0</v>
      </c>
      <c r="ET50" s="169"/>
      <c r="EU50" s="88">
        <f t="shared" ca="1" si="243"/>
        <v>0</v>
      </c>
      <c r="EV50" s="88">
        <f t="shared" ca="1" si="243"/>
        <v>0</v>
      </c>
      <c r="EW50" s="88">
        <f t="shared" ca="1" si="243"/>
        <v>0</v>
      </c>
      <c r="EX50" s="88">
        <f t="shared" ca="1" si="243"/>
        <v>0</v>
      </c>
      <c r="EY50" s="88">
        <f t="shared" ca="1" si="243"/>
        <v>0</v>
      </c>
      <c r="EZ50" s="88">
        <f t="shared" ca="1" si="243"/>
        <v>0</v>
      </c>
      <c r="FA50" s="88">
        <f t="shared" ca="1" si="243"/>
        <v>0</v>
      </c>
      <c r="FB50" s="88">
        <f t="shared" ca="1" si="243"/>
        <v>0</v>
      </c>
      <c r="FC50" s="88">
        <f t="shared" ca="1" si="243"/>
        <v>0</v>
      </c>
      <c r="FD50" s="88">
        <f t="shared" ca="1" si="243"/>
        <v>0</v>
      </c>
      <c r="FE50" s="88">
        <f t="shared" ca="1" si="244"/>
        <v>0</v>
      </c>
      <c r="FF50" s="88">
        <f t="shared" ca="1" si="244"/>
        <v>0</v>
      </c>
      <c r="FG50" s="88">
        <f t="shared" ca="1" si="244"/>
        <v>0</v>
      </c>
      <c r="FH50" s="88">
        <f t="shared" ca="1" si="244"/>
        <v>0</v>
      </c>
      <c r="FI50" s="88">
        <f t="shared" ca="1" si="244"/>
        <v>0</v>
      </c>
      <c r="FJ50" s="88">
        <f t="shared" ca="1" si="244"/>
        <v>0</v>
      </c>
      <c r="FK50" s="88">
        <f t="shared" ca="1" si="244"/>
        <v>0</v>
      </c>
      <c r="FL50" s="88">
        <f t="shared" ca="1" si="244"/>
        <v>0</v>
      </c>
      <c r="FM50" s="88">
        <f t="shared" ca="1" si="244"/>
        <v>0</v>
      </c>
      <c r="FN50" s="88">
        <f t="shared" ca="1" si="244"/>
        <v>0</v>
      </c>
      <c r="FO50" s="88">
        <f t="shared" ca="1" si="245"/>
        <v>0</v>
      </c>
      <c r="FP50" s="88">
        <f t="shared" ca="1" si="245"/>
        <v>0</v>
      </c>
      <c r="FQ50" s="88">
        <f t="shared" ca="1" si="245"/>
        <v>0</v>
      </c>
      <c r="FR50" s="88">
        <f t="shared" ca="1" si="245"/>
        <v>0</v>
      </c>
      <c r="FS50" s="88">
        <f t="shared" ca="1" si="245"/>
        <v>0</v>
      </c>
      <c r="FT50" s="88">
        <f t="shared" ca="1" si="245"/>
        <v>0</v>
      </c>
      <c r="FU50" s="88">
        <f t="shared" ca="1" si="245"/>
        <v>0</v>
      </c>
      <c r="FV50" s="88">
        <f t="shared" ca="1" si="245"/>
        <v>0</v>
      </c>
      <c r="FW50" s="88">
        <f t="shared" ca="1" si="245"/>
        <v>0</v>
      </c>
      <c r="FX50" s="88">
        <f t="shared" ca="1" si="245"/>
        <v>0</v>
      </c>
      <c r="FY50" s="88">
        <f t="shared" ca="1" si="245"/>
        <v>0</v>
      </c>
      <c r="FZ50" s="88">
        <f t="shared" ca="1" si="245"/>
        <v>0</v>
      </c>
      <c r="GA50" s="88">
        <f t="shared" ca="1" si="245"/>
        <v>0</v>
      </c>
      <c r="GB50" s="88">
        <f t="shared" ca="1" si="245"/>
        <v>0</v>
      </c>
      <c r="GC50" s="88">
        <f t="shared" ca="1" si="245"/>
        <v>0</v>
      </c>
      <c r="GD50" s="60"/>
    </row>
    <row r="51" spans="1:186" s="54" customFormat="1">
      <c r="A51" s="61"/>
      <c r="B51" s="100" t="str">
        <f t="shared" si="0"/>
        <v>Residential_Appliance Recycling_0_Refrigerator Recycle_2017</v>
      </c>
      <c r="C51" s="100">
        <f>INDEX('Measure Inputs'!$D:$D,MATCH($B51,'Measure Inputs'!$B:$B,0))</f>
        <v>3</v>
      </c>
      <c r="D51" s="101" t="s">
        <v>2</v>
      </c>
      <c r="E51" s="101" t="s">
        <v>120</v>
      </c>
      <c r="F51" s="101">
        <v>0</v>
      </c>
      <c r="G51" s="101" t="s">
        <v>213</v>
      </c>
      <c r="H51" s="101">
        <v>2017</v>
      </c>
      <c r="I51" s="55"/>
      <c r="J51" s="58">
        <f t="shared" ca="1" si="229"/>
        <v>2.7465327401959394</v>
      </c>
      <c r="K51" s="58">
        <f t="shared" ca="1" si="246"/>
        <v>3.4057005978429653</v>
      </c>
      <c r="L51" s="58">
        <f t="shared" ca="1" si="230"/>
        <v>10.849948186507786</v>
      </c>
      <c r="M51" s="58">
        <f t="shared" ca="1" si="231"/>
        <v>3.7512891578423972</v>
      </c>
      <c r="N51" s="58">
        <f t="shared" ca="1" si="232"/>
        <v>0.25313786692652873</v>
      </c>
      <c r="O51" s="55"/>
      <c r="P51" s="175">
        <f ca="1">IFERROR(($AW51+AV51)/SUMPRODUCT($CA51:$DI51,'General Inputs'!$F$51:$AN$51),"n/a")</f>
        <v>9.6012875519750959E-3</v>
      </c>
      <c r="Q51" s="175">
        <f t="shared" ca="1" si="233"/>
        <v>5.818463925523662E-2</v>
      </c>
      <c r="R51" s="56">
        <f t="shared" ca="1" si="247"/>
        <v>773.4</v>
      </c>
      <c r="S51" s="55"/>
      <c r="T51" s="56">
        <f ca="1">INDEX(OFFSET('Measure Inputs'!$L$7,,,InputRows),$C51)</f>
        <v>75</v>
      </c>
      <c r="U51" s="134">
        <f ca="1">INDEX(OFFSET('Measure Inputs'!$T$7,,,InputRows),$C51)</f>
        <v>1</v>
      </c>
      <c r="V51" s="134">
        <f ca="1">INDEX(OFFSET('Measure Inputs'!$U$7,,,InputRows),$C51)</f>
        <v>1</v>
      </c>
      <c r="W51" s="55"/>
      <c r="X51" s="96">
        <f ca="1">INDEX(OFFSET('Measure Inputs'!$V$7,,,InputRows),$C51)*$T51*$V51*$U51</f>
        <v>96675</v>
      </c>
      <c r="Y51" s="96">
        <f ca="1">INDEX(OFFSET('Measure Inputs'!$W$7,,,InputRows),$C51)*$T51*$V51*$U51</f>
        <v>11.03595890410959</v>
      </c>
      <c r="Z51" s="96">
        <f ca="1">INDEX(OFFSET('Measure Inputs'!$X$7,,,InputRows),$C51)*$T51*$V51*$U51</f>
        <v>0</v>
      </c>
      <c r="AA51" s="55"/>
      <c r="AB51" s="96">
        <f ca="1">INDEX(OFFSET('Measure Inputs'!$Z$7,,,InputRows),$C51)*$T51*$V51*$U51</f>
        <v>0</v>
      </c>
      <c r="AC51" s="96">
        <f ca="1">INDEX(OFFSET('Measure Inputs'!$AA$7,,,InputRows),$C51)*$T51*$V51*$U51</f>
        <v>0</v>
      </c>
      <c r="AD51" s="96">
        <f ca="1">INDEX(OFFSET('Measure Inputs'!$AB$7,,,InputRows),$C51)*$T51*$V51*$U51</f>
        <v>0</v>
      </c>
      <c r="AE51" s="55"/>
      <c r="AF51" s="57">
        <f ca="1">INDEX(OFFSET('Measure Inputs'!$Q$7,,,InputRows),$C51)*$T51</f>
        <v>0</v>
      </c>
      <c r="AG51" s="57">
        <f ca="1">INDEX(OFFSET('Measure Inputs'!$P$7,,,InputRows),$C51)*$T51*$V51</f>
        <v>6975</v>
      </c>
      <c r="AH51" s="57">
        <f ca="1">INDEX(OFFSET('Measure Inputs'!$R$7,,,InputRows),$C51)*$T51*$V51</f>
        <v>0</v>
      </c>
      <c r="AI51" s="57">
        <f ca="1">INDEX(OFFSET('Measure Inputs'!$O$7,,,InputRows),$C51)*$T51</f>
        <v>5625</v>
      </c>
      <c r="AJ51" s="57">
        <f ca="1">INDEX(OFFSET('Measure Inputs'!$S$7,,,InputRows),$C51)*$T51</f>
        <v>0</v>
      </c>
      <c r="AK51" s="63">
        <f ca="1">INDEX(OFFSET('Measure Inputs'!$M$7,,,InputRows),$C51)</f>
        <v>8</v>
      </c>
      <c r="AL51" s="88">
        <f ca="1">INDEX(OFFSET('Measure Inputs'!$N$7,,,InputRows),$C51)</f>
        <v>0</v>
      </c>
      <c r="AM51" s="57">
        <f ca="1">SUMIFS(OFFSET('Program Inputs'!$N$5,,,TotalPrograms),OFFSET('Program Inputs'!$B$5,,,TotalPrograms),SUBSTITUTE($B51,"All","*"))+AF51</f>
        <v>0</v>
      </c>
      <c r="AN51" s="57">
        <f t="shared" ca="1" si="248"/>
        <v>5625</v>
      </c>
      <c r="AO51" s="55"/>
      <c r="AP51" s="59">
        <f t="shared" ca="1" si="249"/>
        <v>19157.065862866679</v>
      </c>
      <c r="AQ51" s="59">
        <f t="shared" ca="1" si="250"/>
        <v>6975</v>
      </c>
      <c r="AR51" s="59">
        <f ca="1">SUMPRODUCT($CA51:$DI51,'General Inputs'!$F$32:$AN$32,'General Inputs'!$F$51:$AN$51)/(1-Loss_ElectricEnergy)</f>
        <v>17703.456983138647</v>
      </c>
      <c r="AS51" s="59">
        <f ca="1">SUMPRODUCT($DK51:$ES51,'General Inputs'!$F$33:$AN$33,'General Inputs'!$F$51:$AN$51)/(1-Loss_ElectricDemand)</f>
        <v>1453.6088797280302</v>
      </c>
      <c r="AT51" s="59">
        <f ca="1">SUMPRODUCT($EU51:$GC51,'General Inputs'!$F$34:$AN$34,'General Inputs'!$F$51:$AN$51)/(1-Loss_GasEnergy)</f>
        <v>0</v>
      </c>
      <c r="AU51" s="59">
        <f ca="1">INDEX('General Inputs'!$F$51:$AN$51,MATCH($H51,'General Inputs'!$F$50:$AN$50,0))*$AJ51</f>
        <v>0</v>
      </c>
      <c r="AV51" s="59">
        <f ca="1">INDEX('General Inputs'!$F$51:$AN$51,MATCH($H51,'General Inputs'!$F$50:$AN$50,0))*$AI51</f>
        <v>5625</v>
      </c>
      <c r="AW51" s="59">
        <f ca="1">INDEX('General Inputs'!$F$51:$AN$51,MATCH($H51,'General Inputs'!$F$50:$AN$50,0))*$AM51</f>
        <v>0</v>
      </c>
      <c r="AX51" s="59">
        <f ca="1">SUM(INDEX('General Inputs'!$F$51:$AN$51,MATCH($H51,'General Inputs'!$F$50:$AN$50,0))*$AG51,INDEX('General Inputs'!$F$51:$AN$51,MATCH($H51+$AL51,'General Inputs'!$F$50:$AN$50,0))*-$AH51)</f>
        <v>6975</v>
      </c>
      <c r="AY51" s="55"/>
      <c r="AZ51" s="59">
        <f ca="1">SUMPRODUCT($CA51:$DI51,'General Inputs'!$F$32:$AN$32,'General Inputs'!$F$52:$AN$52)/(1-Loss_ElectricEnergy)</f>
        <v>17703.456983138647</v>
      </c>
      <c r="BA51" s="59">
        <f ca="1">SUMPRODUCT($DK51:$ES51,'General Inputs'!$F$33:$AN$33,'General Inputs'!$F$52:$AN$52)/(1-Loss_ElectricDemand)</f>
        <v>1453.6088797280302</v>
      </c>
      <c r="BB51" s="59">
        <f ca="1">SUMPRODUCT($EU51:$GC51,'General Inputs'!$F$34:$AN$34,'General Inputs'!$F$52:$AN$52)/(1-Loss_GasEnergy)</f>
        <v>0</v>
      </c>
      <c r="BC51" s="59">
        <f ca="1">INDEX('General Inputs'!$F$52:$AN$52,MATCH($H51,'General Inputs'!$F$50:$AN$50,0))*$AI51</f>
        <v>5625</v>
      </c>
      <c r="BD51" s="59">
        <f ca="1">INDEX('General Inputs'!$F$52:$AN$52,MATCH($H51,'General Inputs'!$F$50:$AN$50,0))*$AM51</f>
        <v>0</v>
      </c>
      <c r="BE51" s="55"/>
      <c r="BF51" s="59">
        <f ca="1">SUMPRODUCT($CA51:$DI51,OFFSET('General Inputs'!$F$40:$AN$40,MATCH($D51&amp;" Electric ($/kWh)",'General Inputs'!$E$40:$E$46,0),),'General Inputs'!$F$54:$AN$54)</f>
        <v>70053.388600891805</v>
      </c>
      <c r="BG51" s="59">
        <f ca="1">SUMPRODUCT($EU51:$GC51,OFFSET('General Inputs'!$F$40:$AN$40,MATCH($D51&amp;" Natural Gas ($/therm)",'General Inputs'!$E$40:$E$46,0),),'General Inputs'!$F$54:$AN$54)</f>
        <v>0</v>
      </c>
      <c r="BH51" s="59">
        <f ca="1">INDEX('General Inputs'!$F$54:$AN$54,MATCH($H51,'General Inputs'!$F$50:$AN$50,0))*$AI51</f>
        <v>5625</v>
      </c>
      <c r="BI51" s="59">
        <f ca="1">SUM(INDEX('General Inputs'!$F$54:$AN$54,MATCH($H51,'General Inputs'!$F$50:$AN$50,0))*$AG51,INDEX('General Inputs'!$F$51:$AN$51,MATCH($H51+$AL51,'General Inputs'!$F$50:$AN$50,0))*-$AH51)</f>
        <v>6975</v>
      </c>
      <c r="BJ51" s="55"/>
      <c r="BK51" s="59">
        <f ca="1">SUMPRODUCT($CA51:$DI51,'General Inputs'!$F$32:$AN$32,'General Inputs'!$F$53:$AN$53)/(1-Loss_ElectricEnergy)</f>
        <v>17703.456983138647</v>
      </c>
      <c r="BL51" s="59">
        <f ca="1">SUMPRODUCT($DK51:$ES51,'General Inputs'!$F$33:$AN$33,'General Inputs'!$F$53:$AN$53)/(1-Loss_ElectricDemand)</f>
        <v>1453.6088797280302</v>
      </c>
      <c r="BM51" s="59">
        <f ca="1">SUMPRODUCT($EU51:$GC51,'General Inputs'!$F$34:$AN$34,'General Inputs'!$F$53:$AN$53)/(1-Loss_GasEnergy)</f>
        <v>0</v>
      </c>
      <c r="BN51" s="59">
        <f ca="1">INDEX('General Inputs'!$F$53:$AN$53,MATCH($H51,'General Inputs'!$F$50:$AN$50,0))*$AJ51</f>
        <v>0</v>
      </c>
      <c r="BO51" s="59">
        <f ca="1">SUMPRODUCT($CA51:$DI51,'General Inputs'!$F$35:$AN$35,'General Inputs'!$F$53:$AN$53)/(1-Loss_ElectricEnergy)</f>
        <v>7008.1760130840421</v>
      </c>
      <c r="BP51" s="59">
        <f ca="1">INDEX('General Inputs'!$F$51:$AN$51,MATCH($H51,'General Inputs'!$F$50:$AN$50,0))*$AM51</f>
        <v>0</v>
      </c>
      <c r="BQ51" s="59">
        <f ca="1">SUM(INDEX('General Inputs'!$F$53:$AN$53,MATCH($H51,'General Inputs'!$F$50:$AN$50,0))*$AG51,INDEX('General Inputs'!$F$53:$AN$53,MATCH($H51+$AL51,'General Inputs'!$F$50:$AN$50,0))*-$AH51)</f>
        <v>6975</v>
      </c>
      <c r="BR51" s="55"/>
      <c r="BS51" s="59">
        <f ca="1">SUMPRODUCT($CA51:$DI51,'General Inputs'!$F$32:$AN$32,'General Inputs'!$F$55:$AN$55)/(1-Loss_ElectricEnergy)</f>
        <v>17703.456983138647</v>
      </c>
      <c r="BT51" s="59">
        <f ca="1">SUMPRODUCT($DK51:$ES51,'General Inputs'!$F$33:$AN$33,'General Inputs'!$F$55:$AN$55)/(1-Loss_ElectricDemand)</f>
        <v>1453.6088797280302</v>
      </c>
      <c r="BU51" s="59">
        <f ca="1">SUMPRODUCT($EU51:$GC51,'General Inputs'!$F$34:$AN$34,'General Inputs'!$F$55:$AN$55)/(1-Loss_GasEnergy)</f>
        <v>0</v>
      </c>
      <c r="BV51" s="59">
        <f ca="1">SUMPRODUCT($CA51:$DI51,OFFSET('General Inputs'!$F$40:$AN$40,MATCH($D51&amp;" Electric ($/kWh)",'General Inputs'!$E$40:$E$46,0),),'General Inputs'!$F$55:$AN$55)</f>
        <v>70053.388600891805</v>
      </c>
      <c r="BW51" s="59">
        <f ca="1">SUMPRODUCT($EU51:$GC51,OFFSET('General Inputs'!$F$40:$AN$40,MATCH($D51&amp;" Natural Gas ($/therm)",'General Inputs'!$E$40:$E$46,0),),'General Inputs'!$F$55:$AN$55)</f>
        <v>0</v>
      </c>
      <c r="BX51" s="59">
        <f ca="1">INDEX('General Inputs'!$F$55:$AN$55,MATCH($H51,'General Inputs'!$F$50:$AN$50,0))*$AI51</f>
        <v>5625</v>
      </c>
      <c r="BY51" s="59">
        <f ca="1">INDEX('General Inputs'!$F$51:$AN$51,MATCH($H51,'General Inputs'!$F$50:$AN$50,0))*$AM51</f>
        <v>0</v>
      </c>
      <c r="BZ51" s="55"/>
      <c r="CA51" s="88">
        <f t="shared" ca="1" si="237"/>
        <v>96675</v>
      </c>
      <c r="CB51" s="88">
        <f t="shared" ca="1" si="237"/>
        <v>96675</v>
      </c>
      <c r="CC51" s="88">
        <f t="shared" ca="1" si="237"/>
        <v>96675</v>
      </c>
      <c r="CD51" s="88">
        <f t="shared" ca="1" si="237"/>
        <v>96675</v>
      </c>
      <c r="CE51" s="88">
        <f t="shared" ca="1" si="237"/>
        <v>96675</v>
      </c>
      <c r="CF51" s="88">
        <f t="shared" ca="1" si="237"/>
        <v>96675</v>
      </c>
      <c r="CG51" s="88">
        <f t="shared" ca="1" si="237"/>
        <v>96675</v>
      </c>
      <c r="CH51" s="88">
        <f t="shared" ca="1" si="237"/>
        <v>96675</v>
      </c>
      <c r="CI51" s="88">
        <f t="shared" ca="1" si="237"/>
        <v>0</v>
      </c>
      <c r="CJ51" s="88">
        <f t="shared" ca="1" si="237"/>
        <v>0</v>
      </c>
      <c r="CK51" s="88">
        <f t="shared" ca="1" si="238"/>
        <v>0</v>
      </c>
      <c r="CL51" s="88">
        <f t="shared" ca="1" si="238"/>
        <v>0</v>
      </c>
      <c r="CM51" s="88">
        <f t="shared" ca="1" si="238"/>
        <v>0</v>
      </c>
      <c r="CN51" s="88">
        <f t="shared" ca="1" si="238"/>
        <v>0</v>
      </c>
      <c r="CO51" s="88">
        <f t="shared" ca="1" si="238"/>
        <v>0</v>
      </c>
      <c r="CP51" s="88">
        <f t="shared" ca="1" si="238"/>
        <v>0</v>
      </c>
      <c r="CQ51" s="88">
        <f t="shared" ca="1" si="238"/>
        <v>0</v>
      </c>
      <c r="CR51" s="88">
        <f t="shared" ca="1" si="238"/>
        <v>0</v>
      </c>
      <c r="CS51" s="88">
        <f t="shared" ca="1" si="238"/>
        <v>0</v>
      </c>
      <c r="CT51" s="88">
        <f t="shared" ca="1" si="238"/>
        <v>0</v>
      </c>
      <c r="CU51" s="88">
        <f t="shared" ca="1" si="239"/>
        <v>0</v>
      </c>
      <c r="CV51" s="88">
        <f t="shared" ca="1" si="239"/>
        <v>0</v>
      </c>
      <c r="CW51" s="88">
        <f t="shared" ca="1" si="239"/>
        <v>0</v>
      </c>
      <c r="CX51" s="88">
        <f t="shared" ca="1" si="239"/>
        <v>0</v>
      </c>
      <c r="CY51" s="88">
        <f t="shared" ca="1" si="239"/>
        <v>0</v>
      </c>
      <c r="CZ51" s="88">
        <f t="shared" ca="1" si="239"/>
        <v>0</v>
      </c>
      <c r="DA51" s="88">
        <f t="shared" ca="1" si="239"/>
        <v>0</v>
      </c>
      <c r="DB51" s="88">
        <f t="shared" ca="1" si="239"/>
        <v>0</v>
      </c>
      <c r="DC51" s="88">
        <f t="shared" ca="1" si="239"/>
        <v>0</v>
      </c>
      <c r="DD51" s="88">
        <f t="shared" ca="1" si="239"/>
        <v>0</v>
      </c>
      <c r="DE51" s="88">
        <f t="shared" ca="1" si="239"/>
        <v>0</v>
      </c>
      <c r="DF51" s="88">
        <f t="shared" ca="1" si="239"/>
        <v>0</v>
      </c>
      <c r="DG51" s="88">
        <f t="shared" ca="1" si="239"/>
        <v>0</v>
      </c>
      <c r="DH51" s="88">
        <f t="shared" ca="1" si="239"/>
        <v>0</v>
      </c>
      <c r="DI51" s="88">
        <f t="shared" ca="1" si="239"/>
        <v>0</v>
      </c>
      <c r="DJ51" s="169"/>
      <c r="DK51" s="88">
        <f t="shared" ca="1" si="240"/>
        <v>11.03595890410959</v>
      </c>
      <c r="DL51" s="88">
        <f t="shared" ca="1" si="240"/>
        <v>11.03595890410959</v>
      </c>
      <c r="DM51" s="88">
        <f t="shared" ca="1" si="240"/>
        <v>11.03595890410959</v>
      </c>
      <c r="DN51" s="88">
        <f t="shared" ca="1" si="240"/>
        <v>11.03595890410959</v>
      </c>
      <c r="DO51" s="88">
        <f t="shared" ca="1" si="240"/>
        <v>11.03595890410959</v>
      </c>
      <c r="DP51" s="88">
        <f t="shared" ca="1" si="240"/>
        <v>11.03595890410959</v>
      </c>
      <c r="DQ51" s="88">
        <f t="shared" ca="1" si="240"/>
        <v>11.03595890410959</v>
      </c>
      <c r="DR51" s="88">
        <f t="shared" ca="1" si="240"/>
        <v>11.03595890410959</v>
      </c>
      <c r="DS51" s="88">
        <f t="shared" ca="1" si="240"/>
        <v>0</v>
      </c>
      <c r="DT51" s="88">
        <f t="shared" ca="1" si="240"/>
        <v>0</v>
      </c>
      <c r="DU51" s="88">
        <f t="shared" ca="1" si="241"/>
        <v>0</v>
      </c>
      <c r="DV51" s="88">
        <f t="shared" ca="1" si="241"/>
        <v>0</v>
      </c>
      <c r="DW51" s="88">
        <f t="shared" ca="1" si="241"/>
        <v>0</v>
      </c>
      <c r="DX51" s="88">
        <f t="shared" ca="1" si="241"/>
        <v>0</v>
      </c>
      <c r="DY51" s="88">
        <f t="shared" ca="1" si="241"/>
        <v>0</v>
      </c>
      <c r="DZ51" s="88">
        <f t="shared" ca="1" si="241"/>
        <v>0</v>
      </c>
      <c r="EA51" s="88">
        <f t="shared" ca="1" si="241"/>
        <v>0</v>
      </c>
      <c r="EB51" s="88">
        <f t="shared" ca="1" si="241"/>
        <v>0</v>
      </c>
      <c r="EC51" s="88">
        <f t="shared" ca="1" si="241"/>
        <v>0</v>
      </c>
      <c r="ED51" s="88">
        <f t="shared" ca="1" si="241"/>
        <v>0</v>
      </c>
      <c r="EE51" s="88">
        <f t="shared" ca="1" si="242"/>
        <v>0</v>
      </c>
      <c r="EF51" s="88">
        <f t="shared" ca="1" si="242"/>
        <v>0</v>
      </c>
      <c r="EG51" s="88">
        <f t="shared" ca="1" si="242"/>
        <v>0</v>
      </c>
      <c r="EH51" s="88">
        <f t="shared" ca="1" si="242"/>
        <v>0</v>
      </c>
      <c r="EI51" s="88">
        <f t="shared" ca="1" si="242"/>
        <v>0</v>
      </c>
      <c r="EJ51" s="88">
        <f t="shared" ca="1" si="242"/>
        <v>0</v>
      </c>
      <c r="EK51" s="88">
        <f t="shared" ca="1" si="242"/>
        <v>0</v>
      </c>
      <c r="EL51" s="88">
        <f t="shared" ca="1" si="242"/>
        <v>0</v>
      </c>
      <c r="EM51" s="88">
        <f t="shared" ca="1" si="242"/>
        <v>0</v>
      </c>
      <c r="EN51" s="88">
        <f t="shared" ca="1" si="242"/>
        <v>0</v>
      </c>
      <c r="EO51" s="88">
        <f t="shared" ca="1" si="242"/>
        <v>0</v>
      </c>
      <c r="EP51" s="88">
        <f t="shared" ca="1" si="242"/>
        <v>0</v>
      </c>
      <c r="EQ51" s="88">
        <f t="shared" ca="1" si="242"/>
        <v>0</v>
      </c>
      <c r="ER51" s="88">
        <f t="shared" ca="1" si="242"/>
        <v>0</v>
      </c>
      <c r="ES51" s="88">
        <f t="shared" ca="1" si="242"/>
        <v>0</v>
      </c>
      <c r="ET51" s="169"/>
      <c r="EU51" s="88">
        <f t="shared" ca="1" si="243"/>
        <v>0</v>
      </c>
      <c r="EV51" s="88">
        <f t="shared" ca="1" si="243"/>
        <v>0</v>
      </c>
      <c r="EW51" s="88">
        <f t="shared" ca="1" si="243"/>
        <v>0</v>
      </c>
      <c r="EX51" s="88">
        <f t="shared" ca="1" si="243"/>
        <v>0</v>
      </c>
      <c r="EY51" s="88">
        <f t="shared" ca="1" si="243"/>
        <v>0</v>
      </c>
      <c r="EZ51" s="88">
        <f t="shared" ca="1" si="243"/>
        <v>0</v>
      </c>
      <c r="FA51" s="88">
        <f t="shared" ca="1" si="243"/>
        <v>0</v>
      </c>
      <c r="FB51" s="88">
        <f t="shared" ca="1" si="243"/>
        <v>0</v>
      </c>
      <c r="FC51" s="88">
        <f t="shared" ca="1" si="243"/>
        <v>0</v>
      </c>
      <c r="FD51" s="88">
        <f t="shared" ca="1" si="243"/>
        <v>0</v>
      </c>
      <c r="FE51" s="88">
        <f t="shared" ca="1" si="244"/>
        <v>0</v>
      </c>
      <c r="FF51" s="88">
        <f t="shared" ca="1" si="244"/>
        <v>0</v>
      </c>
      <c r="FG51" s="88">
        <f t="shared" ca="1" si="244"/>
        <v>0</v>
      </c>
      <c r="FH51" s="88">
        <f t="shared" ca="1" si="244"/>
        <v>0</v>
      </c>
      <c r="FI51" s="88">
        <f t="shared" ca="1" si="244"/>
        <v>0</v>
      </c>
      <c r="FJ51" s="88">
        <f t="shared" ca="1" si="244"/>
        <v>0</v>
      </c>
      <c r="FK51" s="88">
        <f t="shared" ca="1" si="244"/>
        <v>0</v>
      </c>
      <c r="FL51" s="88">
        <f t="shared" ca="1" si="244"/>
        <v>0</v>
      </c>
      <c r="FM51" s="88">
        <f t="shared" ca="1" si="244"/>
        <v>0</v>
      </c>
      <c r="FN51" s="88">
        <f t="shared" ca="1" si="244"/>
        <v>0</v>
      </c>
      <c r="FO51" s="88">
        <f t="shared" ca="1" si="245"/>
        <v>0</v>
      </c>
      <c r="FP51" s="88">
        <f t="shared" ca="1" si="245"/>
        <v>0</v>
      </c>
      <c r="FQ51" s="88">
        <f t="shared" ca="1" si="245"/>
        <v>0</v>
      </c>
      <c r="FR51" s="88">
        <f t="shared" ca="1" si="245"/>
        <v>0</v>
      </c>
      <c r="FS51" s="88">
        <f t="shared" ca="1" si="245"/>
        <v>0</v>
      </c>
      <c r="FT51" s="88">
        <f t="shared" ca="1" si="245"/>
        <v>0</v>
      </c>
      <c r="FU51" s="88">
        <f t="shared" ca="1" si="245"/>
        <v>0</v>
      </c>
      <c r="FV51" s="88">
        <f t="shared" ca="1" si="245"/>
        <v>0</v>
      </c>
      <c r="FW51" s="88">
        <f t="shared" ca="1" si="245"/>
        <v>0</v>
      </c>
      <c r="FX51" s="88">
        <f t="shared" ca="1" si="245"/>
        <v>0</v>
      </c>
      <c r="FY51" s="88">
        <f t="shared" ca="1" si="245"/>
        <v>0</v>
      </c>
      <c r="FZ51" s="88">
        <f t="shared" ca="1" si="245"/>
        <v>0</v>
      </c>
      <c r="GA51" s="88">
        <f t="shared" ca="1" si="245"/>
        <v>0</v>
      </c>
      <c r="GB51" s="88">
        <f t="shared" ca="1" si="245"/>
        <v>0</v>
      </c>
      <c r="GC51" s="88">
        <f t="shared" ca="1" si="245"/>
        <v>0</v>
      </c>
      <c r="GD51" s="60"/>
    </row>
    <row r="52" spans="1:186" s="54" customFormat="1">
      <c r="A52" s="61"/>
      <c r="B52" s="100" t="str">
        <f t="shared" si="0"/>
        <v>Residential_Appliance Recycling_0_Freezer Recycle_2017</v>
      </c>
      <c r="C52" s="100">
        <f>INDEX('Measure Inputs'!$D:$D,MATCH($B52,'Measure Inputs'!$B:$B,0))</f>
        <v>4</v>
      </c>
      <c r="D52" s="101" t="s">
        <v>2</v>
      </c>
      <c r="E52" s="101" t="s">
        <v>120</v>
      </c>
      <c r="F52" s="101">
        <v>0</v>
      </c>
      <c r="G52" s="101" t="s">
        <v>212</v>
      </c>
      <c r="H52" s="101">
        <v>2017</v>
      </c>
      <c r="I52" s="55"/>
      <c r="J52" s="58">
        <f t="shared" ca="1" si="229"/>
        <v>2.3544753125806932</v>
      </c>
      <c r="K52" s="58">
        <f t="shared" ca="1" si="246"/>
        <v>2.9195493876000596</v>
      </c>
      <c r="L52" s="58">
        <f t="shared" ca="1" si="230"/>
        <v>9.4162760611833178</v>
      </c>
      <c r="M52" s="58">
        <f t="shared" ca="1" si="231"/>
        <v>3.2158064541628</v>
      </c>
      <c r="N52" s="58">
        <f t="shared" ca="1" si="232"/>
        <v>0.2500431484041275</v>
      </c>
      <c r="O52" s="55"/>
      <c r="P52" s="175">
        <f ca="1">IFERROR(($AW52+AV52)/SUMPRODUCT($CA52:$DI52,'General Inputs'!$F$51:$AN$51),"n/a")</f>
        <v>1.1200053985969141E-2</v>
      </c>
      <c r="Q52" s="175">
        <f t="shared" ca="1" si="233"/>
        <v>6.7873303167420809E-2</v>
      </c>
      <c r="R52" s="56">
        <f t="shared" ca="1" si="247"/>
        <v>70.72</v>
      </c>
      <c r="S52" s="55"/>
      <c r="T52" s="56">
        <f ca="1">INDEX(OFFSET('Measure Inputs'!$L$7,,,InputRows),$C52)</f>
        <v>8</v>
      </c>
      <c r="U52" s="134">
        <f ca="1">INDEX(OFFSET('Measure Inputs'!$T$7,,,InputRows),$C52)</f>
        <v>1</v>
      </c>
      <c r="V52" s="134">
        <f ca="1">INDEX(OFFSET('Measure Inputs'!$U$7,,,InputRows),$C52)</f>
        <v>1</v>
      </c>
      <c r="W52" s="55"/>
      <c r="X52" s="96">
        <f ca="1">INDEX(OFFSET('Measure Inputs'!$V$7,,,InputRows),$C52)*$T52*$V52*$U52</f>
        <v>8840</v>
      </c>
      <c r="Y52" s="96">
        <f ca="1">INDEX(OFFSET('Measure Inputs'!$W$7,,,InputRows),$C52)*$T52*$V52*$U52</f>
        <v>1.0091324200913243</v>
      </c>
      <c r="Z52" s="96">
        <f ca="1">INDEX(OFFSET('Measure Inputs'!$X$7,,,InputRows),$C52)*$T52*$V52*$U52</f>
        <v>0</v>
      </c>
      <c r="AA52" s="55"/>
      <c r="AB52" s="96">
        <f ca="1">INDEX(OFFSET('Measure Inputs'!$Z$7,,,InputRows),$C52)*$T52*$V52*$U52</f>
        <v>0</v>
      </c>
      <c r="AC52" s="96">
        <f ca="1">INDEX(OFFSET('Measure Inputs'!$AA$7,,,InputRows),$C52)*$T52*$V52*$U52</f>
        <v>0</v>
      </c>
      <c r="AD52" s="96">
        <f ca="1">INDEX(OFFSET('Measure Inputs'!$AB$7,,,InputRows),$C52)*$T52*$V52*$U52</f>
        <v>0</v>
      </c>
      <c r="AE52" s="55"/>
      <c r="AF52" s="57">
        <f ca="1">INDEX(OFFSET('Measure Inputs'!$Q$7,,,InputRows),$C52)*$T52</f>
        <v>0</v>
      </c>
      <c r="AG52" s="57">
        <f ca="1">INDEX(OFFSET('Measure Inputs'!$P$7,,,InputRows),$C52)*$T52*$V52</f>
        <v>744</v>
      </c>
      <c r="AH52" s="57">
        <f ca="1">INDEX(OFFSET('Measure Inputs'!$R$7,,,InputRows),$C52)*$T52*$V52</f>
        <v>0</v>
      </c>
      <c r="AI52" s="57">
        <f ca="1">INDEX(OFFSET('Measure Inputs'!$O$7,,,InputRows),$C52)*$T52</f>
        <v>600</v>
      </c>
      <c r="AJ52" s="57">
        <f ca="1">INDEX(OFFSET('Measure Inputs'!$S$7,,,InputRows),$C52)*$T52</f>
        <v>0</v>
      </c>
      <c r="AK52" s="63">
        <f ca="1">INDEX(OFFSET('Measure Inputs'!$M$7,,,InputRows),$C52)</f>
        <v>8</v>
      </c>
      <c r="AL52" s="88">
        <f ca="1">INDEX(OFFSET('Measure Inputs'!$N$7,,,InputRows),$C52)</f>
        <v>0</v>
      </c>
      <c r="AM52" s="57">
        <f ca="1">SUMIFS(OFFSET('Program Inputs'!$N$5,,,TotalPrograms),OFFSET('Program Inputs'!$B$5,,,TotalPrograms),SUBSTITUTE($B52,"All","*"))+AF52</f>
        <v>0</v>
      </c>
      <c r="AN52" s="57">
        <f t="shared" ca="1" si="248"/>
        <v>600</v>
      </c>
      <c r="AO52" s="55"/>
      <c r="AP52" s="59">
        <f t="shared" ca="1" si="249"/>
        <v>1751.7296325600357</v>
      </c>
      <c r="AQ52" s="59">
        <f t="shared" ca="1" si="250"/>
        <v>744</v>
      </c>
      <c r="AR52" s="59">
        <f ca="1">SUMPRODUCT($CA52:$DI52,'General Inputs'!$F$32:$AN$32,'General Inputs'!$F$51:$AN$51)/(1-Loss_ElectricEnergy)</f>
        <v>1618.8110652282976</v>
      </c>
      <c r="AS52" s="59">
        <f ca="1">SUMPRODUCT($DK52:$ES52,'General Inputs'!$F$33:$AN$33,'General Inputs'!$F$51:$AN$51)/(1-Loss_ElectricDemand)</f>
        <v>132.91856733173819</v>
      </c>
      <c r="AT52" s="59">
        <f ca="1">SUMPRODUCT($EU52:$GC52,'General Inputs'!$F$34:$AN$34,'General Inputs'!$F$51:$AN$51)/(1-Loss_GasEnergy)</f>
        <v>0</v>
      </c>
      <c r="AU52" s="59">
        <f ca="1">INDEX('General Inputs'!$F$51:$AN$51,MATCH($H52,'General Inputs'!$F$50:$AN$50,0))*$AJ52</f>
        <v>0</v>
      </c>
      <c r="AV52" s="59">
        <f ca="1">INDEX('General Inputs'!$F$51:$AN$51,MATCH($H52,'General Inputs'!$F$50:$AN$50,0))*$AI52</f>
        <v>600</v>
      </c>
      <c r="AW52" s="59">
        <f ca="1">INDEX('General Inputs'!$F$51:$AN$51,MATCH($H52,'General Inputs'!$F$50:$AN$50,0))*$AM52</f>
        <v>0</v>
      </c>
      <c r="AX52" s="59">
        <f ca="1">SUM(INDEX('General Inputs'!$F$51:$AN$51,MATCH($H52,'General Inputs'!$F$50:$AN$50,0))*$AG52,INDEX('General Inputs'!$F$51:$AN$51,MATCH($H52+$AL52,'General Inputs'!$F$50:$AN$50,0))*-$AH52)</f>
        <v>744</v>
      </c>
      <c r="AY52" s="55"/>
      <c r="AZ52" s="59">
        <f ca="1">SUMPRODUCT($CA52:$DI52,'General Inputs'!$F$32:$AN$32,'General Inputs'!$F$52:$AN$52)/(1-Loss_ElectricEnergy)</f>
        <v>1618.8110652282976</v>
      </c>
      <c r="BA52" s="59">
        <f ca="1">SUMPRODUCT($DK52:$ES52,'General Inputs'!$F$33:$AN$33,'General Inputs'!$F$52:$AN$52)/(1-Loss_ElectricDemand)</f>
        <v>132.91856733173819</v>
      </c>
      <c r="BB52" s="59">
        <f ca="1">SUMPRODUCT($EU52:$GC52,'General Inputs'!$F$34:$AN$34,'General Inputs'!$F$52:$AN$52)/(1-Loss_GasEnergy)</f>
        <v>0</v>
      </c>
      <c r="BC52" s="59">
        <f ca="1">INDEX('General Inputs'!$F$52:$AN$52,MATCH($H52,'General Inputs'!$F$50:$AN$50,0))*$AI52</f>
        <v>600</v>
      </c>
      <c r="BD52" s="59">
        <f ca="1">INDEX('General Inputs'!$F$52:$AN$52,MATCH($H52,'General Inputs'!$F$50:$AN$50,0))*$AM52</f>
        <v>0</v>
      </c>
      <c r="BE52" s="55"/>
      <c r="BF52" s="59">
        <f ca="1">SUMPRODUCT($CA52:$DI52,OFFSET('General Inputs'!$F$40:$AN$40,MATCH($D52&amp;" Electric ($/kWh)",'General Inputs'!$E$40:$E$46,0),),'General Inputs'!$F$54:$AN$54)</f>
        <v>6405.709389520388</v>
      </c>
      <c r="BG52" s="59">
        <f ca="1">SUMPRODUCT($EU52:$GC52,OFFSET('General Inputs'!$F$40:$AN$40,MATCH($D52&amp;" Natural Gas ($/therm)",'General Inputs'!$E$40:$E$46,0),),'General Inputs'!$F$54:$AN$54)</f>
        <v>0</v>
      </c>
      <c r="BH52" s="59">
        <f ca="1">INDEX('General Inputs'!$F$54:$AN$54,MATCH($H52,'General Inputs'!$F$50:$AN$50,0))*$AI52</f>
        <v>600</v>
      </c>
      <c r="BI52" s="59">
        <f ca="1">SUM(INDEX('General Inputs'!$F$54:$AN$54,MATCH($H52,'General Inputs'!$F$50:$AN$50,0))*$AG52,INDEX('General Inputs'!$F$51:$AN$51,MATCH($H52+$AL52,'General Inputs'!$F$50:$AN$50,0))*-$AH52)</f>
        <v>744</v>
      </c>
      <c r="BJ52" s="55"/>
      <c r="BK52" s="59">
        <f ca="1">SUMPRODUCT($CA52:$DI52,'General Inputs'!$F$32:$AN$32,'General Inputs'!$F$53:$AN$53)/(1-Loss_ElectricEnergy)</f>
        <v>1618.8110652282976</v>
      </c>
      <c r="BL52" s="59">
        <f ca="1">SUMPRODUCT($DK52:$ES52,'General Inputs'!$F$33:$AN$33,'General Inputs'!$F$53:$AN$53)/(1-Loss_ElectricDemand)</f>
        <v>132.91856733173819</v>
      </c>
      <c r="BM52" s="59">
        <f ca="1">SUMPRODUCT($EU52:$GC52,'General Inputs'!$F$34:$AN$34,'General Inputs'!$F$53:$AN$53)/(1-Loss_GasEnergy)</f>
        <v>0</v>
      </c>
      <c r="BN52" s="59">
        <f ca="1">INDEX('General Inputs'!$F$53:$AN$53,MATCH($H52,'General Inputs'!$F$50:$AN$50,0))*$AJ52</f>
        <v>0</v>
      </c>
      <c r="BO52" s="59">
        <f ca="1">SUMPRODUCT($CA52:$DI52,'General Inputs'!$F$35:$AN$35,'General Inputs'!$F$53:$AN$53)/(1-Loss_ElectricEnergy)</f>
        <v>640.83036933708752</v>
      </c>
      <c r="BP52" s="59">
        <f ca="1">INDEX('General Inputs'!$F$51:$AN$51,MATCH($H52,'General Inputs'!$F$50:$AN$50,0))*$AM52</f>
        <v>0</v>
      </c>
      <c r="BQ52" s="59">
        <f ca="1">SUM(INDEX('General Inputs'!$F$53:$AN$53,MATCH($H52,'General Inputs'!$F$50:$AN$50,0))*$AG52,INDEX('General Inputs'!$F$53:$AN$53,MATCH($H52+$AL52,'General Inputs'!$F$50:$AN$50,0))*-$AH52)</f>
        <v>744</v>
      </c>
      <c r="BR52" s="55"/>
      <c r="BS52" s="59">
        <f ca="1">SUMPRODUCT($CA52:$DI52,'General Inputs'!$F$32:$AN$32,'General Inputs'!$F$55:$AN$55)/(1-Loss_ElectricEnergy)</f>
        <v>1618.8110652282976</v>
      </c>
      <c r="BT52" s="59">
        <f ca="1">SUMPRODUCT($DK52:$ES52,'General Inputs'!$F$33:$AN$33,'General Inputs'!$F$55:$AN$55)/(1-Loss_ElectricDemand)</f>
        <v>132.91856733173819</v>
      </c>
      <c r="BU52" s="59">
        <f ca="1">SUMPRODUCT($EU52:$GC52,'General Inputs'!$F$34:$AN$34,'General Inputs'!$F$55:$AN$55)/(1-Loss_GasEnergy)</f>
        <v>0</v>
      </c>
      <c r="BV52" s="59">
        <f ca="1">SUMPRODUCT($CA52:$DI52,OFFSET('General Inputs'!$F$40:$AN$40,MATCH($D52&amp;" Electric ($/kWh)",'General Inputs'!$E$40:$E$46,0),),'General Inputs'!$F$55:$AN$55)</f>
        <v>6405.709389520388</v>
      </c>
      <c r="BW52" s="59">
        <f ca="1">SUMPRODUCT($EU52:$GC52,OFFSET('General Inputs'!$F$40:$AN$40,MATCH($D52&amp;" Natural Gas ($/therm)",'General Inputs'!$E$40:$E$46,0),),'General Inputs'!$F$55:$AN$55)</f>
        <v>0</v>
      </c>
      <c r="BX52" s="59">
        <f ca="1">INDEX('General Inputs'!$F$55:$AN$55,MATCH($H52,'General Inputs'!$F$50:$AN$50,0))*$AI52</f>
        <v>600</v>
      </c>
      <c r="BY52" s="59">
        <f ca="1">INDEX('General Inputs'!$F$51:$AN$51,MATCH($H52,'General Inputs'!$F$50:$AN$50,0))*$AM52</f>
        <v>0</v>
      </c>
      <c r="BZ52" s="55"/>
      <c r="CA52" s="88">
        <f t="shared" ca="1" si="237"/>
        <v>8840</v>
      </c>
      <c r="CB52" s="88">
        <f t="shared" ca="1" si="237"/>
        <v>8840</v>
      </c>
      <c r="CC52" s="88">
        <f t="shared" ca="1" si="237"/>
        <v>8840</v>
      </c>
      <c r="CD52" s="88">
        <f t="shared" ca="1" si="237"/>
        <v>8840</v>
      </c>
      <c r="CE52" s="88">
        <f t="shared" ca="1" si="237"/>
        <v>8840</v>
      </c>
      <c r="CF52" s="88">
        <f t="shared" ca="1" si="237"/>
        <v>8840</v>
      </c>
      <c r="CG52" s="88">
        <f t="shared" ca="1" si="237"/>
        <v>8840</v>
      </c>
      <c r="CH52" s="88">
        <f t="shared" ca="1" si="237"/>
        <v>8840</v>
      </c>
      <c r="CI52" s="88">
        <f t="shared" ca="1" si="237"/>
        <v>0</v>
      </c>
      <c r="CJ52" s="88">
        <f t="shared" ca="1" si="237"/>
        <v>0</v>
      </c>
      <c r="CK52" s="88">
        <f t="shared" ca="1" si="238"/>
        <v>0</v>
      </c>
      <c r="CL52" s="88">
        <f t="shared" ca="1" si="238"/>
        <v>0</v>
      </c>
      <c r="CM52" s="88">
        <f t="shared" ca="1" si="238"/>
        <v>0</v>
      </c>
      <c r="CN52" s="88">
        <f t="shared" ca="1" si="238"/>
        <v>0</v>
      </c>
      <c r="CO52" s="88">
        <f t="shared" ca="1" si="238"/>
        <v>0</v>
      </c>
      <c r="CP52" s="88">
        <f t="shared" ca="1" si="238"/>
        <v>0</v>
      </c>
      <c r="CQ52" s="88">
        <f t="shared" ca="1" si="238"/>
        <v>0</v>
      </c>
      <c r="CR52" s="88">
        <f t="shared" ca="1" si="238"/>
        <v>0</v>
      </c>
      <c r="CS52" s="88">
        <f t="shared" ca="1" si="238"/>
        <v>0</v>
      </c>
      <c r="CT52" s="88">
        <f t="shared" ca="1" si="238"/>
        <v>0</v>
      </c>
      <c r="CU52" s="88">
        <f t="shared" ca="1" si="239"/>
        <v>0</v>
      </c>
      <c r="CV52" s="88">
        <f t="shared" ca="1" si="239"/>
        <v>0</v>
      </c>
      <c r="CW52" s="88">
        <f t="shared" ca="1" si="239"/>
        <v>0</v>
      </c>
      <c r="CX52" s="88">
        <f t="shared" ca="1" si="239"/>
        <v>0</v>
      </c>
      <c r="CY52" s="88">
        <f t="shared" ca="1" si="239"/>
        <v>0</v>
      </c>
      <c r="CZ52" s="88">
        <f t="shared" ca="1" si="239"/>
        <v>0</v>
      </c>
      <c r="DA52" s="88">
        <f t="shared" ca="1" si="239"/>
        <v>0</v>
      </c>
      <c r="DB52" s="88">
        <f t="shared" ca="1" si="239"/>
        <v>0</v>
      </c>
      <c r="DC52" s="88">
        <f t="shared" ca="1" si="239"/>
        <v>0</v>
      </c>
      <c r="DD52" s="88">
        <f t="shared" ca="1" si="239"/>
        <v>0</v>
      </c>
      <c r="DE52" s="88">
        <f t="shared" ca="1" si="239"/>
        <v>0</v>
      </c>
      <c r="DF52" s="88">
        <f t="shared" ca="1" si="239"/>
        <v>0</v>
      </c>
      <c r="DG52" s="88">
        <f t="shared" ca="1" si="239"/>
        <v>0</v>
      </c>
      <c r="DH52" s="88">
        <f t="shared" ca="1" si="239"/>
        <v>0</v>
      </c>
      <c r="DI52" s="88">
        <f t="shared" ca="1" si="239"/>
        <v>0</v>
      </c>
      <c r="DJ52" s="169"/>
      <c r="DK52" s="88">
        <f t="shared" ca="1" si="240"/>
        <v>1.0091324200913243</v>
      </c>
      <c r="DL52" s="88">
        <f t="shared" ca="1" si="240"/>
        <v>1.0091324200913243</v>
      </c>
      <c r="DM52" s="88">
        <f t="shared" ca="1" si="240"/>
        <v>1.0091324200913243</v>
      </c>
      <c r="DN52" s="88">
        <f t="shared" ca="1" si="240"/>
        <v>1.0091324200913243</v>
      </c>
      <c r="DO52" s="88">
        <f t="shared" ca="1" si="240"/>
        <v>1.0091324200913243</v>
      </c>
      <c r="DP52" s="88">
        <f t="shared" ca="1" si="240"/>
        <v>1.0091324200913243</v>
      </c>
      <c r="DQ52" s="88">
        <f t="shared" ca="1" si="240"/>
        <v>1.0091324200913243</v>
      </c>
      <c r="DR52" s="88">
        <f t="shared" ca="1" si="240"/>
        <v>1.0091324200913243</v>
      </c>
      <c r="DS52" s="88">
        <f t="shared" ca="1" si="240"/>
        <v>0</v>
      </c>
      <c r="DT52" s="88">
        <f t="shared" ca="1" si="240"/>
        <v>0</v>
      </c>
      <c r="DU52" s="88">
        <f t="shared" ca="1" si="241"/>
        <v>0</v>
      </c>
      <c r="DV52" s="88">
        <f t="shared" ca="1" si="241"/>
        <v>0</v>
      </c>
      <c r="DW52" s="88">
        <f t="shared" ca="1" si="241"/>
        <v>0</v>
      </c>
      <c r="DX52" s="88">
        <f t="shared" ca="1" si="241"/>
        <v>0</v>
      </c>
      <c r="DY52" s="88">
        <f t="shared" ca="1" si="241"/>
        <v>0</v>
      </c>
      <c r="DZ52" s="88">
        <f t="shared" ca="1" si="241"/>
        <v>0</v>
      </c>
      <c r="EA52" s="88">
        <f t="shared" ca="1" si="241"/>
        <v>0</v>
      </c>
      <c r="EB52" s="88">
        <f t="shared" ca="1" si="241"/>
        <v>0</v>
      </c>
      <c r="EC52" s="88">
        <f t="shared" ca="1" si="241"/>
        <v>0</v>
      </c>
      <c r="ED52" s="88">
        <f t="shared" ca="1" si="241"/>
        <v>0</v>
      </c>
      <c r="EE52" s="88">
        <f t="shared" ca="1" si="242"/>
        <v>0</v>
      </c>
      <c r="EF52" s="88">
        <f t="shared" ca="1" si="242"/>
        <v>0</v>
      </c>
      <c r="EG52" s="88">
        <f t="shared" ca="1" si="242"/>
        <v>0</v>
      </c>
      <c r="EH52" s="88">
        <f t="shared" ca="1" si="242"/>
        <v>0</v>
      </c>
      <c r="EI52" s="88">
        <f t="shared" ca="1" si="242"/>
        <v>0</v>
      </c>
      <c r="EJ52" s="88">
        <f t="shared" ca="1" si="242"/>
        <v>0</v>
      </c>
      <c r="EK52" s="88">
        <f t="shared" ca="1" si="242"/>
        <v>0</v>
      </c>
      <c r="EL52" s="88">
        <f t="shared" ca="1" si="242"/>
        <v>0</v>
      </c>
      <c r="EM52" s="88">
        <f t="shared" ca="1" si="242"/>
        <v>0</v>
      </c>
      <c r="EN52" s="88">
        <f t="shared" ca="1" si="242"/>
        <v>0</v>
      </c>
      <c r="EO52" s="88">
        <f t="shared" ca="1" si="242"/>
        <v>0</v>
      </c>
      <c r="EP52" s="88">
        <f t="shared" ca="1" si="242"/>
        <v>0</v>
      </c>
      <c r="EQ52" s="88">
        <f t="shared" ca="1" si="242"/>
        <v>0</v>
      </c>
      <c r="ER52" s="88">
        <f t="shared" ca="1" si="242"/>
        <v>0</v>
      </c>
      <c r="ES52" s="88">
        <f t="shared" ca="1" si="242"/>
        <v>0</v>
      </c>
      <c r="ET52" s="169"/>
      <c r="EU52" s="88">
        <f t="shared" ca="1" si="243"/>
        <v>0</v>
      </c>
      <c r="EV52" s="88">
        <f t="shared" ca="1" si="243"/>
        <v>0</v>
      </c>
      <c r="EW52" s="88">
        <f t="shared" ca="1" si="243"/>
        <v>0</v>
      </c>
      <c r="EX52" s="88">
        <f t="shared" ca="1" si="243"/>
        <v>0</v>
      </c>
      <c r="EY52" s="88">
        <f t="shared" ca="1" si="243"/>
        <v>0</v>
      </c>
      <c r="EZ52" s="88">
        <f t="shared" ca="1" si="243"/>
        <v>0</v>
      </c>
      <c r="FA52" s="88">
        <f t="shared" ca="1" si="243"/>
        <v>0</v>
      </c>
      <c r="FB52" s="88">
        <f t="shared" ca="1" si="243"/>
        <v>0</v>
      </c>
      <c r="FC52" s="88">
        <f t="shared" ca="1" si="243"/>
        <v>0</v>
      </c>
      <c r="FD52" s="88">
        <f t="shared" ca="1" si="243"/>
        <v>0</v>
      </c>
      <c r="FE52" s="88">
        <f t="shared" ca="1" si="244"/>
        <v>0</v>
      </c>
      <c r="FF52" s="88">
        <f t="shared" ca="1" si="244"/>
        <v>0</v>
      </c>
      <c r="FG52" s="88">
        <f t="shared" ca="1" si="244"/>
        <v>0</v>
      </c>
      <c r="FH52" s="88">
        <f t="shared" ca="1" si="244"/>
        <v>0</v>
      </c>
      <c r="FI52" s="88">
        <f t="shared" ca="1" si="244"/>
        <v>0</v>
      </c>
      <c r="FJ52" s="88">
        <f t="shared" ca="1" si="244"/>
        <v>0</v>
      </c>
      <c r="FK52" s="88">
        <f t="shared" ca="1" si="244"/>
        <v>0</v>
      </c>
      <c r="FL52" s="88">
        <f t="shared" ca="1" si="244"/>
        <v>0</v>
      </c>
      <c r="FM52" s="88">
        <f t="shared" ca="1" si="244"/>
        <v>0</v>
      </c>
      <c r="FN52" s="88">
        <f t="shared" ca="1" si="244"/>
        <v>0</v>
      </c>
      <c r="FO52" s="88">
        <f t="shared" ca="1" si="245"/>
        <v>0</v>
      </c>
      <c r="FP52" s="88">
        <f t="shared" ca="1" si="245"/>
        <v>0</v>
      </c>
      <c r="FQ52" s="88">
        <f t="shared" ca="1" si="245"/>
        <v>0</v>
      </c>
      <c r="FR52" s="88">
        <f t="shared" ca="1" si="245"/>
        <v>0</v>
      </c>
      <c r="FS52" s="88">
        <f t="shared" ca="1" si="245"/>
        <v>0</v>
      </c>
      <c r="FT52" s="88">
        <f t="shared" ca="1" si="245"/>
        <v>0</v>
      </c>
      <c r="FU52" s="88">
        <f t="shared" ca="1" si="245"/>
        <v>0</v>
      </c>
      <c r="FV52" s="88">
        <f t="shared" ca="1" si="245"/>
        <v>0</v>
      </c>
      <c r="FW52" s="88">
        <f t="shared" ca="1" si="245"/>
        <v>0</v>
      </c>
      <c r="FX52" s="88">
        <f t="shared" ca="1" si="245"/>
        <v>0</v>
      </c>
      <c r="FY52" s="88">
        <f t="shared" ca="1" si="245"/>
        <v>0</v>
      </c>
      <c r="FZ52" s="88">
        <f t="shared" ca="1" si="245"/>
        <v>0</v>
      </c>
      <c r="GA52" s="88">
        <f t="shared" ca="1" si="245"/>
        <v>0</v>
      </c>
      <c r="GB52" s="88">
        <f t="shared" ca="1" si="245"/>
        <v>0</v>
      </c>
      <c r="GC52" s="88">
        <f t="shared" ca="1" si="245"/>
        <v>0</v>
      </c>
      <c r="GD52" s="60"/>
    </row>
    <row r="53" spans="1:186" s="54" customFormat="1">
      <c r="A53" s="61"/>
      <c r="B53" s="100" t="str">
        <f t="shared" si="0"/>
        <v>Residential_High Efficiency HVAC_0_Heat Pump SEER ≥15, EER ≥12.5, HSPF ≥8.5_2017</v>
      </c>
      <c r="C53" s="100">
        <f>INDEX('Measure Inputs'!$D:$D,MATCH($B53,'Measure Inputs'!$B:$B,0))</f>
        <v>5</v>
      </c>
      <c r="D53" s="101" t="s">
        <v>2</v>
      </c>
      <c r="E53" s="101" t="s">
        <v>250</v>
      </c>
      <c r="F53" s="101">
        <v>0</v>
      </c>
      <c r="G53" s="101" t="s">
        <v>522</v>
      </c>
      <c r="H53" s="101">
        <v>2017</v>
      </c>
      <c r="I53" s="55"/>
      <c r="J53" s="58">
        <f t="shared" ca="1" si="229"/>
        <v>0.69652252329075781</v>
      </c>
      <c r="K53" s="58">
        <f t="shared" ca="1" si="246"/>
        <v>0.93798366469822048</v>
      </c>
      <c r="L53" s="58">
        <f t="shared" ca="1" si="230"/>
        <v>2.6559461688665591</v>
      </c>
      <c r="M53" s="58">
        <f t="shared" ca="1" si="231"/>
        <v>0.87859822843117663</v>
      </c>
      <c r="N53" s="58">
        <f t="shared" ca="1" si="232"/>
        <v>0.26225024115906798</v>
      </c>
      <c r="O53" s="55"/>
      <c r="P53" s="175">
        <f ca="1">IFERROR(($AW53+AV53)/SUMPRODUCT($CA53:$DI53,'General Inputs'!$F$51:$AN$51),"n/a")</f>
        <v>4.8786519917775939E-2</v>
      </c>
      <c r="Q53" s="175">
        <f t="shared" ca="1" si="233"/>
        <v>0.46991998421977965</v>
      </c>
      <c r="R53" s="56">
        <f t="shared" ca="1" si="247"/>
        <v>172.36977085468371</v>
      </c>
      <c r="S53" s="55"/>
      <c r="T53" s="56">
        <f ca="1">INDEX(OFFSET('Measure Inputs'!$L$7,,,InputRows),$C53)</f>
        <v>20</v>
      </c>
      <c r="U53" s="134">
        <f ca="1">INDEX(OFFSET('Measure Inputs'!$T$7,,,InputRows),$C53)</f>
        <v>1</v>
      </c>
      <c r="V53" s="134">
        <f ca="1">INDEX(OFFSET('Measure Inputs'!$U$7,,,InputRows),$C53)</f>
        <v>1</v>
      </c>
      <c r="W53" s="55"/>
      <c r="X53" s="96">
        <f ca="1">INDEX(OFFSET('Measure Inputs'!$V$7,,,InputRows),$C53)*$T53*$V53*$U53</f>
        <v>9576.0983808157616</v>
      </c>
      <c r="Y53" s="96">
        <f ca="1">INDEX(OFFSET('Measure Inputs'!$W$7,,,InputRows),$C53)*$T53*$V53*$U53</f>
        <v>5.8643503635435215</v>
      </c>
      <c r="Z53" s="96">
        <f ca="1">INDEX(OFFSET('Measure Inputs'!$X$7,,,InputRows),$C53)*$T53*$V53*$U53</f>
        <v>0</v>
      </c>
      <c r="AA53" s="55"/>
      <c r="AB53" s="96">
        <f ca="1">INDEX(OFFSET('Measure Inputs'!$Z$7,,,InputRows),$C53)*$T53*$V53*$U53</f>
        <v>0</v>
      </c>
      <c r="AC53" s="96">
        <f ca="1">INDEX(OFFSET('Measure Inputs'!$AA$7,,,InputRows),$C53)*$T53*$V53*$U53</f>
        <v>0</v>
      </c>
      <c r="AD53" s="96">
        <f ca="1">INDEX(OFFSET('Measure Inputs'!$AB$7,,,InputRows),$C53)*$T53*$V53*$U53</f>
        <v>0</v>
      </c>
      <c r="AE53" s="55"/>
      <c r="AF53" s="57">
        <f ca="1">INDEX(OFFSET('Measure Inputs'!$Q$7,,,InputRows),$C53)*$T53</f>
        <v>0</v>
      </c>
      <c r="AG53" s="57">
        <f ca="1">INDEX(OFFSET('Measure Inputs'!$P$7,,,InputRows),$C53)*$T53*$V53</f>
        <v>6060</v>
      </c>
      <c r="AH53" s="57">
        <f ca="1">INDEX(OFFSET('Measure Inputs'!$R$7,,,InputRows),$C53)*$T53*$V53</f>
        <v>0</v>
      </c>
      <c r="AI53" s="57">
        <f ca="1">INDEX(OFFSET('Measure Inputs'!$O$7,,,InputRows),$C53)*$T53</f>
        <v>4500</v>
      </c>
      <c r="AJ53" s="57">
        <f ca="1">INDEX(OFFSET('Measure Inputs'!$S$7,,,InputRows),$C53)*$T53</f>
        <v>0</v>
      </c>
      <c r="AK53" s="63">
        <f ca="1">INDEX(OFFSET('Measure Inputs'!$M$7,,,InputRows),$C53)</f>
        <v>18</v>
      </c>
      <c r="AL53" s="88">
        <f ca="1">INDEX(OFFSET('Measure Inputs'!$N$7,,,InputRows),$C53)</f>
        <v>0</v>
      </c>
      <c r="AM53" s="57">
        <f ca="1">SUMIFS(OFFSET('Program Inputs'!$N$5,,,TotalPrograms),OFFSET('Program Inputs'!$B$5,,,TotalPrograms),SUBSTITUTE($B53,"All","*"))+AF53</f>
        <v>0</v>
      </c>
      <c r="AN53" s="57">
        <f t="shared" ca="1" si="248"/>
        <v>4500</v>
      </c>
      <c r="AO53" s="55"/>
      <c r="AP53" s="59">
        <f t="shared" ca="1" si="249"/>
        <v>4220.9264911419923</v>
      </c>
      <c r="AQ53" s="59">
        <f t="shared" ca="1" si="250"/>
        <v>6060</v>
      </c>
      <c r="AR53" s="59">
        <f ca="1">SUMPRODUCT($CA53:$DI53,'General Inputs'!$F$32:$AN$32,'General Inputs'!$F$51:$AN$51)/(1-Loss_ElectricEnergy)</f>
        <v>2930.2248742130464</v>
      </c>
      <c r="AS53" s="59">
        <f ca="1">SUMPRODUCT($DK53:$ES53,'General Inputs'!$F$33:$AN$33,'General Inputs'!$F$51:$AN$51)/(1-Loss_ElectricDemand)</f>
        <v>1290.7016169289454</v>
      </c>
      <c r="AT53" s="59">
        <f ca="1">SUMPRODUCT($EU53:$GC53,'General Inputs'!$F$34:$AN$34,'General Inputs'!$F$51:$AN$51)/(1-Loss_GasEnergy)</f>
        <v>0</v>
      </c>
      <c r="AU53" s="59">
        <f ca="1">INDEX('General Inputs'!$F$51:$AN$51,MATCH($H53,'General Inputs'!$F$50:$AN$50,0))*$AJ53</f>
        <v>0</v>
      </c>
      <c r="AV53" s="59">
        <f ca="1">INDEX('General Inputs'!$F$51:$AN$51,MATCH($H53,'General Inputs'!$F$50:$AN$50,0))*$AI53</f>
        <v>4500</v>
      </c>
      <c r="AW53" s="59">
        <f ca="1">INDEX('General Inputs'!$F$51:$AN$51,MATCH($H53,'General Inputs'!$F$50:$AN$50,0))*$AM53</f>
        <v>0</v>
      </c>
      <c r="AX53" s="59">
        <f ca="1">SUM(INDEX('General Inputs'!$F$51:$AN$51,MATCH($H53,'General Inputs'!$F$50:$AN$50,0))*$AG53,INDEX('General Inputs'!$F$51:$AN$51,MATCH($H53+$AL53,'General Inputs'!$F$50:$AN$50,0))*-$AH53)</f>
        <v>6060</v>
      </c>
      <c r="AY53" s="55"/>
      <c r="AZ53" s="59">
        <f ca="1">SUMPRODUCT($CA53:$DI53,'General Inputs'!$F$32:$AN$32,'General Inputs'!$F$52:$AN$52)/(1-Loss_ElectricEnergy)</f>
        <v>2930.2248742130464</v>
      </c>
      <c r="BA53" s="59">
        <f ca="1">SUMPRODUCT($DK53:$ES53,'General Inputs'!$F$33:$AN$33,'General Inputs'!$F$52:$AN$52)/(1-Loss_ElectricDemand)</f>
        <v>1290.7016169289454</v>
      </c>
      <c r="BB53" s="59">
        <f ca="1">SUMPRODUCT($EU53:$GC53,'General Inputs'!$F$34:$AN$34,'General Inputs'!$F$52:$AN$52)/(1-Loss_GasEnergy)</f>
        <v>0</v>
      </c>
      <c r="BC53" s="59">
        <f ca="1">INDEX('General Inputs'!$F$52:$AN$52,MATCH($H53,'General Inputs'!$F$50:$AN$50,0))*$AI53</f>
        <v>4500</v>
      </c>
      <c r="BD53" s="59">
        <f ca="1">INDEX('General Inputs'!$F$52:$AN$52,MATCH($H53,'General Inputs'!$F$50:$AN$50,0))*$AM53</f>
        <v>0</v>
      </c>
      <c r="BE53" s="55"/>
      <c r="BF53" s="59">
        <f ca="1">SUMPRODUCT($CA53:$DI53,OFFSET('General Inputs'!$F$40:$AN$40,MATCH($D53&amp;" Electric ($/kWh)",'General Inputs'!$E$40:$E$46,0),),'General Inputs'!$F$54:$AN$54)</f>
        <v>11595.033783331348</v>
      </c>
      <c r="BG53" s="59">
        <f ca="1">SUMPRODUCT($EU53:$GC53,OFFSET('General Inputs'!$F$40:$AN$40,MATCH($D53&amp;" Natural Gas ($/therm)",'General Inputs'!$E$40:$E$46,0),),'General Inputs'!$F$54:$AN$54)</f>
        <v>0</v>
      </c>
      <c r="BH53" s="59">
        <f ca="1">INDEX('General Inputs'!$F$54:$AN$54,MATCH($H53,'General Inputs'!$F$50:$AN$50,0))*$AI53</f>
        <v>4500</v>
      </c>
      <c r="BI53" s="59">
        <f ca="1">SUM(INDEX('General Inputs'!$F$54:$AN$54,MATCH($H53,'General Inputs'!$F$50:$AN$50,0))*$AG53,INDEX('General Inputs'!$F$51:$AN$51,MATCH($H53+$AL53,'General Inputs'!$F$50:$AN$50,0))*-$AH53)</f>
        <v>6060</v>
      </c>
      <c r="BJ53" s="55"/>
      <c r="BK53" s="59">
        <f ca="1">SUMPRODUCT($CA53:$DI53,'General Inputs'!$F$32:$AN$32,'General Inputs'!$F$53:$AN$53)/(1-Loss_ElectricEnergy)</f>
        <v>2930.2248742130464</v>
      </c>
      <c r="BL53" s="59">
        <f ca="1">SUMPRODUCT($DK53:$ES53,'General Inputs'!$F$33:$AN$33,'General Inputs'!$F$53:$AN$53)/(1-Loss_ElectricDemand)</f>
        <v>1290.7016169289454</v>
      </c>
      <c r="BM53" s="59">
        <f ca="1">SUMPRODUCT($EU53:$GC53,'General Inputs'!$F$34:$AN$34,'General Inputs'!$F$53:$AN$53)/(1-Loss_GasEnergy)</f>
        <v>0</v>
      </c>
      <c r="BN53" s="59">
        <f ca="1">INDEX('General Inputs'!$F$53:$AN$53,MATCH($H53,'General Inputs'!$F$50:$AN$50,0))*$AJ53</f>
        <v>0</v>
      </c>
      <c r="BO53" s="59">
        <f ca="1">SUMPRODUCT($CA53:$DI53,'General Inputs'!$F$35:$AN$35,'General Inputs'!$F$53:$AN$53)/(1-Loss_ElectricEnergy)</f>
        <v>1103.3787731509381</v>
      </c>
      <c r="BP53" s="59">
        <f ca="1">INDEX('General Inputs'!$F$51:$AN$51,MATCH($H53,'General Inputs'!$F$50:$AN$50,0))*$AM53</f>
        <v>0</v>
      </c>
      <c r="BQ53" s="59">
        <f ca="1">SUM(INDEX('General Inputs'!$F$53:$AN$53,MATCH($H53,'General Inputs'!$F$50:$AN$50,0))*$AG53,INDEX('General Inputs'!$F$53:$AN$53,MATCH($H53+$AL53,'General Inputs'!$F$50:$AN$50,0))*-$AH53)</f>
        <v>6060</v>
      </c>
      <c r="BR53" s="55"/>
      <c r="BS53" s="59">
        <f ca="1">SUMPRODUCT($CA53:$DI53,'General Inputs'!$F$32:$AN$32,'General Inputs'!$F$55:$AN$55)/(1-Loss_ElectricEnergy)</f>
        <v>2930.2248742130464</v>
      </c>
      <c r="BT53" s="59">
        <f ca="1">SUMPRODUCT($DK53:$ES53,'General Inputs'!$F$33:$AN$33,'General Inputs'!$F$55:$AN$55)/(1-Loss_ElectricDemand)</f>
        <v>1290.7016169289454</v>
      </c>
      <c r="BU53" s="59">
        <f ca="1">SUMPRODUCT($EU53:$GC53,'General Inputs'!$F$34:$AN$34,'General Inputs'!$F$55:$AN$55)/(1-Loss_GasEnergy)</f>
        <v>0</v>
      </c>
      <c r="BV53" s="59">
        <f ca="1">SUMPRODUCT($CA53:$DI53,OFFSET('General Inputs'!$F$40:$AN$40,MATCH($D53&amp;" Electric ($/kWh)",'General Inputs'!$E$40:$E$46,0),),'General Inputs'!$F$55:$AN$55)</f>
        <v>11595.033783331348</v>
      </c>
      <c r="BW53" s="59">
        <f ca="1">SUMPRODUCT($EU53:$GC53,OFFSET('General Inputs'!$F$40:$AN$40,MATCH($D53&amp;" Natural Gas ($/therm)",'General Inputs'!$E$40:$E$46,0),),'General Inputs'!$F$55:$AN$55)</f>
        <v>0</v>
      </c>
      <c r="BX53" s="59">
        <f ca="1">INDEX('General Inputs'!$F$55:$AN$55,MATCH($H53,'General Inputs'!$F$50:$AN$50,0))*$AI53</f>
        <v>4500</v>
      </c>
      <c r="BY53" s="59">
        <f ca="1">INDEX('General Inputs'!$F$51:$AN$51,MATCH($H53,'General Inputs'!$F$50:$AN$50,0))*$AM53</f>
        <v>0</v>
      </c>
      <c r="BZ53" s="55"/>
      <c r="CA53" s="88">
        <f t="shared" ca="1" si="237"/>
        <v>9576.0983808157616</v>
      </c>
      <c r="CB53" s="88">
        <f t="shared" ca="1" si="237"/>
        <v>9576.0983808157616</v>
      </c>
      <c r="CC53" s="88">
        <f t="shared" ca="1" si="237"/>
        <v>9576.0983808157616</v>
      </c>
      <c r="CD53" s="88">
        <f t="shared" ca="1" si="237"/>
        <v>9576.0983808157616</v>
      </c>
      <c r="CE53" s="88">
        <f t="shared" ca="1" si="237"/>
        <v>9576.0983808157616</v>
      </c>
      <c r="CF53" s="88">
        <f t="shared" ca="1" si="237"/>
        <v>9576.0983808157616</v>
      </c>
      <c r="CG53" s="88">
        <f t="shared" ca="1" si="237"/>
        <v>9576.0983808157616</v>
      </c>
      <c r="CH53" s="88">
        <f t="shared" ca="1" si="237"/>
        <v>9576.0983808157616</v>
      </c>
      <c r="CI53" s="88">
        <f t="shared" ca="1" si="237"/>
        <v>9576.0983808157616</v>
      </c>
      <c r="CJ53" s="88">
        <f t="shared" ca="1" si="237"/>
        <v>9576.0983808157616</v>
      </c>
      <c r="CK53" s="88">
        <f t="shared" ca="1" si="238"/>
        <v>9576.0983808157616</v>
      </c>
      <c r="CL53" s="88">
        <f t="shared" ca="1" si="238"/>
        <v>9576.0983808157616</v>
      </c>
      <c r="CM53" s="88">
        <f t="shared" ca="1" si="238"/>
        <v>9576.0983808157616</v>
      </c>
      <c r="CN53" s="88">
        <f t="shared" ca="1" si="238"/>
        <v>9576.0983808157616</v>
      </c>
      <c r="CO53" s="88">
        <f t="shared" ca="1" si="238"/>
        <v>9576.0983808157616</v>
      </c>
      <c r="CP53" s="88">
        <f t="shared" ca="1" si="238"/>
        <v>9576.0983808157616</v>
      </c>
      <c r="CQ53" s="88">
        <f t="shared" ca="1" si="238"/>
        <v>9576.0983808157616</v>
      </c>
      <c r="CR53" s="88">
        <f t="shared" ca="1" si="238"/>
        <v>9576.0983808157616</v>
      </c>
      <c r="CS53" s="88">
        <f t="shared" ca="1" si="238"/>
        <v>0</v>
      </c>
      <c r="CT53" s="88">
        <f t="shared" ca="1" si="238"/>
        <v>0</v>
      </c>
      <c r="CU53" s="88">
        <f t="shared" ca="1" si="239"/>
        <v>0</v>
      </c>
      <c r="CV53" s="88">
        <f t="shared" ca="1" si="239"/>
        <v>0</v>
      </c>
      <c r="CW53" s="88">
        <f t="shared" ca="1" si="239"/>
        <v>0</v>
      </c>
      <c r="CX53" s="88">
        <f t="shared" ca="1" si="239"/>
        <v>0</v>
      </c>
      <c r="CY53" s="88">
        <f t="shared" ca="1" si="239"/>
        <v>0</v>
      </c>
      <c r="CZ53" s="88">
        <f t="shared" ca="1" si="239"/>
        <v>0</v>
      </c>
      <c r="DA53" s="88">
        <f t="shared" ca="1" si="239"/>
        <v>0</v>
      </c>
      <c r="DB53" s="88">
        <f t="shared" ca="1" si="239"/>
        <v>0</v>
      </c>
      <c r="DC53" s="88">
        <f t="shared" ca="1" si="239"/>
        <v>0</v>
      </c>
      <c r="DD53" s="88">
        <f t="shared" ca="1" si="239"/>
        <v>0</v>
      </c>
      <c r="DE53" s="88">
        <f t="shared" ca="1" si="239"/>
        <v>0</v>
      </c>
      <c r="DF53" s="88">
        <f t="shared" ca="1" si="239"/>
        <v>0</v>
      </c>
      <c r="DG53" s="88">
        <f t="shared" ca="1" si="239"/>
        <v>0</v>
      </c>
      <c r="DH53" s="88">
        <f t="shared" ca="1" si="239"/>
        <v>0</v>
      </c>
      <c r="DI53" s="88">
        <f t="shared" ca="1" si="239"/>
        <v>0</v>
      </c>
      <c r="DJ53" s="169"/>
      <c r="DK53" s="88">
        <f t="shared" ca="1" si="240"/>
        <v>5.8643503635435215</v>
      </c>
      <c r="DL53" s="88">
        <f t="shared" ca="1" si="240"/>
        <v>5.8643503635435215</v>
      </c>
      <c r="DM53" s="88">
        <f t="shared" ca="1" si="240"/>
        <v>5.8643503635435215</v>
      </c>
      <c r="DN53" s="88">
        <f t="shared" ca="1" si="240"/>
        <v>5.8643503635435215</v>
      </c>
      <c r="DO53" s="88">
        <f t="shared" ca="1" si="240"/>
        <v>5.8643503635435215</v>
      </c>
      <c r="DP53" s="88">
        <f t="shared" ca="1" si="240"/>
        <v>5.8643503635435215</v>
      </c>
      <c r="DQ53" s="88">
        <f t="shared" ca="1" si="240"/>
        <v>5.8643503635435215</v>
      </c>
      <c r="DR53" s="88">
        <f t="shared" ca="1" si="240"/>
        <v>5.8643503635435215</v>
      </c>
      <c r="DS53" s="88">
        <f t="shared" ca="1" si="240"/>
        <v>5.8643503635435215</v>
      </c>
      <c r="DT53" s="88">
        <f t="shared" ca="1" si="240"/>
        <v>5.8643503635435215</v>
      </c>
      <c r="DU53" s="88">
        <f t="shared" ca="1" si="241"/>
        <v>5.8643503635435215</v>
      </c>
      <c r="DV53" s="88">
        <f t="shared" ca="1" si="241"/>
        <v>5.8643503635435215</v>
      </c>
      <c r="DW53" s="88">
        <f t="shared" ca="1" si="241"/>
        <v>5.8643503635435215</v>
      </c>
      <c r="DX53" s="88">
        <f t="shared" ca="1" si="241"/>
        <v>5.8643503635435215</v>
      </c>
      <c r="DY53" s="88">
        <f t="shared" ca="1" si="241"/>
        <v>5.8643503635435215</v>
      </c>
      <c r="DZ53" s="88">
        <f t="shared" ca="1" si="241"/>
        <v>5.8643503635435215</v>
      </c>
      <c r="EA53" s="88">
        <f t="shared" ca="1" si="241"/>
        <v>5.8643503635435215</v>
      </c>
      <c r="EB53" s="88">
        <f t="shared" ca="1" si="241"/>
        <v>5.8643503635435215</v>
      </c>
      <c r="EC53" s="88">
        <f t="shared" ca="1" si="241"/>
        <v>0</v>
      </c>
      <c r="ED53" s="88">
        <f t="shared" ca="1" si="241"/>
        <v>0</v>
      </c>
      <c r="EE53" s="88">
        <f t="shared" ca="1" si="242"/>
        <v>0</v>
      </c>
      <c r="EF53" s="88">
        <f t="shared" ca="1" si="242"/>
        <v>0</v>
      </c>
      <c r="EG53" s="88">
        <f t="shared" ca="1" si="242"/>
        <v>0</v>
      </c>
      <c r="EH53" s="88">
        <f t="shared" ca="1" si="242"/>
        <v>0</v>
      </c>
      <c r="EI53" s="88">
        <f t="shared" ca="1" si="242"/>
        <v>0</v>
      </c>
      <c r="EJ53" s="88">
        <f t="shared" ca="1" si="242"/>
        <v>0</v>
      </c>
      <c r="EK53" s="88">
        <f t="shared" ca="1" si="242"/>
        <v>0</v>
      </c>
      <c r="EL53" s="88">
        <f t="shared" ca="1" si="242"/>
        <v>0</v>
      </c>
      <c r="EM53" s="88">
        <f t="shared" ca="1" si="242"/>
        <v>0</v>
      </c>
      <c r="EN53" s="88">
        <f t="shared" ca="1" si="242"/>
        <v>0</v>
      </c>
      <c r="EO53" s="88">
        <f t="shared" ca="1" si="242"/>
        <v>0</v>
      </c>
      <c r="EP53" s="88">
        <f t="shared" ca="1" si="242"/>
        <v>0</v>
      </c>
      <c r="EQ53" s="88">
        <f t="shared" ca="1" si="242"/>
        <v>0</v>
      </c>
      <c r="ER53" s="88">
        <f t="shared" ca="1" si="242"/>
        <v>0</v>
      </c>
      <c r="ES53" s="88">
        <f t="shared" ca="1" si="242"/>
        <v>0</v>
      </c>
      <c r="ET53" s="169"/>
      <c r="EU53" s="88">
        <f t="shared" ca="1" si="243"/>
        <v>0</v>
      </c>
      <c r="EV53" s="88">
        <f t="shared" ca="1" si="243"/>
        <v>0</v>
      </c>
      <c r="EW53" s="88">
        <f t="shared" ca="1" si="243"/>
        <v>0</v>
      </c>
      <c r="EX53" s="88">
        <f t="shared" ca="1" si="243"/>
        <v>0</v>
      </c>
      <c r="EY53" s="88">
        <f t="shared" ca="1" si="243"/>
        <v>0</v>
      </c>
      <c r="EZ53" s="88">
        <f t="shared" ca="1" si="243"/>
        <v>0</v>
      </c>
      <c r="FA53" s="88">
        <f t="shared" ca="1" si="243"/>
        <v>0</v>
      </c>
      <c r="FB53" s="88">
        <f t="shared" ca="1" si="243"/>
        <v>0</v>
      </c>
      <c r="FC53" s="88">
        <f t="shared" ca="1" si="243"/>
        <v>0</v>
      </c>
      <c r="FD53" s="88">
        <f t="shared" ca="1" si="243"/>
        <v>0</v>
      </c>
      <c r="FE53" s="88">
        <f t="shared" ca="1" si="244"/>
        <v>0</v>
      </c>
      <c r="FF53" s="88">
        <f t="shared" ca="1" si="244"/>
        <v>0</v>
      </c>
      <c r="FG53" s="88">
        <f t="shared" ca="1" si="244"/>
        <v>0</v>
      </c>
      <c r="FH53" s="88">
        <f t="shared" ca="1" si="244"/>
        <v>0</v>
      </c>
      <c r="FI53" s="88">
        <f t="shared" ca="1" si="244"/>
        <v>0</v>
      </c>
      <c r="FJ53" s="88">
        <f t="shared" ca="1" si="244"/>
        <v>0</v>
      </c>
      <c r="FK53" s="88">
        <f t="shared" ca="1" si="244"/>
        <v>0</v>
      </c>
      <c r="FL53" s="88">
        <f t="shared" ca="1" si="244"/>
        <v>0</v>
      </c>
      <c r="FM53" s="88">
        <f t="shared" ca="1" si="244"/>
        <v>0</v>
      </c>
      <c r="FN53" s="88">
        <f t="shared" ca="1" si="244"/>
        <v>0</v>
      </c>
      <c r="FO53" s="88">
        <f t="shared" ca="1" si="245"/>
        <v>0</v>
      </c>
      <c r="FP53" s="88">
        <f t="shared" ca="1" si="245"/>
        <v>0</v>
      </c>
      <c r="FQ53" s="88">
        <f t="shared" ca="1" si="245"/>
        <v>0</v>
      </c>
      <c r="FR53" s="88">
        <f t="shared" ca="1" si="245"/>
        <v>0</v>
      </c>
      <c r="FS53" s="88">
        <f t="shared" ca="1" si="245"/>
        <v>0</v>
      </c>
      <c r="FT53" s="88">
        <f t="shared" ca="1" si="245"/>
        <v>0</v>
      </c>
      <c r="FU53" s="88">
        <f t="shared" ca="1" si="245"/>
        <v>0</v>
      </c>
      <c r="FV53" s="88">
        <f t="shared" ca="1" si="245"/>
        <v>0</v>
      </c>
      <c r="FW53" s="88">
        <f t="shared" ca="1" si="245"/>
        <v>0</v>
      </c>
      <c r="FX53" s="88">
        <f t="shared" ca="1" si="245"/>
        <v>0</v>
      </c>
      <c r="FY53" s="88">
        <f t="shared" ca="1" si="245"/>
        <v>0</v>
      </c>
      <c r="FZ53" s="88">
        <f t="shared" ca="1" si="245"/>
        <v>0</v>
      </c>
      <c r="GA53" s="88">
        <f t="shared" ca="1" si="245"/>
        <v>0</v>
      </c>
      <c r="GB53" s="88">
        <f t="shared" ca="1" si="245"/>
        <v>0</v>
      </c>
      <c r="GC53" s="88">
        <f t="shared" ca="1" si="245"/>
        <v>0</v>
      </c>
      <c r="GD53" s="60"/>
    </row>
    <row r="54" spans="1:186" s="54" customFormat="1">
      <c r="A54" s="61"/>
      <c r="B54" s="100" t="str">
        <f t="shared" si="0"/>
        <v>Residential_High Efficiency HVAC_0_Early Retirement Heat Pump SEER ≥15, EER ≥12.5, HSPF ≥8.5_2017</v>
      </c>
      <c r="C54" s="100">
        <f>INDEX('Measure Inputs'!$D:$D,MATCH($B54,'Measure Inputs'!$B:$B,0))</f>
        <v>6</v>
      </c>
      <c r="D54" s="101" t="s">
        <v>2</v>
      </c>
      <c r="E54" s="101" t="s">
        <v>250</v>
      </c>
      <c r="F54" s="101">
        <v>0</v>
      </c>
      <c r="G54" s="101" t="s">
        <v>519</v>
      </c>
      <c r="H54" s="101">
        <v>2017</v>
      </c>
      <c r="I54" s="55"/>
      <c r="J54" s="58" t="str">
        <f t="shared" ca="1" si="229"/>
        <v>n/a</v>
      </c>
      <c r="K54" s="58" t="str">
        <f t="shared" ca="1" si="246"/>
        <v>n/a</v>
      </c>
      <c r="L54" s="58" t="str">
        <f t="shared" ca="1" si="230"/>
        <v>n/a</v>
      </c>
      <c r="M54" s="58" t="str">
        <f t="shared" ca="1" si="231"/>
        <v>n/a</v>
      </c>
      <c r="N54" s="58" t="str">
        <f t="shared" ca="1" si="232"/>
        <v>n/a</v>
      </c>
      <c r="O54" s="55"/>
      <c r="P54" s="175" t="str">
        <f ca="1">IFERROR(($AW54+AV54)/SUMPRODUCT($CA54:$DI54,'General Inputs'!$F$51:$AN$51),"n/a")</f>
        <v>n/a</v>
      </c>
      <c r="Q54" s="175" t="str">
        <f t="shared" ca="1" si="233"/>
        <v>n/a</v>
      </c>
      <c r="R54" s="56">
        <f t="shared" ca="1" si="247"/>
        <v>0</v>
      </c>
      <c r="S54" s="55"/>
      <c r="T54" s="56">
        <f ca="1">INDEX(OFFSET('Measure Inputs'!$L$7,,,InputRows),$C54)</f>
        <v>0</v>
      </c>
      <c r="U54" s="134">
        <f ca="1">INDEX(OFFSET('Measure Inputs'!$T$7,,,InputRows),$C54)</f>
        <v>1</v>
      </c>
      <c r="V54" s="134">
        <f ca="1">INDEX(OFFSET('Measure Inputs'!$U$7,,,InputRows),$C54)</f>
        <v>1</v>
      </c>
      <c r="W54" s="55"/>
      <c r="X54" s="96">
        <f ca="1">INDEX(OFFSET('Measure Inputs'!$V$7,,,InputRows),$C54)*$T54*$V54*$U54</f>
        <v>0</v>
      </c>
      <c r="Y54" s="96">
        <f ca="1">INDEX(OFFSET('Measure Inputs'!$W$7,,,InputRows),$C54)*$T54*$V54*$U54</f>
        <v>0</v>
      </c>
      <c r="Z54" s="96">
        <f ca="1">INDEX(OFFSET('Measure Inputs'!$X$7,,,InputRows),$C54)*$T54*$V54*$U54</f>
        <v>0</v>
      </c>
      <c r="AA54" s="55"/>
      <c r="AB54" s="96">
        <f ca="1">INDEX(OFFSET('Measure Inputs'!$Z$7,,,InputRows),$C54)*$T54*$V54*$U54</f>
        <v>0</v>
      </c>
      <c r="AC54" s="96">
        <f ca="1">INDEX(OFFSET('Measure Inputs'!$AA$7,,,InputRows),$C54)*$T54*$V54*$U54</f>
        <v>0</v>
      </c>
      <c r="AD54" s="96">
        <f ca="1">INDEX(OFFSET('Measure Inputs'!$AB$7,,,InputRows),$C54)*$T54*$V54*$U54</f>
        <v>0</v>
      </c>
      <c r="AE54" s="55"/>
      <c r="AF54" s="57">
        <f ca="1">INDEX(OFFSET('Measure Inputs'!$Q$7,,,InputRows),$C54)*$T54</f>
        <v>0</v>
      </c>
      <c r="AG54" s="57">
        <f ca="1">INDEX(OFFSET('Measure Inputs'!$P$7,,,InputRows),$C54)*$T54*$V54</f>
        <v>0</v>
      </c>
      <c r="AH54" s="57">
        <f ca="1">INDEX(OFFSET('Measure Inputs'!$R$7,,,InputRows),$C54)*$T54*$V54</f>
        <v>0</v>
      </c>
      <c r="AI54" s="57">
        <f ca="1">INDEX(OFFSET('Measure Inputs'!$O$7,,,InputRows),$C54)*$T54</f>
        <v>0</v>
      </c>
      <c r="AJ54" s="57">
        <f ca="1">INDEX(OFFSET('Measure Inputs'!$S$7,,,InputRows),$C54)*$T54</f>
        <v>0</v>
      </c>
      <c r="AK54" s="63">
        <f ca="1">INDEX(OFFSET('Measure Inputs'!$M$7,,,InputRows),$C54)</f>
        <v>18</v>
      </c>
      <c r="AL54" s="88">
        <f ca="1">INDEX(OFFSET('Measure Inputs'!$N$7,,,InputRows),$C54)</f>
        <v>6</v>
      </c>
      <c r="AM54" s="57">
        <f ca="1">SUMIFS(OFFSET('Program Inputs'!$N$5,,,TotalPrograms),OFFSET('Program Inputs'!$B$5,,,TotalPrograms),SUBSTITUTE($B54,"All","*"))+AF54</f>
        <v>0</v>
      </c>
      <c r="AN54" s="57">
        <f t="shared" ca="1" si="248"/>
        <v>0</v>
      </c>
      <c r="AO54" s="55"/>
      <c r="AP54" s="59">
        <f t="shared" ca="1" si="249"/>
        <v>0</v>
      </c>
      <c r="AQ54" s="59">
        <f t="shared" ca="1" si="250"/>
        <v>0</v>
      </c>
      <c r="AR54" s="59">
        <f ca="1">SUMPRODUCT($CA54:$DI54,'General Inputs'!$F$32:$AN$32,'General Inputs'!$F$51:$AN$51)/(1-Loss_ElectricEnergy)</f>
        <v>0</v>
      </c>
      <c r="AS54" s="59">
        <f ca="1">SUMPRODUCT($DK54:$ES54,'General Inputs'!$F$33:$AN$33,'General Inputs'!$F$51:$AN$51)/(1-Loss_ElectricDemand)</f>
        <v>0</v>
      </c>
      <c r="AT54" s="59">
        <f ca="1">SUMPRODUCT($EU54:$GC54,'General Inputs'!$F$34:$AN$34,'General Inputs'!$F$51:$AN$51)/(1-Loss_GasEnergy)</f>
        <v>0</v>
      </c>
      <c r="AU54" s="59">
        <f ca="1">INDEX('General Inputs'!$F$51:$AN$51,MATCH($H54,'General Inputs'!$F$50:$AN$50,0))*$AJ54</f>
        <v>0</v>
      </c>
      <c r="AV54" s="59">
        <f ca="1">INDEX('General Inputs'!$F$51:$AN$51,MATCH($H54,'General Inputs'!$F$50:$AN$50,0))*$AI54</f>
        <v>0</v>
      </c>
      <c r="AW54" s="59">
        <f ca="1">INDEX('General Inputs'!$F$51:$AN$51,MATCH($H54,'General Inputs'!$F$50:$AN$50,0))*$AM54</f>
        <v>0</v>
      </c>
      <c r="AX54" s="59">
        <f ca="1">SUM(INDEX('General Inputs'!$F$51:$AN$51,MATCH($H54,'General Inputs'!$F$50:$AN$50,0))*$AG54,INDEX('General Inputs'!$F$51:$AN$51,MATCH($H54+$AL54,'General Inputs'!$F$50:$AN$50,0))*-$AH54)</f>
        <v>0</v>
      </c>
      <c r="AY54" s="55"/>
      <c r="AZ54" s="59">
        <f ca="1">SUMPRODUCT($CA54:$DI54,'General Inputs'!$F$32:$AN$32,'General Inputs'!$F$52:$AN$52)/(1-Loss_ElectricEnergy)</f>
        <v>0</v>
      </c>
      <c r="BA54" s="59">
        <f ca="1">SUMPRODUCT($DK54:$ES54,'General Inputs'!$F$33:$AN$33,'General Inputs'!$F$52:$AN$52)/(1-Loss_ElectricDemand)</f>
        <v>0</v>
      </c>
      <c r="BB54" s="59">
        <f ca="1">SUMPRODUCT($EU54:$GC54,'General Inputs'!$F$34:$AN$34,'General Inputs'!$F$52:$AN$52)/(1-Loss_GasEnergy)</f>
        <v>0</v>
      </c>
      <c r="BC54" s="59">
        <f ca="1">INDEX('General Inputs'!$F$52:$AN$52,MATCH($H54,'General Inputs'!$F$50:$AN$50,0))*$AI54</f>
        <v>0</v>
      </c>
      <c r="BD54" s="59">
        <f ca="1">INDEX('General Inputs'!$F$52:$AN$52,MATCH($H54,'General Inputs'!$F$50:$AN$50,0))*$AM54</f>
        <v>0</v>
      </c>
      <c r="BE54" s="55"/>
      <c r="BF54" s="59">
        <f ca="1">SUMPRODUCT($CA54:$DI54,OFFSET('General Inputs'!$F$40:$AN$40,MATCH($D54&amp;" Electric ($/kWh)",'General Inputs'!$E$40:$E$46,0),),'General Inputs'!$F$54:$AN$54)</f>
        <v>0</v>
      </c>
      <c r="BG54" s="59">
        <f ca="1">SUMPRODUCT($EU54:$GC54,OFFSET('General Inputs'!$F$40:$AN$40,MATCH($D54&amp;" Natural Gas ($/therm)",'General Inputs'!$E$40:$E$46,0),),'General Inputs'!$F$54:$AN$54)</f>
        <v>0</v>
      </c>
      <c r="BH54" s="59">
        <f ca="1">INDEX('General Inputs'!$F$54:$AN$54,MATCH($H54,'General Inputs'!$F$50:$AN$50,0))*$AI54</f>
        <v>0</v>
      </c>
      <c r="BI54" s="59">
        <f ca="1">SUM(INDEX('General Inputs'!$F$54:$AN$54,MATCH($H54,'General Inputs'!$F$50:$AN$50,0))*$AG54,INDEX('General Inputs'!$F$51:$AN$51,MATCH($H54+$AL54,'General Inputs'!$F$50:$AN$50,0))*-$AH54)</f>
        <v>0</v>
      </c>
      <c r="BJ54" s="55"/>
      <c r="BK54" s="59">
        <f ca="1">SUMPRODUCT($CA54:$DI54,'General Inputs'!$F$32:$AN$32,'General Inputs'!$F$53:$AN$53)/(1-Loss_ElectricEnergy)</f>
        <v>0</v>
      </c>
      <c r="BL54" s="59">
        <f ca="1">SUMPRODUCT($DK54:$ES54,'General Inputs'!$F$33:$AN$33,'General Inputs'!$F$53:$AN$53)/(1-Loss_ElectricDemand)</f>
        <v>0</v>
      </c>
      <c r="BM54" s="59">
        <f ca="1">SUMPRODUCT($EU54:$GC54,'General Inputs'!$F$34:$AN$34,'General Inputs'!$F$53:$AN$53)/(1-Loss_GasEnergy)</f>
        <v>0</v>
      </c>
      <c r="BN54" s="59">
        <f ca="1">INDEX('General Inputs'!$F$53:$AN$53,MATCH($H54,'General Inputs'!$F$50:$AN$50,0))*$AJ54</f>
        <v>0</v>
      </c>
      <c r="BO54" s="59">
        <f ca="1">SUMPRODUCT($CA54:$DI54,'General Inputs'!$F$35:$AN$35,'General Inputs'!$F$53:$AN$53)/(1-Loss_ElectricEnergy)</f>
        <v>0</v>
      </c>
      <c r="BP54" s="59">
        <f ca="1">INDEX('General Inputs'!$F$51:$AN$51,MATCH($H54,'General Inputs'!$F$50:$AN$50,0))*$AM54</f>
        <v>0</v>
      </c>
      <c r="BQ54" s="59">
        <f ca="1">SUM(INDEX('General Inputs'!$F$53:$AN$53,MATCH($H54,'General Inputs'!$F$50:$AN$50,0))*$AG54,INDEX('General Inputs'!$F$53:$AN$53,MATCH($H54+$AL54,'General Inputs'!$F$50:$AN$50,0))*-$AH54)</f>
        <v>0</v>
      </c>
      <c r="BR54" s="55"/>
      <c r="BS54" s="59">
        <f ca="1">SUMPRODUCT($CA54:$DI54,'General Inputs'!$F$32:$AN$32,'General Inputs'!$F$55:$AN$55)/(1-Loss_ElectricEnergy)</f>
        <v>0</v>
      </c>
      <c r="BT54" s="59">
        <f ca="1">SUMPRODUCT($DK54:$ES54,'General Inputs'!$F$33:$AN$33,'General Inputs'!$F$55:$AN$55)/(1-Loss_ElectricDemand)</f>
        <v>0</v>
      </c>
      <c r="BU54" s="59">
        <f ca="1">SUMPRODUCT($EU54:$GC54,'General Inputs'!$F$34:$AN$34,'General Inputs'!$F$55:$AN$55)/(1-Loss_GasEnergy)</f>
        <v>0</v>
      </c>
      <c r="BV54" s="59">
        <f ca="1">SUMPRODUCT($CA54:$DI54,OFFSET('General Inputs'!$F$40:$AN$40,MATCH($D54&amp;" Electric ($/kWh)",'General Inputs'!$E$40:$E$46,0),),'General Inputs'!$F$55:$AN$55)</f>
        <v>0</v>
      </c>
      <c r="BW54" s="59">
        <f ca="1">SUMPRODUCT($EU54:$GC54,OFFSET('General Inputs'!$F$40:$AN$40,MATCH($D54&amp;" Natural Gas ($/therm)",'General Inputs'!$E$40:$E$46,0),),'General Inputs'!$F$55:$AN$55)</f>
        <v>0</v>
      </c>
      <c r="BX54" s="59">
        <f ca="1">INDEX('General Inputs'!$F$55:$AN$55,MATCH($H54,'General Inputs'!$F$50:$AN$50,0))*$AI54</f>
        <v>0</v>
      </c>
      <c r="BY54" s="59">
        <f ca="1">INDEX('General Inputs'!$F$51:$AN$51,MATCH($H54,'General Inputs'!$F$50:$AN$50,0))*$AM54</f>
        <v>0</v>
      </c>
      <c r="BZ54" s="55"/>
      <c r="CA54" s="88">
        <f t="shared" ca="1" si="237"/>
        <v>0</v>
      </c>
      <c r="CB54" s="88">
        <f t="shared" ca="1" si="237"/>
        <v>0</v>
      </c>
      <c r="CC54" s="88">
        <f t="shared" ca="1" si="237"/>
        <v>0</v>
      </c>
      <c r="CD54" s="88">
        <f t="shared" ca="1" si="237"/>
        <v>0</v>
      </c>
      <c r="CE54" s="88">
        <f t="shared" ca="1" si="237"/>
        <v>0</v>
      </c>
      <c r="CF54" s="88">
        <f t="shared" ca="1" si="237"/>
        <v>0</v>
      </c>
      <c r="CG54" s="88">
        <f t="shared" ca="1" si="237"/>
        <v>0</v>
      </c>
      <c r="CH54" s="88">
        <f t="shared" ca="1" si="237"/>
        <v>0</v>
      </c>
      <c r="CI54" s="88">
        <f t="shared" ca="1" si="237"/>
        <v>0</v>
      </c>
      <c r="CJ54" s="88">
        <f t="shared" ca="1" si="237"/>
        <v>0</v>
      </c>
      <c r="CK54" s="88">
        <f t="shared" ca="1" si="238"/>
        <v>0</v>
      </c>
      <c r="CL54" s="88">
        <f t="shared" ca="1" si="238"/>
        <v>0</v>
      </c>
      <c r="CM54" s="88">
        <f t="shared" ca="1" si="238"/>
        <v>0</v>
      </c>
      <c r="CN54" s="88">
        <f t="shared" ca="1" si="238"/>
        <v>0</v>
      </c>
      <c r="CO54" s="88">
        <f t="shared" ca="1" si="238"/>
        <v>0</v>
      </c>
      <c r="CP54" s="88">
        <f t="shared" ca="1" si="238"/>
        <v>0</v>
      </c>
      <c r="CQ54" s="88">
        <f t="shared" ca="1" si="238"/>
        <v>0</v>
      </c>
      <c r="CR54" s="88">
        <f t="shared" ca="1" si="238"/>
        <v>0</v>
      </c>
      <c r="CS54" s="88">
        <f t="shared" ca="1" si="238"/>
        <v>0</v>
      </c>
      <c r="CT54" s="88">
        <f t="shared" ca="1" si="238"/>
        <v>0</v>
      </c>
      <c r="CU54" s="88">
        <f t="shared" ca="1" si="239"/>
        <v>0</v>
      </c>
      <c r="CV54" s="88">
        <f t="shared" ca="1" si="239"/>
        <v>0</v>
      </c>
      <c r="CW54" s="88">
        <f t="shared" ca="1" si="239"/>
        <v>0</v>
      </c>
      <c r="CX54" s="88">
        <f t="shared" ca="1" si="239"/>
        <v>0</v>
      </c>
      <c r="CY54" s="88">
        <f t="shared" ca="1" si="239"/>
        <v>0</v>
      </c>
      <c r="CZ54" s="88">
        <f t="shared" ca="1" si="239"/>
        <v>0</v>
      </c>
      <c r="DA54" s="88">
        <f t="shared" ca="1" si="239"/>
        <v>0</v>
      </c>
      <c r="DB54" s="88">
        <f t="shared" ca="1" si="239"/>
        <v>0</v>
      </c>
      <c r="DC54" s="88">
        <f t="shared" ca="1" si="239"/>
        <v>0</v>
      </c>
      <c r="DD54" s="88">
        <f t="shared" ca="1" si="239"/>
        <v>0</v>
      </c>
      <c r="DE54" s="88">
        <f t="shared" ca="1" si="239"/>
        <v>0</v>
      </c>
      <c r="DF54" s="88">
        <f t="shared" ca="1" si="239"/>
        <v>0</v>
      </c>
      <c r="DG54" s="88">
        <f t="shared" ca="1" si="239"/>
        <v>0</v>
      </c>
      <c r="DH54" s="88">
        <f t="shared" ca="1" si="239"/>
        <v>0</v>
      </c>
      <c r="DI54" s="88">
        <f t="shared" ca="1" si="239"/>
        <v>0</v>
      </c>
      <c r="DJ54" s="169"/>
      <c r="DK54" s="88">
        <f t="shared" ca="1" si="240"/>
        <v>0</v>
      </c>
      <c r="DL54" s="88">
        <f t="shared" ca="1" si="240"/>
        <v>0</v>
      </c>
      <c r="DM54" s="88">
        <f t="shared" ca="1" si="240"/>
        <v>0</v>
      </c>
      <c r="DN54" s="88">
        <f t="shared" ca="1" si="240"/>
        <v>0</v>
      </c>
      <c r="DO54" s="88">
        <f t="shared" ca="1" si="240"/>
        <v>0</v>
      </c>
      <c r="DP54" s="88">
        <f t="shared" ca="1" si="240"/>
        <v>0</v>
      </c>
      <c r="DQ54" s="88">
        <f t="shared" ca="1" si="240"/>
        <v>0</v>
      </c>
      <c r="DR54" s="88">
        <f t="shared" ca="1" si="240"/>
        <v>0</v>
      </c>
      <c r="DS54" s="88">
        <f t="shared" ca="1" si="240"/>
        <v>0</v>
      </c>
      <c r="DT54" s="88">
        <f t="shared" ca="1" si="240"/>
        <v>0</v>
      </c>
      <c r="DU54" s="88">
        <f t="shared" ca="1" si="241"/>
        <v>0</v>
      </c>
      <c r="DV54" s="88">
        <f t="shared" ca="1" si="241"/>
        <v>0</v>
      </c>
      <c r="DW54" s="88">
        <f t="shared" ca="1" si="241"/>
        <v>0</v>
      </c>
      <c r="DX54" s="88">
        <f t="shared" ca="1" si="241"/>
        <v>0</v>
      </c>
      <c r="DY54" s="88">
        <f t="shared" ca="1" si="241"/>
        <v>0</v>
      </c>
      <c r="DZ54" s="88">
        <f t="shared" ca="1" si="241"/>
        <v>0</v>
      </c>
      <c r="EA54" s="88">
        <f t="shared" ca="1" si="241"/>
        <v>0</v>
      </c>
      <c r="EB54" s="88">
        <f t="shared" ca="1" si="241"/>
        <v>0</v>
      </c>
      <c r="EC54" s="88">
        <f t="shared" ca="1" si="241"/>
        <v>0</v>
      </c>
      <c r="ED54" s="88">
        <f t="shared" ca="1" si="241"/>
        <v>0</v>
      </c>
      <c r="EE54" s="88">
        <f t="shared" ca="1" si="242"/>
        <v>0</v>
      </c>
      <c r="EF54" s="88">
        <f t="shared" ca="1" si="242"/>
        <v>0</v>
      </c>
      <c r="EG54" s="88">
        <f t="shared" ca="1" si="242"/>
        <v>0</v>
      </c>
      <c r="EH54" s="88">
        <f t="shared" ca="1" si="242"/>
        <v>0</v>
      </c>
      <c r="EI54" s="88">
        <f t="shared" ca="1" si="242"/>
        <v>0</v>
      </c>
      <c r="EJ54" s="88">
        <f t="shared" ca="1" si="242"/>
        <v>0</v>
      </c>
      <c r="EK54" s="88">
        <f t="shared" ca="1" si="242"/>
        <v>0</v>
      </c>
      <c r="EL54" s="88">
        <f t="shared" ca="1" si="242"/>
        <v>0</v>
      </c>
      <c r="EM54" s="88">
        <f t="shared" ca="1" si="242"/>
        <v>0</v>
      </c>
      <c r="EN54" s="88">
        <f t="shared" ca="1" si="242"/>
        <v>0</v>
      </c>
      <c r="EO54" s="88">
        <f t="shared" ca="1" si="242"/>
        <v>0</v>
      </c>
      <c r="EP54" s="88">
        <f t="shared" ca="1" si="242"/>
        <v>0</v>
      </c>
      <c r="EQ54" s="88">
        <f t="shared" ca="1" si="242"/>
        <v>0</v>
      </c>
      <c r="ER54" s="88">
        <f t="shared" ca="1" si="242"/>
        <v>0</v>
      </c>
      <c r="ES54" s="88">
        <f t="shared" ca="1" si="242"/>
        <v>0</v>
      </c>
      <c r="ET54" s="169"/>
      <c r="EU54" s="88">
        <f t="shared" ca="1" si="243"/>
        <v>0</v>
      </c>
      <c r="EV54" s="88">
        <f t="shared" ca="1" si="243"/>
        <v>0</v>
      </c>
      <c r="EW54" s="88">
        <f t="shared" ca="1" si="243"/>
        <v>0</v>
      </c>
      <c r="EX54" s="88">
        <f t="shared" ca="1" si="243"/>
        <v>0</v>
      </c>
      <c r="EY54" s="88">
        <f t="shared" ca="1" si="243"/>
        <v>0</v>
      </c>
      <c r="EZ54" s="88">
        <f t="shared" ca="1" si="243"/>
        <v>0</v>
      </c>
      <c r="FA54" s="88">
        <f t="shared" ca="1" si="243"/>
        <v>0</v>
      </c>
      <c r="FB54" s="88">
        <f t="shared" ca="1" si="243"/>
        <v>0</v>
      </c>
      <c r="FC54" s="88">
        <f t="shared" ca="1" si="243"/>
        <v>0</v>
      </c>
      <c r="FD54" s="88">
        <f t="shared" ca="1" si="243"/>
        <v>0</v>
      </c>
      <c r="FE54" s="88">
        <f t="shared" ca="1" si="244"/>
        <v>0</v>
      </c>
      <c r="FF54" s="88">
        <f t="shared" ca="1" si="244"/>
        <v>0</v>
      </c>
      <c r="FG54" s="88">
        <f t="shared" ca="1" si="244"/>
        <v>0</v>
      </c>
      <c r="FH54" s="88">
        <f t="shared" ca="1" si="244"/>
        <v>0</v>
      </c>
      <c r="FI54" s="88">
        <f t="shared" ca="1" si="244"/>
        <v>0</v>
      </c>
      <c r="FJ54" s="88">
        <f t="shared" ca="1" si="244"/>
        <v>0</v>
      </c>
      <c r="FK54" s="88">
        <f t="shared" ca="1" si="244"/>
        <v>0</v>
      </c>
      <c r="FL54" s="88">
        <f t="shared" ca="1" si="244"/>
        <v>0</v>
      </c>
      <c r="FM54" s="88">
        <f t="shared" ca="1" si="244"/>
        <v>0</v>
      </c>
      <c r="FN54" s="88">
        <f t="shared" ca="1" si="244"/>
        <v>0</v>
      </c>
      <c r="FO54" s="88">
        <f t="shared" ca="1" si="245"/>
        <v>0</v>
      </c>
      <c r="FP54" s="88">
        <f t="shared" ca="1" si="245"/>
        <v>0</v>
      </c>
      <c r="FQ54" s="88">
        <f t="shared" ca="1" si="245"/>
        <v>0</v>
      </c>
      <c r="FR54" s="88">
        <f t="shared" ca="1" si="245"/>
        <v>0</v>
      </c>
      <c r="FS54" s="88">
        <f t="shared" ca="1" si="245"/>
        <v>0</v>
      </c>
      <c r="FT54" s="88">
        <f t="shared" ca="1" si="245"/>
        <v>0</v>
      </c>
      <c r="FU54" s="88">
        <f t="shared" ca="1" si="245"/>
        <v>0</v>
      </c>
      <c r="FV54" s="88">
        <f t="shared" ca="1" si="245"/>
        <v>0</v>
      </c>
      <c r="FW54" s="88">
        <f t="shared" ca="1" si="245"/>
        <v>0</v>
      </c>
      <c r="FX54" s="88">
        <f t="shared" ca="1" si="245"/>
        <v>0</v>
      </c>
      <c r="FY54" s="88">
        <f t="shared" ca="1" si="245"/>
        <v>0</v>
      </c>
      <c r="FZ54" s="88">
        <f t="shared" ca="1" si="245"/>
        <v>0</v>
      </c>
      <c r="GA54" s="88">
        <f t="shared" ca="1" si="245"/>
        <v>0</v>
      </c>
      <c r="GB54" s="88">
        <f t="shared" ca="1" si="245"/>
        <v>0</v>
      </c>
      <c r="GC54" s="88">
        <f t="shared" ca="1" si="245"/>
        <v>0</v>
      </c>
      <c r="GD54" s="60"/>
    </row>
    <row r="55" spans="1:186" s="54" customFormat="1">
      <c r="A55" s="61"/>
      <c r="B55" s="100" t="str">
        <f t="shared" si="0"/>
        <v>Residential_High Efficiency HVAC_0_Heat Pump SEER ≥15, EER ≥12.5, HSPF ≥8.5 Replace Electric Furnace_2017</v>
      </c>
      <c r="C55" s="100">
        <f>INDEX('Measure Inputs'!$D:$D,MATCH($B55,'Measure Inputs'!$B:$B,0))</f>
        <v>7</v>
      </c>
      <c r="D55" s="101" t="s">
        <v>2</v>
      </c>
      <c r="E55" s="101" t="s">
        <v>250</v>
      </c>
      <c r="F55" s="101">
        <v>0</v>
      </c>
      <c r="G55" s="101" t="s">
        <v>520</v>
      </c>
      <c r="H55" s="101">
        <v>2017</v>
      </c>
      <c r="I55" s="55"/>
      <c r="J55" s="58">
        <f t="shared" ca="1" si="229"/>
        <v>1.3915119924118184</v>
      </c>
      <c r="K55" s="58">
        <f t="shared" ca="1" si="246"/>
        <v>4.2246304089622804</v>
      </c>
      <c r="L55" s="58">
        <f t="shared" ca="1" si="230"/>
        <v>4.6098511815186738</v>
      </c>
      <c r="M55" s="58">
        <f t="shared" ca="1" si="231"/>
        <v>1.7988398437890158</v>
      </c>
      <c r="N55" s="58">
        <f t="shared" ca="1" si="232"/>
        <v>0.30185616359819178</v>
      </c>
      <c r="O55" s="55"/>
      <c r="P55" s="175">
        <f ca="1">IFERROR(($AW55+AV55)/SUMPRODUCT($CA55:$DI55,'General Inputs'!$F$51:$AN$51),"n/a")</f>
        <v>9.6731089008073815E-3</v>
      </c>
      <c r="Q55" s="175">
        <f t="shared" ca="1" si="233"/>
        <v>9.3173015613425128E-2</v>
      </c>
      <c r="R55" s="56">
        <f t="shared" ca="1" si="247"/>
        <v>1738.7008345006038</v>
      </c>
      <c r="S55" s="55"/>
      <c r="T55" s="56">
        <f ca="1">INDEX(OFFSET('Measure Inputs'!$L$7,,,InputRows),$C55)</f>
        <v>6</v>
      </c>
      <c r="U55" s="134">
        <f ca="1">INDEX(OFFSET('Measure Inputs'!$T$7,,,InputRows),$C55)</f>
        <v>1</v>
      </c>
      <c r="V55" s="134">
        <f ca="1">INDEX(OFFSET('Measure Inputs'!$U$7,,,InputRows),$C55)</f>
        <v>1</v>
      </c>
      <c r="W55" s="55"/>
      <c r="X55" s="96">
        <f ca="1">INDEX(OFFSET('Measure Inputs'!$V$7,,,InputRows),$C55)*$T55*$V55*$U55</f>
        <v>96594.49080558907</v>
      </c>
      <c r="Y55" s="96">
        <f ca="1">INDEX(OFFSET('Measure Inputs'!$W$7,,,InputRows),$C55)*$T55*$V55*$U55</f>
        <v>38.458209418664822</v>
      </c>
      <c r="Z55" s="96">
        <f ca="1">INDEX(OFFSET('Measure Inputs'!$X$7,,,InputRows),$C55)*$T55*$V55*$U55</f>
        <v>0</v>
      </c>
      <c r="AA55" s="55"/>
      <c r="AB55" s="96">
        <f ca="1">INDEX(OFFSET('Measure Inputs'!$Z$7,,,InputRows),$C55)*$T55*$V55*$U55</f>
        <v>0</v>
      </c>
      <c r="AC55" s="96">
        <f ca="1">INDEX(OFFSET('Measure Inputs'!$AA$7,,,InputRows),$C55)*$T55*$V55*$U55</f>
        <v>0</v>
      </c>
      <c r="AD55" s="96">
        <f ca="1">INDEX(OFFSET('Measure Inputs'!$AB$7,,,InputRows),$C55)*$T55*$V55*$U55</f>
        <v>0</v>
      </c>
      <c r="AE55" s="55"/>
      <c r="AF55" s="57">
        <f ca="1">INDEX(OFFSET('Measure Inputs'!$Q$7,,,InputRows),$C55)*$T55</f>
        <v>0</v>
      </c>
      <c r="AG55" s="57">
        <f ca="1">INDEX(OFFSET('Measure Inputs'!$P$7,,,InputRows),$C55)*$T55*$V55</f>
        <v>27324</v>
      </c>
      <c r="AH55" s="57">
        <f ca="1">INDEX(OFFSET('Measure Inputs'!$R$7,,,InputRows),$C55)*$T55*$V55</f>
        <v>0</v>
      </c>
      <c r="AI55" s="57">
        <f ca="1">INDEX(OFFSET('Measure Inputs'!$O$7,,,InputRows),$C55)*$T55</f>
        <v>9000</v>
      </c>
      <c r="AJ55" s="57">
        <f ca="1">INDEX(OFFSET('Measure Inputs'!$S$7,,,InputRows),$C55)*$T55</f>
        <v>0</v>
      </c>
      <c r="AK55" s="63">
        <f ca="1">INDEX(OFFSET('Measure Inputs'!$M$7,,,InputRows),$C55)</f>
        <v>18</v>
      </c>
      <c r="AL55" s="88">
        <f ca="1">INDEX(OFFSET('Measure Inputs'!$N$7,,,InputRows),$C55)</f>
        <v>0</v>
      </c>
      <c r="AM55" s="57">
        <f ca="1">SUMIFS(OFFSET('Program Inputs'!$N$5,,,TotalPrograms),OFFSET('Program Inputs'!$B$5,,,TotalPrograms),SUBSTITUTE($B55,"All","*"))+AF55</f>
        <v>0</v>
      </c>
      <c r="AN55" s="57">
        <f t="shared" ca="1" si="248"/>
        <v>9000</v>
      </c>
      <c r="AO55" s="55"/>
      <c r="AP55" s="59">
        <f t="shared" ca="1" si="249"/>
        <v>38021.673680660526</v>
      </c>
      <c r="AQ55" s="59">
        <f t="shared" ca="1" si="250"/>
        <v>27324</v>
      </c>
      <c r="AR55" s="59">
        <f ca="1">SUMPRODUCT($CA55:$DI55,'General Inputs'!$F$32:$AN$32,'General Inputs'!$F$51:$AN$51)/(1-Loss_ElectricEnergy)</f>
        <v>29557.296553836037</v>
      </c>
      <c r="AS55" s="59">
        <f ca="1">SUMPRODUCT($DK55:$ES55,'General Inputs'!$F$33:$AN$33,'General Inputs'!$F$51:$AN$51)/(1-Loss_ElectricDemand)</f>
        <v>8464.3771268244909</v>
      </c>
      <c r="AT55" s="59">
        <f ca="1">SUMPRODUCT($EU55:$GC55,'General Inputs'!$F$34:$AN$34,'General Inputs'!$F$51:$AN$51)/(1-Loss_GasEnergy)</f>
        <v>0</v>
      </c>
      <c r="AU55" s="59">
        <f ca="1">INDEX('General Inputs'!$F$51:$AN$51,MATCH($H55,'General Inputs'!$F$50:$AN$50,0))*$AJ55</f>
        <v>0</v>
      </c>
      <c r="AV55" s="59">
        <f ca="1">INDEX('General Inputs'!$F$51:$AN$51,MATCH($H55,'General Inputs'!$F$50:$AN$50,0))*$AI55</f>
        <v>9000</v>
      </c>
      <c r="AW55" s="59">
        <f ca="1">INDEX('General Inputs'!$F$51:$AN$51,MATCH($H55,'General Inputs'!$F$50:$AN$50,0))*$AM55</f>
        <v>0</v>
      </c>
      <c r="AX55" s="59">
        <f ca="1">SUM(INDEX('General Inputs'!$F$51:$AN$51,MATCH($H55,'General Inputs'!$F$50:$AN$50,0))*$AG55,INDEX('General Inputs'!$F$51:$AN$51,MATCH($H55+$AL55,'General Inputs'!$F$50:$AN$50,0))*-$AH55)</f>
        <v>27324</v>
      </c>
      <c r="AY55" s="55"/>
      <c r="AZ55" s="59">
        <f ca="1">SUMPRODUCT($CA55:$DI55,'General Inputs'!$F$32:$AN$32,'General Inputs'!$F$52:$AN$52)/(1-Loss_ElectricEnergy)</f>
        <v>29557.296553836037</v>
      </c>
      <c r="BA55" s="59">
        <f ca="1">SUMPRODUCT($DK55:$ES55,'General Inputs'!$F$33:$AN$33,'General Inputs'!$F$52:$AN$52)/(1-Loss_ElectricDemand)</f>
        <v>8464.3771268244909</v>
      </c>
      <c r="BB55" s="59">
        <f ca="1">SUMPRODUCT($EU55:$GC55,'General Inputs'!$F$34:$AN$34,'General Inputs'!$F$52:$AN$52)/(1-Loss_GasEnergy)</f>
        <v>0</v>
      </c>
      <c r="BC55" s="59">
        <f ca="1">INDEX('General Inputs'!$F$52:$AN$52,MATCH($H55,'General Inputs'!$F$50:$AN$50,0))*$AI55</f>
        <v>9000</v>
      </c>
      <c r="BD55" s="59">
        <f ca="1">INDEX('General Inputs'!$F$52:$AN$52,MATCH($H55,'General Inputs'!$F$50:$AN$50,0))*$AM55</f>
        <v>0</v>
      </c>
      <c r="BE55" s="55"/>
      <c r="BF55" s="59">
        <f ca="1">SUMPRODUCT($CA55:$DI55,OFFSET('General Inputs'!$F$40:$AN$40,MATCH($D55&amp;" Electric ($/kWh)",'General Inputs'!$E$40:$E$46,0),),'General Inputs'!$F$54:$AN$54)</f>
        <v>116959.57368381624</v>
      </c>
      <c r="BG55" s="59">
        <f ca="1">SUMPRODUCT($EU55:$GC55,OFFSET('General Inputs'!$F$40:$AN$40,MATCH($D55&amp;" Natural Gas ($/therm)",'General Inputs'!$E$40:$E$46,0),),'General Inputs'!$F$54:$AN$54)</f>
        <v>0</v>
      </c>
      <c r="BH55" s="59">
        <f ca="1">INDEX('General Inputs'!$F$54:$AN$54,MATCH($H55,'General Inputs'!$F$50:$AN$50,0))*$AI55</f>
        <v>9000</v>
      </c>
      <c r="BI55" s="59">
        <f ca="1">SUM(INDEX('General Inputs'!$F$54:$AN$54,MATCH($H55,'General Inputs'!$F$50:$AN$50,0))*$AG55,INDEX('General Inputs'!$F$51:$AN$51,MATCH($H55+$AL55,'General Inputs'!$F$50:$AN$50,0))*-$AH55)</f>
        <v>27324</v>
      </c>
      <c r="BJ55" s="55"/>
      <c r="BK55" s="59">
        <f ca="1">SUMPRODUCT($CA55:$DI55,'General Inputs'!$F$32:$AN$32,'General Inputs'!$F$53:$AN$53)/(1-Loss_ElectricEnergy)</f>
        <v>29557.296553836037</v>
      </c>
      <c r="BL55" s="59">
        <f ca="1">SUMPRODUCT($DK55:$ES55,'General Inputs'!$F$33:$AN$33,'General Inputs'!$F$53:$AN$53)/(1-Loss_ElectricDemand)</f>
        <v>8464.3771268244909</v>
      </c>
      <c r="BM55" s="59">
        <f ca="1">SUMPRODUCT($EU55:$GC55,'General Inputs'!$F$34:$AN$34,'General Inputs'!$F$53:$AN$53)/(1-Loss_GasEnergy)</f>
        <v>0</v>
      </c>
      <c r="BN55" s="59">
        <f ca="1">INDEX('General Inputs'!$F$53:$AN$53,MATCH($H55,'General Inputs'!$F$50:$AN$50,0))*$AJ55</f>
        <v>0</v>
      </c>
      <c r="BO55" s="59">
        <f ca="1">SUMPRODUCT($CA55:$DI55,'General Inputs'!$F$35:$AN$35,'General Inputs'!$F$53:$AN$53)/(1-Loss_ElectricEnergy)</f>
        <v>11129.826211030544</v>
      </c>
      <c r="BP55" s="59">
        <f ca="1">INDEX('General Inputs'!$F$51:$AN$51,MATCH($H55,'General Inputs'!$F$50:$AN$50,0))*$AM55</f>
        <v>0</v>
      </c>
      <c r="BQ55" s="59">
        <f ca="1">SUM(INDEX('General Inputs'!$F$53:$AN$53,MATCH($H55,'General Inputs'!$F$50:$AN$50,0))*$AG55,INDEX('General Inputs'!$F$53:$AN$53,MATCH($H55+$AL55,'General Inputs'!$F$50:$AN$50,0))*-$AH55)</f>
        <v>27324</v>
      </c>
      <c r="BR55" s="55"/>
      <c r="BS55" s="59">
        <f ca="1">SUMPRODUCT($CA55:$DI55,'General Inputs'!$F$32:$AN$32,'General Inputs'!$F$55:$AN$55)/(1-Loss_ElectricEnergy)</f>
        <v>29557.296553836037</v>
      </c>
      <c r="BT55" s="59">
        <f ca="1">SUMPRODUCT($DK55:$ES55,'General Inputs'!$F$33:$AN$33,'General Inputs'!$F$55:$AN$55)/(1-Loss_ElectricDemand)</f>
        <v>8464.3771268244909</v>
      </c>
      <c r="BU55" s="59">
        <f ca="1">SUMPRODUCT($EU55:$GC55,'General Inputs'!$F$34:$AN$34,'General Inputs'!$F$55:$AN$55)/(1-Loss_GasEnergy)</f>
        <v>0</v>
      </c>
      <c r="BV55" s="59">
        <f ca="1">SUMPRODUCT($CA55:$DI55,OFFSET('General Inputs'!$F$40:$AN$40,MATCH($D55&amp;" Electric ($/kWh)",'General Inputs'!$E$40:$E$46,0),),'General Inputs'!$F$55:$AN$55)</f>
        <v>116959.57368381624</v>
      </c>
      <c r="BW55" s="59">
        <f ca="1">SUMPRODUCT($EU55:$GC55,OFFSET('General Inputs'!$F$40:$AN$40,MATCH($D55&amp;" Natural Gas ($/therm)",'General Inputs'!$E$40:$E$46,0),),'General Inputs'!$F$55:$AN$55)</f>
        <v>0</v>
      </c>
      <c r="BX55" s="59">
        <f ca="1">INDEX('General Inputs'!$F$55:$AN$55,MATCH($H55,'General Inputs'!$F$50:$AN$50,0))*$AI55</f>
        <v>9000</v>
      </c>
      <c r="BY55" s="59">
        <f ca="1">INDEX('General Inputs'!$F$51:$AN$51,MATCH($H55,'General Inputs'!$F$50:$AN$50,0))*$AM55</f>
        <v>0</v>
      </c>
      <c r="BZ55" s="55"/>
      <c r="CA55" s="88">
        <f t="shared" ca="1" si="237"/>
        <v>96594.49080558907</v>
      </c>
      <c r="CB55" s="88">
        <f t="shared" ca="1" si="237"/>
        <v>96594.49080558907</v>
      </c>
      <c r="CC55" s="88">
        <f t="shared" ca="1" si="237"/>
        <v>96594.49080558907</v>
      </c>
      <c r="CD55" s="88">
        <f t="shared" ca="1" si="237"/>
        <v>96594.49080558907</v>
      </c>
      <c r="CE55" s="88">
        <f t="shared" ca="1" si="237"/>
        <v>96594.49080558907</v>
      </c>
      <c r="CF55" s="88">
        <f t="shared" ca="1" si="237"/>
        <v>96594.49080558907</v>
      </c>
      <c r="CG55" s="88">
        <f t="shared" ca="1" si="237"/>
        <v>96594.49080558907</v>
      </c>
      <c r="CH55" s="88">
        <f t="shared" ca="1" si="237"/>
        <v>96594.49080558907</v>
      </c>
      <c r="CI55" s="88">
        <f t="shared" ca="1" si="237"/>
        <v>96594.49080558907</v>
      </c>
      <c r="CJ55" s="88">
        <f t="shared" ca="1" si="237"/>
        <v>96594.49080558907</v>
      </c>
      <c r="CK55" s="88">
        <f t="shared" ca="1" si="238"/>
        <v>96594.49080558907</v>
      </c>
      <c r="CL55" s="88">
        <f t="shared" ca="1" si="238"/>
        <v>96594.49080558907</v>
      </c>
      <c r="CM55" s="88">
        <f t="shared" ca="1" si="238"/>
        <v>96594.49080558907</v>
      </c>
      <c r="CN55" s="88">
        <f t="shared" ca="1" si="238"/>
        <v>96594.49080558907</v>
      </c>
      <c r="CO55" s="88">
        <f t="shared" ca="1" si="238"/>
        <v>96594.49080558907</v>
      </c>
      <c r="CP55" s="88">
        <f t="shared" ca="1" si="238"/>
        <v>96594.49080558907</v>
      </c>
      <c r="CQ55" s="88">
        <f t="shared" ca="1" si="238"/>
        <v>96594.49080558907</v>
      </c>
      <c r="CR55" s="88">
        <f t="shared" ca="1" si="238"/>
        <v>96594.49080558907</v>
      </c>
      <c r="CS55" s="88">
        <f t="shared" ca="1" si="238"/>
        <v>0</v>
      </c>
      <c r="CT55" s="88">
        <f t="shared" ca="1" si="238"/>
        <v>0</v>
      </c>
      <c r="CU55" s="88">
        <f t="shared" ca="1" si="239"/>
        <v>0</v>
      </c>
      <c r="CV55" s="88">
        <f t="shared" ca="1" si="239"/>
        <v>0</v>
      </c>
      <c r="CW55" s="88">
        <f t="shared" ca="1" si="239"/>
        <v>0</v>
      </c>
      <c r="CX55" s="88">
        <f t="shared" ca="1" si="239"/>
        <v>0</v>
      </c>
      <c r="CY55" s="88">
        <f t="shared" ca="1" si="239"/>
        <v>0</v>
      </c>
      <c r="CZ55" s="88">
        <f t="shared" ca="1" si="239"/>
        <v>0</v>
      </c>
      <c r="DA55" s="88">
        <f t="shared" ca="1" si="239"/>
        <v>0</v>
      </c>
      <c r="DB55" s="88">
        <f t="shared" ca="1" si="239"/>
        <v>0</v>
      </c>
      <c r="DC55" s="88">
        <f t="shared" ca="1" si="239"/>
        <v>0</v>
      </c>
      <c r="DD55" s="88">
        <f t="shared" ca="1" si="239"/>
        <v>0</v>
      </c>
      <c r="DE55" s="88">
        <f t="shared" ca="1" si="239"/>
        <v>0</v>
      </c>
      <c r="DF55" s="88">
        <f t="shared" ca="1" si="239"/>
        <v>0</v>
      </c>
      <c r="DG55" s="88">
        <f t="shared" ca="1" si="239"/>
        <v>0</v>
      </c>
      <c r="DH55" s="88">
        <f t="shared" ca="1" si="239"/>
        <v>0</v>
      </c>
      <c r="DI55" s="88">
        <f t="shared" ca="1" si="239"/>
        <v>0</v>
      </c>
      <c r="DJ55" s="169"/>
      <c r="DK55" s="88">
        <f t="shared" ca="1" si="240"/>
        <v>38.458209418664822</v>
      </c>
      <c r="DL55" s="88">
        <f t="shared" ca="1" si="240"/>
        <v>38.458209418664822</v>
      </c>
      <c r="DM55" s="88">
        <f t="shared" ca="1" si="240"/>
        <v>38.458209418664822</v>
      </c>
      <c r="DN55" s="88">
        <f t="shared" ca="1" si="240"/>
        <v>38.458209418664822</v>
      </c>
      <c r="DO55" s="88">
        <f t="shared" ca="1" si="240"/>
        <v>38.458209418664822</v>
      </c>
      <c r="DP55" s="88">
        <f t="shared" ca="1" si="240"/>
        <v>38.458209418664822</v>
      </c>
      <c r="DQ55" s="88">
        <f t="shared" ca="1" si="240"/>
        <v>38.458209418664822</v>
      </c>
      <c r="DR55" s="88">
        <f t="shared" ca="1" si="240"/>
        <v>38.458209418664822</v>
      </c>
      <c r="DS55" s="88">
        <f t="shared" ca="1" si="240"/>
        <v>38.458209418664822</v>
      </c>
      <c r="DT55" s="88">
        <f t="shared" ca="1" si="240"/>
        <v>38.458209418664822</v>
      </c>
      <c r="DU55" s="88">
        <f t="shared" ca="1" si="241"/>
        <v>38.458209418664822</v>
      </c>
      <c r="DV55" s="88">
        <f t="shared" ca="1" si="241"/>
        <v>38.458209418664822</v>
      </c>
      <c r="DW55" s="88">
        <f t="shared" ca="1" si="241"/>
        <v>38.458209418664822</v>
      </c>
      <c r="DX55" s="88">
        <f t="shared" ca="1" si="241"/>
        <v>38.458209418664822</v>
      </c>
      <c r="DY55" s="88">
        <f t="shared" ca="1" si="241"/>
        <v>38.458209418664822</v>
      </c>
      <c r="DZ55" s="88">
        <f t="shared" ca="1" si="241"/>
        <v>38.458209418664822</v>
      </c>
      <c r="EA55" s="88">
        <f t="shared" ca="1" si="241"/>
        <v>38.458209418664822</v>
      </c>
      <c r="EB55" s="88">
        <f t="shared" ca="1" si="241"/>
        <v>38.458209418664822</v>
      </c>
      <c r="EC55" s="88">
        <f t="shared" ca="1" si="241"/>
        <v>0</v>
      </c>
      <c r="ED55" s="88">
        <f t="shared" ca="1" si="241"/>
        <v>0</v>
      </c>
      <c r="EE55" s="88">
        <f t="shared" ca="1" si="242"/>
        <v>0</v>
      </c>
      <c r="EF55" s="88">
        <f t="shared" ca="1" si="242"/>
        <v>0</v>
      </c>
      <c r="EG55" s="88">
        <f t="shared" ca="1" si="242"/>
        <v>0</v>
      </c>
      <c r="EH55" s="88">
        <f t="shared" ca="1" si="242"/>
        <v>0</v>
      </c>
      <c r="EI55" s="88">
        <f t="shared" ca="1" si="242"/>
        <v>0</v>
      </c>
      <c r="EJ55" s="88">
        <f t="shared" ca="1" si="242"/>
        <v>0</v>
      </c>
      <c r="EK55" s="88">
        <f t="shared" ca="1" si="242"/>
        <v>0</v>
      </c>
      <c r="EL55" s="88">
        <f t="shared" ca="1" si="242"/>
        <v>0</v>
      </c>
      <c r="EM55" s="88">
        <f t="shared" ca="1" si="242"/>
        <v>0</v>
      </c>
      <c r="EN55" s="88">
        <f t="shared" ca="1" si="242"/>
        <v>0</v>
      </c>
      <c r="EO55" s="88">
        <f t="shared" ca="1" si="242"/>
        <v>0</v>
      </c>
      <c r="EP55" s="88">
        <f t="shared" ca="1" si="242"/>
        <v>0</v>
      </c>
      <c r="EQ55" s="88">
        <f t="shared" ca="1" si="242"/>
        <v>0</v>
      </c>
      <c r="ER55" s="88">
        <f t="shared" ca="1" si="242"/>
        <v>0</v>
      </c>
      <c r="ES55" s="88">
        <f t="shared" ca="1" si="242"/>
        <v>0</v>
      </c>
      <c r="ET55" s="169"/>
      <c r="EU55" s="88">
        <f t="shared" ca="1" si="243"/>
        <v>0</v>
      </c>
      <c r="EV55" s="88">
        <f t="shared" ca="1" si="243"/>
        <v>0</v>
      </c>
      <c r="EW55" s="88">
        <f t="shared" ca="1" si="243"/>
        <v>0</v>
      </c>
      <c r="EX55" s="88">
        <f t="shared" ca="1" si="243"/>
        <v>0</v>
      </c>
      <c r="EY55" s="88">
        <f t="shared" ca="1" si="243"/>
        <v>0</v>
      </c>
      <c r="EZ55" s="88">
        <f t="shared" ca="1" si="243"/>
        <v>0</v>
      </c>
      <c r="FA55" s="88">
        <f t="shared" ca="1" si="243"/>
        <v>0</v>
      </c>
      <c r="FB55" s="88">
        <f t="shared" ca="1" si="243"/>
        <v>0</v>
      </c>
      <c r="FC55" s="88">
        <f t="shared" ca="1" si="243"/>
        <v>0</v>
      </c>
      <c r="FD55" s="88">
        <f t="shared" ca="1" si="243"/>
        <v>0</v>
      </c>
      <c r="FE55" s="88">
        <f t="shared" ca="1" si="244"/>
        <v>0</v>
      </c>
      <c r="FF55" s="88">
        <f t="shared" ca="1" si="244"/>
        <v>0</v>
      </c>
      <c r="FG55" s="88">
        <f t="shared" ca="1" si="244"/>
        <v>0</v>
      </c>
      <c r="FH55" s="88">
        <f t="shared" ca="1" si="244"/>
        <v>0</v>
      </c>
      <c r="FI55" s="88">
        <f t="shared" ca="1" si="244"/>
        <v>0</v>
      </c>
      <c r="FJ55" s="88">
        <f t="shared" ca="1" si="244"/>
        <v>0</v>
      </c>
      <c r="FK55" s="88">
        <f t="shared" ca="1" si="244"/>
        <v>0</v>
      </c>
      <c r="FL55" s="88">
        <f t="shared" ca="1" si="244"/>
        <v>0</v>
      </c>
      <c r="FM55" s="88">
        <f t="shared" ca="1" si="244"/>
        <v>0</v>
      </c>
      <c r="FN55" s="88">
        <f t="shared" ca="1" si="244"/>
        <v>0</v>
      </c>
      <c r="FO55" s="88">
        <f t="shared" ca="1" si="245"/>
        <v>0</v>
      </c>
      <c r="FP55" s="88">
        <f t="shared" ca="1" si="245"/>
        <v>0</v>
      </c>
      <c r="FQ55" s="88">
        <f t="shared" ca="1" si="245"/>
        <v>0</v>
      </c>
      <c r="FR55" s="88">
        <f t="shared" ca="1" si="245"/>
        <v>0</v>
      </c>
      <c r="FS55" s="88">
        <f t="shared" ca="1" si="245"/>
        <v>0</v>
      </c>
      <c r="FT55" s="88">
        <f t="shared" ca="1" si="245"/>
        <v>0</v>
      </c>
      <c r="FU55" s="88">
        <f t="shared" ca="1" si="245"/>
        <v>0</v>
      </c>
      <c r="FV55" s="88">
        <f t="shared" ca="1" si="245"/>
        <v>0</v>
      </c>
      <c r="FW55" s="88">
        <f t="shared" ca="1" si="245"/>
        <v>0</v>
      </c>
      <c r="FX55" s="88">
        <f t="shared" ca="1" si="245"/>
        <v>0</v>
      </c>
      <c r="FY55" s="88">
        <f t="shared" ca="1" si="245"/>
        <v>0</v>
      </c>
      <c r="FZ55" s="88">
        <f t="shared" ca="1" si="245"/>
        <v>0</v>
      </c>
      <c r="GA55" s="88">
        <f t="shared" ca="1" si="245"/>
        <v>0</v>
      </c>
      <c r="GB55" s="88">
        <f t="shared" ca="1" si="245"/>
        <v>0</v>
      </c>
      <c r="GC55" s="88">
        <f t="shared" ca="1" si="245"/>
        <v>0</v>
      </c>
      <c r="GD55" s="60"/>
    </row>
    <row r="56" spans="1:186" s="54" customFormat="1">
      <c r="A56" s="61"/>
      <c r="B56" s="100" t="str">
        <f t="shared" si="0"/>
        <v>Residential_High Efficiency HVAC_0_CAC SEER ≥15, EER ≥12.5_2017</v>
      </c>
      <c r="C56" s="100">
        <f>INDEX('Measure Inputs'!$D:$D,MATCH($B56,'Measure Inputs'!$B:$B,0))</f>
        <v>8</v>
      </c>
      <c r="D56" s="101" t="s">
        <v>2</v>
      </c>
      <c r="E56" s="101" t="s">
        <v>250</v>
      </c>
      <c r="F56" s="101">
        <v>0</v>
      </c>
      <c r="G56" s="101" t="s">
        <v>521</v>
      </c>
      <c r="H56" s="101">
        <v>2017</v>
      </c>
      <c r="I56" s="55"/>
      <c r="J56" s="58">
        <f t="shared" ca="1" si="229"/>
        <v>1.1645858739610284</v>
      </c>
      <c r="K56" s="58">
        <f t="shared" ca="1" si="246"/>
        <v>0.69875152437661703</v>
      </c>
      <c r="L56" s="58">
        <f t="shared" ca="1" si="230"/>
        <v>4.1214447778515426</v>
      </c>
      <c r="M56" s="58">
        <f t="shared" ca="1" si="231"/>
        <v>1.3981815763358392</v>
      </c>
      <c r="N56" s="58">
        <f t="shared" ca="1" si="232"/>
        <v>0.28256738516052915</v>
      </c>
      <c r="O56" s="55"/>
      <c r="P56" s="175">
        <f ca="1">IFERROR(($AW56+AV56)/SUMPRODUCT($CA56:$DI56,'General Inputs'!$F$51:$AN$51),"n/a")</f>
        <v>8.5348491948752797E-2</v>
      </c>
      <c r="Q56" s="175">
        <f t="shared" ca="1" si="233"/>
        <v>0.82209106239460328</v>
      </c>
      <c r="R56" s="56">
        <f t="shared" ca="1" si="247"/>
        <v>197.05846153846164</v>
      </c>
      <c r="S56" s="55"/>
      <c r="T56" s="56">
        <f ca="1">INDEX(OFFSET('Measure Inputs'!$L$7,,,InputRows),$C56)</f>
        <v>50</v>
      </c>
      <c r="U56" s="134">
        <f ca="1">INDEX(OFFSET('Measure Inputs'!$T$7,,,InputRows),$C56)</f>
        <v>1</v>
      </c>
      <c r="V56" s="134">
        <f ca="1">INDEX(OFFSET('Measure Inputs'!$U$7,,,InputRows),$C56)</f>
        <v>1</v>
      </c>
      <c r="W56" s="55"/>
      <c r="X56" s="96">
        <f ca="1">INDEX(OFFSET('Measure Inputs'!$V$7,,,InputRows),$C56)*$T56*$V56*$U56</f>
        <v>10947.692307692314</v>
      </c>
      <c r="Y56" s="96">
        <f ca="1">INDEX(OFFSET('Measure Inputs'!$W$7,,,InputRows),$C56)*$T56*$V56*$U56</f>
        <v>13.352727272727275</v>
      </c>
      <c r="Z56" s="96">
        <f ca="1">INDEX(OFFSET('Measure Inputs'!$X$7,,,InputRows),$C56)*$T56*$V56*$U56</f>
        <v>0</v>
      </c>
      <c r="AA56" s="55"/>
      <c r="AB56" s="96">
        <f ca="1">INDEX(OFFSET('Measure Inputs'!$Z$7,,,InputRows),$C56)*$T56*$V56*$U56</f>
        <v>0</v>
      </c>
      <c r="AC56" s="96">
        <f ca="1">INDEX(OFFSET('Measure Inputs'!$AA$7,,,InputRows),$C56)*$T56*$V56*$U56</f>
        <v>0</v>
      </c>
      <c r="AD56" s="96">
        <f ca="1">INDEX(OFFSET('Measure Inputs'!$AB$7,,,InputRows),$C56)*$T56*$V56*$U56</f>
        <v>0</v>
      </c>
      <c r="AE56" s="55"/>
      <c r="AF56" s="57">
        <f ca="1">INDEX(OFFSET('Measure Inputs'!$Q$7,,,InputRows),$C56)*$T56</f>
        <v>0</v>
      </c>
      <c r="AG56" s="57">
        <f ca="1">INDEX(OFFSET('Measure Inputs'!$P$7,,,InputRows),$C56)*$T56*$V56</f>
        <v>5400</v>
      </c>
      <c r="AH56" s="57">
        <f ca="1">INDEX(OFFSET('Measure Inputs'!$R$7,,,InputRows),$C56)*$T56*$V56</f>
        <v>0</v>
      </c>
      <c r="AI56" s="57">
        <f ca="1">INDEX(OFFSET('Measure Inputs'!$O$7,,,InputRows),$C56)*$T56</f>
        <v>9000</v>
      </c>
      <c r="AJ56" s="57">
        <f ca="1">INDEX(OFFSET('Measure Inputs'!$S$7,,,InputRows),$C56)*$T56</f>
        <v>0</v>
      </c>
      <c r="AK56" s="63">
        <f ca="1">INDEX(OFFSET('Measure Inputs'!$M$7,,,InputRows),$C56)</f>
        <v>18</v>
      </c>
      <c r="AL56" s="88">
        <f ca="1">INDEX(OFFSET('Measure Inputs'!$N$7,,,InputRows),$C56)</f>
        <v>0</v>
      </c>
      <c r="AM56" s="57">
        <f ca="1">SUMIFS(OFFSET('Program Inputs'!$N$5,,,TotalPrograms),OFFSET('Program Inputs'!$B$5,,,TotalPrograms),SUBSTITUTE($B56,"All","*"))+AF56</f>
        <v>0</v>
      </c>
      <c r="AN56" s="57">
        <f t="shared" ca="1" si="248"/>
        <v>9000</v>
      </c>
      <c r="AO56" s="55"/>
      <c r="AP56" s="59">
        <f t="shared" ca="1" si="249"/>
        <v>6288.7637193895534</v>
      </c>
      <c r="AQ56" s="59">
        <f t="shared" ca="1" si="250"/>
        <v>5400</v>
      </c>
      <c r="AR56" s="59">
        <f ca="1">SUMPRODUCT($CA56:$DI56,'General Inputs'!$F$32:$AN$32,'General Inputs'!$F$51:$AN$51)/(1-Loss_ElectricEnergy)</f>
        <v>3349.9238457592073</v>
      </c>
      <c r="AS56" s="59">
        <f ca="1">SUMPRODUCT($DK56:$ES56,'General Inputs'!$F$33:$AN$33,'General Inputs'!$F$51:$AN$51)/(1-Loss_ElectricDemand)</f>
        <v>2938.8398736303466</v>
      </c>
      <c r="AT56" s="59">
        <f ca="1">SUMPRODUCT($EU56:$GC56,'General Inputs'!$F$34:$AN$34,'General Inputs'!$F$51:$AN$51)/(1-Loss_GasEnergy)</f>
        <v>0</v>
      </c>
      <c r="AU56" s="59">
        <f ca="1">INDEX('General Inputs'!$F$51:$AN$51,MATCH($H56,'General Inputs'!$F$50:$AN$50,0))*$AJ56</f>
        <v>0</v>
      </c>
      <c r="AV56" s="59">
        <f ca="1">INDEX('General Inputs'!$F$51:$AN$51,MATCH($H56,'General Inputs'!$F$50:$AN$50,0))*$AI56</f>
        <v>9000</v>
      </c>
      <c r="AW56" s="59">
        <f ca="1">INDEX('General Inputs'!$F$51:$AN$51,MATCH($H56,'General Inputs'!$F$50:$AN$50,0))*$AM56</f>
        <v>0</v>
      </c>
      <c r="AX56" s="59">
        <f ca="1">SUM(INDEX('General Inputs'!$F$51:$AN$51,MATCH($H56,'General Inputs'!$F$50:$AN$50,0))*$AG56,INDEX('General Inputs'!$F$51:$AN$51,MATCH($H56+$AL56,'General Inputs'!$F$50:$AN$50,0))*-$AH56)</f>
        <v>5400</v>
      </c>
      <c r="AY56" s="55"/>
      <c r="AZ56" s="59">
        <f ca="1">SUMPRODUCT($CA56:$DI56,'General Inputs'!$F$32:$AN$32,'General Inputs'!$F$52:$AN$52)/(1-Loss_ElectricEnergy)</f>
        <v>3349.9238457592073</v>
      </c>
      <c r="BA56" s="59">
        <f ca="1">SUMPRODUCT($DK56:$ES56,'General Inputs'!$F$33:$AN$33,'General Inputs'!$F$52:$AN$52)/(1-Loss_ElectricDemand)</f>
        <v>2938.8398736303466</v>
      </c>
      <c r="BB56" s="59">
        <f ca="1">SUMPRODUCT($EU56:$GC56,'General Inputs'!$F$34:$AN$34,'General Inputs'!$F$52:$AN$52)/(1-Loss_GasEnergy)</f>
        <v>0</v>
      </c>
      <c r="BC56" s="59">
        <f ca="1">INDEX('General Inputs'!$F$52:$AN$52,MATCH($H56,'General Inputs'!$F$50:$AN$50,0))*$AI56</f>
        <v>9000</v>
      </c>
      <c r="BD56" s="59">
        <f ca="1">INDEX('General Inputs'!$F$52:$AN$52,MATCH($H56,'General Inputs'!$F$50:$AN$50,0))*$AM56</f>
        <v>0</v>
      </c>
      <c r="BE56" s="55"/>
      <c r="BF56" s="59">
        <f ca="1">SUMPRODUCT($CA56:$DI56,OFFSET('General Inputs'!$F$40:$AN$40,MATCH($D56&amp;" Electric ($/kWh)",'General Inputs'!$E$40:$E$46,0),),'General Inputs'!$F$54:$AN$54)</f>
        <v>13255.801800398331</v>
      </c>
      <c r="BG56" s="59">
        <f ca="1">SUMPRODUCT($EU56:$GC56,OFFSET('General Inputs'!$F$40:$AN$40,MATCH($D56&amp;" Natural Gas ($/therm)",'General Inputs'!$E$40:$E$46,0),),'General Inputs'!$F$54:$AN$54)</f>
        <v>0</v>
      </c>
      <c r="BH56" s="59">
        <f ca="1">INDEX('General Inputs'!$F$54:$AN$54,MATCH($H56,'General Inputs'!$F$50:$AN$50,0))*$AI56</f>
        <v>9000</v>
      </c>
      <c r="BI56" s="59">
        <f ca="1">SUM(INDEX('General Inputs'!$F$54:$AN$54,MATCH($H56,'General Inputs'!$F$50:$AN$50,0))*$AG56,INDEX('General Inputs'!$F$51:$AN$51,MATCH($H56+$AL56,'General Inputs'!$F$50:$AN$50,0))*-$AH56)</f>
        <v>5400</v>
      </c>
      <c r="BJ56" s="55"/>
      <c r="BK56" s="59">
        <f ca="1">SUMPRODUCT($CA56:$DI56,'General Inputs'!$F$32:$AN$32,'General Inputs'!$F$53:$AN$53)/(1-Loss_ElectricEnergy)</f>
        <v>3349.9238457592073</v>
      </c>
      <c r="BL56" s="59">
        <f ca="1">SUMPRODUCT($DK56:$ES56,'General Inputs'!$F$33:$AN$33,'General Inputs'!$F$53:$AN$53)/(1-Loss_ElectricDemand)</f>
        <v>2938.8398736303466</v>
      </c>
      <c r="BM56" s="59">
        <f ca="1">SUMPRODUCT($EU56:$GC56,'General Inputs'!$F$34:$AN$34,'General Inputs'!$F$53:$AN$53)/(1-Loss_GasEnergy)</f>
        <v>0</v>
      </c>
      <c r="BN56" s="59">
        <f ca="1">INDEX('General Inputs'!$F$53:$AN$53,MATCH($H56,'General Inputs'!$F$50:$AN$50,0))*$AJ56</f>
        <v>0</v>
      </c>
      <c r="BO56" s="59">
        <f ca="1">SUMPRODUCT($CA56:$DI56,'General Inputs'!$F$35:$AN$35,'General Inputs'!$F$53:$AN$53)/(1-Loss_ElectricEnergy)</f>
        <v>1261.4167928239781</v>
      </c>
      <c r="BP56" s="59">
        <f ca="1">INDEX('General Inputs'!$F$51:$AN$51,MATCH($H56,'General Inputs'!$F$50:$AN$50,0))*$AM56</f>
        <v>0</v>
      </c>
      <c r="BQ56" s="59">
        <f ca="1">SUM(INDEX('General Inputs'!$F$53:$AN$53,MATCH($H56,'General Inputs'!$F$50:$AN$50,0))*$AG56,INDEX('General Inputs'!$F$53:$AN$53,MATCH($H56+$AL56,'General Inputs'!$F$50:$AN$50,0))*-$AH56)</f>
        <v>5400</v>
      </c>
      <c r="BR56" s="55"/>
      <c r="BS56" s="59">
        <f ca="1">SUMPRODUCT($CA56:$DI56,'General Inputs'!$F$32:$AN$32,'General Inputs'!$F$55:$AN$55)/(1-Loss_ElectricEnergy)</f>
        <v>3349.9238457592073</v>
      </c>
      <c r="BT56" s="59">
        <f ca="1">SUMPRODUCT($DK56:$ES56,'General Inputs'!$F$33:$AN$33,'General Inputs'!$F$55:$AN$55)/(1-Loss_ElectricDemand)</f>
        <v>2938.8398736303466</v>
      </c>
      <c r="BU56" s="59">
        <f ca="1">SUMPRODUCT($EU56:$GC56,'General Inputs'!$F$34:$AN$34,'General Inputs'!$F$55:$AN$55)/(1-Loss_GasEnergy)</f>
        <v>0</v>
      </c>
      <c r="BV56" s="59">
        <f ca="1">SUMPRODUCT($CA56:$DI56,OFFSET('General Inputs'!$F$40:$AN$40,MATCH($D56&amp;" Electric ($/kWh)",'General Inputs'!$E$40:$E$46,0),),'General Inputs'!$F$55:$AN$55)</f>
        <v>13255.801800398331</v>
      </c>
      <c r="BW56" s="59">
        <f ca="1">SUMPRODUCT($EU56:$GC56,OFFSET('General Inputs'!$F$40:$AN$40,MATCH($D56&amp;" Natural Gas ($/therm)",'General Inputs'!$E$40:$E$46,0),),'General Inputs'!$F$55:$AN$55)</f>
        <v>0</v>
      </c>
      <c r="BX56" s="59">
        <f ca="1">INDEX('General Inputs'!$F$55:$AN$55,MATCH($H56,'General Inputs'!$F$50:$AN$50,0))*$AI56</f>
        <v>9000</v>
      </c>
      <c r="BY56" s="59">
        <f ca="1">INDEX('General Inputs'!$F$51:$AN$51,MATCH($H56,'General Inputs'!$F$50:$AN$50,0))*$AM56</f>
        <v>0</v>
      </c>
      <c r="BZ56" s="55"/>
      <c r="CA56" s="88">
        <f t="shared" ca="1" si="237"/>
        <v>10947.692307692314</v>
      </c>
      <c r="CB56" s="88">
        <f t="shared" ca="1" si="237"/>
        <v>10947.692307692314</v>
      </c>
      <c r="CC56" s="88">
        <f t="shared" ca="1" si="237"/>
        <v>10947.692307692314</v>
      </c>
      <c r="CD56" s="88">
        <f t="shared" ca="1" si="237"/>
        <v>10947.692307692314</v>
      </c>
      <c r="CE56" s="88">
        <f t="shared" ca="1" si="237"/>
        <v>10947.692307692314</v>
      </c>
      <c r="CF56" s="88">
        <f t="shared" ca="1" si="237"/>
        <v>10947.692307692314</v>
      </c>
      <c r="CG56" s="88">
        <f t="shared" ca="1" si="237"/>
        <v>10947.692307692314</v>
      </c>
      <c r="CH56" s="88">
        <f t="shared" ca="1" si="237"/>
        <v>10947.692307692314</v>
      </c>
      <c r="CI56" s="88">
        <f t="shared" ca="1" si="237"/>
        <v>10947.692307692314</v>
      </c>
      <c r="CJ56" s="88">
        <f t="shared" ca="1" si="237"/>
        <v>10947.692307692314</v>
      </c>
      <c r="CK56" s="88">
        <f t="shared" ca="1" si="238"/>
        <v>10947.692307692314</v>
      </c>
      <c r="CL56" s="88">
        <f t="shared" ca="1" si="238"/>
        <v>10947.692307692314</v>
      </c>
      <c r="CM56" s="88">
        <f t="shared" ca="1" si="238"/>
        <v>10947.692307692314</v>
      </c>
      <c r="CN56" s="88">
        <f t="shared" ca="1" si="238"/>
        <v>10947.692307692314</v>
      </c>
      <c r="CO56" s="88">
        <f t="shared" ca="1" si="238"/>
        <v>10947.692307692314</v>
      </c>
      <c r="CP56" s="88">
        <f t="shared" ca="1" si="238"/>
        <v>10947.692307692314</v>
      </c>
      <c r="CQ56" s="88">
        <f t="shared" ca="1" si="238"/>
        <v>10947.692307692314</v>
      </c>
      <c r="CR56" s="88">
        <f t="shared" ca="1" si="238"/>
        <v>10947.692307692314</v>
      </c>
      <c r="CS56" s="88">
        <f t="shared" ca="1" si="238"/>
        <v>0</v>
      </c>
      <c r="CT56" s="88">
        <f t="shared" ca="1" si="238"/>
        <v>0</v>
      </c>
      <c r="CU56" s="88">
        <f t="shared" ca="1" si="239"/>
        <v>0</v>
      </c>
      <c r="CV56" s="88">
        <f t="shared" ca="1" si="239"/>
        <v>0</v>
      </c>
      <c r="CW56" s="88">
        <f t="shared" ca="1" si="239"/>
        <v>0</v>
      </c>
      <c r="CX56" s="88">
        <f t="shared" ca="1" si="239"/>
        <v>0</v>
      </c>
      <c r="CY56" s="88">
        <f t="shared" ca="1" si="239"/>
        <v>0</v>
      </c>
      <c r="CZ56" s="88">
        <f t="shared" ca="1" si="239"/>
        <v>0</v>
      </c>
      <c r="DA56" s="88">
        <f t="shared" ca="1" si="239"/>
        <v>0</v>
      </c>
      <c r="DB56" s="88">
        <f t="shared" ca="1" si="239"/>
        <v>0</v>
      </c>
      <c r="DC56" s="88">
        <f t="shared" ca="1" si="239"/>
        <v>0</v>
      </c>
      <c r="DD56" s="88">
        <f t="shared" ca="1" si="239"/>
        <v>0</v>
      </c>
      <c r="DE56" s="88">
        <f t="shared" ca="1" si="239"/>
        <v>0</v>
      </c>
      <c r="DF56" s="88">
        <f t="shared" ca="1" si="239"/>
        <v>0</v>
      </c>
      <c r="DG56" s="88">
        <f t="shared" ca="1" si="239"/>
        <v>0</v>
      </c>
      <c r="DH56" s="88">
        <f t="shared" ca="1" si="239"/>
        <v>0</v>
      </c>
      <c r="DI56" s="88">
        <f t="shared" ca="1" si="239"/>
        <v>0</v>
      </c>
      <c r="DJ56" s="169"/>
      <c r="DK56" s="88">
        <f t="shared" ca="1" si="240"/>
        <v>13.352727272727275</v>
      </c>
      <c r="DL56" s="88">
        <f t="shared" ca="1" si="240"/>
        <v>13.352727272727275</v>
      </c>
      <c r="DM56" s="88">
        <f t="shared" ca="1" si="240"/>
        <v>13.352727272727275</v>
      </c>
      <c r="DN56" s="88">
        <f t="shared" ca="1" si="240"/>
        <v>13.352727272727275</v>
      </c>
      <c r="DO56" s="88">
        <f t="shared" ca="1" si="240"/>
        <v>13.352727272727275</v>
      </c>
      <c r="DP56" s="88">
        <f t="shared" ca="1" si="240"/>
        <v>13.352727272727275</v>
      </c>
      <c r="DQ56" s="88">
        <f t="shared" ca="1" si="240"/>
        <v>13.352727272727275</v>
      </c>
      <c r="DR56" s="88">
        <f t="shared" ca="1" si="240"/>
        <v>13.352727272727275</v>
      </c>
      <c r="DS56" s="88">
        <f t="shared" ca="1" si="240"/>
        <v>13.352727272727275</v>
      </c>
      <c r="DT56" s="88">
        <f t="shared" ca="1" si="240"/>
        <v>13.352727272727275</v>
      </c>
      <c r="DU56" s="88">
        <f t="shared" ca="1" si="241"/>
        <v>13.352727272727275</v>
      </c>
      <c r="DV56" s="88">
        <f t="shared" ca="1" si="241"/>
        <v>13.352727272727275</v>
      </c>
      <c r="DW56" s="88">
        <f t="shared" ca="1" si="241"/>
        <v>13.352727272727275</v>
      </c>
      <c r="DX56" s="88">
        <f t="shared" ca="1" si="241"/>
        <v>13.352727272727275</v>
      </c>
      <c r="DY56" s="88">
        <f t="shared" ca="1" si="241"/>
        <v>13.352727272727275</v>
      </c>
      <c r="DZ56" s="88">
        <f t="shared" ca="1" si="241"/>
        <v>13.352727272727275</v>
      </c>
      <c r="EA56" s="88">
        <f t="shared" ca="1" si="241"/>
        <v>13.352727272727275</v>
      </c>
      <c r="EB56" s="88">
        <f t="shared" ca="1" si="241"/>
        <v>13.352727272727275</v>
      </c>
      <c r="EC56" s="88">
        <f t="shared" ca="1" si="241"/>
        <v>0</v>
      </c>
      <c r="ED56" s="88">
        <f t="shared" ca="1" si="241"/>
        <v>0</v>
      </c>
      <c r="EE56" s="88">
        <f t="shared" ca="1" si="242"/>
        <v>0</v>
      </c>
      <c r="EF56" s="88">
        <f t="shared" ca="1" si="242"/>
        <v>0</v>
      </c>
      <c r="EG56" s="88">
        <f t="shared" ca="1" si="242"/>
        <v>0</v>
      </c>
      <c r="EH56" s="88">
        <f t="shared" ca="1" si="242"/>
        <v>0</v>
      </c>
      <c r="EI56" s="88">
        <f t="shared" ca="1" si="242"/>
        <v>0</v>
      </c>
      <c r="EJ56" s="88">
        <f t="shared" ca="1" si="242"/>
        <v>0</v>
      </c>
      <c r="EK56" s="88">
        <f t="shared" ca="1" si="242"/>
        <v>0</v>
      </c>
      <c r="EL56" s="88">
        <f t="shared" ca="1" si="242"/>
        <v>0</v>
      </c>
      <c r="EM56" s="88">
        <f t="shared" ca="1" si="242"/>
        <v>0</v>
      </c>
      <c r="EN56" s="88">
        <f t="shared" ca="1" si="242"/>
        <v>0</v>
      </c>
      <c r="EO56" s="88">
        <f t="shared" ca="1" si="242"/>
        <v>0</v>
      </c>
      <c r="EP56" s="88">
        <f t="shared" ca="1" si="242"/>
        <v>0</v>
      </c>
      <c r="EQ56" s="88">
        <f t="shared" ca="1" si="242"/>
        <v>0</v>
      </c>
      <c r="ER56" s="88">
        <f t="shared" ca="1" si="242"/>
        <v>0</v>
      </c>
      <c r="ES56" s="88">
        <f t="shared" ca="1" si="242"/>
        <v>0</v>
      </c>
      <c r="ET56" s="169"/>
      <c r="EU56" s="88">
        <f t="shared" ca="1" si="243"/>
        <v>0</v>
      </c>
      <c r="EV56" s="88">
        <f t="shared" ca="1" si="243"/>
        <v>0</v>
      </c>
      <c r="EW56" s="88">
        <f t="shared" ca="1" si="243"/>
        <v>0</v>
      </c>
      <c r="EX56" s="88">
        <f t="shared" ca="1" si="243"/>
        <v>0</v>
      </c>
      <c r="EY56" s="88">
        <f t="shared" ca="1" si="243"/>
        <v>0</v>
      </c>
      <c r="EZ56" s="88">
        <f t="shared" ca="1" si="243"/>
        <v>0</v>
      </c>
      <c r="FA56" s="88">
        <f t="shared" ca="1" si="243"/>
        <v>0</v>
      </c>
      <c r="FB56" s="88">
        <f t="shared" ca="1" si="243"/>
        <v>0</v>
      </c>
      <c r="FC56" s="88">
        <f t="shared" ca="1" si="243"/>
        <v>0</v>
      </c>
      <c r="FD56" s="88">
        <f t="shared" ca="1" si="243"/>
        <v>0</v>
      </c>
      <c r="FE56" s="88">
        <f t="shared" ca="1" si="244"/>
        <v>0</v>
      </c>
      <c r="FF56" s="88">
        <f t="shared" ca="1" si="244"/>
        <v>0</v>
      </c>
      <c r="FG56" s="88">
        <f t="shared" ca="1" si="244"/>
        <v>0</v>
      </c>
      <c r="FH56" s="88">
        <f t="shared" ca="1" si="244"/>
        <v>0</v>
      </c>
      <c r="FI56" s="88">
        <f t="shared" ca="1" si="244"/>
        <v>0</v>
      </c>
      <c r="FJ56" s="88">
        <f t="shared" ca="1" si="244"/>
        <v>0</v>
      </c>
      <c r="FK56" s="88">
        <f t="shared" ca="1" si="244"/>
        <v>0</v>
      </c>
      <c r="FL56" s="88">
        <f t="shared" ca="1" si="244"/>
        <v>0</v>
      </c>
      <c r="FM56" s="88">
        <f t="shared" ca="1" si="244"/>
        <v>0</v>
      </c>
      <c r="FN56" s="88">
        <f t="shared" ca="1" si="244"/>
        <v>0</v>
      </c>
      <c r="FO56" s="88">
        <f t="shared" ca="1" si="245"/>
        <v>0</v>
      </c>
      <c r="FP56" s="88">
        <f t="shared" ca="1" si="245"/>
        <v>0</v>
      </c>
      <c r="FQ56" s="88">
        <f t="shared" ca="1" si="245"/>
        <v>0</v>
      </c>
      <c r="FR56" s="88">
        <f t="shared" ca="1" si="245"/>
        <v>0</v>
      </c>
      <c r="FS56" s="88">
        <f t="shared" ca="1" si="245"/>
        <v>0</v>
      </c>
      <c r="FT56" s="88">
        <f t="shared" ca="1" si="245"/>
        <v>0</v>
      </c>
      <c r="FU56" s="88">
        <f t="shared" ca="1" si="245"/>
        <v>0</v>
      </c>
      <c r="FV56" s="88">
        <f t="shared" ca="1" si="245"/>
        <v>0</v>
      </c>
      <c r="FW56" s="88">
        <f t="shared" ca="1" si="245"/>
        <v>0</v>
      </c>
      <c r="FX56" s="88">
        <f t="shared" ca="1" si="245"/>
        <v>0</v>
      </c>
      <c r="FY56" s="88">
        <f t="shared" ca="1" si="245"/>
        <v>0</v>
      </c>
      <c r="FZ56" s="88">
        <f t="shared" ca="1" si="245"/>
        <v>0</v>
      </c>
      <c r="GA56" s="88">
        <f t="shared" ca="1" si="245"/>
        <v>0</v>
      </c>
      <c r="GB56" s="88">
        <f t="shared" ca="1" si="245"/>
        <v>0</v>
      </c>
      <c r="GC56" s="88">
        <f t="shared" ca="1" si="245"/>
        <v>0</v>
      </c>
      <c r="GD56" s="60"/>
    </row>
    <row r="57" spans="1:186" s="54" customFormat="1">
      <c r="A57" s="61"/>
      <c r="B57" s="100" t="str">
        <f t="shared" si="0"/>
        <v>Residential_High Efficiency HVAC_0_Ductless Mini-Split AC SEER ≥19, EER ≥12.8_2017</v>
      </c>
      <c r="C57" s="100">
        <f>INDEX('Measure Inputs'!$D:$D,MATCH($B57,'Measure Inputs'!$B:$B,0))</f>
        <v>9</v>
      </c>
      <c r="D57" s="101" t="s">
        <v>2</v>
      </c>
      <c r="E57" s="101" t="s">
        <v>250</v>
      </c>
      <c r="F57" s="101">
        <v>0</v>
      </c>
      <c r="G57" s="101" t="s">
        <v>516</v>
      </c>
      <c r="H57" s="101">
        <v>2017</v>
      </c>
      <c r="I57" s="55"/>
      <c r="J57" s="58" t="str">
        <f t="shared" ca="1" si="229"/>
        <v>n/a</v>
      </c>
      <c r="K57" s="58" t="str">
        <f t="shared" ca="1" si="246"/>
        <v>n/a</v>
      </c>
      <c r="L57" s="58" t="str">
        <f t="shared" ca="1" si="230"/>
        <v>n/a</v>
      </c>
      <c r="M57" s="58" t="str">
        <f t="shared" ca="1" si="231"/>
        <v>n/a</v>
      </c>
      <c r="N57" s="58" t="str">
        <f t="shared" ca="1" si="232"/>
        <v>n/a</v>
      </c>
      <c r="O57" s="55"/>
      <c r="P57" s="175" t="str">
        <f ca="1">IFERROR(($AW57+AV57)/SUMPRODUCT($CA57:$DI57,'General Inputs'!$F$51:$AN$51),"n/a")</f>
        <v>n/a</v>
      </c>
      <c r="Q57" s="175" t="str">
        <f t="shared" ca="1" si="233"/>
        <v>n/a</v>
      </c>
      <c r="R57" s="56">
        <f t="shared" ca="1" si="247"/>
        <v>0</v>
      </c>
      <c r="S57" s="55"/>
      <c r="T57" s="56">
        <f ca="1">INDEX(OFFSET('Measure Inputs'!$L$7,,,InputRows),$C57)</f>
        <v>0</v>
      </c>
      <c r="U57" s="134">
        <f ca="1">INDEX(OFFSET('Measure Inputs'!$T$7,,,InputRows),$C57)</f>
        <v>1</v>
      </c>
      <c r="V57" s="134">
        <f ca="1">INDEX(OFFSET('Measure Inputs'!$U$7,,,InputRows),$C57)</f>
        <v>1</v>
      </c>
      <c r="W57" s="55"/>
      <c r="X57" s="96">
        <f ca="1">INDEX(OFFSET('Measure Inputs'!$V$7,,,InputRows),$C57)*$T57*$V57*$U57</f>
        <v>0</v>
      </c>
      <c r="Y57" s="96">
        <f ca="1">INDEX(OFFSET('Measure Inputs'!$W$7,,,InputRows),$C57)*$T57*$V57*$U57</f>
        <v>0</v>
      </c>
      <c r="Z57" s="96">
        <f ca="1">INDEX(OFFSET('Measure Inputs'!$X$7,,,InputRows),$C57)*$T57*$V57*$U57</f>
        <v>0</v>
      </c>
      <c r="AA57" s="55"/>
      <c r="AB57" s="96">
        <f ca="1">INDEX(OFFSET('Measure Inputs'!$Z$7,,,InputRows),$C57)*$T57*$V57*$U57</f>
        <v>0</v>
      </c>
      <c r="AC57" s="96">
        <f ca="1">INDEX(OFFSET('Measure Inputs'!$AA$7,,,InputRows),$C57)*$T57*$V57*$U57</f>
        <v>0</v>
      </c>
      <c r="AD57" s="96">
        <f ca="1">INDEX(OFFSET('Measure Inputs'!$AB$7,,,InputRows),$C57)*$T57*$V57*$U57</f>
        <v>0</v>
      </c>
      <c r="AE57" s="55"/>
      <c r="AF57" s="57">
        <f ca="1">INDEX(OFFSET('Measure Inputs'!$Q$7,,,InputRows),$C57)*$T57</f>
        <v>0</v>
      </c>
      <c r="AG57" s="57">
        <f ca="1">INDEX(OFFSET('Measure Inputs'!$P$7,,,InputRows),$C57)*$T57*$V57</f>
        <v>0</v>
      </c>
      <c r="AH57" s="57">
        <f ca="1">INDEX(OFFSET('Measure Inputs'!$R$7,,,InputRows),$C57)*$T57*$V57</f>
        <v>0</v>
      </c>
      <c r="AI57" s="57">
        <f ca="1">INDEX(OFFSET('Measure Inputs'!$O$7,,,InputRows),$C57)*$T57</f>
        <v>0</v>
      </c>
      <c r="AJ57" s="57">
        <f ca="1">INDEX(OFFSET('Measure Inputs'!$S$7,,,InputRows),$C57)*$T57</f>
        <v>0</v>
      </c>
      <c r="AK57" s="63">
        <f ca="1">INDEX(OFFSET('Measure Inputs'!$M$7,,,InputRows),$C57)</f>
        <v>18</v>
      </c>
      <c r="AL57" s="88">
        <f ca="1">INDEX(OFFSET('Measure Inputs'!$N$7,,,InputRows),$C57)</f>
        <v>0</v>
      </c>
      <c r="AM57" s="57">
        <f ca="1">SUMIFS(OFFSET('Program Inputs'!$N$5,,,TotalPrograms),OFFSET('Program Inputs'!$B$5,,,TotalPrograms),SUBSTITUTE($B57,"All","*"))+AF57</f>
        <v>0</v>
      </c>
      <c r="AN57" s="57">
        <f t="shared" ca="1" si="248"/>
        <v>0</v>
      </c>
      <c r="AO57" s="55"/>
      <c r="AP57" s="59">
        <f t="shared" ca="1" si="249"/>
        <v>0</v>
      </c>
      <c r="AQ57" s="59">
        <f t="shared" ca="1" si="250"/>
        <v>0</v>
      </c>
      <c r="AR57" s="59">
        <f ca="1">SUMPRODUCT($CA57:$DI57,'General Inputs'!$F$32:$AN$32,'General Inputs'!$F$51:$AN$51)/(1-Loss_ElectricEnergy)</f>
        <v>0</v>
      </c>
      <c r="AS57" s="59">
        <f ca="1">SUMPRODUCT($DK57:$ES57,'General Inputs'!$F$33:$AN$33,'General Inputs'!$F$51:$AN$51)/(1-Loss_ElectricDemand)</f>
        <v>0</v>
      </c>
      <c r="AT57" s="59">
        <f ca="1">SUMPRODUCT($EU57:$GC57,'General Inputs'!$F$34:$AN$34,'General Inputs'!$F$51:$AN$51)/(1-Loss_GasEnergy)</f>
        <v>0</v>
      </c>
      <c r="AU57" s="59">
        <f ca="1">INDEX('General Inputs'!$F$51:$AN$51,MATCH($H57,'General Inputs'!$F$50:$AN$50,0))*$AJ57</f>
        <v>0</v>
      </c>
      <c r="AV57" s="59">
        <f ca="1">INDEX('General Inputs'!$F$51:$AN$51,MATCH($H57,'General Inputs'!$F$50:$AN$50,0))*$AI57</f>
        <v>0</v>
      </c>
      <c r="AW57" s="59">
        <f ca="1">INDEX('General Inputs'!$F$51:$AN$51,MATCH($H57,'General Inputs'!$F$50:$AN$50,0))*$AM57</f>
        <v>0</v>
      </c>
      <c r="AX57" s="59">
        <f ca="1">SUM(INDEX('General Inputs'!$F$51:$AN$51,MATCH($H57,'General Inputs'!$F$50:$AN$50,0))*$AG57,INDEX('General Inputs'!$F$51:$AN$51,MATCH($H57+$AL57,'General Inputs'!$F$50:$AN$50,0))*-$AH57)</f>
        <v>0</v>
      </c>
      <c r="AY57" s="55"/>
      <c r="AZ57" s="59">
        <f ca="1">SUMPRODUCT($CA57:$DI57,'General Inputs'!$F$32:$AN$32,'General Inputs'!$F$52:$AN$52)/(1-Loss_ElectricEnergy)</f>
        <v>0</v>
      </c>
      <c r="BA57" s="59">
        <f ca="1">SUMPRODUCT($DK57:$ES57,'General Inputs'!$F$33:$AN$33,'General Inputs'!$F$52:$AN$52)/(1-Loss_ElectricDemand)</f>
        <v>0</v>
      </c>
      <c r="BB57" s="59">
        <f ca="1">SUMPRODUCT($EU57:$GC57,'General Inputs'!$F$34:$AN$34,'General Inputs'!$F$52:$AN$52)/(1-Loss_GasEnergy)</f>
        <v>0</v>
      </c>
      <c r="BC57" s="59">
        <f ca="1">INDEX('General Inputs'!$F$52:$AN$52,MATCH($H57,'General Inputs'!$F$50:$AN$50,0))*$AI57</f>
        <v>0</v>
      </c>
      <c r="BD57" s="59">
        <f ca="1">INDEX('General Inputs'!$F$52:$AN$52,MATCH($H57,'General Inputs'!$F$50:$AN$50,0))*$AM57</f>
        <v>0</v>
      </c>
      <c r="BE57" s="55"/>
      <c r="BF57" s="59">
        <f ca="1">SUMPRODUCT($CA57:$DI57,OFFSET('General Inputs'!$F$40:$AN$40,MATCH($D57&amp;" Electric ($/kWh)",'General Inputs'!$E$40:$E$46,0),),'General Inputs'!$F$54:$AN$54)</f>
        <v>0</v>
      </c>
      <c r="BG57" s="59">
        <f ca="1">SUMPRODUCT($EU57:$GC57,OFFSET('General Inputs'!$F$40:$AN$40,MATCH($D57&amp;" Natural Gas ($/therm)",'General Inputs'!$E$40:$E$46,0),),'General Inputs'!$F$54:$AN$54)</f>
        <v>0</v>
      </c>
      <c r="BH57" s="59">
        <f ca="1">INDEX('General Inputs'!$F$54:$AN$54,MATCH($H57,'General Inputs'!$F$50:$AN$50,0))*$AI57</f>
        <v>0</v>
      </c>
      <c r="BI57" s="59">
        <f ca="1">SUM(INDEX('General Inputs'!$F$54:$AN$54,MATCH($H57,'General Inputs'!$F$50:$AN$50,0))*$AG57,INDEX('General Inputs'!$F$51:$AN$51,MATCH($H57+$AL57,'General Inputs'!$F$50:$AN$50,0))*-$AH57)</f>
        <v>0</v>
      </c>
      <c r="BJ57" s="55"/>
      <c r="BK57" s="59">
        <f ca="1">SUMPRODUCT($CA57:$DI57,'General Inputs'!$F$32:$AN$32,'General Inputs'!$F$53:$AN$53)/(1-Loss_ElectricEnergy)</f>
        <v>0</v>
      </c>
      <c r="BL57" s="59">
        <f ca="1">SUMPRODUCT($DK57:$ES57,'General Inputs'!$F$33:$AN$33,'General Inputs'!$F$53:$AN$53)/(1-Loss_ElectricDemand)</f>
        <v>0</v>
      </c>
      <c r="BM57" s="59">
        <f ca="1">SUMPRODUCT($EU57:$GC57,'General Inputs'!$F$34:$AN$34,'General Inputs'!$F$53:$AN$53)/(1-Loss_GasEnergy)</f>
        <v>0</v>
      </c>
      <c r="BN57" s="59">
        <f ca="1">INDEX('General Inputs'!$F$53:$AN$53,MATCH($H57,'General Inputs'!$F$50:$AN$50,0))*$AJ57</f>
        <v>0</v>
      </c>
      <c r="BO57" s="59">
        <f ca="1">SUMPRODUCT($CA57:$DI57,'General Inputs'!$F$35:$AN$35,'General Inputs'!$F$53:$AN$53)/(1-Loss_ElectricEnergy)</f>
        <v>0</v>
      </c>
      <c r="BP57" s="59">
        <f ca="1">INDEX('General Inputs'!$F$51:$AN$51,MATCH($H57,'General Inputs'!$F$50:$AN$50,0))*$AM57</f>
        <v>0</v>
      </c>
      <c r="BQ57" s="59">
        <f ca="1">SUM(INDEX('General Inputs'!$F$53:$AN$53,MATCH($H57,'General Inputs'!$F$50:$AN$50,0))*$AG57,INDEX('General Inputs'!$F$53:$AN$53,MATCH($H57+$AL57,'General Inputs'!$F$50:$AN$50,0))*-$AH57)</f>
        <v>0</v>
      </c>
      <c r="BR57" s="55"/>
      <c r="BS57" s="59">
        <f ca="1">SUMPRODUCT($CA57:$DI57,'General Inputs'!$F$32:$AN$32,'General Inputs'!$F$55:$AN$55)/(1-Loss_ElectricEnergy)</f>
        <v>0</v>
      </c>
      <c r="BT57" s="59">
        <f ca="1">SUMPRODUCT($DK57:$ES57,'General Inputs'!$F$33:$AN$33,'General Inputs'!$F$55:$AN$55)/(1-Loss_ElectricDemand)</f>
        <v>0</v>
      </c>
      <c r="BU57" s="59">
        <f ca="1">SUMPRODUCT($EU57:$GC57,'General Inputs'!$F$34:$AN$34,'General Inputs'!$F$55:$AN$55)/(1-Loss_GasEnergy)</f>
        <v>0</v>
      </c>
      <c r="BV57" s="59">
        <f ca="1">SUMPRODUCT($CA57:$DI57,OFFSET('General Inputs'!$F$40:$AN$40,MATCH($D57&amp;" Electric ($/kWh)",'General Inputs'!$E$40:$E$46,0),),'General Inputs'!$F$55:$AN$55)</f>
        <v>0</v>
      </c>
      <c r="BW57" s="59">
        <f ca="1">SUMPRODUCT($EU57:$GC57,OFFSET('General Inputs'!$F$40:$AN$40,MATCH($D57&amp;" Natural Gas ($/therm)",'General Inputs'!$E$40:$E$46,0),),'General Inputs'!$F$55:$AN$55)</f>
        <v>0</v>
      </c>
      <c r="BX57" s="59">
        <f ca="1">INDEX('General Inputs'!$F$55:$AN$55,MATCH($H57,'General Inputs'!$F$50:$AN$50,0))*$AI57</f>
        <v>0</v>
      </c>
      <c r="BY57" s="59">
        <f ca="1">INDEX('General Inputs'!$F$51:$AN$51,MATCH($H57,'General Inputs'!$F$50:$AN$50,0))*$AM57</f>
        <v>0</v>
      </c>
      <c r="BZ57" s="55"/>
      <c r="CA57" s="88">
        <f t="shared" ca="1" si="237"/>
        <v>0</v>
      </c>
      <c r="CB57" s="88">
        <f t="shared" ca="1" si="237"/>
        <v>0</v>
      </c>
      <c r="CC57" s="88">
        <f t="shared" ca="1" si="237"/>
        <v>0</v>
      </c>
      <c r="CD57" s="88">
        <f t="shared" ca="1" si="237"/>
        <v>0</v>
      </c>
      <c r="CE57" s="88">
        <f t="shared" ca="1" si="237"/>
        <v>0</v>
      </c>
      <c r="CF57" s="88">
        <f t="shared" ca="1" si="237"/>
        <v>0</v>
      </c>
      <c r="CG57" s="88">
        <f t="shared" ca="1" si="237"/>
        <v>0</v>
      </c>
      <c r="CH57" s="88">
        <f t="shared" ca="1" si="237"/>
        <v>0</v>
      </c>
      <c r="CI57" s="88">
        <f t="shared" ca="1" si="237"/>
        <v>0</v>
      </c>
      <c r="CJ57" s="88">
        <f t="shared" ca="1" si="237"/>
        <v>0</v>
      </c>
      <c r="CK57" s="88">
        <f t="shared" ca="1" si="238"/>
        <v>0</v>
      </c>
      <c r="CL57" s="88">
        <f t="shared" ca="1" si="238"/>
        <v>0</v>
      </c>
      <c r="CM57" s="88">
        <f t="shared" ca="1" si="238"/>
        <v>0</v>
      </c>
      <c r="CN57" s="88">
        <f t="shared" ca="1" si="238"/>
        <v>0</v>
      </c>
      <c r="CO57" s="88">
        <f t="shared" ca="1" si="238"/>
        <v>0</v>
      </c>
      <c r="CP57" s="88">
        <f t="shared" ca="1" si="238"/>
        <v>0</v>
      </c>
      <c r="CQ57" s="88">
        <f t="shared" ca="1" si="238"/>
        <v>0</v>
      </c>
      <c r="CR57" s="88">
        <f t="shared" ca="1" si="238"/>
        <v>0</v>
      </c>
      <c r="CS57" s="88">
        <f t="shared" ca="1" si="238"/>
        <v>0</v>
      </c>
      <c r="CT57" s="88">
        <f t="shared" ca="1" si="238"/>
        <v>0</v>
      </c>
      <c r="CU57" s="88">
        <f t="shared" ca="1" si="239"/>
        <v>0</v>
      </c>
      <c r="CV57" s="88">
        <f t="shared" ca="1" si="239"/>
        <v>0</v>
      </c>
      <c r="CW57" s="88">
        <f t="shared" ca="1" si="239"/>
        <v>0</v>
      </c>
      <c r="CX57" s="88">
        <f t="shared" ca="1" si="239"/>
        <v>0</v>
      </c>
      <c r="CY57" s="88">
        <f t="shared" ca="1" si="239"/>
        <v>0</v>
      </c>
      <c r="CZ57" s="88">
        <f t="shared" ca="1" si="239"/>
        <v>0</v>
      </c>
      <c r="DA57" s="88">
        <f t="shared" ca="1" si="239"/>
        <v>0</v>
      </c>
      <c r="DB57" s="88">
        <f t="shared" ca="1" si="239"/>
        <v>0</v>
      </c>
      <c r="DC57" s="88">
        <f t="shared" ca="1" si="239"/>
        <v>0</v>
      </c>
      <c r="DD57" s="88">
        <f t="shared" ca="1" si="239"/>
        <v>0</v>
      </c>
      <c r="DE57" s="88">
        <f t="shared" ca="1" si="239"/>
        <v>0</v>
      </c>
      <c r="DF57" s="88">
        <f t="shared" ca="1" si="239"/>
        <v>0</v>
      </c>
      <c r="DG57" s="88">
        <f t="shared" ca="1" si="239"/>
        <v>0</v>
      </c>
      <c r="DH57" s="88">
        <f t="shared" ca="1" si="239"/>
        <v>0</v>
      </c>
      <c r="DI57" s="88">
        <f t="shared" ca="1" si="239"/>
        <v>0</v>
      </c>
      <c r="DJ57" s="169"/>
      <c r="DK57" s="88">
        <f t="shared" ca="1" si="240"/>
        <v>0</v>
      </c>
      <c r="DL57" s="88">
        <f t="shared" ca="1" si="240"/>
        <v>0</v>
      </c>
      <c r="DM57" s="88">
        <f t="shared" ca="1" si="240"/>
        <v>0</v>
      </c>
      <c r="DN57" s="88">
        <f t="shared" ca="1" si="240"/>
        <v>0</v>
      </c>
      <c r="DO57" s="88">
        <f t="shared" ca="1" si="240"/>
        <v>0</v>
      </c>
      <c r="DP57" s="88">
        <f t="shared" ca="1" si="240"/>
        <v>0</v>
      </c>
      <c r="DQ57" s="88">
        <f t="shared" ca="1" si="240"/>
        <v>0</v>
      </c>
      <c r="DR57" s="88">
        <f t="shared" ca="1" si="240"/>
        <v>0</v>
      </c>
      <c r="DS57" s="88">
        <f t="shared" ca="1" si="240"/>
        <v>0</v>
      </c>
      <c r="DT57" s="88">
        <f t="shared" ca="1" si="240"/>
        <v>0</v>
      </c>
      <c r="DU57" s="88">
        <f t="shared" ca="1" si="241"/>
        <v>0</v>
      </c>
      <c r="DV57" s="88">
        <f t="shared" ca="1" si="241"/>
        <v>0</v>
      </c>
      <c r="DW57" s="88">
        <f t="shared" ca="1" si="241"/>
        <v>0</v>
      </c>
      <c r="DX57" s="88">
        <f t="shared" ca="1" si="241"/>
        <v>0</v>
      </c>
      <c r="DY57" s="88">
        <f t="shared" ca="1" si="241"/>
        <v>0</v>
      </c>
      <c r="DZ57" s="88">
        <f t="shared" ca="1" si="241"/>
        <v>0</v>
      </c>
      <c r="EA57" s="88">
        <f t="shared" ca="1" si="241"/>
        <v>0</v>
      </c>
      <c r="EB57" s="88">
        <f t="shared" ca="1" si="241"/>
        <v>0</v>
      </c>
      <c r="EC57" s="88">
        <f t="shared" ca="1" si="241"/>
        <v>0</v>
      </c>
      <c r="ED57" s="88">
        <f t="shared" ca="1" si="241"/>
        <v>0</v>
      </c>
      <c r="EE57" s="88">
        <f t="shared" ca="1" si="242"/>
        <v>0</v>
      </c>
      <c r="EF57" s="88">
        <f t="shared" ca="1" si="242"/>
        <v>0</v>
      </c>
      <c r="EG57" s="88">
        <f t="shared" ca="1" si="242"/>
        <v>0</v>
      </c>
      <c r="EH57" s="88">
        <f t="shared" ca="1" si="242"/>
        <v>0</v>
      </c>
      <c r="EI57" s="88">
        <f t="shared" ca="1" si="242"/>
        <v>0</v>
      </c>
      <c r="EJ57" s="88">
        <f t="shared" ca="1" si="242"/>
        <v>0</v>
      </c>
      <c r="EK57" s="88">
        <f t="shared" ca="1" si="242"/>
        <v>0</v>
      </c>
      <c r="EL57" s="88">
        <f t="shared" ca="1" si="242"/>
        <v>0</v>
      </c>
      <c r="EM57" s="88">
        <f t="shared" ca="1" si="242"/>
        <v>0</v>
      </c>
      <c r="EN57" s="88">
        <f t="shared" ca="1" si="242"/>
        <v>0</v>
      </c>
      <c r="EO57" s="88">
        <f t="shared" ca="1" si="242"/>
        <v>0</v>
      </c>
      <c r="EP57" s="88">
        <f t="shared" ca="1" si="242"/>
        <v>0</v>
      </c>
      <c r="EQ57" s="88">
        <f t="shared" ca="1" si="242"/>
        <v>0</v>
      </c>
      <c r="ER57" s="88">
        <f t="shared" ca="1" si="242"/>
        <v>0</v>
      </c>
      <c r="ES57" s="88">
        <f t="shared" ca="1" si="242"/>
        <v>0</v>
      </c>
      <c r="ET57" s="169"/>
      <c r="EU57" s="88">
        <f t="shared" ca="1" si="243"/>
        <v>0</v>
      </c>
      <c r="EV57" s="88">
        <f t="shared" ca="1" si="243"/>
        <v>0</v>
      </c>
      <c r="EW57" s="88">
        <f t="shared" ca="1" si="243"/>
        <v>0</v>
      </c>
      <c r="EX57" s="88">
        <f t="shared" ca="1" si="243"/>
        <v>0</v>
      </c>
      <c r="EY57" s="88">
        <f t="shared" ca="1" si="243"/>
        <v>0</v>
      </c>
      <c r="EZ57" s="88">
        <f t="shared" ca="1" si="243"/>
        <v>0</v>
      </c>
      <c r="FA57" s="88">
        <f t="shared" ca="1" si="243"/>
        <v>0</v>
      </c>
      <c r="FB57" s="88">
        <f t="shared" ca="1" si="243"/>
        <v>0</v>
      </c>
      <c r="FC57" s="88">
        <f t="shared" ca="1" si="243"/>
        <v>0</v>
      </c>
      <c r="FD57" s="88">
        <f t="shared" ca="1" si="243"/>
        <v>0</v>
      </c>
      <c r="FE57" s="88">
        <f t="shared" ca="1" si="244"/>
        <v>0</v>
      </c>
      <c r="FF57" s="88">
        <f t="shared" ca="1" si="244"/>
        <v>0</v>
      </c>
      <c r="FG57" s="88">
        <f t="shared" ca="1" si="244"/>
        <v>0</v>
      </c>
      <c r="FH57" s="88">
        <f t="shared" ca="1" si="244"/>
        <v>0</v>
      </c>
      <c r="FI57" s="88">
        <f t="shared" ca="1" si="244"/>
        <v>0</v>
      </c>
      <c r="FJ57" s="88">
        <f t="shared" ca="1" si="244"/>
        <v>0</v>
      </c>
      <c r="FK57" s="88">
        <f t="shared" ca="1" si="244"/>
        <v>0</v>
      </c>
      <c r="FL57" s="88">
        <f t="shared" ca="1" si="244"/>
        <v>0</v>
      </c>
      <c r="FM57" s="88">
        <f t="shared" ca="1" si="244"/>
        <v>0</v>
      </c>
      <c r="FN57" s="88">
        <f t="shared" ca="1" si="244"/>
        <v>0</v>
      </c>
      <c r="FO57" s="88">
        <f t="shared" ca="1" si="245"/>
        <v>0</v>
      </c>
      <c r="FP57" s="88">
        <f t="shared" ca="1" si="245"/>
        <v>0</v>
      </c>
      <c r="FQ57" s="88">
        <f t="shared" ca="1" si="245"/>
        <v>0</v>
      </c>
      <c r="FR57" s="88">
        <f t="shared" ca="1" si="245"/>
        <v>0</v>
      </c>
      <c r="FS57" s="88">
        <f t="shared" ca="1" si="245"/>
        <v>0</v>
      </c>
      <c r="FT57" s="88">
        <f t="shared" ca="1" si="245"/>
        <v>0</v>
      </c>
      <c r="FU57" s="88">
        <f t="shared" ca="1" si="245"/>
        <v>0</v>
      </c>
      <c r="FV57" s="88">
        <f t="shared" ca="1" si="245"/>
        <v>0</v>
      </c>
      <c r="FW57" s="88">
        <f t="shared" ca="1" si="245"/>
        <v>0</v>
      </c>
      <c r="FX57" s="88">
        <f t="shared" ca="1" si="245"/>
        <v>0</v>
      </c>
      <c r="FY57" s="88">
        <f t="shared" ca="1" si="245"/>
        <v>0</v>
      </c>
      <c r="FZ57" s="88">
        <f t="shared" ca="1" si="245"/>
        <v>0</v>
      </c>
      <c r="GA57" s="88">
        <f t="shared" ca="1" si="245"/>
        <v>0</v>
      </c>
      <c r="GB57" s="88">
        <f t="shared" ca="1" si="245"/>
        <v>0</v>
      </c>
      <c r="GC57" s="88">
        <f t="shared" ca="1" si="245"/>
        <v>0</v>
      </c>
      <c r="GD57" s="60"/>
    </row>
    <row r="58" spans="1:186" s="54" customFormat="1">
      <c r="A58" s="61"/>
      <c r="B58" s="100" t="str">
        <f t="shared" si="0"/>
        <v>Residential_High Efficiency HVAC_0_Ductless Mini-Split HP SEER ≥19, EER ≥12.8, HSPF ≥10_2017</v>
      </c>
      <c r="C58" s="100">
        <f>INDEX('Measure Inputs'!$D:$D,MATCH($B58,'Measure Inputs'!$B:$B,0))</f>
        <v>10</v>
      </c>
      <c r="D58" s="101" t="s">
        <v>2</v>
      </c>
      <c r="E58" s="101" t="s">
        <v>250</v>
      </c>
      <c r="F58" s="101">
        <v>0</v>
      </c>
      <c r="G58" s="101" t="s">
        <v>517</v>
      </c>
      <c r="H58" s="101">
        <v>2017</v>
      </c>
      <c r="I58" s="55"/>
      <c r="J58" s="58">
        <f t="shared" ca="1" si="229"/>
        <v>0.76757916894136757</v>
      </c>
      <c r="K58" s="58">
        <f t="shared" ca="1" si="246"/>
        <v>8.589210900453903</v>
      </c>
      <c r="L58" s="58">
        <f t="shared" ca="1" si="230"/>
        <v>2.6917605376230602</v>
      </c>
      <c r="M58" s="58">
        <f t="shared" ca="1" si="231"/>
        <v>1.0152220384749842</v>
      </c>
      <c r="N58" s="58">
        <f t="shared" ca="1" si="232"/>
        <v>0.28515878667987787</v>
      </c>
      <c r="O58" s="55"/>
      <c r="P58" s="175">
        <f ca="1">IFERROR(($AW58+AV58)/SUMPRODUCT($CA58:$DI58,'General Inputs'!$F$51:$AN$51),"n/a")</f>
        <v>4.3167414397711915E-3</v>
      </c>
      <c r="Q58" s="175">
        <f t="shared" ca="1" si="233"/>
        <v>4.1579581258859806E-2</v>
      </c>
      <c r="R58" s="56">
        <f t="shared" ca="1" si="247"/>
        <v>1623.3929721362233</v>
      </c>
      <c r="S58" s="55"/>
      <c r="T58" s="56">
        <f ca="1">INDEX(OFFSET('Measure Inputs'!$L$7,,,InputRows),$C58)</f>
        <v>25</v>
      </c>
      <c r="U58" s="134">
        <f ca="1">INDEX(OFFSET('Measure Inputs'!$T$7,,,InputRows),$C58)</f>
        <v>1</v>
      </c>
      <c r="V58" s="134">
        <f ca="1">INDEX(OFFSET('Measure Inputs'!$U$7,,,InputRows),$C58)</f>
        <v>1</v>
      </c>
      <c r="W58" s="55"/>
      <c r="X58" s="96">
        <f ca="1">INDEX(OFFSET('Measure Inputs'!$V$7,,,InputRows),$C58)*$T58*$V58*$U58</f>
        <v>90188.498452012369</v>
      </c>
      <c r="Y58" s="96">
        <f ca="1">INDEX(OFFSET('Measure Inputs'!$W$7,,,InputRows),$C58)*$T58*$V58*$U58</f>
        <v>20.956777597402592</v>
      </c>
      <c r="Z58" s="96">
        <f ca="1">INDEX(OFFSET('Measure Inputs'!$X$7,,,InputRows),$C58)*$T58*$V58*$U58</f>
        <v>0</v>
      </c>
      <c r="AA58" s="55"/>
      <c r="AB58" s="96">
        <f ca="1">INDEX(OFFSET('Measure Inputs'!$Z$7,,,InputRows),$C58)*$T58*$V58*$U58</f>
        <v>0</v>
      </c>
      <c r="AC58" s="96">
        <f ca="1">INDEX(OFFSET('Measure Inputs'!$AA$7,,,InputRows),$C58)*$T58*$V58*$U58</f>
        <v>0</v>
      </c>
      <c r="AD58" s="96">
        <f ca="1">INDEX(OFFSET('Measure Inputs'!$AB$7,,,InputRows),$C58)*$T58*$V58*$U58</f>
        <v>0</v>
      </c>
      <c r="AE58" s="55"/>
      <c r="AF58" s="57">
        <f ca="1">INDEX(OFFSET('Measure Inputs'!$Q$7,,,InputRows),$C58)*$T58</f>
        <v>0</v>
      </c>
      <c r="AG58" s="57">
        <f ca="1">INDEX(OFFSET('Measure Inputs'!$P$7,,,InputRows),$C58)*$T58*$V58</f>
        <v>41962.5</v>
      </c>
      <c r="AH58" s="57">
        <f ca="1">INDEX(OFFSET('Measure Inputs'!$R$7,,,InputRows),$C58)*$T58*$V58</f>
        <v>0</v>
      </c>
      <c r="AI58" s="57">
        <f ca="1">INDEX(OFFSET('Measure Inputs'!$O$7,,,InputRows),$C58)*$T58</f>
        <v>3750</v>
      </c>
      <c r="AJ58" s="57">
        <f ca="1">INDEX(OFFSET('Measure Inputs'!$S$7,,,InputRows),$C58)*$T58</f>
        <v>0</v>
      </c>
      <c r="AK58" s="63">
        <f ca="1">INDEX(OFFSET('Measure Inputs'!$M$7,,,InputRows),$C58)</f>
        <v>18</v>
      </c>
      <c r="AL58" s="88">
        <f ca="1">INDEX(OFFSET('Measure Inputs'!$N$7,,,InputRows),$C58)</f>
        <v>0</v>
      </c>
      <c r="AM58" s="57">
        <f ca="1">SUMIFS(OFFSET('Program Inputs'!$N$5,,,TotalPrograms),OFFSET('Program Inputs'!$B$5,,,TotalPrograms),SUBSTITUTE($B58,"All","*"))+AF58</f>
        <v>0</v>
      </c>
      <c r="AN58" s="57">
        <f t="shared" ca="1" si="248"/>
        <v>3750</v>
      </c>
      <c r="AO58" s="55"/>
      <c r="AP58" s="59">
        <f t="shared" ca="1" si="249"/>
        <v>32209.540876702136</v>
      </c>
      <c r="AQ58" s="59">
        <f t="shared" ca="1" si="250"/>
        <v>41962.5</v>
      </c>
      <c r="AR58" s="59">
        <f ca="1">SUMPRODUCT($CA58:$DI58,'General Inputs'!$F$32:$AN$32,'General Inputs'!$F$51:$AN$51)/(1-Loss_ElectricEnergy)</f>
        <v>27597.103854054065</v>
      </c>
      <c r="AS58" s="59">
        <f ca="1">SUMPRODUCT($DK58:$ES58,'General Inputs'!$F$33:$AN$33,'General Inputs'!$F$51:$AN$51)/(1-Loss_ElectricDemand)</f>
        <v>4612.4370226480723</v>
      </c>
      <c r="AT58" s="59">
        <f ca="1">SUMPRODUCT($EU58:$GC58,'General Inputs'!$F$34:$AN$34,'General Inputs'!$F$51:$AN$51)/(1-Loss_GasEnergy)</f>
        <v>0</v>
      </c>
      <c r="AU58" s="59">
        <f ca="1">INDEX('General Inputs'!$F$51:$AN$51,MATCH($H58,'General Inputs'!$F$50:$AN$50,0))*$AJ58</f>
        <v>0</v>
      </c>
      <c r="AV58" s="59">
        <f ca="1">INDEX('General Inputs'!$F$51:$AN$51,MATCH($H58,'General Inputs'!$F$50:$AN$50,0))*$AI58</f>
        <v>3750</v>
      </c>
      <c r="AW58" s="59">
        <f ca="1">INDEX('General Inputs'!$F$51:$AN$51,MATCH($H58,'General Inputs'!$F$50:$AN$50,0))*$AM58</f>
        <v>0</v>
      </c>
      <c r="AX58" s="59">
        <f ca="1">SUM(INDEX('General Inputs'!$F$51:$AN$51,MATCH($H58,'General Inputs'!$F$50:$AN$50,0))*$AG58,INDEX('General Inputs'!$F$51:$AN$51,MATCH($H58+$AL58,'General Inputs'!$F$50:$AN$50,0))*-$AH58)</f>
        <v>41962.5</v>
      </c>
      <c r="AY58" s="55"/>
      <c r="AZ58" s="59">
        <f ca="1">SUMPRODUCT($CA58:$DI58,'General Inputs'!$F$32:$AN$32,'General Inputs'!$F$52:$AN$52)/(1-Loss_ElectricEnergy)</f>
        <v>27597.103854054065</v>
      </c>
      <c r="BA58" s="59">
        <f ca="1">SUMPRODUCT($DK58:$ES58,'General Inputs'!$F$33:$AN$33,'General Inputs'!$F$52:$AN$52)/(1-Loss_ElectricDemand)</f>
        <v>4612.4370226480723</v>
      </c>
      <c r="BB58" s="59">
        <f ca="1">SUMPRODUCT($EU58:$GC58,'General Inputs'!$F$34:$AN$34,'General Inputs'!$F$52:$AN$52)/(1-Loss_GasEnergy)</f>
        <v>0</v>
      </c>
      <c r="BC58" s="59">
        <f ca="1">INDEX('General Inputs'!$F$52:$AN$52,MATCH($H58,'General Inputs'!$F$50:$AN$50,0))*$AI58</f>
        <v>3750</v>
      </c>
      <c r="BD58" s="59">
        <f ca="1">INDEX('General Inputs'!$F$52:$AN$52,MATCH($H58,'General Inputs'!$F$50:$AN$50,0))*$AM58</f>
        <v>0</v>
      </c>
      <c r="BE58" s="55"/>
      <c r="BF58" s="59">
        <f ca="1">SUMPRODUCT($CA58:$DI58,OFFSET('General Inputs'!$F$40:$AN$40,MATCH($D58&amp;" Electric ($/kWh)",'General Inputs'!$E$40:$E$46,0),),'General Inputs'!$F$54:$AN$54)</f>
        <v>109203.00156000766</v>
      </c>
      <c r="BG58" s="59">
        <f ca="1">SUMPRODUCT($EU58:$GC58,OFFSET('General Inputs'!$F$40:$AN$40,MATCH($D58&amp;" Natural Gas ($/therm)",'General Inputs'!$E$40:$E$46,0),),'General Inputs'!$F$54:$AN$54)</f>
        <v>0</v>
      </c>
      <c r="BH58" s="59">
        <f ca="1">INDEX('General Inputs'!$F$54:$AN$54,MATCH($H58,'General Inputs'!$F$50:$AN$50,0))*$AI58</f>
        <v>3750</v>
      </c>
      <c r="BI58" s="59">
        <f ca="1">SUM(INDEX('General Inputs'!$F$54:$AN$54,MATCH($H58,'General Inputs'!$F$50:$AN$50,0))*$AG58,INDEX('General Inputs'!$F$51:$AN$51,MATCH($H58+$AL58,'General Inputs'!$F$50:$AN$50,0))*-$AH58)</f>
        <v>41962.5</v>
      </c>
      <c r="BJ58" s="55"/>
      <c r="BK58" s="59">
        <f ca="1">SUMPRODUCT($CA58:$DI58,'General Inputs'!$F$32:$AN$32,'General Inputs'!$F$53:$AN$53)/(1-Loss_ElectricEnergy)</f>
        <v>27597.103854054065</v>
      </c>
      <c r="BL58" s="59">
        <f ca="1">SUMPRODUCT($DK58:$ES58,'General Inputs'!$F$33:$AN$33,'General Inputs'!$F$53:$AN$53)/(1-Loss_ElectricDemand)</f>
        <v>4612.4370226480723</v>
      </c>
      <c r="BM58" s="59">
        <f ca="1">SUMPRODUCT($EU58:$GC58,'General Inputs'!$F$34:$AN$34,'General Inputs'!$F$53:$AN$53)/(1-Loss_GasEnergy)</f>
        <v>0</v>
      </c>
      <c r="BN58" s="59">
        <f ca="1">INDEX('General Inputs'!$F$53:$AN$53,MATCH($H58,'General Inputs'!$F$50:$AN$50,0))*$AJ58</f>
        <v>0</v>
      </c>
      <c r="BO58" s="59">
        <f ca="1">SUMPRODUCT($CA58:$DI58,'General Inputs'!$F$35:$AN$35,'General Inputs'!$F$53:$AN$53)/(1-Loss_ElectricEnergy)</f>
        <v>10391.713912804384</v>
      </c>
      <c r="BP58" s="59">
        <f ca="1">INDEX('General Inputs'!$F$51:$AN$51,MATCH($H58,'General Inputs'!$F$50:$AN$50,0))*$AM58</f>
        <v>0</v>
      </c>
      <c r="BQ58" s="59">
        <f ca="1">SUM(INDEX('General Inputs'!$F$53:$AN$53,MATCH($H58,'General Inputs'!$F$50:$AN$50,0))*$AG58,INDEX('General Inputs'!$F$53:$AN$53,MATCH($H58+$AL58,'General Inputs'!$F$50:$AN$50,0))*-$AH58)</f>
        <v>41962.5</v>
      </c>
      <c r="BR58" s="55"/>
      <c r="BS58" s="59">
        <f ca="1">SUMPRODUCT($CA58:$DI58,'General Inputs'!$F$32:$AN$32,'General Inputs'!$F$55:$AN$55)/(1-Loss_ElectricEnergy)</f>
        <v>27597.103854054065</v>
      </c>
      <c r="BT58" s="59">
        <f ca="1">SUMPRODUCT($DK58:$ES58,'General Inputs'!$F$33:$AN$33,'General Inputs'!$F$55:$AN$55)/(1-Loss_ElectricDemand)</f>
        <v>4612.4370226480723</v>
      </c>
      <c r="BU58" s="59">
        <f ca="1">SUMPRODUCT($EU58:$GC58,'General Inputs'!$F$34:$AN$34,'General Inputs'!$F$55:$AN$55)/(1-Loss_GasEnergy)</f>
        <v>0</v>
      </c>
      <c r="BV58" s="59">
        <f ca="1">SUMPRODUCT($CA58:$DI58,OFFSET('General Inputs'!$F$40:$AN$40,MATCH($D58&amp;" Electric ($/kWh)",'General Inputs'!$E$40:$E$46,0),),'General Inputs'!$F$55:$AN$55)</f>
        <v>109203.00156000766</v>
      </c>
      <c r="BW58" s="59">
        <f ca="1">SUMPRODUCT($EU58:$GC58,OFFSET('General Inputs'!$F$40:$AN$40,MATCH($D58&amp;" Natural Gas ($/therm)",'General Inputs'!$E$40:$E$46,0),),'General Inputs'!$F$55:$AN$55)</f>
        <v>0</v>
      </c>
      <c r="BX58" s="59">
        <f ca="1">INDEX('General Inputs'!$F$55:$AN$55,MATCH($H58,'General Inputs'!$F$50:$AN$50,0))*$AI58</f>
        <v>3750</v>
      </c>
      <c r="BY58" s="59">
        <f ca="1">INDEX('General Inputs'!$F$51:$AN$51,MATCH($H58,'General Inputs'!$F$50:$AN$50,0))*$AM58</f>
        <v>0</v>
      </c>
      <c r="BZ58" s="55"/>
      <c r="CA58" s="88">
        <f t="shared" ca="1" si="237"/>
        <v>90188.498452012369</v>
      </c>
      <c r="CB58" s="88">
        <f t="shared" ca="1" si="237"/>
        <v>90188.498452012369</v>
      </c>
      <c r="CC58" s="88">
        <f t="shared" ca="1" si="237"/>
        <v>90188.498452012369</v>
      </c>
      <c r="CD58" s="88">
        <f t="shared" ca="1" si="237"/>
        <v>90188.498452012369</v>
      </c>
      <c r="CE58" s="88">
        <f t="shared" ca="1" si="237"/>
        <v>90188.498452012369</v>
      </c>
      <c r="CF58" s="88">
        <f t="shared" ca="1" si="237"/>
        <v>90188.498452012369</v>
      </c>
      <c r="CG58" s="88">
        <f t="shared" ca="1" si="237"/>
        <v>90188.498452012369</v>
      </c>
      <c r="CH58" s="88">
        <f t="shared" ca="1" si="237"/>
        <v>90188.498452012369</v>
      </c>
      <c r="CI58" s="88">
        <f t="shared" ca="1" si="237"/>
        <v>90188.498452012369</v>
      </c>
      <c r="CJ58" s="88">
        <f t="shared" ca="1" si="237"/>
        <v>90188.498452012369</v>
      </c>
      <c r="CK58" s="88">
        <f t="shared" ca="1" si="238"/>
        <v>90188.498452012369</v>
      </c>
      <c r="CL58" s="88">
        <f t="shared" ca="1" si="238"/>
        <v>90188.498452012369</v>
      </c>
      <c r="CM58" s="88">
        <f t="shared" ca="1" si="238"/>
        <v>90188.498452012369</v>
      </c>
      <c r="CN58" s="88">
        <f t="shared" ca="1" si="238"/>
        <v>90188.498452012369</v>
      </c>
      <c r="CO58" s="88">
        <f t="shared" ca="1" si="238"/>
        <v>90188.498452012369</v>
      </c>
      <c r="CP58" s="88">
        <f t="shared" ca="1" si="238"/>
        <v>90188.498452012369</v>
      </c>
      <c r="CQ58" s="88">
        <f t="shared" ca="1" si="238"/>
        <v>90188.498452012369</v>
      </c>
      <c r="CR58" s="88">
        <f t="shared" ca="1" si="238"/>
        <v>90188.498452012369</v>
      </c>
      <c r="CS58" s="88">
        <f t="shared" ca="1" si="238"/>
        <v>0</v>
      </c>
      <c r="CT58" s="88">
        <f t="shared" ca="1" si="238"/>
        <v>0</v>
      </c>
      <c r="CU58" s="88">
        <f t="shared" ca="1" si="239"/>
        <v>0</v>
      </c>
      <c r="CV58" s="88">
        <f t="shared" ca="1" si="239"/>
        <v>0</v>
      </c>
      <c r="CW58" s="88">
        <f t="shared" ca="1" si="239"/>
        <v>0</v>
      </c>
      <c r="CX58" s="88">
        <f t="shared" ca="1" si="239"/>
        <v>0</v>
      </c>
      <c r="CY58" s="88">
        <f t="shared" ca="1" si="239"/>
        <v>0</v>
      </c>
      <c r="CZ58" s="88">
        <f t="shared" ca="1" si="239"/>
        <v>0</v>
      </c>
      <c r="DA58" s="88">
        <f t="shared" ca="1" si="239"/>
        <v>0</v>
      </c>
      <c r="DB58" s="88">
        <f t="shared" ca="1" si="239"/>
        <v>0</v>
      </c>
      <c r="DC58" s="88">
        <f t="shared" ca="1" si="239"/>
        <v>0</v>
      </c>
      <c r="DD58" s="88">
        <f t="shared" ca="1" si="239"/>
        <v>0</v>
      </c>
      <c r="DE58" s="88">
        <f t="shared" ca="1" si="239"/>
        <v>0</v>
      </c>
      <c r="DF58" s="88">
        <f t="shared" ca="1" si="239"/>
        <v>0</v>
      </c>
      <c r="DG58" s="88">
        <f t="shared" ca="1" si="239"/>
        <v>0</v>
      </c>
      <c r="DH58" s="88">
        <f t="shared" ca="1" si="239"/>
        <v>0</v>
      </c>
      <c r="DI58" s="88">
        <f t="shared" ca="1" si="239"/>
        <v>0</v>
      </c>
      <c r="DJ58" s="169"/>
      <c r="DK58" s="88">
        <f t="shared" ca="1" si="240"/>
        <v>20.956777597402592</v>
      </c>
      <c r="DL58" s="88">
        <f t="shared" ca="1" si="240"/>
        <v>20.956777597402592</v>
      </c>
      <c r="DM58" s="88">
        <f t="shared" ca="1" si="240"/>
        <v>20.956777597402592</v>
      </c>
      <c r="DN58" s="88">
        <f t="shared" ca="1" si="240"/>
        <v>20.956777597402592</v>
      </c>
      <c r="DO58" s="88">
        <f t="shared" ca="1" si="240"/>
        <v>20.956777597402592</v>
      </c>
      <c r="DP58" s="88">
        <f t="shared" ca="1" si="240"/>
        <v>20.956777597402592</v>
      </c>
      <c r="DQ58" s="88">
        <f t="shared" ca="1" si="240"/>
        <v>20.956777597402592</v>
      </c>
      <c r="DR58" s="88">
        <f t="shared" ca="1" si="240"/>
        <v>20.956777597402592</v>
      </c>
      <c r="DS58" s="88">
        <f t="shared" ca="1" si="240"/>
        <v>20.956777597402592</v>
      </c>
      <c r="DT58" s="88">
        <f t="shared" ca="1" si="240"/>
        <v>20.956777597402592</v>
      </c>
      <c r="DU58" s="88">
        <f t="shared" ca="1" si="241"/>
        <v>20.956777597402592</v>
      </c>
      <c r="DV58" s="88">
        <f t="shared" ca="1" si="241"/>
        <v>20.956777597402592</v>
      </c>
      <c r="DW58" s="88">
        <f t="shared" ca="1" si="241"/>
        <v>20.956777597402592</v>
      </c>
      <c r="DX58" s="88">
        <f t="shared" ca="1" si="241"/>
        <v>20.956777597402592</v>
      </c>
      <c r="DY58" s="88">
        <f t="shared" ca="1" si="241"/>
        <v>20.956777597402592</v>
      </c>
      <c r="DZ58" s="88">
        <f t="shared" ca="1" si="241"/>
        <v>20.956777597402592</v>
      </c>
      <c r="EA58" s="88">
        <f t="shared" ca="1" si="241"/>
        <v>20.956777597402592</v>
      </c>
      <c r="EB58" s="88">
        <f t="shared" ca="1" si="241"/>
        <v>20.956777597402592</v>
      </c>
      <c r="EC58" s="88">
        <f t="shared" ca="1" si="241"/>
        <v>0</v>
      </c>
      <c r="ED58" s="88">
        <f t="shared" ca="1" si="241"/>
        <v>0</v>
      </c>
      <c r="EE58" s="88">
        <f t="shared" ca="1" si="242"/>
        <v>0</v>
      </c>
      <c r="EF58" s="88">
        <f t="shared" ca="1" si="242"/>
        <v>0</v>
      </c>
      <c r="EG58" s="88">
        <f t="shared" ca="1" si="242"/>
        <v>0</v>
      </c>
      <c r="EH58" s="88">
        <f t="shared" ca="1" si="242"/>
        <v>0</v>
      </c>
      <c r="EI58" s="88">
        <f t="shared" ca="1" si="242"/>
        <v>0</v>
      </c>
      <c r="EJ58" s="88">
        <f t="shared" ca="1" si="242"/>
        <v>0</v>
      </c>
      <c r="EK58" s="88">
        <f t="shared" ca="1" si="242"/>
        <v>0</v>
      </c>
      <c r="EL58" s="88">
        <f t="shared" ca="1" si="242"/>
        <v>0</v>
      </c>
      <c r="EM58" s="88">
        <f t="shared" ca="1" si="242"/>
        <v>0</v>
      </c>
      <c r="EN58" s="88">
        <f t="shared" ca="1" si="242"/>
        <v>0</v>
      </c>
      <c r="EO58" s="88">
        <f t="shared" ca="1" si="242"/>
        <v>0</v>
      </c>
      <c r="EP58" s="88">
        <f t="shared" ca="1" si="242"/>
        <v>0</v>
      </c>
      <c r="EQ58" s="88">
        <f t="shared" ca="1" si="242"/>
        <v>0</v>
      </c>
      <c r="ER58" s="88">
        <f t="shared" ca="1" si="242"/>
        <v>0</v>
      </c>
      <c r="ES58" s="88">
        <f t="shared" ca="1" si="242"/>
        <v>0</v>
      </c>
      <c r="ET58" s="169"/>
      <c r="EU58" s="88">
        <f t="shared" ca="1" si="243"/>
        <v>0</v>
      </c>
      <c r="EV58" s="88">
        <f t="shared" ca="1" si="243"/>
        <v>0</v>
      </c>
      <c r="EW58" s="88">
        <f t="shared" ca="1" si="243"/>
        <v>0</v>
      </c>
      <c r="EX58" s="88">
        <f t="shared" ca="1" si="243"/>
        <v>0</v>
      </c>
      <c r="EY58" s="88">
        <f t="shared" ca="1" si="243"/>
        <v>0</v>
      </c>
      <c r="EZ58" s="88">
        <f t="shared" ca="1" si="243"/>
        <v>0</v>
      </c>
      <c r="FA58" s="88">
        <f t="shared" ca="1" si="243"/>
        <v>0</v>
      </c>
      <c r="FB58" s="88">
        <f t="shared" ca="1" si="243"/>
        <v>0</v>
      </c>
      <c r="FC58" s="88">
        <f t="shared" ca="1" si="243"/>
        <v>0</v>
      </c>
      <c r="FD58" s="88">
        <f t="shared" ca="1" si="243"/>
        <v>0</v>
      </c>
      <c r="FE58" s="88">
        <f t="shared" ca="1" si="244"/>
        <v>0</v>
      </c>
      <c r="FF58" s="88">
        <f t="shared" ca="1" si="244"/>
        <v>0</v>
      </c>
      <c r="FG58" s="88">
        <f t="shared" ca="1" si="244"/>
        <v>0</v>
      </c>
      <c r="FH58" s="88">
        <f t="shared" ca="1" si="244"/>
        <v>0</v>
      </c>
      <c r="FI58" s="88">
        <f t="shared" ca="1" si="244"/>
        <v>0</v>
      </c>
      <c r="FJ58" s="88">
        <f t="shared" ca="1" si="244"/>
        <v>0</v>
      </c>
      <c r="FK58" s="88">
        <f t="shared" ca="1" si="244"/>
        <v>0</v>
      </c>
      <c r="FL58" s="88">
        <f t="shared" ca="1" si="244"/>
        <v>0</v>
      </c>
      <c r="FM58" s="88">
        <f t="shared" ca="1" si="244"/>
        <v>0</v>
      </c>
      <c r="FN58" s="88">
        <f t="shared" ca="1" si="244"/>
        <v>0</v>
      </c>
      <c r="FO58" s="88">
        <f t="shared" ca="1" si="245"/>
        <v>0</v>
      </c>
      <c r="FP58" s="88">
        <f t="shared" ca="1" si="245"/>
        <v>0</v>
      </c>
      <c r="FQ58" s="88">
        <f t="shared" ca="1" si="245"/>
        <v>0</v>
      </c>
      <c r="FR58" s="88">
        <f t="shared" ca="1" si="245"/>
        <v>0</v>
      </c>
      <c r="FS58" s="88">
        <f t="shared" ca="1" si="245"/>
        <v>0</v>
      </c>
      <c r="FT58" s="88">
        <f t="shared" ca="1" si="245"/>
        <v>0</v>
      </c>
      <c r="FU58" s="88">
        <f t="shared" ca="1" si="245"/>
        <v>0</v>
      </c>
      <c r="FV58" s="88">
        <f t="shared" ca="1" si="245"/>
        <v>0</v>
      </c>
      <c r="FW58" s="88">
        <f t="shared" ca="1" si="245"/>
        <v>0</v>
      </c>
      <c r="FX58" s="88">
        <f t="shared" ca="1" si="245"/>
        <v>0</v>
      </c>
      <c r="FY58" s="88">
        <f t="shared" ca="1" si="245"/>
        <v>0</v>
      </c>
      <c r="FZ58" s="88">
        <f t="shared" ca="1" si="245"/>
        <v>0</v>
      </c>
      <c r="GA58" s="88">
        <f t="shared" ca="1" si="245"/>
        <v>0</v>
      </c>
      <c r="GB58" s="88">
        <f t="shared" ca="1" si="245"/>
        <v>0</v>
      </c>
      <c r="GC58" s="88">
        <f t="shared" ca="1" si="245"/>
        <v>0</v>
      </c>
      <c r="GD58" s="60"/>
    </row>
    <row r="59" spans="1:186" s="54" customFormat="1">
      <c r="A59" s="61"/>
      <c r="B59" s="100" t="str">
        <f t="shared" si="0"/>
        <v>Residential_High Efficiency HVAC_0_Heat Pump Water Heater_2017</v>
      </c>
      <c r="C59" s="100">
        <f>INDEX('Measure Inputs'!$D:$D,MATCH($B59,'Measure Inputs'!$B:$B,0))</f>
        <v>11</v>
      </c>
      <c r="D59" s="101" t="s">
        <v>2</v>
      </c>
      <c r="E59" s="101" t="s">
        <v>250</v>
      </c>
      <c r="F59" s="101">
        <v>0</v>
      </c>
      <c r="G59" s="101" t="s">
        <v>260</v>
      </c>
      <c r="H59" s="101">
        <v>2017</v>
      </c>
      <c r="I59" s="55"/>
      <c r="J59" s="58">
        <f t="shared" ca="1" si="229"/>
        <v>0.60035540258891729</v>
      </c>
      <c r="K59" s="58">
        <f t="shared" ca="1" si="246"/>
        <v>2.353393178148556</v>
      </c>
      <c r="L59" s="58">
        <f t="shared" ca="1" si="230"/>
        <v>2.5524529014174964</v>
      </c>
      <c r="M59" s="58">
        <f t="shared" ca="1" si="231"/>
        <v>0.82397504391999077</v>
      </c>
      <c r="N59" s="58">
        <f t="shared" ca="1" si="232"/>
        <v>0.23520724016318259</v>
      </c>
      <c r="O59" s="55"/>
      <c r="P59" s="175">
        <f ca="1">IFERROR(($AW59+AV59)/SUMPRODUCT($CA59:$DI59,'General Inputs'!$F$51:$AN$51),"n/a")</f>
        <v>1.3646332130194255E-2</v>
      </c>
      <c r="Q59" s="175">
        <f t="shared" ca="1" si="233"/>
        <v>0.11215656092154104</v>
      </c>
      <c r="R59" s="56">
        <f t="shared" ca="1" si="247"/>
        <v>231.81880566209813</v>
      </c>
      <c r="S59" s="55"/>
      <c r="T59" s="56">
        <f ca="1">INDEX(OFFSET('Measure Inputs'!$L$7,,,InputRows),$C59)</f>
        <v>10</v>
      </c>
      <c r="U59" s="134">
        <f ca="1">INDEX(OFFSET('Measure Inputs'!$T$7,,,InputRows),$C59)</f>
        <v>1</v>
      </c>
      <c r="V59" s="134">
        <f ca="1">INDEX(OFFSET('Measure Inputs'!$U$7,,,InputRows),$C59)</f>
        <v>1</v>
      </c>
      <c r="W59" s="55"/>
      <c r="X59" s="96">
        <f ca="1">INDEX(OFFSET('Measure Inputs'!$V$7,,,InputRows),$C59)*$T59*$V59*$U59</f>
        <v>17832.2158201614</v>
      </c>
      <c r="Y59" s="96">
        <f ca="1">INDEX(OFFSET('Measure Inputs'!$W$7,,,InputRows),$C59)*$T59*$V59*$U59</f>
        <v>0.84479506451613418</v>
      </c>
      <c r="Z59" s="96">
        <f ca="1">INDEX(OFFSET('Measure Inputs'!$X$7,,,InputRows),$C59)*$T59*$V59*$U59</f>
        <v>0</v>
      </c>
      <c r="AA59" s="55"/>
      <c r="AB59" s="96">
        <f ca="1">INDEX(OFFSET('Measure Inputs'!$Z$7,,,InputRows),$C59)*$T59*$V59*$U59</f>
        <v>0</v>
      </c>
      <c r="AC59" s="96">
        <f ca="1">INDEX(OFFSET('Measure Inputs'!$AA$7,,,InputRows),$C59)*$T59*$V59*$U59</f>
        <v>0</v>
      </c>
      <c r="AD59" s="96">
        <f ca="1">INDEX(OFFSET('Measure Inputs'!$AB$7,,,InputRows),$C59)*$T59*$V59*$U59</f>
        <v>0</v>
      </c>
      <c r="AE59" s="55"/>
      <c r="AF59" s="57">
        <f ca="1">INDEX(OFFSET('Measure Inputs'!$Q$7,,,InputRows),$C59)*$T59</f>
        <v>0</v>
      </c>
      <c r="AG59" s="57">
        <f ca="1">INDEX(OFFSET('Measure Inputs'!$P$7,,,InputRows),$C59)*$T59*$V59</f>
        <v>7840</v>
      </c>
      <c r="AH59" s="57">
        <f ca="1">INDEX(OFFSET('Measure Inputs'!$R$7,,,InputRows),$C59)*$T59*$V59</f>
        <v>0</v>
      </c>
      <c r="AI59" s="57">
        <f ca="1">INDEX(OFFSET('Measure Inputs'!$O$7,,,InputRows),$C59)*$T59</f>
        <v>2000</v>
      </c>
      <c r="AJ59" s="57">
        <f ca="1">INDEX(OFFSET('Measure Inputs'!$S$7,,,InputRows),$C59)*$T59</f>
        <v>0</v>
      </c>
      <c r="AK59" s="63">
        <f ca="1">INDEX(OFFSET('Measure Inputs'!$M$7,,,InputRows),$C59)</f>
        <v>13</v>
      </c>
      <c r="AL59" s="88">
        <f ca="1">INDEX(OFFSET('Measure Inputs'!$N$7,,,InputRows),$C59)</f>
        <v>0</v>
      </c>
      <c r="AM59" s="57">
        <f ca="1">SUMIFS(OFFSET('Program Inputs'!$N$5,,,TotalPrograms),OFFSET('Program Inputs'!$B$5,,,TotalPrograms),SUBSTITUTE($B59,"All","*"))+AF59</f>
        <v>0</v>
      </c>
      <c r="AN59" s="57">
        <f t="shared" ca="1" si="248"/>
        <v>2000</v>
      </c>
      <c r="AO59" s="55"/>
      <c r="AP59" s="59">
        <f t="shared" ca="1" si="249"/>
        <v>4706.7863562971115</v>
      </c>
      <c r="AQ59" s="59">
        <f t="shared" ca="1" si="250"/>
        <v>7840</v>
      </c>
      <c r="AR59" s="59">
        <f ca="1">SUMPRODUCT($CA59:$DI59,'General Inputs'!$F$32:$AN$32,'General Inputs'!$F$51:$AN$51)/(1-Loss_ElectricEnergy)</f>
        <v>4551.6862940280798</v>
      </c>
      <c r="AS59" s="59">
        <f ca="1">SUMPRODUCT($DK59:$ES59,'General Inputs'!$F$33:$AN$33,'General Inputs'!$F$51:$AN$51)/(1-Loss_ElectricDemand)</f>
        <v>155.10006226903133</v>
      </c>
      <c r="AT59" s="59">
        <f ca="1">SUMPRODUCT($EU59:$GC59,'General Inputs'!$F$34:$AN$34,'General Inputs'!$F$51:$AN$51)/(1-Loss_GasEnergy)</f>
        <v>0</v>
      </c>
      <c r="AU59" s="59">
        <f ca="1">INDEX('General Inputs'!$F$51:$AN$51,MATCH($H59,'General Inputs'!$F$50:$AN$50,0))*$AJ59</f>
        <v>0</v>
      </c>
      <c r="AV59" s="59">
        <f ca="1">INDEX('General Inputs'!$F$51:$AN$51,MATCH($H59,'General Inputs'!$F$50:$AN$50,0))*$AI59</f>
        <v>2000</v>
      </c>
      <c r="AW59" s="59">
        <f ca="1">INDEX('General Inputs'!$F$51:$AN$51,MATCH($H59,'General Inputs'!$F$50:$AN$50,0))*$AM59</f>
        <v>0</v>
      </c>
      <c r="AX59" s="59">
        <f ca="1">SUM(INDEX('General Inputs'!$F$51:$AN$51,MATCH($H59,'General Inputs'!$F$50:$AN$50,0))*$AG59,INDEX('General Inputs'!$F$51:$AN$51,MATCH($H59+$AL59,'General Inputs'!$F$50:$AN$50,0))*-$AH59)</f>
        <v>7840</v>
      </c>
      <c r="AY59" s="55"/>
      <c r="AZ59" s="59">
        <f ca="1">SUMPRODUCT($CA59:$DI59,'General Inputs'!$F$32:$AN$32,'General Inputs'!$F$52:$AN$52)/(1-Loss_ElectricEnergy)</f>
        <v>4551.6862940280798</v>
      </c>
      <c r="BA59" s="59">
        <f ca="1">SUMPRODUCT($DK59:$ES59,'General Inputs'!$F$33:$AN$33,'General Inputs'!$F$52:$AN$52)/(1-Loss_ElectricDemand)</f>
        <v>155.10006226903133</v>
      </c>
      <c r="BB59" s="59">
        <f ca="1">SUMPRODUCT($EU59:$GC59,'General Inputs'!$F$34:$AN$34,'General Inputs'!$F$52:$AN$52)/(1-Loss_GasEnergy)</f>
        <v>0</v>
      </c>
      <c r="BC59" s="59">
        <f ca="1">INDEX('General Inputs'!$F$52:$AN$52,MATCH($H59,'General Inputs'!$F$50:$AN$50,0))*$AI59</f>
        <v>2000</v>
      </c>
      <c r="BD59" s="59">
        <f ca="1">INDEX('General Inputs'!$F$52:$AN$52,MATCH($H59,'General Inputs'!$F$50:$AN$50,0))*$AM59</f>
        <v>0</v>
      </c>
      <c r="BE59" s="55"/>
      <c r="BF59" s="59">
        <f ca="1">SUMPRODUCT($CA59:$DI59,OFFSET('General Inputs'!$F$40:$AN$40,MATCH($D59&amp;" Electric ($/kWh)",'General Inputs'!$E$40:$E$46,0),),'General Inputs'!$F$54:$AN$54)</f>
        <v>18011.230747113172</v>
      </c>
      <c r="BG59" s="59">
        <f ca="1">SUMPRODUCT($EU59:$GC59,OFFSET('General Inputs'!$F$40:$AN$40,MATCH($D59&amp;" Natural Gas ($/therm)",'General Inputs'!$E$40:$E$46,0),),'General Inputs'!$F$54:$AN$54)</f>
        <v>0</v>
      </c>
      <c r="BH59" s="59">
        <f ca="1">INDEX('General Inputs'!$F$54:$AN$54,MATCH($H59,'General Inputs'!$F$50:$AN$50,0))*$AI59</f>
        <v>2000</v>
      </c>
      <c r="BI59" s="59">
        <f ca="1">SUM(INDEX('General Inputs'!$F$54:$AN$54,MATCH($H59,'General Inputs'!$F$50:$AN$50,0))*$AG59,INDEX('General Inputs'!$F$51:$AN$51,MATCH($H59+$AL59,'General Inputs'!$F$50:$AN$50,0))*-$AH59)</f>
        <v>7840</v>
      </c>
      <c r="BJ59" s="55"/>
      <c r="BK59" s="59">
        <f ca="1">SUMPRODUCT($CA59:$DI59,'General Inputs'!$F$32:$AN$32,'General Inputs'!$F$53:$AN$53)/(1-Loss_ElectricEnergy)</f>
        <v>4551.6862940280798</v>
      </c>
      <c r="BL59" s="59">
        <f ca="1">SUMPRODUCT($DK59:$ES59,'General Inputs'!$F$33:$AN$33,'General Inputs'!$F$53:$AN$53)/(1-Loss_ElectricDemand)</f>
        <v>155.10006226903133</v>
      </c>
      <c r="BM59" s="59">
        <f ca="1">SUMPRODUCT($EU59:$GC59,'General Inputs'!$F$34:$AN$34,'General Inputs'!$F$53:$AN$53)/(1-Loss_GasEnergy)</f>
        <v>0</v>
      </c>
      <c r="BN59" s="59">
        <f ca="1">INDEX('General Inputs'!$F$53:$AN$53,MATCH($H59,'General Inputs'!$F$50:$AN$50,0))*$AJ59</f>
        <v>0</v>
      </c>
      <c r="BO59" s="59">
        <f ca="1">SUMPRODUCT($CA59:$DI59,'General Inputs'!$F$35:$AN$35,'General Inputs'!$F$53:$AN$53)/(1-Loss_ElectricEnergy)</f>
        <v>1753.1779880356162</v>
      </c>
      <c r="BP59" s="59">
        <f ca="1">INDEX('General Inputs'!$F$51:$AN$51,MATCH($H59,'General Inputs'!$F$50:$AN$50,0))*$AM59</f>
        <v>0</v>
      </c>
      <c r="BQ59" s="59">
        <f ca="1">SUM(INDEX('General Inputs'!$F$53:$AN$53,MATCH($H59,'General Inputs'!$F$50:$AN$50,0))*$AG59,INDEX('General Inputs'!$F$53:$AN$53,MATCH($H59+$AL59,'General Inputs'!$F$50:$AN$50,0))*-$AH59)</f>
        <v>7840</v>
      </c>
      <c r="BR59" s="55"/>
      <c r="BS59" s="59">
        <f ca="1">SUMPRODUCT($CA59:$DI59,'General Inputs'!$F$32:$AN$32,'General Inputs'!$F$55:$AN$55)/(1-Loss_ElectricEnergy)</f>
        <v>4551.6862940280798</v>
      </c>
      <c r="BT59" s="59">
        <f ca="1">SUMPRODUCT($DK59:$ES59,'General Inputs'!$F$33:$AN$33,'General Inputs'!$F$55:$AN$55)/(1-Loss_ElectricDemand)</f>
        <v>155.10006226903133</v>
      </c>
      <c r="BU59" s="59">
        <f ca="1">SUMPRODUCT($EU59:$GC59,'General Inputs'!$F$34:$AN$34,'General Inputs'!$F$55:$AN$55)/(1-Loss_GasEnergy)</f>
        <v>0</v>
      </c>
      <c r="BV59" s="59">
        <f ca="1">SUMPRODUCT($CA59:$DI59,OFFSET('General Inputs'!$F$40:$AN$40,MATCH($D59&amp;" Electric ($/kWh)",'General Inputs'!$E$40:$E$46,0),),'General Inputs'!$F$55:$AN$55)</f>
        <v>18011.230747113172</v>
      </c>
      <c r="BW59" s="59">
        <f ca="1">SUMPRODUCT($EU59:$GC59,OFFSET('General Inputs'!$F$40:$AN$40,MATCH($D59&amp;" Natural Gas ($/therm)",'General Inputs'!$E$40:$E$46,0),),'General Inputs'!$F$55:$AN$55)</f>
        <v>0</v>
      </c>
      <c r="BX59" s="59">
        <f ca="1">INDEX('General Inputs'!$F$55:$AN$55,MATCH($H59,'General Inputs'!$F$50:$AN$50,0))*$AI59</f>
        <v>2000</v>
      </c>
      <c r="BY59" s="59">
        <f ca="1">INDEX('General Inputs'!$F$51:$AN$51,MATCH($H59,'General Inputs'!$F$50:$AN$50,0))*$AM59</f>
        <v>0</v>
      </c>
      <c r="BZ59" s="55"/>
      <c r="CA59" s="88">
        <f t="shared" ref="CA59:CJ68" ca="1" si="251">IF(AND($H59&lt;=CA$8,$H59+$AK59&gt;CA$8),IF(AND($H59+$AL59&lt;=CA$8,$AL59&gt;0),$AB59,$X59),0)</f>
        <v>17832.2158201614</v>
      </c>
      <c r="CB59" s="88">
        <f t="shared" ca="1" si="251"/>
        <v>17832.2158201614</v>
      </c>
      <c r="CC59" s="88">
        <f t="shared" ca="1" si="251"/>
        <v>17832.2158201614</v>
      </c>
      <c r="CD59" s="88">
        <f t="shared" ca="1" si="251"/>
        <v>17832.2158201614</v>
      </c>
      <c r="CE59" s="88">
        <f t="shared" ca="1" si="251"/>
        <v>17832.2158201614</v>
      </c>
      <c r="CF59" s="88">
        <f t="shared" ca="1" si="251"/>
        <v>17832.2158201614</v>
      </c>
      <c r="CG59" s="88">
        <f t="shared" ca="1" si="251"/>
        <v>17832.2158201614</v>
      </c>
      <c r="CH59" s="88">
        <f t="shared" ca="1" si="251"/>
        <v>17832.2158201614</v>
      </c>
      <c r="CI59" s="88">
        <f t="shared" ca="1" si="251"/>
        <v>17832.2158201614</v>
      </c>
      <c r="CJ59" s="88">
        <f t="shared" ca="1" si="251"/>
        <v>17832.2158201614</v>
      </c>
      <c r="CK59" s="88">
        <f t="shared" ref="CK59:CT68" ca="1" si="252">IF(AND($H59&lt;=CK$8,$H59+$AK59&gt;CK$8),IF(AND($H59+$AL59&lt;=CK$8,$AL59&gt;0),$AB59,$X59),0)</f>
        <v>17832.2158201614</v>
      </c>
      <c r="CL59" s="88">
        <f t="shared" ca="1" si="252"/>
        <v>17832.2158201614</v>
      </c>
      <c r="CM59" s="88">
        <f t="shared" ca="1" si="252"/>
        <v>17832.2158201614</v>
      </c>
      <c r="CN59" s="88">
        <f t="shared" ca="1" si="252"/>
        <v>0</v>
      </c>
      <c r="CO59" s="88">
        <f t="shared" ca="1" si="252"/>
        <v>0</v>
      </c>
      <c r="CP59" s="88">
        <f t="shared" ca="1" si="252"/>
        <v>0</v>
      </c>
      <c r="CQ59" s="88">
        <f t="shared" ca="1" si="252"/>
        <v>0</v>
      </c>
      <c r="CR59" s="88">
        <f t="shared" ca="1" si="252"/>
        <v>0</v>
      </c>
      <c r="CS59" s="88">
        <f t="shared" ca="1" si="252"/>
        <v>0</v>
      </c>
      <c r="CT59" s="88">
        <f t="shared" ca="1" si="252"/>
        <v>0</v>
      </c>
      <c r="CU59" s="88">
        <f t="shared" ref="CU59:DI68" ca="1" si="253">IF(AND($H59&lt;=CU$8,$H59+$AK59&gt;CU$8),IF(AND($H59+$AL59&lt;=CU$8,$AL59&gt;0),$AB59,$X59),0)</f>
        <v>0</v>
      </c>
      <c r="CV59" s="88">
        <f t="shared" ca="1" si="253"/>
        <v>0</v>
      </c>
      <c r="CW59" s="88">
        <f t="shared" ca="1" si="253"/>
        <v>0</v>
      </c>
      <c r="CX59" s="88">
        <f t="shared" ca="1" si="253"/>
        <v>0</v>
      </c>
      <c r="CY59" s="88">
        <f t="shared" ca="1" si="253"/>
        <v>0</v>
      </c>
      <c r="CZ59" s="88">
        <f t="shared" ca="1" si="253"/>
        <v>0</v>
      </c>
      <c r="DA59" s="88">
        <f t="shared" ca="1" si="253"/>
        <v>0</v>
      </c>
      <c r="DB59" s="88">
        <f t="shared" ca="1" si="253"/>
        <v>0</v>
      </c>
      <c r="DC59" s="88">
        <f t="shared" ca="1" si="253"/>
        <v>0</v>
      </c>
      <c r="DD59" s="88">
        <f t="shared" ca="1" si="253"/>
        <v>0</v>
      </c>
      <c r="DE59" s="88">
        <f t="shared" ca="1" si="253"/>
        <v>0</v>
      </c>
      <c r="DF59" s="88">
        <f t="shared" ca="1" si="253"/>
        <v>0</v>
      </c>
      <c r="DG59" s="88">
        <f t="shared" ca="1" si="253"/>
        <v>0</v>
      </c>
      <c r="DH59" s="88">
        <f t="shared" ca="1" si="253"/>
        <v>0</v>
      </c>
      <c r="DI59" s="88">
        <f t="shared" ca="1" si="253"/>
        <v>0</v>
      </c>
      <c r="DJ59" s="169"/>
      <c r="DK59" s="88">
        <f t="shared" ref="DK59:DT68" ca="1" si="254">IF(AND($H59&lt;=DK$8,$H59+$AK59&gt;DK$8),IF(AND($H59+$AL59&lt;=DK$8,$AL59&gt;0),$AC59,$Y59),0)</f>
        <v>0.84479506451613418</v>
      </c>
      <c r="DL59" s="88">
        <f t="shared" ca="1" si="254"/>
        <v>0.84479506451613418</v>
      </c>
      <c r="DM59" s="88">
        <f t="shared" ca="1" si="254"/>
        <v>0.84479506451613418</v>
      </c>
      <c r="DN59" s="88">
        <f t="shared" ca="1" si="254"/>
        <v>0.84479506451613418</v>
      </c>
      <c r="DO59" s="88">
        <f t="shared" ca="1" si="254"/>
        <v>0.84479506451613418</v>
      </c>
      <c r="DP59" s="88">
        <f t="shared" ca="1" si="254"/>
        <v>0.84479506451613418</v>
      </c>
      <c r="DQ59" s="88">
        <f t="shared" ca="1" si="254"/>
        <v>0.84479506451613418</v>
      </c>
      <c r="DR59" s="88">
        <f t="shared" ca="1" si="254"/>
        <v>0.84479506451613418</v>
      </c>
      <c r="DS59" s="88">
        <f t="shared" ca="1" si="254"/>
        <v>0.84479506451613418</v>
      </c>
      <c r="DT59" s="88">
        <f t="shared" ca="1" si="254"/>
        <v>0.84479506451613418</v>
      </c>
      <c r="DU59" s="88">
        <f t="shared" ref="DU59:ED68" ca="1" si="255">IF(AND($H59&lt;=DU$8,$H59+$AK59&gt;DU$8),IF(AND($H59+$AL59&lt;=DU$8,$AL59&gt;0),$AC59,$Y59),0)</f>
        <v>0.84479506451613418</v>
      </c>
      <c r="DV59" s="88">
        <f t="shared" ca="1" si="255"/>
        <v>0.84479506451613418</v>
      </c>
      <c r="DW59" s="88">
        <f t="shared" ca="1" si="255"/>
        <v>0.84479506451613418</v>
      </c>
      <c r="DX59" s="88">
        <f t="shared" ca="1" si="255"/>
        <v>0</v>
      </c>
      <c r="DY59" s="88">
        <f t="shared" ca="1" si="255"/>
        <v>0</v>
      </c>
      <c r="DZ59" s="88">
        <f t="shared" ca="1" si="255"/>
        <v>0</v>
      </c>
      <c r="EA59" s="88">
        <f t="shared" ca="1" si="255"/>
        <v>0</v>
      </c>
      <c r="EB59" s="88">
        <f t="shared" ca="1" si="255"/>
        <v>0</v>
      </c>
      <c r="EC59" s="88">
        <f t="shared" ca="1" si="255"/>
        <v>0</v>
      </c>
      <c r="ED59" s="88">
        <f t="shared" ca="1" si="255"/>
        <v>0</v>
      </c>
      <c r="EE59" s="88">
        <f t="shared" ref="EE59:ES68" ca="1" si="256">IF(AND($H59&lt;=EE$8,$H59+$AK59&gt;EE$8),IF(AND($H59+$AL59&lt;=EE$8,$AL59&gt;0),$AC59,$Y59),0)</f>
        <v>0</v>
      </c>
      <c r="EF59" s="88">
        <f t="shared" ca="1" si="256"/>
        <v>0</v>
      </c>
      <c r="EG59" s="88">
        <f t="shared" ca="1" si="256"/>
        <v>0</v>
      </c>
      <c r="EH59" s="88">
        <f t="shared" ca="1" si="256"/>
        <v>0</v>
      </c>
      <c r="EI59" s="88">
        <f t="shared" ca="1" si="256"/>
        <v>0</v>
      </c>
      <c r="EJ59" s="88">
        <f t="shared" ca="1" si="256"/>
        <v>0</v>
      </c>
      <c r="EK59" s="88">
        <f t="shared" ca="1" si="256"/>
        <v>0</v>
      </c>
      <c r="EL59" s="88">
        <f t="shared" ca="1" si="256"/>
        <v>0</v>
      </c>
      <c r="EM59" s="88">
        <f t="shared" ca="1" si="256"/>
        <v>0</v>
      </c>
      <c r="EN59" s="88">
        <f t="shared" ca="1" si="256"/>
        <v>0</v>
      </c>
      <c r="EO59" s="88">
        <f t="shared" ca="1" si="256"/>
        <v>0</v>
      </c>
      <c r="EP59" s="88">
        <f t="shared" ca="1" si="256"/>
        <v>0</v>
      </c>
      <c r="EQ59" s="88">
        <f t="shared" ca="1" si="256"/>
        <v>0</v>
      </c>
      <c r="ER59" s="88">
        <f t="shared" ca="1" si="256"/>
        <v>0</v>
      </c>
      <c r="ES59" s="88">
        <f t="shared" ca="1" si="256"/>
        <v>0</v>
      </c>
      <c r="ET59" s="169"/>
      <c r="EU59" s="88">
        <f t="shared" ref="EU59:FD68" ca="1" si="257">IF(AND($H59&lt;=EU$8,$H59+$AK59&gt;EU$8),IF(AND($H59+$AL59&lt;=EU$8,$AL59&gt;0),$AD59,$Z59),0)</f>
        <v>0</v>
      </c>
      <c r="EV59" s="88">
        <f t="shared" ca="1" si="257"/>
        <v>0</v>
      </c>
      <c r="EW59" s="88">
        <f t="shared" ca="1" si="257"/>
        <v>0</v>
      </c>
      <c r="EX59" s="88">
        <f t="shared" ca="1" si="257"/>
        <v>0</v>
      </c>
      <c r="EY59" s="88">
        <f t="shared" ca="1" si="257"/>
        <v>0</v>
      </c>
      <c r="EZ59" s="88">
        <f t="shared" ca="1" si="257"/>
        <v>0</v>
      </c>
      <c r="FA59" s="88">
        <f t="shared" ca="1" si="257"/>
        <v>0</v>
      </c>
      <c r="FB59" s="88">
        <f t="shared" ca="1" si="257"/>
        <v>0</v>
      </c>
      <c r="FC59" s="88">
        <f t="shared" ca="1" si="257"/>
        <v>0</v>
      </c>
      <c r="FD59" s="88">
        <f t="shared" ca="1" si="257"/>
        <v>0</v>
      </c>
      <c r="FE59" s="88">
        <f t="shared" ref="FE59:FN68" ca="1" si="258">IF(AND($H59&lt;=FE$8,$H59+$AK59&gt;FE$8),IF(AND($H59+$AL59&lt;=FE$8,$AL59&gt;0),$AD59,$Z59),0)</f>
        <v>0</v>
      </c>
      <c r="FF59" s="88">
        <f t="shared" ca="1" si="258"/>
        <v>0</v>
      </c>
      <c r="FG59" s="88">
        <f t="shared" ca="1" si="258"/>
        <v>0</v>
      </c>
      <c r="FH59" s="88">
        <f t="shared" ca="1" si="258"/>
        <v>0</v>
      </c>
      <c r="FI59" s="88">
        <f t="shared" ca="1" si="258"/>
        <v>0</v>
      </c>
      <c r="FJ59" s="88">
        <f t="shared" ca="1" si="258"/>
        <v>0</v>
      </c>
      <c r="FK59" s="88">
        <f t="shared" ca="1" si="258"/>
        <v>0</v>
      </c>
      <c r="FL59" s="88">
        <f t="shared" ca="1" si="258"/>
        <v>0</v>
      </c>
      <c r="FM59" s="88">
        <f t="shared" ca="1" si="258"/>
        <v>0</v>
      </c>
      <c r="FN59" s="88">
        <f t="shared" ca="1" si="258"/>
        <v>0</v>
      </c>
      <c r="FO59" s="88">
        <f t="shared" ref="FO59:GC68" ca="1" si="259">IF(AND($H59&lt;=FO$8,$H59+$AK59&gt;FO$8),IF(AND($H59+$AL59&lt;=FO$8,$AL59&gt;0),$AD59,$Z59),0)</f>
        <v>0</v>
      </c>
      <c r="FP59" s="88">
        <f t="shared" ca="1" si="259"/>
        <v>0</v>
      </c>
      <c r="FQ59" s="88">
        <f t="shared" ca="1" si="259"/>
        <v>0</v>
      </c>
      <c r="FR59" s="88">
        <f t="shared" ca="1" si="259"/>
        <v>0</v>
      </c>
      <c r="FS59" s="88">
        <f t="shared" ca="1" si="259"/>
        <v>0</v>
      </c>
      <c r="FT59" s="88">
        <f t="shared" ca="1" si="259"/>
        <v>0</v>
      </c>
      <c r="FU59" s="88">
        <f t="shared" ca="1" si="259"/>
        <v>0</v>
      </c>
      <c r="FV59" s="88">
        <f t="shared" ca="1" si="259"/>
        <v>0</v>
      </c>
      <c r="FW59" s="88">
        <f t="shared" ca="1" si="259"/>
        <v>0</v>
      </c>
      <c r="FX59" s="88">
        <f t="shared" ca="1" si="259"/>
        <v>0</v>
      </c>
      <c r="FY59" s="88">
        <f t="shared" ca="1" si="259"/>
        <v>0</v>
      </c>
      <c r="FZ59" s="88">
        <f t="shared" ca="1" si="259"/>
        <v>0</v>
      </c>
      <c r="GA59" s="88">
        <f t="shared" ca="1" si="259"/>
        <v>0</v>
      </c>
      <c r="GB59" s="88">
        <f t="shared" ca="1" si="259"/>
        <v>0</v>
      </c>
      <c r="GC59" s="88">
        <f t="shared" ca="1" si="259"/>
        <v>0</v>
      </c>
      <c r="GD59" s="60"/>
    </row>
    <row r="60" spans="1:186" s="54" customFormat="1">
      <c r="A60" s="61"/>
      <c r="B60" s="100" t="str">
        <f t="shared" si="0"/>
        <v>Residential_High Efficiency HVAC_0_Geothermal EER ≥17.1, COP ≥3.6_2017</v>
      </c>
      <c r="C60" s="100">
        <f>INDEX('Measure Inputs'!$D:$D,MATCH($B60,'Measure Inputs'!$B:$B,0))</f>
        <v>12</v>
      </c>
      <c r="D60" s="101" t="s">
        <v>2</v>
      </c>
      <c r="E60" s="101" t="s">
        <v>250</v>
      </c>
      <c r="F60" s="101">
        <v>0</v>
      </c>
      <c r="G60" s="101" t="s">
        <v>610</v>
      </c>
      <c r="H60" s="101">
        <v>2017</v>
      </c>
      <c r="I60" s="55"/>
      <c r="J60" s="58" t="str">
        <f t="shared" ca="1" si="229"/>
        <v>n/a</v>
      </c>
      <c r="K60" s="58" t="str">
        <f t="shared" ca="1" si="246"/>
        <v>n/a</v>
      </c>
      <c r="L60" s="58" t="str">
        <f t="shared" ca="1" si="230"/>
        <v>n/a</v>
      </c>
      <c r="M60" s="58" t="str">
        <f t="shared" ca="1" si="231"/>
        <v>n/a</v>
      </c>
      <c r="N60" s="58" t="str">
        <f t="shared" ca="1" si="232"/>
        <v>n/a</v>
      </c>
      <c r="O60" s="55"/>
      <c r="P60" s="175" t="str">
        <f ca="1">IFERROR(($AW60+AV60)/SUMPRODUCT($CA60:$DI60,'General Inputs'!$F$51:$AN$51),"n/a")</f>
        <v>n/a</v>
      </c>
      <c r="Q60" s="175" t="str">
        <f t="shared" ca="1" si="233"/>
        <v>n/a</v>
      </c>
      <c r="R60" s="56">
        <f t="shared" ref="R60:R97" ca="1" si="260">SUM(CA60:DI60)/1000</f>
        <v>0</v>
      </c>
      <c r="S60" s="55"/>
      <c r="T60" s="56">
        <f ca="1">INDEX(OFFSET('Measure Inputs'!$L$7,,,InputRows),$C60)</f>
        <v>0</v>
      </c>
      <c r="U60" s="134">
        <f ca="1">INDEX(OFFSET('Measure Inputs'!$T$7,,,InputRows),$C60)</f>
        <v>1</v>
      </c>
      <c r="V60" s="134">
        <f ca="1">INDEX(OFFSET('Measure Inputs'!$U$7,,,InputRows),$C60)</f>
        <v>1</v>
      </c>
      <c r="W60" s="55"/>
      <c r="X60" s="96">
        <f ca="1">INDEX(OFFSET('Measure Inputs'!$V$7,,,InputRows),$C60)*$T60*$V60*$U60</f>
        <v>0</v>
      </c>
      <c r="Y60" s="96">
        <f ca="1">INDEX(OFFSET('Measure Inputs'!$W$7,,,InputRows),$C60)*$T60*$V60*$U60</f>
        <v>0</v>
      </c>
      <c r="Z60" s="96">
        <f ca="1">INDEX(OFFSET('Measure Inputs'!$X$7,,,InputRows),$C60)*$T60*$V60*$U60</f>
        <v>0</v>
      </c>
      <c r="AA60" s="55"/>
      <c r="AB60" s="96">
        <f ca="1">INDEX(OFFSET('Measure Inputs'!$Z$7,,,InputRows),$C60)*$T60*$V60*$U60</f>
        <v>0</v>
      </c>
      <c r="AC60" s="96">
        <f ca="1">INDEX(OFFSET('Measure Inputs'!$AA$7,,,InputRows),$C60)*$T60*$V60*$U60</f>
        <v>0</v>
      </c>
      <c r="AD60" s="96">
        <f ca="1">INDEX(OFFSET('Measure Inputs'!$AB$7,,,InputRows),$C60)*$T60*$V60*$U60</f>
        <v>0</v>
      </c>
      <c r="AE60" s="55"/>
      <c r="AF60" s="57">
        <f ca="1">INDEX(OFFSET('Measure Inputs'!$Q$7,,,InputRows),$C60)*$T60</f>
        <v>0</v>
      </c>
      <c r="AG60" s="57">
        <f ca="1">INDEX(OFFSET('Measure Inputs'!$P$7,,,InputRows),$C60)*$T60*$V60</f>
        <v>0</v>
      </c>
      <c r="AH60" s="57">
        <f ca="1">INDEX(OFFSET('Measure Inputs'!$R$7,,,InputRows),$C60)*$T60*$V60</f>
        <v>0</v>
      </c>
      <c r="AI60" s="57">
        <f ca="1">INDEX(OFFSET('Measure Inputs'!$O$7,,,InputRows),$C60)*$T60</f>
        <v>0</v>
      </c>
      <c r="AJ60" s="57">
        <f ca="1">INDEX(OFFSET('Measure Inputs'!$S$7,,,InputRows),$C60)*$T60</f>
        <v>0</v>
      </c>
      <c r="AK60" s="63">
        <f ca="1">INDEX(OFFSET('Measure Inputs'!$M$7,,,InputRows),$C60)</f>
        <v>25</v>
      </c>
      <c r="AL60" s="88">
        <f ca="1">INDEX(OFFSET('Measure Inputs'!$N$7,,,InputRows),$C60)</f>
        <v>0</v>
      </c>
      <c r="AM60" s="57">
        <f ca="1">SUMIFS(OFFSET('Program Inputs'!$N$5,,,TotalPrograms),OFFSET('Program Inputs'!$B$5,,,TotalPrograms),SUBSTITUTE($B60,"All","*"))+AF60</f>
        <v>0</v>
      </c>
      <c r="AN60" s="57">
        <f t="shared" ref="AN60:AN97" ca="1" si="261">AM60+AI60</f>
        <v>0</v>
      </c>
      <c r="AO60" s="55"/>
      <c r="AP60" s="59">
        <f t="shared" ref="AP60:AP97" ca="1" si="262">SUMIFS(AR60:AX60,$AR$7:$AX$7,"BENEFIT")</f>
        <v>0</v>
      </c>
      <c r="AQ60" s="59">
        <f t="shared" ref="AQ60:AQ97" ca="1" si="263">SUMIFS(AR60:AX60,$AR$7:$AX$7,"COST")</f>
        <v>0</v>
      </c>
      <c r="AR60" s="59">
        <f ca="1">SUMPRODUCT($CA60:$DI60,'General Inputs'!$F$32:$AN$32,'General Inputs'!$F$51:$AN$51)/(1-Loss_ElectricEnergy)</f>
        <v>0</v>
      </c>
      <c r="AS60" s="59">
        <f ca="1">SUMPRODUCT($DK60:$ES60,'General Inputs'!$F$33:$AN$33,'General Inputs'!$F$51:$AN$51)/(1-Loss_ElectricDemand)</f>
        <v>0</v>
      </c>
      <c r="AT60" s="59">
        <f ca="1">SUMPRODUCT($EU60:$GC60,'General Inputs'!$F$34:$AN$34,'General Inputs'!$F$51:$AN$51)/(1-Loss_GasEnergy)</f>
        <v>0</v>
      </c>
      <c r="AU60" s="59">
        <f ca="1">INDEX('General Inputs'!$F$51:$AN$51,MATCH($H60,'General Inputs'!$F$50:$AN$50,0))*$AJ60</f>
        <v>0</v>
      </c>
      <c r="AV60" s="59">
        <f ca="1">INDEX('General Inputs'!$F$51:$AN$51,MATCH($H60,'General Inputs'!$F$50:$AN$50,0))*$AI60</f>
        <v>0</v>
      </c>
      <c r="AW60" s="59">
        <f ca="1">INDEX('General Inputs'!$F$51:$AN$51,MATCH($H60,'General Inputs'!$F$50:$AN$50,0))*$AM60</f>
        <v>0</v>
      </c>
      <c r="AX60" s="59">
        <f ca="1">SUM(INDEX('General Inputs'!$F$51:$AN$51,MATCH($H60,'General Inputs'!$F$50:$AN$50,0))*$AG60,INDEX('General Inputs'!$F$51:$AN$51,MATCH($H60+$AL60,'General Inputs'!$F$50:$AN$50,0))*-$AH60)</f>
        <v>0</v>
      </c>
      <c r="AY60" s="55"/>
      <c r="AZ60" s="59">
        <f ca="1">SUMPRODUCT($CA60:$DI60,'General Inputs'!$F$32:$AN$32,'General Inputs'!$F$52:$AN$52)/(1-Loss_ElectricEnergy)</f>
        <v>0</v>
      </c>
      <c r="BA60" s="59">
        <f ca="1">SUMPRODUCT($DK60:$ES60,'General Inputs'!$F$33:$AN$33,'General Inputs'!$F$52:$AN$52)/(1-Loss_ElectricDemand)</f>
        <v>0</v>
      </c>
      <c r="BB60" s="59">
        <f ca="1">SUMPRODUCT($EU60:$GC60,'General Inputs'!$F$34:$AN$34,'General Inputs'!$F$52:$AN$52)/(1-Loss_GasEnergy)</f>
        <v>0</v>
      </c>
      <c r="BC60" s="59">
        <f ca="1">INDEX('General Inputs'!$F$52:$AN$52,MATCH($H60,'General Inputs'!$F$50:$AN$50,0))*$AI60</f>
        <v>0</v>
      </c>
      <c r="BD60" s="59">
        <f ca="1">INDEX('General Inputs'!$F$52:$AN$52,MATCH($H60,'General Inputs'!$F$50:$AN$50,0))*$AM60</f>
        <v>0</v>
      </c>
      <c r="BE60" s="55"/>
      <c r="BF60" s="59">
        <f ca="1">SUMPRODUCT($CA60:$DI60,OFFSET('General Inputs'!$F$40:$AN$40,MATCH($D60&amp;" Electric ($/kWh)",'General Inputs'!$E$40:$E$46,0),),'General Inputs'!$F$54:$AN$54)</f>
        <v>0</v>
      </c>
      <c r="BG60" s="59">
        <f ca="1">SUMPRODUCT($EU60:$GC60,OFFSET('General Inputs'!$F$40:$AN$40,MATCH($D60&amp;" Natural Gas ($/therm)",'General Inputs'!$E$40:$E$46,0),),'General Inputs'!$F$54:$AN$54)</f>
        <v>0</v>
      </c>
      <c r="BH60" s="59">
        <f ca="1">INDEX('General Inputs'!$F$54:$AN$54,MATCH($H60,'General Inputs'!$F$50:$AN$50,0))*$AI60</f>
        <v>0</v>
      </c>
      <c r="BI60" s="59">
        <f ca="1">SUM(INDEX('General Inputs'!$F$54:$AN$54,MATCH($H60,'General Inputs'!$F$50:$AN$50,0))*$AG60,INDEX('General Inputs'!$F$51:$AN$51,MATCH($H60+$AL60,'General Inputs'!$F$50:$AN$50,0))*-$AH60)</f>
        <v>0</v>
      </c>
      <c r="BJ60" s="55"/>
      <c r="BK60" s="59">
        <f ca="1">SUMPRODUCT($CA60:$DI60,'General Inputs'!$F$32:$AN$32,'General Inputs'!$F$53:$AN$53)/(1-Loss_ElectricEnergy)</f>
        <v>0</v>
      </c>
      <c r="BL60" s="59">
        <f ca="1">SUMPRODUCT($DK60:$ES60,'General Inputs'!$F$33:$AN$33,'General Inputs'!$F$53:$AN$53)/(1-Loss_ElectricDemand)</f>
        <v>0</v>
      </c>
      <c r="BM60" s="59">
        <f ca="1">SUMPRODUCT($EU60:$GC60,'General Inputs'!$F$34:$AN$34,'General Inputs'!$F$53:$AN$53)/(1-Loss_GasEnergy)</f>
        <v>0</v>
      </c>
      <c r="BN60" s="59">
        <f ca="1">INDEX('General Inputs'!$F$53:$AN$53,MATCH($H60,'General Inputs'!$F$50:$AN$50,0))*$AJ60</f>
        <v>0</v>
      </c>
      <c r="BO60" s="59">
        <f ca="1">SUMPRODUCT($CA60:$DI60,'General Inputs'!$F$35:$AN$35,'General Inputs'!$F$53:$AN$53)/(1-Loss_ElectricEnergy)</f>
        <v>0</v>
      </c>
      <c r="BP60" s="59">
        <f ca="1">INDEX('General Inputs'!$F$51:$AN$51,MATCH($H60,'General Inputs'!$F$50:$AN$50,0))*$AM60</f>
        <v>0</v>
      </c>
      <c r="BQ60" s="59">
        <f ca="1">SUM(INDEX('General Inputs'!$F$53:$AN$53,MATCH($H60,'General Inputs'!$F$50:$AN$50,0))*$AG60,INDEX('General Inputs'!$F$53:$AN$53,MATCH($H60+$AL60,'General Inputs'!$F$50:$AN$50,0))*-$AH60)</f>
        <v>0</v>
      </c>
      <c r="BR60" s="55"/>
      <c r="BS60" s="59">
        <f ca="1">SUMPRODUCT($CA60:$DI60,'General Inputs'!$F$32:$AN$32,'General Inputs'!$F$55:$AN$55)/(1-Loss_ElectricEnergy)</f>
        <v>0</v>
      </c>
      <c r="BT60" s="59">
        <f ca="1">SUMPRODUCT($DK60:$ES60,'General Inputs'!$F$33:$AN$33,'General Inputs'!$F$55:$AN$55)/(1-Loss_ElectricDemand)</f>
        <v>0</v>
      </c>
      <c r="BU60" s="59">
        <f ca="1">SUMPRODUCT($EU60:$GC60,'General Inputs'!$F$34:$AN$34,'General Inputs'!$F$55:$AN$55)/(1-Loss_GasEnergy)</f>
        <v>0</v>
      </c>
      <c r="BV60" s="59">
        <f ca="1">SUMPRODUCT($CA60:$DI60,OFFSET('General Inputs'!$F$40:$AN$40,MATCH($D60&amp;" Electric ($/kWh)",'General Inputs'!$E$40:$E$46,0),),'General Inputs'!$F$55:$AN$55)</f>
        <v>0</v>
      </c>
      <c r="BW60" s="59">
        <f ca="1">SUMPRODUCT($EU60:$GC60,OFFSET('General Inputs'!$F$40:$AN$40,MATCH($D60&amp;" Natural Gas ($/therm)",'General Inputs'!$E$40:$E$46,0),),'General Inputs'!$F$55:$AN$55)</f>
        <v>0</v>
      </c>
      <c r="BX60" s="59">
        <f ca="1">INDEX('General Inputs'!$F$55:$AN$55,MATCH($H60,'General Inputs'!$F$50:$AN$50,0))*$AI60</f>
        <v>0</v>
      </c>
      <c r="BY60" s="59">
        <f ca="1">INDEX('General Inputs'!$F$51:$AN$51,MATCH($H60,'General Inputs'!$F$50:$AN$50,0))*$AM60</f>
        <v>0</v>
      </c>
      <c r="BZ60" s="55"/>
      <c r="CA60" s="88">
        <f t="shared" ca="1" si="251"/>
        <v>0</v>
      </c>
      <c r="CB60" s="88">
        <f t="shared" ca="1" si="251"/>
        <v>0</v>
      </c>
      <c r="CC60" s="88">
        <f t="shared" ca="1" si="251"/>
        <v>0</v>
      </c>
      <c r="CD60" s="88">
        <f t="shared" ca="1" si="251"/>
        <v>0</v>
      </c>
      <c r="CE60" s="88">
        <f t="shared" ca="1" si="251"/>
        <v>0</v>
      </c>
      <c r="CF60" s="88">
        <f t="shared" ca="1" si="251"/>
        <v>0</v>
      </c>
      <c r="CG60" s="88">
        <f t="shared" ca="1" si="251"/>
        <v>0</v>
      </c>
      <c r="CH60" s="88">
        <f t="shared" ca="1" si="251"/>
        <v>0</v>
      </c>
      <c r="CI60" s="88">
        <f t="shared" ca="1" si="251"/>
        <v>0</v>
      </c>
      <c r="CJ60" s="88">
        <f t="shared" ca="1" si="251"/>
        <v>0</v>
      </c>
      <c r="CK60" s="88">
        <f t="shared" ca="1" si="252"/>
        <v>0</v>
      </c>
      <c r="CL60" s="88">
        <f t="shared" ca="1" si="252"/>
        <v>0</v>
      </c>
      <c r="CM60" s="88">
        <f t="shared" ca="1" si="252"/>
        <v>0</v>
      </c>
      <c r="CN60" s="88">
        <f t="shared" ca="1" si="252"/>
        <v>0</v>
      </c>
      <c r="CO60" s="88">
        <f t="shared" ca="1" si="252"/>
        <v>0</v>
      </c>
      <c r="CP60" s="88">
        <f t="shared" ca="1" si="252"/>
        <v>0</v>
      </c>
      <c r="CQ60" s="88">
        <f t="shared" ca="1" si="252"/>
        <v>0</v>
      </c>
      <c r="CR60" s="88">
        <f t="shared" ca="1" si="252"/>
        <v>0</v>
      </c>
      <c r="CS60" s="88">
        <f t="shared" ca="1" si="252"/>
        <v>0</v>
      </c>
      <c r="CT60" s="88">
        <f t="shared" ca="1" si="252"/>
        <v>0</v>
      </c>
      <c r="CU60" s="88">
        <f t="shared" ca="1" si="253"/>
        <v>0</v>
      </c>
      <c r="CV60" s="88">
        <f t="shared" ca="1" si="253"/>
        <v>0</v>
      </c>
      <c r="CW60" s="88">
        <f t="shared" ca="1" si="253"/>
        <v>0</v>
      </c>
      <c r="CX60" s="88">
        <f t="shared" ca="1" si="253"/>
        <v>0</v>
      </c>
      <c r="CY60" s="88">
        <f t="shared" ca="1" si="253"/>
        <v>0</v>
      </c>
      <c r="CZ60" s="88">
        <f t="shared" ca="1" si="253"/>
        <v>0</v>
      </c>
      <c r="DA60" s="88">
        <f t="shared" ca="1" si="253"/>
        <v>0</v>
      </c>
      <c r="DB60" s="88">
        <f t="shared" ca="1" si="253"/>
        <v>0</v>
      </c>
      <c r="DC60" s="88">
        <f t="shared" ca="1" si="253"/>
        <v>0</v>
      </c>
      <c r="DD60" s="88">
        <f t="shared" ca="1" si="253"/>
        <v>0</v>
      </c>
      <c r="DE60" s="88">
        <f t="shared" ca="1" si="253"/>
        <v>0</v>
      </c>
      <c r="DF60" s="88">
        <f t="shared" ca="1" si="253"/>
        <v>0</v>
      </c>
      <c r="DG60" s="88">
        <f t="shared" ca="1" si="253"/>
        <v>0</v>
      </c>
      <c r="DH60" s="88">
        <f t="shared" ca="1" si="253"/>
        <v>0</v>
      </c>
      <c r="DI60" s="88">
        <f t="shared" ca="1" si="253"/>
        <v>0</v>
      </c>
      <c r="DJ60" s="169"/>
      <c r="DK60" s="88">
        <f t="shared" ca="1" si="254"/>
        <v>0</v>
      </c>
      <c r="DL60" s="88">
        <f t="shared" ca="1" si="254"/>
        <v>0</v>
      </c>
      <c r="DM60" s="88">
        <f t="shared" ca="1" si="254"/>
        <v>0</v>
      </c>
      <c r="DN60" s="88">
        <f t="shared" ca="1" si="254"/>
        <v>0</v>
      </c>
      <c r="DO60" s="88">
        <f t="shared" ca="1" si="254"/>
        <v>0</v>
      </c>
      <c r="DP60" s="88">
        <f t="shared" ca="1" si="254"/>
        <v>0</v>
      </c>
      <c r="DQ60" s="88">
        <f t="shared" ca="1" si="254"/>
        <v>0</v>
      </c>
      <c r="DR60" s="88">
        <f t="shared" ca="1" si="254"/>
        <v>0</v>
      </c>
      <c r="DS60" s="88">
        <f t="shared" ca="1" si="254"/>
        <v>0</v>
      </c>
      <c r="DT60" s="88">
        <f t="shared" ca="1" si="254"/>
        <v>0</v>
      </c>
      <c r="DU60" s="88">
        <f t="shared" ca="1" si="255"/>
        <v>0</v>
      </c>
      <c r="DV60" s="88">
        <f t="shared" ca="1" si="255"/>
        <v>0</v>
      </c>
      <c r="DW60" s="88">
        <f t="shared" ca="1" si="255"/>
        <v>0</v>
      </c>
      <c r="DX60" s="88">
        <f t="shared" ca="1" si="255"/>
        <v>0</v>
      </c>
      <c r="DY60" s="88">
        <f t="shared" ca="1" si="255"/>
        <v>0</v>
      </c>
      <c r="DZ60" s="88">
        <f t="shared" ca="1" si="255"/>
        <v>0</v>
      </c>
      <c r="EA60" s="88">
        <f t="shared" ca="1" si="255"/>
        <v>0</v>
      </c>
      <c r="EB60" s="88">
        <f t="shared" ca="1" si="255"/>
        <v>0</v>
      </c>
      <c r="EC60" s="88">
        <f t="shared" ca="1" si="255"/>
        <v>0</v>
      </c>
      <c r="ED60" s="88">
        <f t="shared" ca="1" si="255"/>
        <v>0</v>
      </c>
      <c r="EE60" s="88">
        <f t="shared" ca="1" si="256"/>
        <v>0</v>
      </c>
      <c r="EF60" s="88">
        <f t="shared" ca="1" si="256"/>
        <v>0</v>
      </c>
      <c r="EG60" s="88">
        <f t="shared" ca="1" si="256"/>
        <v>0</v>
      </c>
      <c r="EH60" s="88">
        <f t="shared" ca="1" si="256"/>
        <v>0</v>
      </c>
      <c r="EI60" s="88">
        <f t="shared" ca="1" si="256"/>
        <v>0</v>
      </c>
      <c r="EJ60" s="88">
        <f t="shared" ca="1" si="256"/>
        <v>0</v>
      </c>
      <c r="EK60" s="88">
        <f t="shared" ca="1" si="256"/>
        <v>0</v>
      </c>
      <c r="EL60" s="88">
        <f t="shared" ca="1" si="256"/>
        <v>0</v>
      </c>
      <c r="EM60" s="88">
        <f t="shared" ca="1" si="256"/>
        <v>0</v>
      </c>
      <c r="EN60" s="88">
        <f t="shared" ca="1" si="256"/>
        <v>0</v>
      </c>
      <c r="EO60" s="88">
        <f t="shared" ca="1" si="256"/>
        <v>0</v>
      </c>
      <c r="EP60" s="88">
        <f t="shared" ca="1" si="256"/>
        <v>0</v>
      </c>
      <c r="EQ60" s="88">
        <f t="shared" ca="1" si="256"/>
        <v>0</v>
      </c>
      <c r="ER60" s="88">
        <f t="shared" ca="1" si="256"/>
        <v>0</v>
      </c>
      <c r="ES60" s="88">
        <f t="shared" ca="1" si="256"/>
        <v>0</v>
      </c>
      <c r="ET60" s="169"/>
      <c r="EU60" s="88">
        <f t="shared" ca="1" si="257"/>
        <v>0</v>
      </c>
      <c r="EV60" s="88">
        <f t="shared" ca="1" si="257"/>
        <v>0</v>
      </c>
      <c r="EW60" s="88">
        <f t="shared" ca="1" si="257"/>
        <v>0</v>
      </c>
      <c r="EX60" s="88">
        <f t="shared" ca="1" si="257"/>
        <v>0</v>
      </c>
      <c r="EY60" s="88">
        <f t="shared" ca="1" si="257"/>
        <v>0</v>
      </c>
      <c r="EZ60" s="88">
        <f t="shared" ca="1" si="257"/>
        <v>0</v>
      </c>
      <c r="FA60" s="88">
        <f t="shared" ca="1" si="257"/>
        <v>0</v>
      </c>
      <c r="FB60" s="88">
        <f t="shared" ca="1" si="257"/>
        <v>0</v>
      </c>
      <c r="FC60" s="88">
        <f t="shared" ca="1" si="257"/>
        <v>0</v>
      </c>
      <c r="FD60" s="88">
        <f t="shared" ca="1" si="257"/>
        <v>0</v>
      </c>
      <c r="FE60" s="88">
        <f t="shared" ca="1" si="258"/>
        <v>0</v>
      </c>
      <c r="FF60" s="88">
        <f t="shared" ca="1" si="258"/>
        <v>0</v>
      </c>
      <c r="FG60" s="88">
        <f t="shared" ca="1" si="258"/>
        <v>0</v>
      </c>
      <c r="FH60" s="88">
        <f t="shared" ca="1" si="258"/>
        <v>0</v>
      </c>
      <c r="FI60" s="88">
        <f t="shared" ca="1" si="258"/>
        <v>0</v>
      </c>
      <c r="FJ60" s="88">
        <f t="shared" ca="1" si="258"/>
        <v>0</v>
      </c>
      <c r="FK60" s="88">
        <f t="shared" ca="1" si="258"/>
        <v>0</v>
      </c>
      <c r="FL60" s="88">
        <f t="shared" ca="1" si="258"/>
        <v>0</v>
      </c>
      <c r="FM60" s="88">
        <f t="shared" ca="1" si="258"/>
        <v>0</v>
      </c>
      <c r="FN60" s="88">
        <f t="shared" ca="1" si="258"/>
        <v>0</v>
      </c>
      <c r="FO60" s="88">
        <f t="shared" ca="1" si="259"/>
        <v>0</v>
      </c>
      <c r="FP60" s="88">
        <f t="shared" ca="1" si="259"/>
        <v>0</v>
      </c>
      <c r="FQ60" s="88">
        <f t="shared" ca="1" si="259"/>
        <v>0</v>
      </c>
      <c r="FR60" s="88">
        <f t="shared" ca="1" si="259"/>
        <v>0</v>
      </c>
      <c r="FS60" s="88">
        <f t="shared" ca="1" si="259"/>
        <v>0</v>
      </c>
      <c r="FT60" s="88">
        <f t="shared" ca="1" si="259"/>
        <v>0</v>
      </c>
      <c r="FU60" s="88">
        <f t="shared" ca="1" si="259"/>
        <v>0</v>
      </c>
      <c r="FV60" s="88">
        <f t="shared" ca="1" si="259"/>
        <v>0</v>
      </c>
      <c r="FW60" s="88">
        <f t="shared" ca="1" si="259"/>
        <v>0</v>
      </c>
      <c r="FX60" s="88">
        <f t="shared" ca="1" si="259"/>
        <v>0</v>
      </c>
      <c r="FY60" s="88">
        <f t="shared" ca="1" si="259"/>
        <v>0</v>
      </c>
      <c r="FZ60" s="88">
        <f t="shared" ca="1" si="259"/>
        <v>0</v>
      </c>
      <c r="GA60" s="88">
        <f t="shared" ca="1" si="259"/>
        <v>0</v>
      </c>
      <c r="GB60" s="88">
        <f t="shared" ca="1" si="259"/>
        <v>0</v>
      </c>
      <c r="GC60" s="88">
        <f t="shared" ca="1" si="259"/>
        <v>0</v>
      </c>
      <c r="GD60" s="60"/>
    </row>
    <row r="61" spans="1:186" s="54" customFormat="1">
      <c r="A61" s="61"/>
      <c r="B61" s="100" t="str">
        <f t="shared" si="0"/>
        <v>Residential_High Efficiency HVAC_0_Early Retirement Geothermal EER ≥17.1, COP ≥3.6_2017</v>
      </c>
      <c r="C61" s="100">
        <f>INDEX('Measure Inputs'!$D:$D,MATCH($B61,'Measure Inputs'!$B:$B,0))</f>
        <v>13</v>
      </c>
      <c r="D61" s="101" t="s">
        <v>2</v>
      </c>
      <c r="E61" s="101" t="s">
        <v>250</v>
      </c>
      <c r="F61" s="101">
        <v>0</v>
      </c>
      <c r="G61" s="101" t="s">
        <v>609</v>
      </c>
      <c r="H61" s="101">
        <v>2017</v>
      </c>
      <c r="I61" s="55"/>
      <c r="J61" s="58" t="str">
        <f t="shared" ca="1" si="229"/>
        <v>n/a</v>
      </c>
      <c r="K61" s="58" t="str">
        <f t="shared" ca="1" si="246"/>
        <v>n/a</v>
      </c>
      <c r="L61" s="58" t="str">
        <f t="shared" ca="1" si="230"/>
        <v>n/a</v>
      </c>
      <c r="M61" s="58" t="str">
        <f t="shared" ca="1" si="231"/>
        <v>n/a</v>
      </c>
      <c r="N61" s="58" t="str">
        <f t="shared" ca="1" si="232"/>
        <v>n/a</v>
      </c>
      <c r="O61" s="55"/>
      <c r="P61" s="175" t="str">
        <f ca="1">IFERROR(($AW61+AV61)/SUMPRODUCT($CA61:$DI61,'General Inputs'!$F$51:$AN$51),"n/a")</f>
        <v>n/a</v>
      </c>
      <c r="Q61" s="175" t="str">
        <f t="shared" ca="1" si="233"/>
        <v>n/a</v>
      </c>
      <c r="R61" s="56">
        <f t="shared" ca="1" si="260"/>
        <v>0</v>
      </c>
      <c r="S61" s="55"/>
      <c r="T61" s="56">
        <f ca="1">INDEX(OFFSET('Measure Inputs'!$L$7,,,InputRows),$C61)</f>
        <v>0</v>
      </c>
      <c r="U61" s="134">
        <f ca="1">INDEX(OFFSET('Measure Inputs'!$T$7,,,InputRows),$C61)</f>
        <v>1</v>
      </c>
      <c r="V61" s="134">
        <f ca="1">INDEX(OFFSET('Measure Inputs'!$U$7,,,InputRows),$C61)</f>
        <v>1</v>
      </c>
      <c r="W61" s="55"/>
      <c r="X61" s="96">
        <f ca="1">INDEX(OFFSET('Measure Inputs'!$V$7,,,InputRows),$C61)*$T61*$V61*$U61</f>
        <v>0</v>
      </c>
      <c r="Y61" s="96">
        <f ca="1">INDEX(OFFSET('Measure Inputs'!$W$7,,,InputRows),$C61)*$T61*$V61*$U61</f>
        <v>0</v>
      </c>
      <c r="Z61" s="96">
        <f ca="1">INDEX(OFFSET('Measure Inputs'!$X$7,,,InputRows),$C61)*$T61*$V61*$U61</f>
        <v>0</v>
      </c>
      <c r="AA61" s="55"/>
      <c r="AB61" s="96">
        <f ca="1">INDEX(OFFSET('Measure Inputs'!$Z$7,,,InputRows),$C61)*$T61*$V61*$U61</f>
        <v>0</v>
      </c>
      <c r="AC61" s="96">
        <f ca="1">INDEX(OFFSET('Measure Inputs'!$AA$7,,,InputRows),$C61)*$T61*$V61*$U61</f>
        <v>0</v>
      </c>
      <c r="AD61" s="96">
        <f ca="1">INDEX(OFFSET('Measure Inputs'!$AB$7,,,InputRows),$C61)*$T61*$V61*$U61</f>
        <v>0</v>
      </c>
      <c r="AE61" s="55"/>
      <c r="AF61" s="57">
        <f ca="1">INDEX(OFFSET('Measure Inputs'!$Q$7,,,InputRows),$C61)*$T61</f>
        <v>0</v>
      </c>
      <c r="AG61" s="57">
        <f ca="1">INDEX(OFFSET('Measure Inputs'!$P$7,,,InputRows),$C61)*$T61*$V61</f>
        <v>0</v>
      </c>
      <c r="AH61" s="57">
        <f ca="1">INDEX(OFFSET('Measure Inputs'!$R$7,,,InputRows),$C61)*$T61*$V61</f>
        <v>0</v>
      </c>
      <c r="AI61" s="57">
        <f ca="1">INDEX(OFFSET('Measure Inputs'!$O$7,,,InputRows),$C61)*$T61</f>
        <v>0</v>
      </c>
      <c r="AJ61" s="57">
        <f ca="1">INDEX(OFFSET('Measure Inputs'!$S$7,,,InputRows),$C61)*$T61</f>
        <v>0</v>
      </c>
      <c r="AK61" s="63">
        <f ca="1">INDEX(OFFSET('Measure Inputs'!$M$7,,,InputRows),$C61)</f>
        <v>25</v>
      </c>
      <c r="AL61" s="88">
        <f ca="1">INDEX(OFFSET('Measure Inputs'!$N$7,,,InputRows),$C61)</f>
        <v>8</v>
      </c>
      <c r="AM61" s="57">
        <f ca="1">SUMIFS(OFFSET('Program Inputs'!$N$5,,,TotalPrograms),OFFSET('Program Inputs'!$B$5,,,TotalPrograms),SUBSTITUTE($B61,"All","*"))+AF61</f>
        <v>0</v>
      </c>
      <c r="AN61" s="57">
        <f t="shared" ca="1" si="261"/>
        <v>0</v>
      </c>
      <c r="AO61" s="55"/>
      <c r="AP61" s="59">
        <f t="shared" ca="1" si="262"/>
        <v>0</v>
      </c>
      <c r="AQ61" s="59">
        <f t="shared" ca="1" si="263"/>
        <v>0</v>
      </c>
      <c r="AR61" s="59">
        <f ca="1">SUMPRODUCT($CA61:$DI61,'General Inputs'!$F$32:$AN$32,'General Inputs'!$F$51:$AN$51)/(1-Loss_ElectricEnergy)</f>
        <v>0</v>
      </c>
      <c r="AS61" s="59">
        <f ca="1">SUMPRODUCT($DK61:$ES61,'General Inputs'!$F$33:$AN$33,'General Inputs'!$F$51:$AN$51)/(1-Loss_ElectricDemand)</f>
        <v>0</v>
      </c>
      <c r="AT61" s="59">
        <f ca="1">SUMPRODUCT($EU61:$GC61,'General Inputs'!$F$34:$AN$34,'General Inputs'!$F$51:$AN$51)/(1-Loss_GasEnergy)</f>
        <v>0</v>
      </c>
      <c r="AU61" s="59">
        <f ca="1">INDEX('General Inputs'!$F$51:$AN$51,MATCH($H61,'General Inputs'!$F$50:$AN$50,0))*$AJ61</f>
        <v>0</v>
      </c>
      <c r="AV61" s="59">
        <f ca="1">INDEX('General Inputs'!$F$51:$AN$51,MATCH($H61,'General Inputs'!$F$50:$AN$50,0))*$AI61</f>
        <v>0</v>
      </c>
      <c r="AW61" s="59">
        <f ca="1">INDEX('General Inputs'!$F$51:$AN$51,MATCH($H61,'General Inputs'!$F$50:$AN$50,0))*$AM61</f>
        <v>0</v>
      </c>
      <c r="AX61" s="59">
        <f ca="1">SUM(INDEX('General Inputs'!$F$51:$AN$51,MATCH($H61,'General Inputs'!$F$50:$AN$50,0))*$AG61,INDEX('General Inputs'!$F$51:$AN$51,MATCH($H61+$AL61,'General Inputs'!$F$50:$AN$50,0))*-$AH61)</f>
        <v>0</v>
      </c>
      <c r="AY61" s="55"/>
      <c r="AZ61" s="59">
        <f ca="1">SUMPRODUCT($CA61:$DI61,'General Inputs'!$F$32:$AN$32,'General Inputs'!$F$52:$AN$52)/(1-Loss_ElectricEnergy)</f>
        <v>0</v>
      </c>
      <c r="BA61" s="59">
        <f ca="1">SUMPRODUCT($DK61:$ES61,'General Inputs'!$F$33:$AN$33,'General Inputs'!$F$52:$AN$52)/(1-Loss_ElectricDemand)</f>
        <v>0</v>
      </c>
      <c r="BB61" s="59">
        <f ca="1">SUMPRODUCT($EU61:$GC61,'General Inputs'!$F$34:$AN$34,'General Inputs'!$F$52:$AN$52)/(1-Loss_GasEnergy)</f>
        <v>0</v>
      </c>
      <c r="BC61" s="59">
        <f ca="1">INDEX('General Inputs'!$F$52:$AN$52,MATCH($H61,'General Inputs'!$F$50:$AN$50,0))*$AI61</f>
        <v>0</v>
      </c>
      <c r="BD61" s="59">
        <f ca="1">INDEX('General Inputs'!$F$52:$AN$52,MATCH($H61,'General Inputs'!$F$50:$AN$50,0))*$AM61</f>
        <v>0</v>
      </c>
      <c r="BE61" s="55"/>
      <c r="BF61" s="59">
        <f ca="1">SUMPRODUCT($CA61:$DI61,OFFSET('General Inputs'!$F$40:$AN$40,MATCH($D61&amp;" Electric ($/kWh)",'General Inputs'!$E$40:$E$46,0),),'General Inputs'!$F$54:$AN$54)</f>
        <v>0</v>
      </c>
      <c r="BG61" s="59">
        <f ca="1">SUMPRODUCT($EU61:$GC61,OFFSET('General Inputs'!$F$40:$AN$40,MATCH($D61&amp;" Natural Gas ($/therm)",'General Inputs'!$E$40:$E$46,0),),'General Inputs'!$F$54:$AN$54)</f>
        <v>0</v>
      </c>
      <c r="BH61" s="59">
        <f ca="1">INDEX('General Inputs'!$F$54:$AN$54,MATCH($H61,'General Inputs'!$F$50:$AN$50,0))*$AI61</f>
        <v>0</v>
      </c>
      <c r="BI61" s="59">
        <f ca="1">SUM(INDEX('General Inputs'!$F$54:$AN$54,MATCH($H61,'General Inputs'!$F$50:$AN$50,0))*$AG61,INDEX('General Inputs'!$F$51:$AN$51,MATCH($H61+$AL61,'General Inputs'!$F$50:$AN$50,0))*-$AH61)</f>
        <v>0</v>
      </c>
      <c r="BJ61" s="55"/>
      <c r="BK61" s="59">
        <f ca="1">SUMPRODUCT($CA61:$DI61,'General Inputs'!$F$32:$AN$32,'General Inputs'!$F$53:$AN$53)/(1-Loss_ElectricEnergy)</f>
        <v>0</v>
      </c>
      <c r="BL61" s="59">
        <f ca="1">SUMPRODUCT($DK61:$ES61,'General Inputs'!$F$33:$AN$33,'General Inputs'!$F$53:$AN$53)/(1-Loss_ElectricDemand)</f>
        <v>0</v>
      </c>
      <c r="BM61" s="59">
        <f ca="1">SUMPRODUCT($EU61:$GC61,'General Inputs'!$F$34:$AN$34,'General Inputs'!$F$53:$AN$53)/(1-Loss_GasEnergy)</f>
        <v>0</v>
      </c>
      <c r="BN61" s="59">
        <f ca="1">INDEX('General Inputs'!$F$53:$AN$53,MATCH($H61,'General Inputs'!$F$50:$AN$50,0))*$AJ61</f>
        <v>0</v>
      </c>
      <c r="BO61" s="59">
        <f ca="1">SUMPRODUCT($CA61:$DI61,'General Inputs'!$F$35:$AN$35,'General Inputs'!$F$53:$AN$53)/(1-Loss_ElectricEnergy)</f>
        <v>0</v>
      </c>
      <c r="BP61" s="59">
        <f ca="1">INDEX('General Inputs'!$F$51:$AN$51,MATCH($H61,'General Inputs'!$F$50:$AN$50,0))*$AM61</f>
        <v>0</v>
      </c>
      <c r="BQ61" s="59">
        <f ca="1">SUM(INDEX('General Inputs'!$F$53:$AN$53,MATCH($H61,'General Inputs'!$F$50:$AN$50,0))*$AG61,INDEX('General Inputs'!$F$53:$AN$53,MATCH($H61+$AL61,'General Inputs'!$F$50:$AN$50,0))*-$AH61)</f>
        <v>0</v>
      </c>
      <c r="BR61" s="55"/>
      <c r="BS61" s="59">
        <f ca="1">SUMPRODUCT($CA61:$DI61,'General Inputs'!$F$32:$AN$32,'General Inputs'!$F$55:$AN$55)/(1-Loss_ElectricEnergy)</f>
        <v>0</v>
      </c>
      <c r="BT61" s="59">
        <f ca="1">SUMPRODUCT($DK61:$ES61,'General Inputs'!$F$33:$AN$33,'General Inputs'!$F$55:$AN$55)/(1-Loss_ElectricDemand)</f>
        <v>0</v>
      </c>
      <c r="BU61" s="59">
        <f ca="1">SUMPRODUCT($EU61:$GC61,'General Inputs'!$F$34:$AN$34,'General Inputs'!$F$55:$AN$55)/(1-Loss_GasEnergy)</f>
        <v>0</v>
      </c>
      <c r="BV61" s="59">
        <f ca="1">SUMPRODUCT($CA61:$DI61,OFFSET('General Inputs'!$F$40:$AN$40,MATCH($D61&amp;" Electric ($/kWh)",'General Inputs'!$E$40:$E$46,0),),'General Inputs'!$F$55:$AN$55)</f>
        <v>0</v>
      </c>
      <c r="BW61" s="59">
        <f ca="1">SUMPRODUCT($EU61:$GC61,OFFSET('General Inputs'!$F$40:$AN$40,MATCH($D61&amp;" Natural Gas ($/therm)",'General Inputs'!$E$40:$E$46,0),),'General Inputs'!$F$55:$AN$55)</f>
        <v>0</v>
      </c>
      <c r="BX61" s="59">
        <f ca="1">INDEX('General Inputs'!$F$55:$AN$55,MATCH($H61,'General Inputs'!$F$50:$AN$50,0))*$AI61</f>
        <v>0</v>
      </c>
      <c r="BY61" s="59">
        <f ca="1">INDEX('General Inputs'!$F$51:$AN$51,MATCH($H61,'General Inputs'!$F$50:$AN$50,0))*$AM61</f>
        <v>0</v>
      </c>
      <c r="BZ61" s="55"/>
      <c r="CA61" s="88">
        <f t="shared" ca="1" si="251"/>
        <v>0</v>
      </c>
      <c r="CB61" s="88">
        <f t="shared" ca="1" si="251"/>
        <v>0</v>
      </c>
      <c r="CC61" s="88">
        <f t="shared" ca="1" si="251"/>
        <v>0</v>
      </c>
      <c r="CD61" s="88">
        <f t="shared" ca="1" si="251"/>
        <v>0</v>
      </c>
      <c r="CE61" s="88">
        <f t="shared" ca="1" si="251"/>
        <v>0</v>
      </c>
      <c r="CF61" s="88">
        <f t="shared" ca="1" si="251"/>
        <v>0</v>
      </c>
      <c r="CG61" s="88">
        <f t="shared" ca="1" si="251"/>
        <v>0</v>
      </c>
      <c r="CH61" s="88">
        <f t="shared" ca="1" si="251"/>
        <v>0</v>
      </c>
      <c r="CI61" s="88">
        <f t="shared" ca="1" si="251"/>
        <v>0</v>
      </c>
      <c r="CJ61" s="88">
        <f t="shared" ca="1" si="251"/>
        <v>0</v>
      </c>
      <c r="CK61" s="88">
        <f t="shared" ca="1" si="252"/>
        <v>0</v>
      </c>
      <c r="CL61" s="88">
        <f t="shared" ca="1" si="252"/>
        <v>0</v>
      </c>
      <c r="CM61" s="88">
        <f t="shared" ca="1" si="252"/>
        <v>0</v>
      </c>
      <c r="CN61" s="88">
        <f t="shared" ca="1" si="252"/>
        <v>0</v>
      </c>
      <c r="CO61" s="88">
        <f t="shared" ca="1" si="252"/>
        <v>0</v>
      </c>
      <c r="CP61" s="88">
        <f t="shared" ca="1" si="252"/>
        <v>0</v>
      </c>
      <c r="CQ61" s="88">
        <f t="shared" ca="1" si="252"/>
        <v>0</v>
      </c>
      <c r="CR61" s="88">
        <f t="shared" ca="1" si="252"/>
        <v>0</v>
      </c>
      <c r="CS61" s="88">
        <f t="shared" ca="1" si="252"/>
        <v>0</v>
      </c>
      <c r="CT61" s="88">
        <f t="shared" ca="1" si="252"/>
        <v>0</v>
      </c>
      <c r="CU61" s="88">
        <f t="shared" ca="1" si="253"/>
        <v>0</v>
      </c>
      <c r="CV61" s="88">
        <f t="shared" ca="1" si="253"/>
        <v>0</v>
      </c>
      <c r="CW61" s="88">
        <f t="shared" ca="1" si="253"/>
        <v>0</v>
      </c>
      <c r="CX61" s="88">
        <f t="shared" ca="1" si="253"/>
        <v>0</v>
      </c>
      <c r="CY61" s="88">
        <f t="shared" ca="1" si="253"/>
        <v>0</v>
      </c>
      <c r="CZ61" s="88">
        <f t="shared" ca="1" si="253"/>
        <v>0</v>
      </c>
      <c r="DA61" s="88">
        <f t="shared" ca="1" si="253"/>
        <v>0</v>
      </c>
      <c r="DB61" s="88">
        <f t="shared" ca="1" si="253"/>
        <v>0</v>
      </c>
      <c r="DC61" s="88">
        <f t="shared" ca="1" si="253"/>
        <v>0</v>
      </c>
      <c r="DD61" s="88">
        <f t="shared" ca="1" si="253"/>
        <v>0</v>
      </c>
      <c r="DE61" s="88">
        <f t="shared" ca="1" si="253"/>
        <v>0</v>
      </c>
      <c r="DF61" s="88">
        <f t="shared" ca="1" si="253"/>
        <v>0</v>
      </c>
      <c r="DG61" s="88">
        <f t="shared" ca="1" si="253"/>
        <v>0</v>
      </c>
      <c r="DH61" s="88">
        <f t="shared" ca="1" si="253"/>
        <v>0</v>
      </c>
      <c r="DI61" s="88">
        <f t="shared" ca="1" si="253"/>
        <v>0</v>
      </c>
      <c r="DJ61" s="169"/>
      <c r="DK61" s="88">
        <f t="shared" ca="1" si="254"/>
        <v>0</v>
      </c>
      <c r="DL61" s="88">
        <f t="shared" ca="1" si="254"/>
        <v>0</v>
      </c>
      <c r="DM61" s="88">
        <f t="shared" ca="1" si="254"/>
        <v>0</v>
      </c>
      <c r="DN61" s="88">
        <f t="shared" ca="1" si="254"/>
        <v>0</v>
      </c>
      <c r="DO61" s="88">
        <f t="shared" ca="1" si="254"/>
        <v>0</v>
      </c>
      <c r="DP61" s="88">
        <f t="shared" ca="1" si="254"/>
        <v>0</v>
      </c>
      <c r="DQ61" s="88">
        <f t="shared" ca="1" si="254"/>
        <v>0</v>
      </c>
      <c r="DR61" s="88">
        <f t="shared" ca="1" si="254"/>
        <v>0</v>
      </c>
      <c r="DS61" s="88">
        <f t="shared" ca="1" si="254"/>
        <v>0</v>
      </c>
      <c r="DT61" s="88">
        <f t="shared" ca="1" si="254"/>
        <v>0</v>
      </c>
      <c r="DU61" s="88">
        <f t="shared" ca="1" si="255"/>
        <v>0</v>
      </c>
      <c r="DV61" s="88">
        <f t="shared" ca="1" si="255"/>
        <v>0</v>
      </c>
      <c r="DW61" s="88">
        <f t="shared" ca="1" si="255"/>
        <v>0</v>
      </c>
      <c r="DX61" s="88">
        <f t="shared" ca="1" si="255"/>
        <v>0</v>
      </c>
      <c r="DY61" s="88">
        <f t="shared" ca="1" si="255"/>
        <v>0</v>
      </c>
      <c r="DZ61" s="88">
        <f t="shared" ca="1" si="255"/>
        <v>0</v>
      </c>
      <c r="EA61" s="88">
        <f t="shared" ca="1" si="255"/>
        <v>0</v>
      </c>
      <c r="EB61" s="88">
        <f t="shared" ca="1" si="255"/>
        <v>0</v>
      </c>
      <c r="EC61" s="88">
        <f t="shared" ca="1" si="255"/>
        <v>0</v>
      </c>
      <c r="ED61" s="88">
        <f t="shared" ca="1" si="255"/>
        <v>0</v>
      </c>
      <c r="EE61" s="88">
        <f t="shared" ca="1" si="256"/>
        <v>0</v>
      </c>
      <c r="EF61" s="88">
        <f t="shared" ca="1" si="256"/>
        <v>0</v>
      </c>
      <c r="EG61" s="88">
        <f t="shared" ca="1" si="256"/>
        <v>0</v>
      </c>
      <c r="EH61" s="88">
        <f t="shared" ca="1" si="256"/>
        <v>0</v>
      </c>
      <c r="EI61" s="88">
        <f t="shared" ca="1" si="256"/>
        <v>0</v>
      </c>
      <c r="EJ61" s="88">
        <f t="shared" ca="1" si="256"/>
        <v>0</v>
      </c>
      <c r="EK61" s="88">
        <f t="shared" ca="1" si="256"/>
        <v>0</v>
      </c>
      <c r="EL61" s="88">
        <f t="shared" ca="1" si="256"/>
        <v>0</v>
      </c>
      <c r="EM61" s="88">
        <f t="shared" ca="1" si="256"/>
        <v>0</v>
      </c>
      <c r="EN61" s="88">
        <f t="shared" ca="1" si="256"/>
        <v>0</v>
      </c>
      <c r="EO61" s="88">
        <f t="shared" ca="1" si="256"/>
        <v>0</v>
      </c>
      <c r="EP61" s="88">
        <f t="shared" ca="1" si="256"/>
        <v>0</v>
      </c>
      <c r="EQ61" s="88">
        <f t="shared" ca="1" si="256"/>
        <v>0</v>
      </c>
      <c r="ER61" s="88">
        <f t="shared" ca="1" si="256"/>
        <v>0</v>
      </c>
      <c r="ES61" s="88">
        <f t="shared" ca="1" si="256"/>
        <v>0</v>
      </c>
      <c r="ET61" s="169"/>
      <c r="EU61" s="88">
        <f t="shared" ca="1" si="257"/>
        <v>0</v>
      </c>
      <c r="EV61" s="88">
        <f t="shared" ca="1" si="257"/>
        <v>0</v>
      </c>
      <c r="EW61" s="88">
        <f t="shared" ca="1" si="257"/>
        <v>0</v>
      </c>
      <c r="EX61" s="88">
        <f t="shared" ca="1" si="257"/>
        <v>0</v>
      </c>
      <c r="EY61" s="88">
        <f t="shared" ca="1" si="257"/>
        <v>0</v>
      </c>
      <c r="EZ61" s="88">
        <f t="shared" ca="1" si="257"/>
        <v>0</v>
      </c>
      <c r="FA61" s="88">
        <f t="shared" ca="1" si="257"/>
        <v>0</v>
      </c>
      <c r="FB61" s="88">
        <f t="shared" ca="1" si="257"/>
        <v>0</v>
      </c>
      <c r="FC61" s="88">
        <f t="shared" ca="1" si="257"/>
        <v>0</v>
      </c>
      <c r="FD61" s="88">
        <f t="shared" ca="1" si="257"/>
        <v>0</v>
      </c>
      <c r="FE61" s="88">
        <f t="shared" ca="1" si="258"/>
        <v>0</v>
      </c>
      <c r="FF61" s="88">
        <f t="shared" ca="1" si="258"/>
        <v>0</v>
      </c>
      <c r="FG61" s="88">
        <f t="shared" ca="1" si="258"/>
        <v>0</v>
      </c>
      <c r="FH61" s="88">
        <f t="shared" ca="1" si="258"/>
        <v>0</v>
      </c>
      <c r="FI61" s="88">
        <f t="shared" ca="1" si="258"/>
        <v>0</v>
      </c>
      <c r="FJ61" s="88">
        <f t="shared" ca="1" si="258"/>
        <v>0</v>
      </c>
      <c r="FK61" s="88">
        <f t="shared" ca="1" si="258"/>
        <v>0</v>
      </c>
      <c r="FL61" s="88">
        <f t="shared" ca="1" si="258"/>
        <v>0</v>
      </c>
      <c r="FM61" s="88">
        <f t="shared" ca="1" si="258"/>
        <v>0</v>
      </c>
      <c r="FN61" s="88">
        <f t="shared" ca="1" si="258"/>
        <v>0</v>
      </c>
      <c r="FO61" s="88">
        <f t="shared" ca="1" si="259"/>
        <v>0</v>
      </c>
      <c r="FP61" s="88">
        <f t="shared" ca="1" si="259"/>
        <v>0</v>
      </c>
      <c r="FQ61" s="88">
        <f t="shared" ca="1" si="259"/>
        <v>0</v>
      </c>
      <c r="FR61" s="88">
        <f t="shared" ca="1" si="259"/>
        <v>0</v>
      </c>
      <c r="FS61" s="88">
        <f t="shared" ca="1" si="259"/>
        <v>0</v>
      </c>
      <c r="FT61" s="88">
        <f t="shared" ca="1" si="259"/>
        <v>0</v>
      </c>
      <c r="FU61" s="88">
        <f t="shared" ca="1" si="259"/>
        <v>0</v>
      </c>
      <c r="FV61" s="88">
        <f t="shared" ca="1" si="259"/>
        <v>0</v>
      </c>
      <c r="FW61" s="88">
        <f t="shared" ca="1" si="259"/>
        <v>0</v>
      </c>
      <c r="FX61" s="88">
        <f t="shared" ca="1" si="259"/>
        <v>0</v>
      </c>
      <c r="FY61" s="88">
        <f t="shared" ca="1" si="259"/>
        <v>0</v>
      </c>
      <c r="FZ61" s="88">
        <f t="shared" ca="1" si="259"/>
        <v>0</v>
      </c>
      <c r="GA61" s="88">
        <f t="shared" ca="1" si="259"/>
        <v>0</v>
      </c>
      <c r="GB61" s="88">
        <f t="shared" ca="1" si="259"/>
        <v>0</v>
      </c>
      <c r="GC61" s="88">
        <f t="shared" ca="1" si="259"/>
        <v>0</v>
      </c>
      <c r="GD61" s="60"/>
    </row>
    <row r="62" spans="1:186" s="54" customFormat="1">
      <c r="A62" s="61"/>
      <c r="B62" s="100" t="str">
        <f t="shared" si="0"/>
        <v>Residential_Whole House Efficiency_0_Air Sealing (Electric Heat)_2017</v>
      </c>
      <c r="C62" s="100">
        <f>INDEX('Measure Inputs'!$D:$D,MATCH($B62,'Measure Inputs'!$B:$B,0))</f>
        <v>14</v>
      </c>
      <c r="D62" s="101" t="s">
        <v>2</v>
      </c>
      <c r="E62" s="101" t="s">
        <v>219</v>
      </c>
      <c r="F62" s="101">
        <v>0</v>
      </c>
      <c r="G62" s="101" t="s">
        <v>263</v>
      </c>
      <c r="H62" s="101">
        <v>2017</v>
      </c>
      <c r="I62" s="55"/>
      <c r="J62" s="58" t="str">
        <f t="shared" ca="1" si="229"/>
        <v>n/a</v>
      </c>
      <c r="K62" s="58" t="str">
        <f t="shared" ca="1" si="246"/>
        <v>n/a</v>
      </c>
      <c r="L62" s="58" t="str">
        <f t="shared" ca="1" si="230"/>
        <v>n/a</v>
      </c>
      <c r="M62" s="58" t="str">
        <f t="shared" ca="1" si="231"/>
        <v>n/a</v>
      </c>
      <c r="N62" s="58">
        <f t="shared" ca="1" si="232"/>
        <v>0.27064128553558064</v>
      </c>
      <c r="O62" s="55"/>
      <c r="P62" s="175">
        <f ca="1">IFERROR(($AW62+AV62)/SUMPRODUCT($CA62:$DI62,'General Inputs'!$F$51:$AN$51),"n/a")</f>
        <v>0</v>
      </c>
      <c r="Q62" s="175">
        <f t="shared" ca="1" si="233"/>
        <v>0</v>
      </c>
      <c r="R62" s="56">
        <f t="shared" ca="1" si="260"/>
        <v>150.50036194671148</v>
      </c>
      <c r="S62" s="55"/>
      <c r="T62" s="56">
        <f ca="1">INDEX(OFFSET('Measure Inputs'!$L$7,,,InputRows),$C62)</f>
        <v>7.5</v>
      </c>
      <c r="U62" s="134">
        <f ca="1">INDEX(OFFSET('Measure Inputs'!$T$7,,,InputRows),$C62)</f>
        <v>1</v>
      </c>
      <c r="V62" s="134">
        <f ca="1">INDEX(OFFSET('Measure Inputs'!$U$7,,,InputRows),$C62)</f>
        <v>1</v>
      </c>
      <c r="W62" s="55"/>
      <c r="X62" s="96">
        <f ca="1">INDEX(OFFSET('Measure Inputs'!$V$7,,,InputRows),$C62)*$T62*$V62*$U62</f>
        <v>10033.3574631141</v>
      </c>
      <c r="Y62" s="96">
        <f ca="1">INDEX(OFFSET('Measure Inputs'!$W$7,,,InputRows),$C62)*$T62*$V62*$U62</f>
        <v>0.98956312745267994</v>
      </c>
      <c r="Z62" s="96">
        <f ca="1">INDEX(OFFSET('Measure Inputs'!$X$7,,,InputRows),$C62)*$T62*$V62*$U62</f>
        <v>0</v>
      </c>
      <c r="AA62" s="55"/>
      <c r="AB62" s="96">
        <f ca="1">INDEX(OFFSET('Measure Inputs'!$Z$7,,,InputRows),$C62)*$T62*$V62*$U62</f>
        <v>0</v>
      </c>
      <c r="AC62" s="96">
        <f ca="1">INDEX(OFFSET('Measure Inputs'!$AA$7,,,InputRows),$C62)*$T62*$V62*$U62</f>
        <v>0</v>
      </c>
      <c r="AD62" s="96">
        <f ca="1">INDEX(OFFSET('Measure Inputs'!$AB$7,,,InputRows),$C62)*$T62*$V62*$U62</f>
        <v>0</v>
      </c>
      <c r="AE62" s="55"/>
      <c r="AF62" s="57">
        <f ca="1">INDEX(OFFSET('Measure Inputs'!$Q$7,,,InputRows),$C62)*$T62</f>
        <v>0</v>
      </c>
      <c r="AG62" s="57">
        <f ca="1">INDEX(OFFSET('Measure Inputs'!$P$7,,,InputRows),$C62)*$T62*$V62</f>
        <v>0</v>
      </c>
      <c r="AH62" s="57">
        <f ca="1">INDEX(OFFSET('Measure Inputs'!$R$7,,,InputRows),$C62)*$T62*$V62</f>
        <v>0</v>
      </c>
      <c r="AI62" s="57">
        <f ca="1">INDEX(OFFSET('Measure Inputs'!$O$7,,,InputRows),$C62)*$T62</f>
        <v>0</v>
      </c>
      <c r="AJ62" s="57">
        <f ca="1">INDEX(OFFSET('Measure Inputs'!$S$7,,,InputRows),$C62)*$T62</f>
        <v>0</v>
      </c>
      <c r="AK62" s="63">
        <f ca="1">INDEX(OFFSET('Measure Inputs'!$M$7,,,InputRows),$C62)</f>
        <v>15</v>
      </c>
      <c r="AL62" s="88">
        <f ca="1">INDEX(OFFSET('Measure Inputs'!$N$7,,,InputRows),$C62)</f>
        <v>0</v>
      </c>
      <c r="AM62" s="57">
        <f ca="1">SUMIFS(OFFSET('Program Inputs'!$N$5,,,TotalPrograms),OFFSET('Program Inputs'!$B$5,,,TotalPrograms),SUBSTITUTE($B62,"All","*"))+AF62</f>
        <v>0</v>
      </c>
      <c r="AN62" s="57">
        <f t="shared" ca="1" si="261"/>
        <v>0</v>
      </c>
      <c r="AO62" s="55"/>
      <c r="AP62" s="59">
        <f t="shared" ca="1" si="262"/>
        <v>2984.464950218176</v>
      </c>
      <c r="AQ62" s="59">
        <f t="shared" ca="1" si="263"/>
        <v>0</v>
      </c>
      <c r="AR62" s="59">
        <f ca="1">SUMPRODUCT($CA62:$DI62,'General Inputs'!$F$32:$AN$32,'General Inputs'!$F$51:$AN$51)/(1-Loss_ElectricEnergy)</f>
        <v>2786.7715458869616</v>
      </c>
      <c r="AS62" s="59">
        <f ca="1">SUMPRODUCT($DK62:$ES62,'General Inputs'!$F$33:$AN$33,'General Inputs'!$F$51:$AN$51)/(1-Loss_ElectricDemand)</f>
        <v>197.69340433121437</v>
      </c>
      <c r="AT62" s="59">
        <f ca="1">SUMPRODUCT($EU62:$GC62,'General Inputs'!$F$34:$AN$34,'General Inputs'!$F$51:$AN$51)/(1-Loss_GasEnergy)</f>
        <v>0</v>
      </c>
      <c r="AU62" s="59">
        <f ca="1">INDEX('General Inputs'!$F$51:$AN$51,MATCH($H62,'General Inputs'!$F$50:$AN$50,0))*$AJ62</f>
        <v>0</v>
      </c>
      <c r="AV62" s="59">
        <f ca="1">INDEX('General Inputs'!$F$51:$AN$51,MATCH($H62,'General Inputs'!$F$50:$AN$50,0))*$AI62</f>
        <v>0</v>
      </c>
      <c r="AW62" s="59">
        <f ca="1">INDEX('General Inputs'!$F$51:$AN$51,MATCH($H62,'General Inputs'!$F$50:$AN$50,0))*$AM62</f>
        <v>0</v>
      </c>
      <c r="AX62" s="59">
        <f ca="1">SUM(INDEX('General Inputs'!$F$51:$AN$51,MATCH($H62,'General Inputs'!$F$50:$AN$50,0))*$AG62,INDEX('General Inputs'!$F$51:$AN$51,MATCH($H62+$AL62,'General Inputs'!$F$50:$AN$50,0))*-$AH62)</f>
        <v>0</v>
      </c>
      <c r="AY62" s="55"/>
      <c r="AZ62" s="59">
        <f ca="1">SUMPRODUCT($CA62:$DI62,'General Inputs'!$F$32:$AN$32,'General Inputs'!$F$52:$AN$52)/(1-Loss_ElectricEnergy)</f>
        <v>2786.7715458869616</v>
      </c>
      <c r="BA62" s="59">
        <f ca="1">SUMPRODUCT($DK62:$ES62,'General Inputs'!$F$33:$AN$33,'General Inputs'!$F$52:$AN$52)/(1-Loss_ElectricDemand)</f>
        <v>197.69340433121437</v>
      </c>
      <c r="BB62" s="59">
        <f ca="1">SUMPRODUCT($EU62:$GC62,'General Inputs'!$F$34:$AN$34,'General Inputs'!$F$52:$AN$52)/(1-Loss_GasEnergy)</f>
        <v>0</v>
      </c>
      <c r="BC62" s="59">
        <f ca="1">INDEX('General Inputs'!$F$52:$AN$52,MATCH($H62,'General Inputs'!$F$50:$AN$50,0))*$AI62</f>
        <v>0</v>
      </c>
      <c r="BD62" s="59">
        <f ca="1">INDEX('General Inputs'!$F$52:$AN$52,MATCH($H62,'General Inputs'!$F$50:$AN$50,0))*$AM62</f>
        <v>0</v>
      </c>
      <c r="BE62" s="55"/>
      <c r="BF62" s="59">
        <f ca="1">SUMPRODUCT($CA62:$DI62,OFFSET('General Inputs'!$F$40:$AN$40,MATCH($D62&amp;" Electric ($/kWh)",'General Inputs'!$E$40:$E$46,0),),'General Inputs'!$F$54:$AN$54)</f>
        <v>11027.382405134987</v>
      </c>
      <c r="BG62" s="59">
        <f ca="1">SUMPRODUCT($EU62:$GC62,OFFSET('General Inputs'!$F$40:$AN$40,MATCH($D62&amp;" Natural Gas ($/therm)",'General Inputs'!$E$40:$E$46,0),),'General Inputs'!$F$54:$AN$54)</f>
        <v>0</v>
      </c>
      <c r="BH62" s="59">
        <f ca="1">INDEX('General Inputs'!$F$54:$AN$54,MATCH($H62,'General Inputs'!$F$50:$AN$50,0))*$AI62</f>
        <v>0</v>
      </c>
      <c r="BI62" s="59">
        <f ca="1">SUM(INDEX('General Inputs'!$F$54:$AN$54,MATCH($H62,'General Inputs'!$F$50:$AN$50,0))*$AG62,INDEX('General Inputs'!$F$51:$AN$51,MATCH($H62+$AL62,'General Inputs'!$F$50:$AN$50,0))*-$AH62)</f>
        <v>0</v>
      </c>
      <c r="BJ62" s="55"/>
      <c r="BK62" s="59">
        <f ca="1">SUMPRODUCT($CA62:$DI62,'General Inputs'!$F$32:$AN$32,'General Inputs'!$F$53:$AN$53)/(1-Loss_ElectricEnergy)</f>
        <v>2786.7715458869616</v>
      </c>
      <c r="BL62" s="59">
        <f ca="1">SUMPRODUCT($DK62:$ES62,'General Inputs'!$F$33:$AN$33,'General Inputs'!$F$53:$AN$53)/(1-Loss_ElectricDemand)</f>
        <v>197.69340433121437</v>
      </c>
      <c r="BM62" s="59">
        <f ca="1">SUMPRODUCT($EU62:$GC62,'General Inputs'!$F$34:$AN$34,'General Inputs'!$F$53:$AN$53)/(1-Loss_GasEnergy)</f>
        <v>0</v>
      </c>
      <c r="BN62" s="59">
        <f ca="1">INDEX('General Inputs'!$F$53:$AN$53,MATCH($H62,'General Inputs'!$F$50:$AN$50,0))*$AJ62</f>
        <v>0</v>
      </c>
      <c r="BO62" s="59">
        <f ca="1">SUMPRODUCT($CA62:$DI62,'General Inputs'!$F$35:$AN$35,'General Inputs'!$F$53:$AN$53)/(1-Loss_ElectricEnergy)</f>
        <v>1062.9969975978383</v>
      </c>
      <c r="BP62" s="59">
        <f ca="1">INDEX('General Inputs'!$F$51:$AN$51,MATCH($H62,'General Inputs'!$F$50:$AN$50,0))*$AM62</f>
        <v>0</v>
      </c>
      <c r="BQ62" s="59">
        <f ca="1">SUM(INDEX('General Inputs'!$F$53:$AN$53,MATCH($H62,'General Inputs'!$F$50:$AN$50,0))*$AG62,INDEX('General Inputs'!$F$53:$AN$53,MATCH($H62+$AL62,'General Inputs'!$F$50:$AN$50,0))*-$AH62)</f>
        <v>0</v>
      </c>
      <c r="BR62" s="55"/>
      <c r="BS62" s="59">
        <f ca="1">SUMPRODUCT($CA62:$DI62,'General Inputs'!$F$32:$AN$32,'General Inputs'!$F$55:$AN$55)/(1-Loss_ElectricEnergy)</f>
        <v>2786.7715458869616</v>
      </c>
      <c r="BT62" s="59">
        <f ca="1">SUMPRODUCT($DK62:$ES62,'General Inputs'!$F$33:$AN$33,'General Inputs'!$F$55:$AN$55)/(1-Loss_ElectricDemand)</f>
        <v>197.69340433121437</v>
      </c>
      <c r="BU62" s="59">
        <f ca="1">SUMPRODUCT($EU62:$GC62,'General Inputs'!$F$34:$AN$34,'General Inputs'!$F$55:$AN$55)/(1-Loss_GasEnergy)</f>
        <v>0</v>
      </c>
      <c r="BV62" s="59">
        <f ca="1">SUMPRODUCT($CA62:$DI62,OFFSET('General Inputs'!$F$40:$AN$40,MATCH($D62&amp;" Electric ($/kWh)",'General Inputs'!$E$40:$E$46,0),),'General Inputs'!$F$55:$AN$55)</f>
        <v>11027.382405134987</v>
      </c>
      <c r="BW62" s="59">
        <f ca="1">SUMPRODUCT($EU62:$GC62,OFFSET('General Inputs'!$F$40:$AN$40,MATCH($D62&amp;" Natural Gas ($/therm)",'General Inputs'!$E$40:$E$46,0),),'General Inputs'!$F$55:$AN$55)</f>
        <v>0</v>
      </c>
      <c r="BX62" s="59">
        <f ca="1">INDEX('General Inputs'!$F$55:$AN$55,MATCH($H62,'General Inputs'!$F$50:$AN$50,0))*$AI62</f>
        <v>0</v>
      </c>
      <c r="BY62" s="59">
        <f ca="1">INDEX('General Inputs'!$F$51:$AN$51,MATCH($H62,'General Inputs'!$F$50:$AN$50,0))*$AM62</f>
        <v>0</v>
      </c>
      <c r="BZ62" s="55"/>
      <c r="CA62" s="88">
        <f t="shared" ca="1" si="251"/>
        <v>10033.3574631141</v>
      </c>
      <c r="CB62" s="88">
        <f t="shared" ca="1" si="251"/>
        <v>10033.3574631141</v>
      </c>
      <c r="CC62" s="88">
        <f t="shared" ca="1" si="251"/>
        <v>10033.3574631141</v>
      </c>
      <c r="CD62" s="88">
        <f t="shared" ca="1" si="251"/>
        <v>10033.3574631141</v>
      </c>
      <c r="CE62" s="88">
        <f t="shared" ca="1" si="251"/>
        <v>10033.3574631141</v>
      </c>
      <c r="CF62" s="88">
        <f t="shared" ca="1" si="251"/>
        <v>10033.3574631141</v>
      </c>
      <c r="CG62" s="88">
        <f t="shared" ca="1" si="251"/>
        <v>10033.3574631141</v>
      </c>
      <c r="CH62" s="88">
        <f t="shared" ca="1" si="251"/>
        <v>10033.3574631141</v>
      </c>
      <c r="CI62" s="88">
        <f t="shared" ca="1" si="251"/>
        <v>10033.3574631141</v>
      </c>
      <c r="CJ62" s="88">
        <f t="shared" ca="1" si="251"/>
        <v>10033.3574631141</v>
      </c>
      <c r="CK62" s="88">
        <f t="shared" ca="1" si="252"/>
        <v>10033.3574631141</v>
      </c>
      <c r="CL62" s="88">
        <f t="shared" ca="1" si="252"/>
        <v>10033.3574631141</v>
      </c>
      <c r="CM62" s="88">
        <f t="shared" ca="1" si="252"/>
        <v>10033.3574631141</v>
      </c>
      <c r="CN62" s="88">
        <f t="shared" ca="1" si="252"/>
        <v>10033.3574631141</v>
      </c>
      <c r="CO62" s="88">
        <f t="shared" ca="1" si="252"/>
        <v>10033.3574631141</v>
      </c>
      <c r="CP62" s="88">
        <f t="shared" ca="1" si="252"/>
        <v>0</v>
      </c>
      <c r="CQ62" s="88">
        <f t="shared" ca="1" si="252"/>
        <v>0</v>
      </c>
      <c r="CR62" s="88">
        <f t="shared" ca="1" si="252"/>
        <v>0</v>
      </c>
      <c r="CS62" s="88">
        <f t="shared" ca="1" si="252"/>
        <v>0</v>
      </c>
      <c r="CT62" s="88">
        <f t="shared" ca="1" si="252"/>
        <v>0</v>
      </c>
      <c r="CU62" s="88">
        <f t="shared" ca="1" si="253"/>
        <v>0</v>
      </c>
      <c r="CV62" s="88">
        <f t="shared" ca="1" si="253"/>
        <v>0</v>
      </c>
      <c r="CW62" s="88">
        <f t="shared" ca="1" si="253"/>
        <v>0</v>
      </c>
      <c r="CX62" s="88">
        <f t="shared" ca="1" si="253"/>
        <v>0</v>
      </c>
      <c r="CY62" s="88">
        <f t="shared" ca="1" si="253"/>
        <v>0</v>
      </c>
      <c r="CZ62" s="88">
        <f t="shared" ca="1" si="253"/>
        <v>0</v>
      </c>
      <c r="DA62" s="88">
        <f t="shared" ca="1" si="253"/>
        <v>0</v>
      </c>
      <c r="DB62" s="88">
        <f t="shared" ca="1" si="253"/>
        <v>0</v>
      </c>
      <c r="DC62" s="88">
        <f t="shared" ca="1" si="253"/>
        <v>0</v>
      </c>
      <c r="DD62" s="88">
        <f t="shared" ca="1" si="253"/>
        <v>0</v>
      </c>
      <c r="DE62" s="88">
        <f t="shared" ca="1" si="253"/>
        <v>0</v>
      </c>
      <c r="DF62" s="88">
        <f t="shared" ca="1" si="253"/>
        <v>0</v>
      </c>
      <c r="DG62" s="88">
        <f t="shared" ca="1" si="253"/>
        <v>0</v>
      </c>
      <c r="DH62" s="88">
        <f t="shared" ca="1" si="253"/>
        <v>0</v>
      </c>
      <c r="DI62" s="88">
        <f t="shared" ca="1" si="253"/>
        <v>0</v>
      </c>
      <c r="DJ62" s="169"/>
      <c r="DK62" s="88">
        <f t="shared" ca="1" si="254"/>
        <v>0.98956312745267994</v>
      </c>
      <c r="DL62" s="88">
        <f t="shared" ca="1" si="254"/>
        <v>0.98956312745267994</v>
      </c>
      <c r="DM62" s="88">
        <f t="shared" ca="1" si="254"/>
        <v>0.98956312745267994</v>
      </c>
      <c r="DN62" s="88">
        <f t="shared" ca="1" si="254"/>
        <v>0.98956312745267994</v>
      </c>
      <c r="DO62" s="88">
        <f t="shared" ca="1" si="254"/>
        <v>0.98956312745267994</v>
      </c>
      <c r="DP62" s="88">
        <f t="shared" ca="1" si="254"/>
        <v>0.98956312745267994</v>
      </c>
      <c r="DQ62" s="88">
        <f t="shared" ca="1" si="254"/>
        <v>0.98956312745267994</v>
      </c>
      <c r="DR62" s="88">
        <f t="shared" ca="1" si="254"/>
        <v>0.98956312745267994</v>
      </c>
      <c r="DS62" s="88">
        <f t="shared" ca="1" si="254"/>
        <v>0.98956312745267994</v>
      </c>
      <c r="DT62" s="88">
        <f t="shared" ca="1" si="254"/>
        <v>0.98956312745267994</v>
      </c>
      <c r="DU62" s="88">
        <f t="shared" ca="1" si="255"/>
        <v>0.98956312745267994</v>
      </c>
      <c r="DV62" s="88">
        <f t="shared" ca="1" si="255"/>
        <v>0.98956312745267994</v>
      </c>
      <c r="DW62" s="88">
        <f t="shared" ca="1" si="255"/>
        <v>0.98956312745267994</v>
      </c>
      <c r="DX62" s="88">
        <f t="shared" ca="1" si="255"/>
        <v>0.98956312745267994</v>
      </c>
      <c r="DY62" s="88">
        <f t="shared" ca="1" si="255"/>
        <v>0.98956312745267994</v>
      </c>
      <c r="DZ62" s="88">
        <f t="shared" ca="1" si="255"/>
        <v>0</v>
      </c>
      <c r="EA62" s="88">
        <f t="shared" ca="1" si="255"/>
        <v>0</v>
      </c>
      <c r="EB62" s="88">
        <f t="shared" ca="1" si="255"/>
        <v>0</v>
      </c>
      <c r="EC62" s="88">
        <f t="shared" ca="1" si="255"/>
        <v>0</v>
      </c>
      <c r="ED62" s="88">
        <f t="shared" ca="1" si="255"/>
        <v>0</v>
      </c>
      <c r="EE62" s="88">
        <f t="shared" ca="1" si="256"/>
        <v>0</v>
      </c>
      <c r="EF62" s="88">
        <f t="shared" ca="1" si="256"/>
        <v>0</v>
      </c>
      <c r="EG62" s="88">
        <f t="shared" ca="1" si="256"/>
        <v>0</v>
      </c>
      <c r="EH62" s="88">
        <f t="shared" ca="1" si="256"/>
        <v>0</v>
      </c>
      <c r="EI62" s="88">
        <f t="shared" ca="1" si="256"/>
        <v>0</v>
      </c>
      <c r="EJ62" s="88">
        <f t="shared" ca="1" si="256"/>
        <v>0</v>
      </c>
      <c r="EK62" s="88">
        <f t="shared" ca="1" si="256"/>
        <v>0</v>
      </c>
      <c r="EL62" s="88">
        <f t="shared" ca="1" si="256"/>
        <v>0</v>
      </c>
      <c r="EM62" s="88">
        <f t="shared" ca="1" si="256"/>
        <v>0</v>
      </c>
      <c r="EN62" s="88">
        <f t="shared" ca="1" si="256"/>
        <v>0</v>
      </c>
      <c r="EO62" s="88">
        <f t="shared" ca="1" si="256"/>
        <v>0</v>
      </c>
      <c r="EP62" s="88">
        <f t="shared" ca="1" si="256"/>
        <v>0</v>
      </c>
      <c r="EQ62" s="88">
        <f t="shared" ca="1" si="256"/>
        <v>0</v>
      </c>
      <c r="ER62" s="88">
        <f t="shared" ca="1" si="256"/>
        <v>0</v>
      </c>
      <c r="ES62" s="88">
        <f t="shared" ca="1" si="256"/>
        <v>0</v>
      </c>
      <c r="ET62" s="169"/>
      <c r="EU62" s="88">
        <f t="shared" ca="1" si="257"/>
        <v>0</v>
      </c>
      <c r="EV62" s="88">
        <f t="shared" ca="1" si="257"/>
        <v>0</v>
      </c>
      <c r="EW62" s="88">
        <f t="shared" ca="1" si="257"/>
        <v>0</v>
      </c>
      <c r="EX62" s="88">
        <f t="shared" ca="1" si="257"/>
        <v>0</v>
      </c>
      <c r="EY62" s="88">
        <f t="shared" ca="1" si="257"/>
        <v>0</v>
      </c>
      <c r="EZ62" s="88">
        <f t="shared" ca="1" si="257"/>
        <v>0</v>
      </c>
      <c r="FA62" s="88">
        <f t="shared" ca="1" si="257"/>
        <v>0</v>
      </c>
      <c r="FB62" s="88">
        <f t="shared" ca="1" si="257"/>
        <v>0</v>
      </c>
      <c r="FC62" s="88">
        <f t="shared" ca="1" si="257"/>
        <v>0</v>
      </c>
      <c r="FD62" s="88">
        <f t="shared" ca="1" si="257"/>
        <v>0</v>
      </c>
      <c r="FE62" s="88">
        <f t="shared" ca="1" si="258"/>
        <v>0</v>
      </c>
      <c r="FF62" s="88">
        <f t="shared" ca="1" si="258"/>
        <v>0</v>
      </c>
      <c r="FG62" s="88">
        <f t="shared" ca="1" si="258"/>
        <v>0</v>
      </c>
      <c r="FH62" s="88">
        <f t="shared" ca="1" si="258"/>
        <v>0</v>
      </c>
      <c r="FI62" s="88">
        <f t="shared" ca="1" si="258"/>
        <v>0</v>
      </c>
      <c r="FJ62" s="88">
        <f t="shared" ca="1" si="258"/>
        <v>0</v>
      </c>
      <c r="FK62" s="88">
        <f t="shared" ca="1" si="258"/>
        <v>0</v>
      </c>
      <c r="FL62" s="88">
        <f t="shared" ca="1" si="258"/>
        <v>0</v>
      </c>
      <c r="FM62" s="88">
        <f t="shared" ca="1" si="258"/>
        <v>0</v>
      </c>
      <c r="FN62" s="88">
        <f t="shared" ca="1" si="258"/>
        <v>0</v>
      </c>
      <c r="FO62" s="88">
        <f t="shared" ca="1" si="259"/>
        <v>0</v>
      </c>
      <c r="FP62" s="88">
        <f t="shared" ca="1" si="259"/>
        <v>0</v>
      </c>
      <c r="FQ62" s="88">
        <f t="shared" ca="1" si="259"/>
        <v>0</v>
      </c>
      <c r="FR62" s="88">
        <f t="shared" ca="1" si="259"/>
        <v>0</v>
      </c>
      <c r="FS62" s="88">
        <f t="shared" ca="1" si="259"/>
        <v>0</v>
      </c>
      <c r="FT62" s="88">
        <f t="shared" ca="1" si="259"/>
        <v>0</v>
      </c>
      <c r="FU62" s="88">
        <f t="shared" ca="1" si="259"/>
        <v>0</v>
      </c>
      <c r="FV62" s="88">
        <f t="shared" ca="1" si="259"/>
        <v>0</v>
      </c>
      <c r="FW62" s="88">
        <f t="shared" ca="1" si="259"/>
        <v>0</v>
      </c>
      <c r="FX62" s="88">
        <f t="shared" ca="1" si="259"/>
        <v>0</v>
      </c>
      <c r="FY62" s="88">
        <f t="shared" ca="1" si="259"/>
        <v>0</v>
      </c>
      <c r="FZ62" s="88">
        <f t="shared" ca="1" si="259"/>
        <v>0</v>
      </c>
      <c r="GA62" s="88">
        <f t="shared" ca="1" si="259"/>
        <v>0</v>
      </c>
      <c r="GB62" s="88">
        <f t="shared" ca="1" si="259"/>
        <v>0</v>
      </c>
      <c r="GC62" s="88">
        <f t="shared" ca="1" si="259"/>
        <v>0</v>
      </c>
      <c r="GD62" s="60"/>
    </row>
    <row r="63" spans="1:186" s="54" customFormat="1">
      <c r="A63" s="61"/>
      <c r="B63" s="100" t="str">
        <f t="shared" si="0"/>
        <v>Residential_Whole House Efficiency_0_Air Sealing (Gas Heat)_2017</v>
      </c>
      <c r="C63" s="100">
        <f>INDEX('Measure Inputs'!$D:$D,MATCH($B63,'Measure Inputs'!$B:$B,0))</f>
        <v>15</v>
      </c>
      <c r="D63" s="101" t="s">
        <v>2</v>
      </c>
      <c r="E63" s="101" t="s">
        <v>219</v>
      </c>
      <c r="F63" s="101">
        <v>0</v>
      </c>
      <c r="G63" s="101" t="s">
        <v>264</v>
      </c>
      <c r="H63" s="101">
        <v>2017</v>
      </c>
      <c r="I63" s="55"/>
      <c r="J63" s="58" t="str">
        <f t="shared" ca="1" si="229"/>
        <v>n/a</v>
      </c>
      <c r="K63" s="58" t="str">
        <f t="shared" ca="1" si="246"/>
        <v>n/a</v>
      </c>
      <c r="L63" s="58" t="str">
        <f t="shared" ca="1" si="230"/>
        <v>n/a</v>
      </c>
      <c r="M63" s="58" t="str">
        <f t="shared" ca="1" si="231"/>
        <v>n/a</v>
      </c>
      <c r="N63" s="58">
        <f t="shared" ca="1" si="232"/>
        <v>0.25271378496761648</v>
      </c>
      <c r="O63" s="55"/>
      <c r="P63" s="175">
        <f ca="1">IFERROR(($AW63+AV63)/SUMPRODUCT($CA63:$DI63,'General Inputs'!$F$51:$AN$51),"n/a")</f>
        <v>0</v>
      </c>
      <c r="Q63" s="175">
        <f t="shared" ca="1" si="233"/>
        <v>0</v>
      </c>
      <c r="R63" s="56">
        <f t="shared" ca="1" si="260"/>
        <v>36.675683411214941</v>
      </c>
      <c r="S63" s="55"/>
      <c r="T63" s="56">
        <f ca="1">INDEX(OFFSET('Measure Inputs'!$L$7,,,InputRows),$C63)</f>
        <v>22.5</v>
      </c>
      <c r="U63" s="134">
        <f ca="1">INDEX(OFFSET('Measure Inputs'!$T$7,,,InputRows),$C63)</f>
        <v>1</v>
      </c>
      <c r="V63" s="134">
        <f ca="1">INDEX(OFFSET('Measure Inputs'!$U$7,,,InputRows),$C63)</f>
        <v>1</v>
      </c>
      <c r="W63" s="55"/>
      <c r="X63" s="96">
        <f ca="1">INDEX(OFFSET('Measure Inputs'!$V$7,,,InputRows),$C63)*$T63*$V63*$U63</f>
        <v>2445.0455607476633</v>
      </c>
      <c r="Y63" s="96">
        <f ca="1">INDEX(OFFSET('Measure Inputs'!$W$7,,,InputRows),$C63)*$T63*$V63*$U63</f>
        <v>0</v>
      </c>
      <c r="Z63" s="96">
        <f ca="1">INDEX(OFFSET('Measure Inputs'!$X$7,,,InputRows),$C63)*$T63*$V63*$U63</f>
        <v>0</v>
      </c>
      <c r="AA63" s="55"/>
      <c r="AB63" s="96">
        <f ca="1">INDEX(OFFSET('Measure Inputs'!$Z$7,,,InputRows),$C63)*$T63*$V63*$U63</f>
        <v>0</v>
      </c>
      <c r="AC63" s="96">
        <f ca="1">INDEX(OFFSET('Measure Inputs'!$AA$7,,,InputRows),$C63)*$T63*$V63*$U63</f>
        <v>0</v>
      </c>
      <c r="AD63" s="96">
        <f ca="1">INDEX(OFFSET('Measure Inputs'!$AB$7,,,InputRows),$C63)*$T63*$V63*$U63</f>
        <v>0</v>
      </c>
      <c r="AE63" s="55"/>
      <c r="AF63" s="57">
        <f ca="1">INDEX(OFFSET('Measure Inputs'!$Q$7,,,InputRows),$C63)*$T63</f>
        <v>0</v>
      </c>
      <c r="AG63" s="57">
        <f ca="1">INDEX(OFFSET('Measure Inputs'!$P$7,,,InputRows),$C63)*$T63*$V63</f>
        <v>0</v>
      </c>
      <c r="AH63" s="57">
        <f ca="1">INDEX(OFFSET('Measure Inputs'!$R$7,,,InputRows),$C63)*$T63*$V63</f>
        <v>0</v>
      </c>
      <c r="AI63" s="57">
        <f ca="1">INDEX(OFFSET('Measure Inputs'!$O$7,,,InputRows),$C63)*$T63</f>
        <v>0</v>
      </c>
      <c r="AJ63" s="57">
        <f ca="1">INDEX(OFFSET('Measure Inputs'!$S$7,,,InputRows),$C63)*$T63</f>
        <v>0</v>
      </c>
      <c r="AK63" s="63">
        <f ca="1">INDEX(OFFSET('Measure Inputs'!$M$7,,,InputRows),$C63)</f>
        <v>15</v>
      </c>
      <c r="AL63" s="88">
        <f ca="1">INDEX(OFFSET('Measure Inputs'!$N$7,,,InputRows),$C63)</f>
        <v>0</v>
      </c>
      <c r="AM63" s="57">
        <f ca="1">SUMIFS(OFFSET('Program Inputs'!$N$5,,,TotalPrograms),OFFSET('Program Inputs'!$B$5,,,TotalPrograms),SUBSTITUTE($B63,"All","*"))+AF63</f>
        <v>0</v>
      </c>
      <c r="AN63" s="57">
        <f t="shared" ca="1" si="261"/>
        <v>0</v>
      </c>
      <c r="AO63" s="55"/>
      <c r="AP63" s="59">
        <f t="shared" ca="1" si="262"/>
        <v>679.11299105394312</v>
      </c>
      <c r="AQ63" s="59">
        <f t="shared" ca="1" si="263"/>
        <v>0</v>
      </c>
      <c r="AR63" s="59">
        <f ca="1">SUMPRODUCT($CA63:$DI63,'General Inputs'!$F$32:$AN$32,'General Inputs'!$F$51:$AN$51)/(1-Loss_ElectricEnergy)</f>
        <v>679.11299105394312</v>
      </c>
      <c r="AS63" s="59">
        <f ca="1">SUMPRODUCT($DK63:$ES63,'General Inputs'!$F$33:$AN$33,'General Inputs'!$F$51:$AN$51)/(1-Loss_ElectricDemand)</f>
        <v>0</v>
      </c>
      <c r="AT63" s="59">
        <f ca="1">SUMPRODUCT($EU63:$GC63,'General Inputs'!$F$34:$AN$34,'General Inputs'!$F$51:$AN$51)/(1-Loss_GasEnergy)</f>
        <v>0</v>
      </c>
      <c r="AU63" s="59">
        <f ca="1">INDEX('General Inputs'!$F$51:$AN$51,MATCH($H63,'General Inputs'!$F$50:$AN$50,0))*$AJ63</f>
        <v>0</v>
      </c>
      <c r="AV63" s="59">
        <f ca="1">INDEX('General Inputs'!$F$51:$AN$51,MATCH($H63,'General Inputs'!$F$50:$AN$50,0))*$AI63</f>
        <v>0</v>
      </c>
      <c r="AW63" s="59">
        <f ca="1">INDEX('General Inputs'!$F$51:$AN$51,MATCH($H63,'General Inputs'!$F$50:$AN$50,0))*$AM63</f>
        <v>0</v>
      </c>
      <c r="AX63" s="59">
        <f ca="1">SUM(INDEX('General Inputs'!$F$51:$AN$51,MATCH($H63,'General Inputs'!$F$50:$AN$50,0))*$AG63,INDEX('General Inputs'!$F$51:$AN$51,MATCH($H63+$AL63,'General Inputs'!$F$50:$AN$50,0))*-$AH63)</f>
        <v>0</v>
      </c>
      <c r="AY63" s="55"/>
      <c r="AZ63" s="59">
        <f ca="1">SUMPRODUCT($CA63:$DI63,'General Inputs'!$F$32:$AN$32,'General Inputs'!$F$52:$AN$52)/(1-Loss_ElectricEnergy)</f>
        <v>679.11299105394312</v>
      </c>
      <c r="BA63" s="59">
        <f ca="1">SUMPRODUCT($DK63:$ES63,'General Inputs'!$F$33:$AN$33,'General Inputs'!$F$52:$AN$52)/(1-Loss_ElectricDemand)</f>
        <v>0</v>
      </c>
      <c r="BB63" s="59">
        <f ca="1">SUMPRODUCT($EU63:$GC63,'General Inputs'!$F$34:$AN$34,'General Inputs'!$F$52:$AN$52)/(1-Loss_GasEnergy)</f>
        <v>0</v>
      </c>
      <c r="BC63" s="59">
        <f ca="1">INDEX('General Inputs'!$F$52:$AN$52,MATCH($H63,'General Inputs'!$F$50:$AN$50,0))*$AI63</f>
        <v>0</v>
      </c>
      <c r="BD63" s="59">
        <f ca="1">INDEX('General Inputs'!$F$52:$AN$52,MATCH($H63,'General Inputs'!$F$50:$AN$50,0))*$AM63</f>
        <v>0</v>
      </c>
      <c r="BE63" s="55"/>
      <c r="BF63" s="59">
        <f ca="1">SUMPRODUCT($CA63:$DI63,OFFSET('General Inputs'!$F$40:$AN$40,MATCH($D63&amp;" Electric ($/kWh)",'General Inputs'!$E$40:$E$46,0),),'General Inputs'!$F$54:$AN$54)</f>
        <v>2687.2811514455639</v>
      </c>
      <c r="BG63" s="59">
        <f ca="1">SUMPRODUCT($EU63:$GC63,OFFSET('General Inputs'!$F$40:$AN$40,MATCH($D63&amp;" Natural Gas ($/therm)",'General Inputs'!$E$40:$E$46,0),),'General Inputs'!$F$54:$AN$54)</f>
        <v>0</v>
      </c>
      <c r="BH63" s="59">
        <f ca="1">INDEX('General Inputs'!$F$54:$AN$54,MATCH($H63,'General Inputs'!$F$50:$AN$50,0))*$AI63</f>
        <v>0</v>
      </c>
      <c r="BI63" s="59">
        <f ca="1">SUM(INDEX('General Inputs'!$F$54:$AN$54,MATCH($H63,'General Inputs'!$F$50:$AN$50,0))*$AG63,INDEX('General Inputs'!$F$51:$AN$51,MATCH($H63+$AL63,'General Inputs'!$F$50:$AN$50,0))*-$AH63)</f>
        <v>0</v>
      </c>
      <c r="BJ63" s="55"/>
      <c r="BK63" s="59">
        <f ca="1">SUMPRODUCT($CA63:$DI63,'General Inputs'!$F$32:$AN$32,'General Inputs'!$F$53:$AN$53)/(1-Loss_ElectricEnergy)</f>
        <v>679.11299105394312</v>
      </c>
      <c r="BL63" s="59">
        <f ca="1">SUMPRODUCT($DK63:$ES63,'General Inputs'!$F$33:$AN$33,'General Inputs'!$F$53:$AN$53)/(1-Loss_ElectricDemand)</f>
        <v>0</v>
      </c>
      <c r="BM63" s="59">
        <f ca="1">SUMPRODUCT($EU63:$GC63,'General Inputs'!$F$34:$AN$34,'General Inputs'!$F$53:$AN$53)/(1-Loss_GasEnergy)</f>
        <v>0</v>
      </c>
      <c r="BN63" s="59">
        <f ca="1">INDEX('General Inputs'!$F$53:$AN$53,MATCH($H63,'General Inputs'!$F$50:$AN$50,0))*$AJ63</f>
        <v>0</v>
      </c>
      <c r="BO63" s="59">
        <f ca="1">SUMPRODUCT($CA63:$DI63,'General Inputs'!$F$35:$AN$35,'General Inputs'!$F$53:$AN$53)/(1-Loss_ElectricEnergy)</f>
        <v>259.0435055882084</v>
      </c>
      <c r="BP63" s="59">
        <f ca="1">INDEX('General Inputs'!$F$51:$AN$51,MATCH($H63,'General Inputs'!$F$50:$AN$50,0))*$AM63</f>
        <v>0</v>
      </c>
      <c r="BQ63" s="59">
        <f ca="1">SUM(INDEX('General Inputs'!$F$53:$AN$53,MATCH($H63,'General Inputs'!$F$50:$AN$50,0))*$AG63,INDEX('General Inputs'!$F$53:$AN$53,MATCH($H63+$AL63,'General Inputs'!$F$50:$AN$50,0))*-$AH63)</f>
        <v>0</v>
      </c>
      <c r="BR63" s="55"/>
      <c r="BS63" s="59">
        <f ca="1">SUMPRODUCT($CA63:$DI63,'General Inputs'!$F$32:$AN$32,'General Inputs'!$F$55:$AN$55)/(1-Loss_ElectricEnergy)</f>
        <v>679.11299105394312</v>
      </c>
      <c r="BT63" s="59">
        <f ca="1">SUMPRODUCT($DK63:$ES63,'General Inputs'!$F$33:$AN$33,'General Inputs'!$F$55:$AN$55)/(1-Loss_ElectricDemand)</f>
        <v>0</v>
      </c>
      <c r="BU63" s="59">
        <f ca="1">SUMPRODUCT($EU63:$GC63,'General Inputs'!$F$34:$AN$34,'General Inputs'!$F$55:$AN$55)/(1-Loss_GasEnergy)</f>
        <v>0</v>
      </c>
      <c r="BV63" s="59">
        <f ca="1">SUMPRODUCT($CA63:$DI63,OFFSET('General Inputs'!$F$40:$AN$40,MATCH($D63&amp;" Electric ($/kWh)",'General Inputs'!$E$40:$E$46,0),),'General Inputs'!$F$55:$AN$55)</f>
        <v>2687.2811514455639</v>
      </c>
      <c r="BW63" s="59">
        <f ca="1">SUMPRODUCT($EU63:$GC63,OFFSET('General Inputs'!$F$40:$AN$40,MATCH($D63&amp;" Natural Gas ($/therm)",'General Inputs'!$E$40:$E$46,0),),'General Inputs'!$F$55:$AN$55)</f>
        <v>0</v>
      </c>
      <c r="BX63" s="59">
        <f ca="1">INDEX('General Inputs'!$F$55:$AN$55,MATCH($H63,'General Inputs'!$F$50:$AN$50,0))*$AI63</f>
        <v>0</v>
      </c>
      <c r="BY63" s="59">
        <f ca="1">INDEX('General Inputs'!$F$51:$AN$51,MATCH($H63,'General Inputs'!$F$50:$AN$50,0))*$AM63</f>
        <v>0</v>
      </c>
      <c r="BZ63" s="55"/>
      <c r="CA63" s="88">
        <f t="shared" ca="1" si="251"/>
        <v>2445.0455607476633</v>
      </c>
      <c r="CB63" s="88">
        <f t="shared" ca="1" si="251"/>
        <v>2445.0455607476633</v>
      </c>
      <c r="CC63" s="88">
        <f t="shared" ca="1" si="251"/>
        <v>2445.0455607476633</v>
      </c>
      <c r="CD63" s="88">
        <f t="shared" ca="1" si="251"/>
        <v>2445.0455607476633</v>
      </c>
      <c r="CE63" s="88">
        <f t="shared" ca="1" si="251"/>
        <v>2445.0455607476633</v>
      </c>
      <c r="CF63" s="88">
        <f t="shared" ca="1" si="251"/>
        <v>2445.0455607476633</v>
      </c>
      <c r="CG63" s="88">
        <f t="shared" ca="1" si="251"/>
        <v>2445.0455607476633</v>
      </c>
      <c r="CH63" s="88">
        <f t="shared" ca="1" si="251"/>
        <v>2445.0455607476633</v>
      </c>
      <c r="CI63" s="88">
        <f t="shared" ca="1" si="251"/>
        <v>2445.0455607476633</v>
      </c>
      <c r="CJ63" s="88">
        <f t="shared" ca="1" si="251"/>
        <v>2445.0455607476633</v>
      </c>
      <c r="CK63" s="88">
        <f t="shared" ca="1" si="252"/>
        <v>2445.0455607476633</v>
      </c>
      <c r="CL63" s="88">
        <f t="shared" ca="1" si="252"/>
        <v>2445.0455607476633</v>
      </c>
      <c r="CM63" s="88">
        <f t="shared" ca="1" si="252"/>
        <v>2445.0455607476633</v>
      </c>
      <c r="CN63" s="88">
        <f t="shared" ca="1" si="252"/>
        <v>2445.0455607476633</v>
      </c>
      <c r="CO63" s="88">
        <f t="shared" ca="1" si="252"/>
        <v>2445.0455607476633</v>
      </c>
      <c r="CP63" s="88">
        <f t="shared" ca="1" si="252"/>
        <v>0</v>
      </c>
      <c r="CQ63" s="88">
        <f t="shared" ca="1" si="252"/>
        <v>0</v>
      </c>
      <c r="CR63" s="88">
        <f t="shared" ca="1" si="252"/>
        <v>0</v>
      </c>
      <c r="CS63" s="88">
        <f t="shared" ca="1" si="252"/>
        <v>0</v>
      </c>
      <c r="CT63" s="88">
        <f t="shared" ca="1" si="252"/>
        <v>0</v>
      </c>
      <c r="CU63" s="88">
        <f t="shared" ca="1" si="253"/>
        <v>0</v>
      </c>
      <c r="CV63" s="88">
        <f t="shared" ca="1" si="253"/>
        <v>0</v>
      </c>
      <c r="CW63" s="88">
        <f t="shared" ca="1" si="253"/>
        <v>0</v>
      </c>
      <c r="CX63" s="88">
        <f t="shared" ca="1" si="253"/>
        <v>0</v>
      </c>
      <c r="CY63" s="88">
        <f t="shared" ca="1" si="253"/>
        <v>0</v>
      </c>
      <c r="CZ63" s="88">
        <f t="shared" ca="1" si="253"/>
        <v>0</v>
      </c>
      <c r="DA63" s="88">
        <f t="shared" ca="1" si="253"/>
        <v>0</v>
      </c>
      <c r="DB63" s="88">
        <f t="shared" ca="1" si="253"/>
        <v>0</v>
      </c>
      <c r="DC63" s="88">
        <f t="shared" ca="1" si="253"/>
        <v>0</v>
      </c>
      <c r="DD63" s="88">
        <f t="shared" ca="1" si="253"/>
        <v>0</v>
      </c>
      <c r="DE63" s="88">
        <f t="shared" ca="1" si="253"/>
        <v>0</v>
      </c>
      <c r="DF63" s="88">
        <f t="shared" ca="1" si="253"/>
        <v>0</v>
      </c>
      <c r="DG63" s="88">
        <f t="shared" ca="1" si="253"/>
        <v>0</v>
      </c>
      <c r="DH63" s="88">
        <f t="shared" ca="1" si="253"/>
        <v>0</v>
      </c>
      <c r="DI63" s="88">
        <f t="shared" ca="1" si="253"/>
        <v>0</v>
      </c>
      <c r="DJ63" s="169"/>
      <c r="DK63" s="88">
        <f t="shared" ca="1" si="254"/>
        <v>0</v>
      </c>
      <c r="DL63" s="88">
        <f t="shared" ca="1" si="254"/>
        <v>0</v>
      </c>
      <c r="DM63" s="88">
        <f t="shared" ca="1" si="254"/>
        <v>0</v>
      </c>
      <c r="DN63" s="88">
        <f t="shared" ca="1" si="254"/>
        <v>0</v>
      </c>
      <c r="DO63" s="88">
        <f t="shared" ca="1" si="254"/>
        <v>0</v>
      </c>
      <c r="DP63" s="88">
        <f t="shared" ca="1" si="254"/>
        <v>0</v>
      </c>
      <c r="DQ63" s="88">
        <f t="shared" ca="1" si="254"/>
        <v>0</v>
      </c>
      <c r="DR63" s="88">
        <f t="shared" ca="1" si="254"/>
        <v>0</v>
      </c>
      <c r="DS63" s="88">
        <f t="shared" ca="1" si="254"/>
        <v>0</v>
      </c>
      <c r="DT63" s="88">
        <f t="shared" ca="1" si="254"/>
        <v>0</v>
      </c>
      <c r="DU63" s="88">
        <f t="shared" ca="1" si="255"/>
        <v>0</v>
      </c>
      <c r="DV63" s="88">
        <f t="shared" ca="1" si="255"/>
        <v>0</v>
      </c>
      <c r="DW63" s="88">
        <f t="shared" ca="1" si="255"/>
        <v>0</v>
      </c>
      <c r="DX63" s="88">
        <f t="shared" ca="1" si="255"/>
        <v>0</v>
      </c>
      <c r="DY63" s="88">
        <f t="shared" ca="1" si="255"/>
        <v>0</v>
      </c>
      <c r="DZ63" s="88">
        <f t="shared" ca="1" si="255"/>
        <v>0</v>
      </c>
      <c r="EA63" s="88">
        <f t="shared" ca="1" si="255"/>
        <v>0</v>
      </c>
      <c r="EB63" s="88">
        <f t="shared" ca="1" si="255"/>
        <v>0</v>
      </c>
      <c r="EC63" s="88">
        <f t="shared" ca="1" si="255"/>
        <v>0</v>
      </c>
      <c r="ED63" s="88">
        <f t="shared" ca="1" si="255"/>
        <v>0</v>
      </c>
      <c r="EE63" s="88">
        <f t="shared" ca="1" si="256"/>
        <v>0</v>
      </c>
      <c r="EF63" s="88">
        <f t="shared" ca="1" si="256"/>
        <v>0</v>
      </c>
      <c r="EG63" s="88">
        <f t="shared" ca="1" si="256"/>
        <v>0</v>
      </c>
      <c r="EH63" s="88">
        <f t="shared" ca="1" si="256"/>
        <v>0</v>
      </c>
      <c r="EI63" s="88">
        <f t="shared" ca="1" si="256"/>
        <v>0</v>
      </c>
      <c r="EJ63" s="88">
        <f t="shared" ca="1" si="256"/>
        <v>0</v>
      </c>
      <c r="EK63" s="88">
        <f t="shared" ca="1" si="256"/>
        <v>0</v>
      </c>
      <c r="EL63" s="88">
        <f t="shared" ca="1" si="256"/>
        <v>0</v>
      </c>
      <c r="EM63" s="88">
        <f t="shared" ca="1" si="256"/>
        <v>0</v>
      </c>
      <c r="EN63" s="88">
        <f t="shared" ca="1" si="256"/>
        <v>0</v>
      </c>
      <c r="EO63" s="88">
        <f t="shared" ca="1" si="256"/>
        <v>0</v>
      </c>
      <c r="EP63" s="88">
        <f t="shared" ca="1" si="256"/>
        <v>0</v>
      </c>
      <c r="EQ63" s="88">
        <f t="shared" ca="1" si="256"/>
        <v>0</v>
      </c>
      <c r="ER63" s="88">
        <f t="shared" ca="1" si="256"/>
        <v>0</v>
      </c>
      <c r="ES63" s="88">
        <f t="shared" ca="1" si="256"/>
        <v>0</v>
      </c>
      <c r="ET63" s="169"/>
      <c r="EU63" s="88">
        <f t="shared" ca="1" si="257"/>
        <v>0</v>
      </c>
      <c r="EV63" s="88">
        <f t="shared" ca="1" si="257"/>
        <v>0</v>
      </c>
      <c r="EW63" s="88">
        <f t="shared" ca="1" si="257"/>
        <v>0</v>
      </c>
      <c r="EX63" s="88">
        <f t="shared" ca="1" si="257"/>
        <v>0</v>
      </c>
      <c r="EY63" s="88">
        <f t="shared" ca="1" si="257"/>
        <v>0</v>
      </c>
      <c r="EZ63" s="88">
        <f t="shared" ca="1" si="257"/>
        <v>0</v>
      </c>
      <c r="FA63" s="88">
        <f t="shared" ca="1" si="257"/>
        <v>0</v>
      </c>
      <c r="FB63" s="88">
        <f t="shared" ca="1" si="257"/>
        <v>0</v>
      </c>
      <c r="FC63" s="88">
        <f t="shared" ca="1" si="257"/>
        <v>0</v>
      </c>
      <c r="FD63" s="88">
        <f t="shared" ca="1" si="257"/>
        <v>0</v>
      </c>
      <c r="FE63" s="88">
        <f t="shared" ca="1" si="258"/>
        <v>0</v>
      </c>
      <c r="FF63" s="88">
        <f t="shared" ca="1" si="258"/>
        <v>0</v>
      </c>
      <c r="FG63" s="88">
        <f t="shared" ca="1" si="258"/>
        <v>0</v>
      </c>
      <c r="FH63" s="88">
        <f t="shared" ca="1" si="258"/>
        <v>0</v>
      </c>
      <c r="FI63" s="88">
        <f t="shared" ca="1" si="258"/>
        <v>0</v>
      </c>
      <c r="FJ63" s="88">
        <f t="shared" ca="1" si="258"/>
        <v>0</v>
      </c>
      <c r="FK63" s="88">
        <f t="shared" ca="1" si="258"/>
        <v>0</v>
      </c>
      <c r="FL63" s="88">
        <f t="shared" ca="1" si="258"/>
        <v>0</v>
      </c>
      <c r="FM63" s="88">
        <f t="shared" ca="1" si="258"/>
        <v>0</v>
      </c>
      <c r="FN63" s="88">
        <f t="shared" ca="1" si="258"/>
        <v>0</v>
      </c>
      <c r="FO63" s="88">
        <f t="shared" ca="1" si="259"/>
        <v>0</v>
      </c>
      <c r="FP63" s="88">
        <f t="shared" ca="1" si="259"/>
        <v>0</v>
      </c>
      <c r="FQ63" s="88">
        <f t="shared" ca="1" si="259"/>
        <v>0</v>
      </c>
      <c r="FR63" s="88">
        <f t="shared" ca="1" si="259"/>
        <v>0</v>
      </c>
      <c r="FS63" s="88">
        <f t="shared" ca="1" si="259"/>
        <v>0</v>
      </c>
      <c r="FT63" s="88">
        <f t="shared" ca="1" si="259"/>
        <v>0</v>
      </c>
      <c r="FU63" s="88">
        <f t="shared" ca="1" si="259"/>
        <v>0</v>
      </c>
      <c r="FV63" s="88">
        <f t="shared" ca="1" si="259"/>
        <v>0</v>
      </c>
      <c r="FW63" s="88">
        <f t="shared" ca="1" si="259"/>
        <v>0</v>
      </c>
      <c r="FX63" s="88">
        <f t="shared" ca="1" si="259"/>
        <v>0</v>
      </c>
      <c r="FY63" s="88">
        <f t="shared" ca="1" si="259"/>
        <v>0</v>
      </c>
      <c r="FZ63" s="88">
        <f t="shared" ca="1" si="259"/>
        <v>0</v>
      </c>
      <c r="GA63" s="88">
        <f t="shared" ca="1" si="259"/>
        <v>0</v>
      </c>
      <c r="GB63" s="88">
        <f t="shared" ca="1" si="259"/>
        <v>0</v>
      </c>
      <c r="GC63" s="88">
        <f t="shared" ca="1" si="259"/>
        <v>0</v>
      </c>
      <c r="GD63" s="60"/>
    </row>
    <row r="64" spans="1:186" s="54" customFormat="1">
      <c r="A64" s="61"/>
      <c r="B64" s="100" t="str">
        <f t="shared" si="0"/>
        <v>Residential_Whole House Efficiency_0_Hot Water Pipe Insulation_2017</v>
      </c>
      <c r="C64" s="100">
        <f>INDEX('Measure Inputs'!$D:$D,MATCH($B64,'Measure Inputs'!$B:$B,0))</f>
        <v>16</v>
      </c>
      <c r="D64" s="101" t="s">
        <v>2</v>
      </c>
      <c r="E64" s="101" t="s">
        <v>219</v>
      </c>
      <c r="F64" s="101">
        <v>0</v>
      </c>
      <c r="G64" s="101" t="s">
        <v>265</v>
      </c>
      <c r="H64" s="101">
        <v>2017</v>
      </c>
      <c r="I64" s="55"/>
      <c r="J64" s="58" t="str">
        <f t="shared" ca="1" si="229"/>
        <v>n/a</v>
      </c>
      <c r="K64" s="58" t="str">
        <f t="shared" ca="1" si="246"/>
        <v>n/a</v>
      </c>
      <c r="L64" s="58" t="str">
        <f t="shared" ca="1" si="230"/>
        <v>n/a</v>
      </c>
      <c r="M64" s="58" t="str">
        <f t="shared" ca="1" si="231"/>
        <v>n/a</v>
      </c>
      <c r="N64" s="58">
        <f t="shared" ca="1" si="232"/>
        <v>0.27346380018828675</v>
      </c>
      <c r="O64" s="55"/>
      <c r="P64" s="175">
        <f ca="1">IFERROR(($AW64+AV64)/SUMPRODUCT($CA64:$DI64,'General Inputs'!$F$51:$AN$51),"n/a")</f>
        <v>0</v>
      </c>
      <c r="Q64" s="175">
        <f t="shared" ca="1" si="233"/>
        <v>0</v>
      </c>
      <c r="R64" s="56">
        <f t="shared" ca="1" si="260"/>
        <v>47.123820685613836</v>
      </c>
      <c r="S64" s="55"/>
      <c r="T64" s="56">
        <f ca="1">INDEX(OFFSET('Measure Inputs'!$L$7,,,InputRows),$C64)</f>
        <v>25.5</v>
      </c>
      <c r="U64" s="134">
        <f ca="1">INDEX(OFFSET('Measure Inputs'!$T$7,,,InputRows),$C64)</f>
        <v>1</v>
      </c>
      <c r="V64" s="134">
        <f ca="1">INDEX(OFFSET('Measure Inputs'!$U$7,,,InputRows),$C64)</f>
        <v>1</v>
      </c>
      <c r="W64" s="55"/>
      <c r="X64" s="96">
        <f ca="1">INDEX(OFFSET('Measure Inputs'!$V$7,,,InputRows),$C64)*$T64*$V64*$U64</f>
        <v>3141.5880457075887</v>
      </c>
      <c r="Y64" s="96">
        <f ca="1">INDEX(OFFSET('Measure Inputs'!$W$7,,,InputRows),$C64)*$T64*$V64*$U64</f>
        <v>0.3586287723410489</v>
      </c>
      <c r="Z64" s="96">
        <f ca="1">INDEX(OFFSET('Measure Inputs'!$X$7,,,InputRows),$C64)*$T64*$V64*$U64</f>
        <v>0</v>
      </c>
      <c r="AA64" s="55"/>
      <c r="AB64" s="96">
        <f ca="1">INDEX(OFFSET('Measure Inputs'!$Z$7,,,InputRows),$C64)*$T64*$V64*$U64</f>
        <v>0</v>
      </c>
      <c r="AC64" s="96">
        <f ca="1">INDEX(OFFSET('Measure Inputs'!$AA$7,,,InputRows),$C64)*$T64*$V64*$U64</f>
        <v>0</v>
      </c>
      <c r="AD64" s="96">
        <f ca="1">INDEX(OFFSET('Measure Inputs'!$AB$7,,,InputRows),$C64)*$T64*$V64*$U64</f>
        <v>0</v>
      </c>
      <c r="AE64" s="55"/>
      <c r="AF64" s="57">
        <f ca="1">INDEX(OFFSET('Measure Inputs'!$Q$7,,,InputRows),$C64)*$T64</f>
        <v>0</v>
      </c>
      <c r="AG64" s="57">
        <f ca="1">INDEX(OFFSET('Measure Inputs'!$P$7,,,InputRows),$C64)*$T64*$V64</f>
        <v>0</v>
      </c>
      <c r="AH64" s="57">
        <f ca="1">INDEX(OFFSET('Measure Inputs'!$R$7,,,InputRows),$C64)*$T64*$V64</f>
        <v>0</v>
      </c>
      <c r="AI64" s="57">
        <f ca="1">INDEX(OFFSET('Measure Inputs'!$O$7,,,InputRows),$C64)*$T64</f>
        <v>0</v>
      </c>
      <c r="AJ64" s="57">
        <f ca="1">INDEX(OFFSET('Measure Inputs'!$S$7,,,InputRows),$C64)*$T64</f>
        <v>0</v>
      </c>
      <c r="AK64" s="63">
        <f ca="1">INDEX(OFFSET('Measure Inputs'!$M$7,,,InputRows),$C64)</f>
        <v>15</v>
      </c>
      <c r="AL64" s="88">
        <f ca="1">INDEX(OFFSET('Measure Inputs'!$N$7,,,InputRows),$C64)</f>
        <v>0</v>
      </c>
      <c r="AM64" s="57">
        <f ca="1">SUMIFS(OFFSET('Program Inputs'!$N$5,,,TotalPrograms),OFFSET('Program Inputs'!$B$5,,,TotalPrograms),SUBSTITUTE($B64,"All","*"))+AF64</f>
        <v>0</v>
      </c>
      <c r="AN64" s="57">
        <f t="shared" ca="1" si="261"/>
        <v>0</v>
      </c>
      <c r="AO64" s="55"/>
      <c r="AP64" s="59">
        <f t="shared" ca="1" si="262"/>
        <v>944.22442449052676</v>
      </c>
      <c r="AQ64" s="59">
        <f t="shared" ca="1" si="263"/>
        <v>0</v>
      </c>
      <c r="AR64" s="59">
        <f ca="1">SUMPRODUCT($CA64:$DI64,'General Inputs'!$F$32:$AN$32,'General Inputs'!$F$51:$AN$51)/(1-Loss_ElectricEnergy)</f>
        <v>872.57811822835617</v>
      </c>
      <c r="AS64" s="59">
        <f ca="1">SUMPRODUCT($DK64:$ES64,'General Inputs'!$F$33:$AN$33,'General Inputs'!$F$51:$AN$51)/(1-Loss_ElectricDemand)</f>
        <v>71.64630626217054</v>
      </c>
      <c r="AT64" s="59">
        <f ca="1">SUMPRODUCT($EU64:$GC64,'General Inputs'!$F$34:$AN$34,'General Inputs'!$F$51:$AN$51)/(1-Loss_GasEnergy)</f>
        <v>0</v>
      </c>
      <c r="AU64" s="59">
        <f ca="1">INDEX('General Inputs'!$F$51:$AN$51,MATCH($H64,'General Inputs'!$F$50:$AN$50,0))*$AJ64</f>
        <v>0</v>
      </c>
      <c r="AV64" s="59">
        <f ca="1">INDEX('General Inputs'!$F$51:$AN$51,MATCH($H64,'General Inputs'!$F$50:$AN$50,0))*$AI64</f>
        <v>0</v>
      </c>
      <c r="AW64" s="59">
        <f ca="1">INDEX('General Inputs'!$F$51:$AN$51,MATCH($H64,'General Inputs'!$F$50:$AN$50,0))*$AM64</f>
        <v>0</v>
      </c>
      <c r="AX64" s="59">
        <f ca="1">SUM(INDEX('General Inputs'!$F$51:$AN$51,MATCH($H64,'General Inputs'!$F$50:$AN$50,0))*$AG64,INDEX('General Inputs'!$F$51:$AN$51,MATCH($H64+$AL64,'General Inputs'!$F$50:$AN$50,0))*-$AH64)</f>
        <v>0</v>
      </c>
      <c r="AY64" s="55"/>
      <c r="AZ64" s="59">
        <f ca="1">SUMPRODUCT($CA64:$DI64,'General Inputs'!$F$32:$AN$32,'General Inputs'!$F$52:$AN$52)/(1-Loss_ElectricEnergy)</f>
        <v>872.57811822835617</v>
      </c>
      <c r="BA64" s="59">
        <f ca="1">SUMPRODUCT($DK64:$ES64,'General Inputs'!$F$33:$AN$33,'General Inputs'!$F$52:$AN$52)/(1-Loss_ElectricDemand)</f>
        <v>71.64630626217054</v>
      </c>
      <c r="BB64" s="59">
        <f ca="1">SUMPRODUCT($EU64:$GC64,'General Inputs'!$F$34:$AN$34,'General Inputs'!$F$52:$AN$52)/(1-Loss_GasEnergy)</f>
        <v>0</v>
      </c>
      <c r="BC64" s="59">
        <f ca="1">INDEX('General Inputs'!$F$52:$AN$52,MATCH($H64,'General Inputs'!$F$50:$AN$50,0))*$AI64</f>
        <v>0</v>
      </c>
      <c r="BD64" s="59">
        <f ca="1">INDEX('General Inputs'!$F$52:$AN$52,MATCH($H64,'General Inputs'!$F$50:$AN$50,0))*$AM64</f>
        <v>0</v>
      </c>
      <c r="BE64" s="55"/>
      <c r="BF64" s="59">
        <f ca="1">SUMPRODUCT($CA64:$DI64,OFFSET('General Inputs'!$F$40:$AN$40,MATCH($D64&amp;" Electric ($/kWh)",'General Inputs'!$E$40:$E$46,0),),'General Inputs'!$F$54:$AN$54)</f>
        <v>3452.8315039884778</v>
      </c>
      <c r="BG64" s="59">
        <f ca="1">SUMPRODUCT($EU64:$GC64,OFFSET('General Inputs'!$F$40:$AN$40,MATCH($D64&amp;" Natural Gas ($/therm)",'General Inputs'!$E$40:$E$46,0),),'General Inputs'!$F$54:$AN$54)</f>
        <v>0</v>
      </c>
      <c r="BH64" s="59">
        <f ca="1">INDEX('General Inputs'!$F$54:$AN$54,MATCH($H64,'General Inputs'!$F$50:$AN$50,0))*$AI64</f>
        <v>0</v>
      </c>
      <c r="BI64" s="59">
        <f ca="1">SUM(INDEX('General Inputs'!$F$54:$AN$54,MATCH($H64,'General Inputs'!$F$50:$AN$50,0))*$AG64,INDEX('General Inputs'!$F$51:$AN$51,MATCH($H64+$AL64,'General Inputs'!$F$50:$AN$50,0))*-$AH64)</f>
        <v>0</v>
      </c>
      <c r="BJ64" s="55"/>
      <c r="BK64" s="59">
        <f ca="1">SUMPRODUCT($CA64:$DI64,'General Inputs'!$F$32:$AN$32,'General Inputs'!$F$53:$AN$53)/(1-Loss_ElectricEnergy)</f>
        <v>872.57811822835617</v>
      </c>
      <c r="BL64" s="59">
        <f ca="1">SUMPRODUCT($DK64:$ES64,'General Inputs'!$F$33:$AN$33,'General Inputs'!$F$53:$AN$53)/(1-Loss_ElectricDemand)</f>
        <v>71.64630626217054</v>
      </c>
      <c r="BM64" s="59">
        <f ca="1">SUMPRODUCT($EU64:$GC64,'General Inputs'!$F$34:$AN$34,'General Inputs'!$F$53:$AN$53)/(1-Loss_GasEnergy)</f>
        <v>0</v>
      </c>
      <c r="BN64" s="59">
        <f ca="1">INDEX('General Inputs'!$F$53:$AN$53,MATCH($H64,'General Inputs'!$F$50:$AN$50,0))*$AJ64</f>
        <v>0</v>
      </c>
      <c r="BO64" s="59">
        <f ca="1">SUMPRODUCT($CA64:$DI64,'General Inputs'!$F$35:$AN$35,'General Inputs'!$F$53:$AN$53)/(1-Loss_ElectricEnergy)</f>
        <v>332.83959756776488</v>
      </c>
      <c r="BP64" s="59">
        <f ca="1">INDEX('General Inputs'!$F$51:$AN$51,MATCH($H64,'General Inputs'!$F$50:$AN$50,0))*$AM64</f>
        <v>0</v>
      </c>
      <c r="BQ64" s="59">
        <f ca="1">SUM(INDEX('General Inputs'!$F$53:$AN$53,MATCH($H64,'General Inputs'!$F$50:$AN$50,0))*$AG64,INDEX('General Inputs'!$F$53:$AN$53,MATCH($H64+$AL64,'General Inputs'!$F$50:$AN$50,0))*-$AH64)</f>
        <v>0</v>
      </c>
      <c r="BR64" s="55"/>
      <c r="BS64" s="59">
        <f ca="1">SUMPRODUCT($CA64:$DI64,'General Inputs'!$F$32:$AN$32,'General Inputs'!$F$55:$AN$55)/(1-Loss_ElectricEnergy)</f>
        <v>872.57811822835617</v>
      </c>
      <c r="BT64" s="59">
        <f ca="1">SUMPRODUCT($DK64:$ES64,'General Inputs'!$F$33:$AN$33,'General Inputs'!$F$55:$AN$55)/(1-Loss_ElectricDemand)</f>
        <v>71.64630626217054</v>
      </c>
      <c r="BU64" s="59">
        <f ca="1">SUMPRODUCT($EU64:$GC64,'General Inputs'!$F$34:$AN$34,'General Inputs'!$F$55:$AN$55)/(1-Loss_GasEnergy)</f>
        <v>0</v>
      </c>
      <c r="BV64" s="59">
        <f ca="1">SUMPRODUCT($CA64:$DI64,OFFSET('General Inputs'!$F$40:$AN$40,MATCH($D64&amp;" Electric ($/kWh)",'General Inputs'!$E$40:$E$46,0),),'General Inputs'!$F$55:$AN$55)</f>
        <v>3452.8315039884778</v>
      </c>
      <c r="BW64" s="59">
        <f ca="1">SUMPRODUCT($EU64:$GC64,OFFSET('General Inputs'!$F$40:$AN$40,MATCH($D64&amp;" Natural Gas ($/therm)",'General Inputs'!$E$40:$E$46,0),),'General Inputs'!$F$55:$AN$55)</f>
        <v>0</v>
      </c>
      <c r="BX64" s="59">
        <f ca="1">INDEX('General Inputs'!$F$55:$AN$55,MATCH($H64,'General Inputs'!$F$50:$AN$50,0))*$AI64</f>
        <v>0</v>
      </c>
      <c r="BY64" s="59">
        <f ca="1">INDEX('General Inputs'!$F$51:$AN$51,MATCH($H64,'General Inputs'!$F$50:$AN$50,0))*$AM64</f>
        <v>0</v>
      </c>
      <c r="BZ64" s="55"/>
      <c r="CA64" s="88">
        <f t="shared" ca="1" si="251"/>
        <v>3141.5880457075887</v>
      </c>
      <c r="CB64" s="88">
        <f t="shared" ca="1" si="251"/>
        <v>3141.5880457075887</v>
      </c>
      <c r="CC64" s="88">
        <f t="shared" ca="1" si="251"/>
        <v>3141.5880457075887</v>
      </c>
      <c r="CD64" s="88">
        <f t="shared" ca="1" si="251"/>
        <v>3141.5880457075887</v>
      </c>
      <c r="CE64" s="88">
        <f t="shared" ca="1" si="251"/>
        <v>3141.5880457075887</v>
      </c>
      <c r="CF64" s="88">
        <f t="shared" ca="1" si="251"/>
        <v>3141.5880457075887</v>
      </c>
      <c r="CG64" s="88">
        <f t="shared" ca="1" si="251"/>
        <v>3141.5880457075887</v>
      </c>
      <c r="CH64" s="88">
        <f t="shared" ca="1" si="251"/>
        <v>3141.5880457075887</v>
      </c>
      <c r="CI64" s="88">
        <f t="shared" ca="1" si="251"/>
        <v>3141.5880457075887</v>
      </c>
      <c r="CJ64" s="88">
        <f t="shared" ca="1" si="251"/>
        <v>3141.5880457075887</v>
      </c>
      <c r="CK64" s="88">
        <f t="shared" ca="1" si="252"/>
        <v>3141.5880457075887</v>
      </c>
      <c r="CL64" s="88">
        <f t="shared" ca="1" si="252"/>
        <v>3141.5880457075887</v>
      </c>
      <c r="CM64" s="88">
        <f t="shared" ca="1" si="252"/>
        <v>3141.5880457075887</v>
      </c>
      <c r="CN64" s="88">
        <f t="shared" ca="1" si="252"/>
        <v>3141.5880457075887</v>
      </c>
      <c r="CO64" s="88">
        <f t="shared" ca="1" si="252"/>
        <v>3141.5880457075887</v>
      </c>
      <c r="CP64" s="88">
        <f t="shared" ca="1" si="252"/>
        <v>0</v>
      </c>
      <c r="CQ64" s="88">
        <f t="shared" ca="1" si="252"/>
        <v>0</v>
      </c>
      <c r="CR64" s="88">
        <f t="shared" ca="1" si="252"/>
        <v>0</v>
      </c>
      <c r="CS64" s="88">
        <f t="shared" ca="1" si="252"/>
        <v>0</v>
      </c>
      <c r="CT64" s="88">
        <f t="shared" ca="1" si="252"/>
        <v>0</v>
      </c>
      <c r="CU64" s="88">
        <f t="shared" ca="1" si="253"/>
        <v>0</v>
      </c>
      <c r="CV64" s="88">
        <f t="shared" ca="1" si="253"/>
        <v>0</v>
      </c>
      <c r="CW64" s="88">
        <f t="shared" ca="1" si="253"/>
        <v>0</v>
      </c>
      <c r="CX64" s="88">
        <f t="shared" ca="1" si="253"/>
        <v>0</v>
      </c>
      <c r="CY64" s="88">
        <f t="shared" ca="1" si="253"/>
        <v>0</v>
      </c>
      <c r="CZ64" s="88">
        <f t="shared" ca="1" si="253"/>
        <v>0</v>
      </c>
      <c r="DA64" s="88">
        <f t="shared" ca="1" si="253"/>
        <v>0</v>
      </c>
      <c r="DB64" s="88">
        <f t="shared" ca="1" si="253"/>
        <v>0</v>
      </c>
      <c r="DC64" s="88">
        <f t="shared" ca="1" si="253"/>
        <v>0</v>
      </c>
      <c r="DD64" s="88">
        <f t="shared" ca="1" si="253"/>
        <v>0</v>
      </c>
      <c r="DE64" s="88">
        <f t="shared" ca="1" si="253"/>
        <v>0</v>
      </c>
      <c r="DF64" s="88">
        <f t="shared" ca="1" si="253"/>
        <v>0</v>
      </c>
      <c r="DG64" s="88">
        <f t="shared" ca="1" si="253"/>
        <v>0</v>
      </c>
      <c r="DH64" s="88">
        <f t="shared" ca="1" si="253"/>
        <v>0</v>
      </c>
      <c r="DI64" s="88">
        <f t="shared" ca="1" si="253"/>
        <v>0</v>
      </c>
      <c r="DJ64" s="169"/>
      <c r="DK64" s="88">
        <f t="shared" ca="1" si="254"/>
        <v>0.3586287723410489</v>
      </c>
      <c r="DL64" s="88">
        <f t="shared" ca="1" si="254"/>
        <v>0.3586287723410489</v>
      </c>
      <c r="DM64" s="88">
        <f t="shared" ca="1" si="254"/>
        <v>0.3586287723410489</v>
      </c>
      <c r="DN64" s="88">
        <f t="shared" ca="1" si="254"/>
        <v>0.3586287723410489</v>
      </c>
      <c r="DO64" s="88">
        <f t="shared" ca="1" si="254"/>
        <v>0.3586287723410489</v>
      </c>
      <c r="DP64" s="88">
        <f t="shared" ca="1" si="254"/>
        <v>0.3586287723410489</v>
      </c>
      <c r="DQ64" s="88">
        <f t="shared" ca="1" si="254"/>
        <v>0.3586287723410489</v>
      </c>
      <c r="DR64" s="88">
        <f t="shared" ca="1" si="254"/>
        <v>0.3586287723410489</v>
      </c>
      <c r="DS64" s="88">
        <f t="shared" ca="1" si="254"/>
        <v>0.3586287723410489</v>
      </c>
      <c r="DT64" s="88">
        <f t="shared" ca="1" si="254"/>
        <v>0.3586287723410489</v>
      </c>
      <c r="DU64" s="88">
        <f t="shared" ca="1" si="255"/>
        <v>0.3586287723410489</v>
      </c>
      <c r="DV64" s="88">
        <f t="shared" ca="1" si="255"/>
        <v>0.3586287723410489</v>
      </c>
      <c r="DW64" s="88">
        <f t="shared" ca="1" si="255"/>
        <v>0.3586287723410489</v>
      </c>
      <c r="DX64" s="88">
        <f t="shared" ca="1" si="255"/>
        <v>0.3586287723410489</v>
      </c>
      <c r="DY64" s="88">
        <f t="shared" ca="1" si="255"/>
        <v>0.3586287723410489</v>
      </c>
      <c r="DZ64" s="88">
        <f t="shared" ca="1" si="255"/>
        <v>0</v>
      </c>
      <c r="EA64" s="88">
        <f t="shared" ca="1" si="255"/>
        <v>0</v>
      </c>
      <c r="EB64" s="88">
        <f t="shared" ca="1" si="255"/>
        <v>0</v>
      </c>
      <c r="EC64" s="88">
        <f t="shared" ca="1" si="255"/>
        <v>0</v>
      </c>
      <c r="ED64" s="88">
        <f t="shared" ca="1" si="255"/>
        <v>0</v>
      </c>
      <c r="EE64" s="88">
        <f t="shared" ca="1" si="256"/>
        <v>0</v>
      </c>
      <c r="EF64" s="88">
        <f t="shared" ca="1" si="256"/>
        <v>0</v>
      </c>
      <c r="EG64" s="88">
        <f t="shared" ca="1" si="256"/>
        <v>0</v>
      </c>
      <c r="EH64" s="88">
        <f t="shared" ca="1" si="256"/>
        <v>0</v>
      </c>
      <c r="EI64" s="88">
        <f t="shared" ca="1" si="256"/>
        <v>0</v>
      </c>
      <c r="EJ64" s="88">
        <f t="shared" ca="1" si="256"/>
        <v>0</v>
      </c>
      <c r="EK64" s="88">
        <f t="shared" ca="1" si="256"/>
        <v>0</v>
      </c>
      <c r="EL64" s="88">
        <f t="shared" ca="1" si="256"/>
        <v>0</v>
      </c>
      <c r="EM64" s="88">
        <f t="shared" ca="1" si="256"/>
        <v>0</v>
      </c>
      <c r="EN64" s="88">
        <f t="shared" ca="1" si="256"/>
        <v>0</v>
      </c>
      <c r="EO64" s="88">
        <f t="shared" ca="1" si="256"/>
        <v>0</v>
      </c>
      <c r="EP64" s="88">
        <f t="shared" ca="1" si="256"/>
        <v>0</v>
      </c>
      <c r="EQ64" s="88">
        <f t="shared" ca="1" si="256"/>
        <v>0</v>
      </c>
      <c r="ER64" s="88">
        <f t="shared" ca="1" si="256"/>
        <v>0</v>
      </c>
      <c r="ES64" s="88">
        <f t="shared" ca="1" si="256"/>
        <v>0</v>
      </c>
      <c r="ET64" s="169"/>
      <c r="EU64" s="88">
        <f t="shared" ca="1" si="257"/>
        <v>0</v>
      </c>
      <c r="EV64" s="88">
        <f t="shared" ca="1" si="257"/>
        <v>0</v>
      </c>
      <c r="EW64" s="88">
        <f t="shared" ca="1" si="257"/>
        <v>0</v>
      </c>
      <c r="EX64" s="88">
        <f t="shared" ca="1" si="257"/>
        <v>0</v>
      </c>
      <c r="EY64" s="88">
        <f t="shared" ca="1" si="257"/>
        <v>0</v>
      </c>
      <c r="EZ64" s="88">
        <f t="shared" ca="1" si="257"/>
        <v>0</v>
      </c>
      <c r="FA64" s="88">
        <f t="shared" ca="1" si="257"/>
        <v>0</v>
      </c>
      <c r="FB64" s="88">
        <f t="shared" ca="1" si="257"/>
        <v>0</v>
      </c>
      <c r="FC64" s="88">
        <f t="shared" ca="1" si="257"/>
        <v>0</v>
      </c>
      <c r="FD64" s="88">
        <f t="shared" ca="1" si="257"/>
        <v>0</v>
      </c>
      <c r="FE64" s="88">
        <f t="shared" ca="1" si="258"/>
        <v>0</v>
      </c>
      <c r="FF64" s="88">
        <f t="shared" ca="1" si="258"/>
        <v>0</v>
      </c>
      <c r="FG64" s="88">
        <f t="shared" ca="1" si="258"/>
        <v>0</v>
      </c>
      <c r="FH64" s="88">
        <f t="shared" ca="1" si="258"/>
        <v>0</v>
      </c>
      <c r="FI64" s="88">
        <f t="shared" ca="1" si="258"/>
        <v>0</v>
      </c>
      <c r="FJ64" s="88">
        <f t="shared" ca="1" si="258"/>
        <v>0</v>
      </c>
      <c r="FK64" s="88">
        <f t="shared" ca="1" si="258"/>
        <v>0</v>
      </c>
      <c r="FL64" s="88">
        <f t="shared" ca="1" si="258"/>
        <v>0</v>
      </c>
      <c r="FM64" s="88">
        <f t="shared" ca="1" si="258"/>
        <v>0</v>
      </c>
      <c r="FN64" s="88">
        <f t="shared" ca="1" si="258"/>
        <v>0</v>
      </c>
      <c r="FO64" s="88">
        <f t="shared" ca="1" si="259"/>
        <v>0</v>
      </c>
      <c r="FP64" s="88">
        <f t="shared" ca="1" si="259"/>
        <v>0</v>
      </c>
      <c r="FQ64" s="88">
        <f t="shared" ca="1" si="259"/>
        <v>0</v>
      </c>
      <c r="FR64" s="88">
        <f t="shared" ca="1" si="259"/>
        <v>0</v>
      </c>
      <c r="FS64" s="88">
        <f t="shared" ca="1" si="259"/>
        <v>0</v>
      </c>
      <c r="FT64" s="88">
        <f t="shared" ca="1" si="259"/>
        <v>0</v>
      </c>
      <c r="FU64" s="88">
        <f t="shared" ca="1" si="259"/>
        <v>0</v>
      </c>
      <c r="FV64" s="88">
        <f t="shared" ca="1" si="259"/>
        <v>0</v>
      </c>
      <c r="FW64" s="88">
        <f t="shared" ca="1" si="259"/>
        <v>0</v>
      </c>
      <c r="FX64" s="88">
        <f t="shared" ca="1" si="259"/>
        <v>0</v>
      </c>
      <c r="FY64" s="88">
        <f t="shared" ca="1" si="259"/>
        <v>0</v>
      </c>
      <c r="FZ64" s="88">
        <f t="shared" ca="1" si="259"/>
        <v>0</v>
      </c>
      <c r="GA64" s="88">
        <f t="shared" ca="1" si="259"/>
        <v>0</v>
      </c>
      <c r="GB64" s="88">
        <f t="shared" ca="1" si="259"/>
        <v>0</v>
      </c>
      <c r="GC64" s="88">
        <f t="shared" ca="1" si="259"/>
        <v>0</v>
      </c>
      <c r="GD64" s="60"/>
    </row>
    <row r="65" spans="1:186" s="54" customFormat="1">
      <c r="A65" s="61"/>
      <c r="B65" s="100" t="str">
        <f t="shared" si="0"/>
        <v>Residential_Whole House Efficiency_0_Water Heater Tank Wrap_2017</v>
      </c>
      <c r="C65" s="100">
        <f>INDEX('Measure Inputs'!$D:$D,MATCH($B65,'Measure Inputs'!$B:$B,0))</f>
        <v>17</v>
      </c>
      <c r="D65" s="101" t="s">
        <v>2</v>
      </c>
      <c r="E65" s="101" t="s">
        <v>219</v>
      </c>
      <c r="F65" s="101">
        <v>0</v>
      </c>
      <c r="G65" s="101" t="s">
        <v>266</v>
      </c>
      <c r="H65" s="101">
        <v>2017</v>
      </c>
      <c r="I65" s="55"/>
      <c r="J65" s="58" t="str">
        <f t="shared" ca="1" si="229"/>
        <v>n/a</v>
      </c>
      <c r="K65" s="58" t="str">
        <f t="shared" ca="1" si="246"/>
        <v>n/a</v>
      </c>
      <c r="L65" s="58" t="str">
        <f t="shared" ca="1" si="230"/>
        <v>n/a</v>
      </c>
      <c r="M65" s="58" t="str">
        <f t="shared" ca="1" si="231"/>
        <v>n/a</v>
      </c>
      <c r="N65" s="58">
        <f t="shared" ca="1" si="232"/>
        <v>0.27356014990931132</v>
      </c>
      <c r="O65" s="55"/>
      <c r="P65" s="175">
        <f ca="1">IFERROR(($AW65+AV65)/SUMPRODUCT($CA65:$DI65,'General Inputs'!$F$51:$AN$51),"n/a")</f>
        <v>0</v>
      </c>
      <c r="Q65" s="175">
        <f t="shared" ca="1" si="233"/>
        <v>0</v>
      </c>
      <c r="R65" s="56">
        <f t="shared" ca="1" si="260"/>
        <v>21.45</v>
      </c>
      <c r="S65" s="55"/>
      <c r="T65" s="56">
        <f ca="1">INDEX(OFFSET('Measure Inputs'!$L$7,,,InputRows),$C65)</f>
        <v>30</v>
      </c>
      <c r="U65" s="134">
        <f ca="1">INDEX(OFFSET('Measure Inputs'!$T$7,,,InputRows),$C65)</f>
        <v>1</v>
      </c>
      <c r="V65" s="134">
        <f ca="1">INDEX(OFFSET('Measure Inputs'!$U$7,,,InputRows),$C65)</f>
        <v>1</v>
      </c>
      <c r="W65" s="55"/>
      <c r="X65" s="96">
        <f ca="1">INDEX(OFFSET('Measure Inputs'!$V$7,,,InputRows),$C65)*$T65*$V65*$U65</f>
        <v>4290</v>
      </c>
      <c r="Y65" s="96">
        <f ca="1">INDEX(OFFSET('Measure Inputs'!$W$7,,,InputRows),$C65)*$T65*$V65*$U65</f>
        <v>0.49200000000000005</v>
      </c>
      <c r="Z65" s="96">
        <f ca="1">INDEX(OFFSET('Measure Inputs'!$X$7,,,InputRows),$C65)*$T65*$V65*$U65</f>
        <v>0</v>
      </c>
      <c r="AA65" s="55"/>
      <c r="AB65" s="96">
        <f ca="1">INDEX(OFFSET('Measure Inputs'!$Z$7,,,InputRows),$C65)*$T65*$V65*$U65</f>
        <v>0</v>
      </c>
      <c r="AC65" s="96">
        <f ca="1">INDEX(OFFSET('Measure Inputs'!$AA$7,,,InputRows),$C65)*$T65*$V65*$U65</f>
        <v>0</v>
      </c>
      <c r="AD65" s="96">
        <f ca="1">INDEX(OFFSET('Measure Inputs'!$AB$7,,,InputRows),$C65)*$T65*$V65*$U65</f>
        <v>0</v>
      </c>
      <c r="AE65" s="55"/>
      <c r="AF65" s="57">
        <f ca="1">INDEX(OFFSET('Measure Inputs'!$Q$7,,,InputRows),$C65)*$T65</f>
        <v>0</v>
      </c>
      <c r="AG65" s="57">
        <f ca="1">INDEX(OFFSET('Measure Inputs'!$P$7,,,InputRows),$C65)*$T65*$V65</f>
        <v>0</v>
      </c>
      <c r="AH65" s="57">
        <f ca="1">INDEX(OFFSET('Measure Inputs'!$R$7,,,InputRows),$C65)*$T65*$V65</f>
        <v>0</v>
      </c>
      <c r="AI65" s="57">
        <f ca="1">INDEX(OFFSET('Measure Inputs'!$O$7,,,InputRows),$C65)*$T65</f>
        <v>0</v>
      </c>
      <c r="AJ65" s="57">
        <f ca="1">INDEX(OFFSET('Measure Inputs'!$S$7,,,InputRows),$C65)*$T65</f>
        <v>0</v>
      </c>
      <c r="AK65" s="63">
        <f ca="1">INDEX(OFFSET('Measure Inputs'!$M$7,,,InputRows),$C65)</f>
        <v>5</v>
      </c>
      <c r="AL65" s="88">
        <f ca="1">INDEX(OFFSET('Measure Inputs'!$N$7,,,InputRows),$C65)</f>
        <v>0</v>
      </c>
      <c r="AM65" s="57">
        <f ca="1">SUMIFS(OFFSET('Program Inputs'!$N$5,,,TotalPrograms),OFFSET('Program Inputs'!$B$5,,,TotalPrograms),SUBSTITUTE($B65,"All","*"))+AF65</f>
        <v>0</v>
      </c>
      <c r="AN65" s="57">
        <f t="shared" ca="1" si="261"/>
        <v>0</v>
      </c>
      <c r="AO65" s="55"/>
      <c r="AP65" s="59">
        <f t="shared" ca="1" si="262"/>
        <v>585.54583569344675</v>
      </c>
      <c r="AQ65" s="59">
        <f t="shared" ca="1" si="263"/>
        <v>0</v>
      </c>
      <c r="AR65" s="59">
        <f ca="1">SUMPRODUCT($CA65:$DI65,'General Inputs'!$F$32:$AN$32,'General Inputs'!$F$51:$AN$51)/(1-Loss_ElectricEnergy)</f>
        <v>540.92492806124267</v>
      </c>
      <c r="AS65" s="59">
        <f ca="1">SUMPRODUCT($DK65:$ES65,'General Inputs'!$F$33:$AN$33,'General Inputs'!$F$51:$AN$51)/(1-Loss_ElectricDemand)</f>
        <v>44.620907632204116</v>
      </c>
      <c r="AT65" s="59">
        <f ca="1">SUMPRODUCT($EU65:$GC65,'General Inputs'!$F$34:$AN$34,'General Inputs'!$F$51:$AN$51)/(1-Loss_GasEnergy)</f>
        <v>0</v>
      </c>
      <c r="AU65" s="59">
        <f ca="1">INDEX('General Inputs'!$F$51:$AN$51,MATCH($H65,'General Inputs'!$F$50:$AN$50,0))*$AJ65</f>
        <v>0</v>
      </c>
      <c r="AV65" s="59">
        <f ca="1">INDEX('General Inputs'!$F$51:$AN$51,MATCH($H65,'General Inputs'!$F$50:$AN$50,0))*$AI65</f>
        <v>0</v>
      </c>
      <c r="AW65" s="59">
        <f ca="1">INDEX('General Inputs'!$F$51:$AN$51,MATCH($H65,'General Inputs'!$F$50:$AN$50,0))*$AM65</f>
        <v>0</v>
      </c>
      <c r="AX65" s="59">
        <f ca="1">SUM(INDEX('General Inputs'!$F$51:$AN$51,MATCH($H65,'General Inputs'!$F$50:$AN$50,0))*$AG65,INDEX('General Inputs'!$F$51:$AN$51,MATCH($H65+$AL65,'General Inputs'!$F$50:$AN$50,0))*-$AH65)</f>
        <v>0</v>
      </c>
      <c r="AY65" s="55"/>
      <c r="AZ65" s="59">
        <f ca="1">SUMPRODUCT($CA65:$DI65,'General Inputs'!$F$32:$AN$32,'General Inputs'!$F$52:$AN$52)/(1-Loss_ElectricEnergy)</f>
        <v>540.92492806124267</v>
      </c>
      <c r="BA65" s="59">
        <f ca="1">SUMPRODUCT($DK65:$ES65,'General Inputs'!$F$33:$AN$33,'General Inputs'!$F$52:$AN$52)/(1-Loss_ElectricDemand)</f>
        <v>44.620907632204116</v>
      </c>
      <c r="BB65" s="59">
        <f ca="1">SUMPRODUCT($EU65:$GC65,'General Inputs'!$F$34:$AN$34,'General Inputs'!$F$52:$AN$52)/(1-Loss_GasEnergy)</f>
        <v>0</v>
      </c>
      <c r="BC65" s="59">
        <f ca="1">INDEX('General Inputs'!$F$52:$AN$52,MATCH($H65,'General Inputs'!$F$50:$AN$50,0))*$AI65</f>
        <v>0</v>
      </c>
      <c r="BD65" s="59">
        <f ca="1">INDEX('General Inputs'!$F$52:$AN$52,MATCH($H65,'General Inputs'!$F$50:$AN$50,0))*$AM65</f>
        <v>0</v>
      </c>
      <c r="BE65" s="55"/>
      <c r="BF65" s="59">
        <f ca="1">SUMPRODUCT($CA65:$DI65,OFFSET('General Inputs'!$F$40:$AN$40,MATCH($D65&amp;" Electric ($/kWh)",'General Inputs'!$E$40:$E$46,0),),'General Inputs'!$F$54:$AN$54)</f>
        <v>2140.4646688765256</v>
      </c>
      <c r="BG65" s="59">
        <f ca="1">SUMPRODUCT($EU65:$GC65,OFFSET('General Inputs'!$F$40:$AN$40,MATCH($D65&amp;" Natural Gas ($/therm)",'General Inputs'!$E$40:$E$46,0),),'General Inputs'!$F$54:$AN$54)</f>
        <v>0</v>
      </c>
      <c r="BH65" s="59">
        <f ca="1">INDEX('General Inputs'!$F$54:$AN$54,MATCH($H65,'General Inputs'!$F$50:$AN$50,0))*$AI65</f>
        <v>0</v>
      </c>
      <c r="BI65" s="59">
        <f ca="1">SUM(INDEX('General Inputs'!$F$54:$AN$54,MATCH($H65,'General Inputs'!$F$50:$AN$50,0))*$AG65,INDEX('General Inputs'!$F$51:$AN$51,MATCH($H65+$AL65,'General Inputs'!$F$50:$AN$50,0))*-$AH65)</f>
        <v>0</v>
      </c>
      <c r="BJ65" s="55"/>
      <c r="BK65" s="59">
        <f ca="1">SUMPRODUCT($CA65:$DI65,'General Inputs'!$F$32:$AN$32,'General Inputs'!$F$53:$AN$53)/(1-Loss_ElectricEnergy)</f>
        <v>540.92492806124267</v>
      </c>
      <c r="BL65" s="59">
        <f ca="1">SUMPRODUCT($DK65:$ES65,'General Inputs'!$F$33:$AN$33,'General Inputs'!$F$53:$AN$53)/(1-Loss_ElectricDemand)</f>
        <v>44.620907632204116</v>
      </c>
      <c r="BM65" s="59">
        <f ca="1">SUMPRODUCT($EU65:$GC65,'General Inputs'!$F$34:$AN$34,'General Inputs'!$F$53:$AN$53)/(1-Loss_GasEnergy)</f>
        <v>0</v>
      </c>
      <c r="BN65" s="59">
        <f ca="1">INDEX('General Inputs'!$F$53:$AN$53,MATCH($H65,'General Inputs'!$F$50:$AN$50,0))*$AJ65</f>
        <v>0</v>
      </c>
      <c r="BO65" s="59">
        <f ca="1">SUMPRODUCT($CA65:$DI65,'General Inputs'!$F$35:$AN$35,'General Inputs'!$F$53:$AN$53)/(1-Loss_ElectricEnergy)</f>
        <v>218.15926395186045</v>
      </c>
      <c r="BP65" s="59">
        <f ca="1">INDEX('General Inputs'!$F$51:$AN$51,MATCH($H65,'General Inputs'!$F$50:$AN$50,0))*$AM65</f>
        <v>0</v>
      </c>
      <c r="BQ65" s="59">
        <f ca="1">SUM(INDEX('General Inputs'!$F$53:$AN$53,MATCH($H65,'General Inputs'!$F$50:$AN$50,0))*$AG65,INDEX('General Inputs'!$F$53:$AN$53,MATCH($H65+$AL65,'General Inputs'!$F$50:$AN$50,0))*-$AH65)</f>
        <v>0</v>
      </c>
      <c r="BR65" s="55"/>
      <c r="BS65" s="59">
        <f ca="1">SUMPRODUCT($CA65:$DI65,'General Inputs'!$F$32:$AN$32,'General Inputs'!$F$55:$AN$55)/(1-Loss_ElectricEnergy)</f>
        <v>540.92492806124267</v>
      </c>
      <c r="BT65" s="59">
        <f ca="1">SUMPRODUCT($DK65:$ES65,'General Inputs'!$F$33:$AN$33,'General Inputs'!$F$55:$AN$55)/(1-Loss_ElectricDemand)</f>
        <v>44.620907632204116</v>
      </c>
      <c r="BU65" s="59">
        <f ca="1">SUMPRODUCT($EU65:$GC65,'General Inputs'!$F$34:$AN$34,'General Inputs'!$F$55:$AN$55)/(1-Loss_GasEnergy)</f>
        <v>0</v>
      </c>
      <c r="BV65" s="59">
        <f ca="1">SUMPRODUCT($CA65:$DI65,OFFSET('General Inputs'!$F$40:$AN$40,MATCH($D65&amp;" Electric ($/kWh)",'General Inputs'!$E$40:$E$46,0),),'General Inputs'!$F$55:$AN$55)</f>
        <v>2140.4646688765256</v>
      </c>
      <c r="BW65" s="59">
        <f ca="1">SUMPRODUCT($EU65:$GC65,OFFSET('General Inputs'!$F$40:$AN$40,MATCH($D65&amp;" Natural Gas ($/therm)",'General Inputs'!$E$40:$E$46,0),),'General Inputs'!$F$55:$AN$55)</f>
        <v>0</v>
      </c>
      <c r="BX65" s="59">
        <f ca="1">INDEX('General Inputs'!$F$55:$AN$55,MATCH($H65,'General Inputs'!$F$50:$AN$50,0))*$AI65</f>
        <v>0</v>
      </c>
      <c r="BY65" s="59">
        <f ca="1">INDEX('General Inputs'!$F$51:$AN$51,MATCH($H65,'General Inputs'!$F$50:$AN$50,0))*$AM65</f>
        <v>0</v>
      </c>
      <c r="BZ65" s="55"/>
      <c r="CA65" s="88">
        <f t="shared" ca="1" si="251"/>
        <v>4290</v>
      </c>
      <c r="CB65" s="88">
        <f t="shared" ca="1" si="251"/>
        <v>4290</v>
      </c>
      <c r="CC65" s="88">
        <f t="shared" ca="1" si="251"/>
        <v>4290</v>
      </c>
      <c r="CD65" s="88">
        <f t="shared" ca="1" si="251"/>
        <v>4290</v>
      </c>
      <c r="CE65" s="88">
        <f t="shared" ca="1" si="251"/>
        <v>4290</v>
      </c>
      <c r="CF65" s="88">
        <f t="shared" ca="1" si="251"/>
        <v>0</v>
      </c>
      <c r="CG65" s="88">
        <f t="shared" ca="1" si="251"/>
        <v>0</v>
      </c>
      <c r="CH65" s="88">
        <f t="shared" ca="1" si="251"/>
        <v>0</v>
      </c>
      <c r="CI65" s="88">
        <f t="shared" ca="1" si="251"/>
        <v>0</v>
      </c>
      <c r="CJ65" s="88">
        <f t="shared" ca="1" si="251"/>
        <v>0</v>
      </c>
      <c r="CK65" s="88">
        <f t="shared" ca="1" si="252"/>
        <v>0</v>
      </c>
      <c r="CL65" s="88">
        <f t="shared" ca="1" si="252"/>
        <v>0</v>
      </c>
      <c r="CM65" s="88">
        <f t="shared" ca="1" si="252"/>
        <v>0</v>
      </c>
      <c r="CN65" s="88">
        <f t="shared" ca="1" si="252"/>
        <v>0</v>
      </c>
      <c r="CO65" s="88">
        <f t="shared" ca="1" si="252"/>
        <v>0</v>
      </c>
      <c r="CP65" s="88">
        <f t="shared" ca="1" si="252"/>
        <v>0</v>
      </c>
      <c r="CQ65" s="88">
        <f t="shared" ca="1" si="252"/>
        <v>0</v>
      </c>
      <c r="CR65" s="88">
        <f t="shared" ca="1" si="252"/>
        <v>0</v>
      </c>
      <c r="CS65" s="88">
        <f t="shared" ca="1" si="252"/>
        <v>0</v>
      </c>
      <c r="CT65" s="88">
        <f t="shared" ca="1" si="252"/>
        <v>0</v>
      </c>
      <c r="CU65" s="88">
        <f t="shared" ca="1" si="253"/>
        <v>0</v>
      </c>
      <c r="CV65" s="88">
        <f t="shared" ca="1" si="253"/>
        <v>0</v>
      </c>
      <c r="CW65" s="88">
        <f t="shared" ca="1" si="253"/>
        <v>0</v>
      </c>
      <c r="CX65" s="88">
        <f t="shared" ca="1" si="253"/>
        <v>0</v>
      </c>
      <c r="CY65" s="88">
        <f t="shared" ca="1" si="253"/>
        <v>0</v>
      </c>
      <c r="CZ65" s="88">
        <f t="shared" ca="1" si="253"/>
        <v>0</v>
      </c>
      <c r="DA65" s="88">
        <f t="shared" ca="1" si="253"/>
        <v>0</v>
      </c>
      <c r="DB65" s="88">
        <f t="shared" ca="1" si="253"/>
        <v>0</v>
      </c>
      <c r="DC65" s="88">
        <f t="shared" ca="1" si="253"/>
        <v>0</v>
      </c>
      <c r="DD65" s="88">
        <f t="shared" ca="1" si="253"/>
        <v>0</v>
      </c>
      <c r="DE65" s="88">
        <f t="shared" ca="1" si="253"/>
        <v>0</v>
      </c>
      <c r="DF65" s="88">
        <f t="shared" ca="1" si="253"/>
        <v>0</v>
      </c>
      <c r="DG65" s="88">
        <f t="shared" ca="1" si="253"/>
        <v>0</v>
      </c>
      <c r="DH65" s="88">
        <f t="shared" ca="1" si="253"/>
        <v>0</v>
      </c>
      <c r="DI65" s="88">
        <f t="shared" ca="1" si="253"/>
        <v>0</v>
      </c>
      <c r="DJ65" s="169"/>
      <c r="DK65" s="88">
        <f t="shared" ca="1" si="254"/>
        <v>0.49200000000000005</v>
      </c>
      <c r="DL65" s="88">
        <f t="shared" ca="1" si="254"/>
        <v>0.49200000000000005</v>
      </c>
      <c r="DM65" s="88">
        <f t="shared" ca="1" si="254"/>
        <v>0.49200000000000005</v>
      </c>
      <c r="DN65" s="88">
        <f t="shared" ca="1" si="254"/>
        <v>0.49200000000000005</v>
      </c>
      <c r="DO65" s="88">
        <f t="shared" ca="1" si="254"/>
        <v>0.49200000000000005</v>
      </c>
      <c r="DP65" s="88">
        <f t="shared" ca="1" si="254"/>
        <v>0</v>
      </c>
      <c r="DQ65" s="88">
        <f t="shared" ca="1" si="254"/>
        <v>0</v>
      </c>
      <c r="DR65" s="88">
        <f t="shared" ca="1" si="254"/>
        <v>0</v>
      </c>
      <c r="DS65" s="88">
        <f t="shared" ca="1" si="254"/>
        <v>0</v>
      </c>
      <c r="DT65" s="88">
        <f t="shared" ca="1" si="254"/>
        <v>0</v>
      </c>
      <c r="DU65" s="88">
        <f t="shared" ca="1" si="255"/>
        <v>0</v>
      </c>
      <c r="DV65" s="88">
        <f t="shared" ca="1" si="255"/>
        <v>0</v>
      </c>
      <c r="DW65" s="88">
        <f t="shared" ca="1" si="255"/>
        <v>0</v>
      </c>
      <c r="DX65" s="88">
        <f t="shared" ca="1" si="255"/>
        <v>0</v>
      </c>
      <c r="DY65" s="88">
        <f t="shared" ca="1" si="255"/>
        <v>0</v>
      </c>
      <c r="DZ65" s="88">
        <f t="shared" ca="1" si="255"/>
        <v>0</v>
      </c>
      <c r="EA65" s="88">
        <f t="shared" ca="1" si="255"/>
        <v>0</v>
      </c>
      <c r="EB65" s="88">
        <f t="shared" ca="1" si="255"/>
        <v>0</v>
      </c>
      <c r="EC65" s="88">
        <f t="shared" ca="1" si="255"/>
        <v>0</v>
      </c>
      <c r="ED65" s="88">
        <f t="shared" ca="1" si="255"/>
        <v>0</v>
      </c>
      <c r="EE65" s="88">
        <f t="shared" ca="1" si="256"/>
        <v>0</v>
      </c>
      <c r="EF65" s="88">
        <f t="shared" ca="1" si="256"/>
        <v>0</v>
      </c>
      <c r="EG65" s="88">
        <f t="shared" ca="1" si="256"/>
        <v>0</v>
      </c>
      <c r="EH65" s="88">
        <f t="shared" ca="1" si="256"/>
        <v>0</v>
      </c>
      <c r="EI65" s="88">
        <f t="shared" ca="1" si="256"/>
        <v>0</v>
      </c>
      <c r="EJ65" s="88">
        <f t="shared" ca="1" si="256"/>
        <v>0</v>
      </c>
      <c r="EK65" s="88">
        <f t="shared" ca="1" si="256"/>
        <v>0</v>
      </c>
      <c r="EL65" s="88">
        <f t="shared" ca="1" si="256"/>
        <v>0</v>
      </c>
      <c r="EM65" s="88">
        <f t="shared" ca="1" si="256"/>
        <v>0</v>
      </c>
      <c r="EN65" s="88">
        <f t="shared" ca="1" si="256"/>
        <v>0</v>
      </c>
      <c r="EO65" s="88">
        <f t="shared" ca="1" si="256"/>
        <v>0</v>
      </c>
      <c r="EP65" s="88">
        <f t="shared" ca="1" si="256"/>
        <v>0</v>
      </c>
      <c r="EQ65" s="88">
        <f t="shared" ca="1" si="256"/>
        <v>0</v>
      </c>
      <c r="ER65" s="88">
        <f t="shared" ca="1" si="256"/>
        <v>0</v>
      </c>
      <c r="ES65" s="88">
        <f t="shared" ca="1" si="256"/>
        <v>0</v>
      </c>
      <c r="ET65" s="169"/>
      <c r="EU65" s="88">
        <f t="shared" ca="1" si="257"/>
        <v>0</v>
      </c>
      <c r="EV65" s="88">
        <f t="shared" ca="1" si="257"/>
        <v>0</v>
      </c>
      <c r="EW65" s="88">
        <f t="shared" ca="1" si="257"/>
        <v>0</v>
      </c>
      <c r="EX65" s="88">
        <f t="shared" ca="1" si="257"/>
        <v>0</v>
      </c>
      <c r="EY65" s="88">
        <f t="shared" ca="1" si="257"/>
        <v>0</v>
      </c>
      <c r="EZ65" s="88">
        <f t="shared" ca="1" si="257"/>
        <v>0</v>
      </c>
      <c r="FA65" s="88">
        <f t="shared" ca="1" si="257"/>
        <v>0</v>
      </c>
      <c r="FB65" s="88">
        <f t="shared" ca="1" si="257"/>
        <v>0</v>
      </c>
      <c r="FC65" s="88">
        <f t="shared" ca="1" si="257"/>
        <v>0</v>
      </c>
      <c r="FD65" s="88">
        <f t="shared" ca="1" si="257"/>
        <v>0</v>
      </c>
      <c r="FE65" s="88">
        <f t="shared" ca="1" si="258"/>
        <v>0</v>
      </c>
      <c r="FF65" s="88">
        <f t="shared" ca="1" si="258"/>
        <v>0</v>
      </c>
      <c r="FG65" s="88">
        <f t="shared" ca="1" si="258"/>
        <v>0</v>
      </c>
      <c r="FH65" s="88">
        <f t="shared" ca="1" si="258"/>
        <v>0</v>
      </c>
      <c r="FI65" s="88">
        <f t="shared" ca="1" si="258"/>
        <v>0</v>
      </c>
      <c r="FJ65" s="88">
        <f t="shared" ca="1" si="258"/>
        <v>0</v>
      </c>
      <c r="FK65" s="88">
        <f t="shared" ca="1" si="258"/>
        <v>0</v>
      </c>
      <c r="FL65" s="88">
        <f t="shared" ca="1" si="258"/>
        <v>0</v>
      </c>
      <c r="FM65" s="88">
        <f t="shared" ca="1" si="258"/>
        <v>0</v>
      </c>
      <c r="FN65" s="88">
        <f t="shared" ca="1" si="258"/>
        <v>0</v>
      </c>
      <c r="FO65" s="88">
        <f t="shared" ca="1" si="259"/>
        <v>0</v>
      </c>
      <c r="FP65" s="88">
        <f t="shared" ca="1" si="259"/>
        <v>0</v>
      </c>
      <c r="FQ65" s="88">
        <f t="shared" ca="1" si="259"/>
        <v>0</v>
      </c>
      <c r="FR65" s="88">
        <f t="shared" ca="1" si="259"/>
        <v>0</v>
      </c>
      <c r="FS65" s="88">
        <f t="shared" ca="1" si="259"/>
        <v>0</v>
      </c>
      <c r="FT65" s="88">
        <f t="shared" ca="1" si="259"/>
        <v>0</v>
      </c>
      <c r="FU65" s="88">
        <f t="shared" ca="1" si="259"/>
        <v>0</v>
      </c>
      <c r="FV65" s="88">
        <f t="shared" ca="1" si="259"/>
        <v>0</v>
      </c>
      <c r="FW65" s="88">
        <f t="shared" ca="1" si="259"/>
        <v>0</v>
      </c>
      <c r="FX65" s="88">
        <f t="shared" ca="1" si="259"/>
        <v>0</v>
      </c>
      <c r="FY65" s="88">
        <f t="shared" ca="1" si="259"/>
        <v>0</v>
      </c>
      <c r="FZ65" s="88">
        <f t="shared" ca="1" si="259"/>
        <v>0</v>
      </c>
      <c r="GA65" s="88">
        <f t="shared" ca="1" si="259"/>
        <v>0</v>
      </c>
      <c r="GB65" s="88">
        <f t="shared" ca="1" si="259"/>
        <v>0</v>
      </c>
      <c r="GC65" s="88">
        <f t="shared" ca="1" si="259"/>
        <v>0</v>
      </c>
      <c r="GD65" s="60"/>
    </row>
    <row r="66" spans="1:186" s="54" customFormat="1">
      <c r="A66" s="61"/>
      <c r="B66" s="100" t="str">
        <f t="shared" si="0"/>
        <v>Residential_Whole House Efficiency_0_LED_2017</v>
      </c>
      <c r="C66" s="100">
        <f>INDEX('Measure Inputs'!$D:$D,MATCH($B66,'Measure Inputs'!$B:$B,0))</f>
        <v>18</v>
      </c>
      <c r="D66" s="101" t="s">
        <v>2</v>
      </c>
      <c r="E66" s="101" t="s">
        <v>219</v>
      </c>
      <c r="F66" s="101">
        <v>0</v>
      </c>
      <c r="G66" s="101" t="s">
        <v>216</v>
      </c>
      <c r="H66" s="101">
        <v>2017</v>
      </c>
      <c r="I66" s="55"/>
      <c r="J66" s="58" t="str">
        <f t="shared" ca="1" si="229"/>
        <v>n/a</v>
      </c>
      <c r="K66" s="58" t="str">
        <f t="shared" ca="1" si="246"/>
        <v>n/a</v>
      </c>
      <c r="L66" s="58" t="str">
        <f t="shared" ca="1" si="230"/>
        <v>n/a</v>
      </c>
      <c r="M66" s="58" t="str">
        <f t="shared" ca="1" si="231"/>
        <v>n/a</v>
      </c>
      <c r="N66" s="58">
        <f t="shared" ca="1" si="232"/>
        <v>0.26866943777996116</v>
      </c>
      <c r="O66" s="55"/>
      <c r="P66" s="175">
        <f ca="1">IFERROR(($AW66+AV66)/SUMPRODUCT($CA66:$DI66,'General Inputs'!$F$51:$AN$51),"n/a")</f>
        <v>0</v>
      </c>
      <c r="Q66" s="175">
        <f t="shared" ca="1" si="233"/>
        <v>0</v>
      </c>
      <c r="R66" s="56">
        <f t="shared" ca="1" si="260"/>
        <v>48.700450259999997</v>
      </c>
      <c r="S66" s="55"/>
      <c r="T66" s="56">
        <f ca="1">INDEX(OFFSET('Measure Inputs'!$L$7,,,InputRows),$C66)</f>
        <v>150</v>
      </c>
      <c r="U66" s="134">
        <f ca="1">INDEX(OFFSET('Measure Inputs'!$T$7,,,InputRows),$C66)</f>
        <v>1</v>
      </c>
      <c r="V66" s="134">
        <f ca="1">INDEX(OFFSET('Measure Inputs'!$U$7,,,InputRows),$C66)</f>
        <v>1</v>
      </c>
      <c r="W66" s="55"/>
      <c r="X66" s="96">
        <f ca="1">INDEX(OFFSET('Measure Inputs'!$V$7,,,InputRows),$C66)*$T66*$V66*$U66</f>
        <v>4870.0450259999998</v>
      </c>
      <c r="Y66" s="96">
        <f ca="1">INDEX(OFFSET('Measure Inputs'!$W$7,,,InputRows),$C66)*$T66*$V66*$U66</f>
        <v>0.42748908299999994</v>
      </c>
      <c r="Z66" s="96">
        <f ca="1">INDEX(OFFSET('Measure Inputs'!$X$7,,,InputRows),$C66)*$T66*$V66*$U66</f>
        <v>0</v>
      </c>
      <c r="AA66" s="55"/>
      <c r="AB66" s="96">
        <f ca="1">INDEX(OFFSET('Measure Inputs'!$Z$7,,,InputRows),$C66)*$T66*$V66*$U66</f>
        <v>0</v>
      </c>
      <c r="AC66" s="96">
        <f ca="1">INDEX(OFFSET('Measure Inputs'!$AA$7,,,InputRows),$C66)*$T66*$V66*$U66</f>
        <v>0</v>
      </c>
      <c r="AD66" s="96">
        <f ca="1">INDEX(OFFSET('Measure Inputs'!$AB$7,,,InputRows),$C66)*$T66*$V66*$U66</f>
        <v>0</v>
      </c>
      <c r="AE66" s="55"/>
      <c r="AF66" s="57">
        <f ca="1">INDEX(OFFSET('Measure Inputs'!$Q$7,,,InputRows),$C66)*$T66</f>
        <v>0</v>
      </c>
      <c r="AG66" s="57">
        <f ca="1">INDEX(OFFSET('Measure Inputs'!$P$7,,,InputRows),$C66)*$T66*$V66</f>
        <v>0</v>
      </c>
      <c r="AH66" s="57">
        <f ca="1">INDEX(OFFSET('Measure Inputs'!$R$7,,,InputRows),$C66)*$T66*$V66</f>
        <v>0</v>
      </c>
      <c r="AI66" s="57">
        <f ca="1">INDEX(OFFSET('Measure Inputs'!$O$7,,,InputRows),$C66)*$T66</f>
        <v>0</v>
      </c>
      <c r="AJ66" s="57">
        <f ca="1">INDEX(OFFSET('Measure Inputs'!$S$7,,,InputRows),$C66)*$T66</f>
        <v>0</v>
      </c>
      <c r="AK66" s="63">
        <f ca="1">INDEX(OFFSET('Measure Inputs'!$M$7,,,InputRows),$C66)</f>
        <v>10</v>
      </c>
      <c r="AL66" s="88">
        <f ca="1">INDEX(OFFSET('Measure Inputs'!$N$7,,,InputRows),$C66)</f>
        <v>0</v>
      </c>
      <c r="AM66" s="57">
        <f ca="1">SUMIFS(OFFSET('Program Inputs'!$N$5,,,TotalPrograms),OFFSET('Program Inputs'!$B$5,,,TotalPrograms),SUBSTITUTE($B66,"All","*"))+AF66</f>
        <v>0</v>
      </c>
      <c r="AN66" s="57">
        <f t="shared" ca="1" si="261"/>
        <v>0</v>
      </c>
      <c r="AO66" s="55"/>
      <c r="AP66" s="59">
        <f t="shared" ca="1" si="262"/>
        <v>1113.2903818149668</v>
      </c>
      <c r="AQ66" s="59">
        <f t="shared" ca="1" si="263"/>
        <v>0</v>
      </c>
      <c r="AR66" s="59">
        <f ca="1">SUMPRODUCT($CA66:$DI66,'General Inputs'!$F$32:$AN$32,'General Inputs'!$F$51:$AN$51)/(1-Loss_ElectricEnergy)</f>
        <v>1047.1746562663457</v>
      </c>
      <c r="AS66" s="59">
        <f ca="1">SUMPRODUCT($DK66:$ES66,'General Inputs'!$F$33:$AN$33,'General Inputs'!$F$51:$AN$51)/(1-Loss_ElectricDemand)</f>
        <v>66.11572554862127</v>
      </c>
      <c r="AT66" s="59">
        <f ca="1">SUMPRODUCT($EU66:$GC66,'General Inputs'!$F$34:$AN$34,'General Inputs'!$F$51:$AN$51)/(1-Loss_GasEnergy)</f>
        <v>0</v>
      </c>
      <c r="AU66" s="59">
        <f ca="1">INDEX('General Inputs'!$F$51:$AN$51,MATCH($H66,'General Inputs'!$F$50:$AN$50,0))*$AJ66</f>
        <v>0</v>
      </c>
      <c r="AV66" s="59">
        <f ca="1">INDEX('General Inputs'!$F$51:$AN$51,MATCH($H66,'General Inputs'!$F$50:$AN$50,0))*$AI66</f>
        <v>0</v>
      </c>
      <c r="AW66" s="59">
        <f ca="1">INDEX('General Inputs'!$F$51:$AN$51,MATCH($H66,'General Inputs'!$F$50:$AN$50,0))*$AM66</f>
        <v>0</v>
      </c>
      <c r="AX66" s="59">
        <f ca="1">SUM(INDEX('General Inputs'!$F$51:$AN$51,MATCH($H66,'General Inputs'!$F$50:$AN$50,0))*$AG66,INDEX('General Inputs'!$F$51:$AN$51,MATCH($H66+$AL66,'General Inputs'!$F$50:$AN$50,0))*-$AH66)</f>
        <v>0</v>
      </c>
      <c r="AY66" s="55"/>
      <c r="AZ66" s="59">
        <f ca="1">SUMPRODUCT($CA66:$DI66,'General Inputs'!$F$32:$AN$32,'General Inputs'!$F$52:$AN$52)/(1-Loss_ElectricEnergy)</f>
        <v>1047.1746562663457</v>
      </c>
      <c r="BA66" s="59">
        <f ca="1">SUMPRODUCT($DK66:$ES66,'General Inputs'!$F$33:$AN$33,'General Inputs'!$F$52:$AN$52)/(1-Loss_ElectricDemand)</f>
        <v>66.11572554862127</v>
      </c>
      <c r="BB66" s="59">
        <f ca="1">SUMPRODUCT($EU66:$GC66,'General Inputs'!$F$34:$AN$34,'General Inputs'!$F$52:$AN$52)/(1-Loss_GasEnergy)</f>
        <v>0</v>
      </c>
      <c r="BC66" s="59">
        <f ca="1">INDEX('General Inputs'!$F$52:$AN$52,MATCH($H66,'General Inputs'!$F$50:$AN$50,0))*$AI66</f>
        <v>0</v>
      </c>
      <c r="BD66" s="59">
        <f ca="1">INDEX('General Inputs'!$F$52:$AN$52,MATCH($H66,'General Inputs'!$F$50:$AN$50,0))*$AM66</f>
        <v>0</v>
      </c>
      <c r="BE66" s="55"/>
      <c r="BF66" s="59">
        <f ca="1">SUMPRODUCT($CA66:$DI66,OFFSET('General Inputs'!$F$40:$AN$40,MATCH($D66&amp;" Electric ($/kWh)",'General Inputs'!$E$40:$E$46,0),),'General Inputs'!$F$54:$AN$54)</f>
        <v>4143.7179867356026</v>
      </c>
      <c r="BG66" s="59">
        <f ca="1">SUMPRODUCT($EU66:$GC66,OFFSET('General Inputs'!$F$40:$AN$40,MATCH($D66&amp;" Natural Gas ($/therm)",'General Inputs'!$E$40:$E$46,0),),'General Inputs'!$F$54:$AN$54)</f>
        <v>0</v>
      </c>
      <c r="BH66" s="59">
        <f ca="1">INDEX('General Inputs'!$F$54:$AN$54,MATCH($H66,'General Inputs'!$F$50:$AN$50,0))*$AI66</f>
        <v>0</v>
      </c>
      <c r="BI66" s="59">
        <f ca="1">SUM(INDEX('General Inputs'!$F$54:$AN$54,MATCH($H66,'General Inputs'!$F$50:$AN$50,0))*$AG66,INDEX('General Inputs'!$F$51:$AN$51,MATCH($H66+$AL66,'General Inputs'!$F$50:$AN$50,0))*-$AH66)</f>
        <v>0</v>
      </c>
      <c r="BJ66" s="55"/>
      <c r="BK66" s="59">
        <f ca="1">SUMPRODUCT($CA66:$DI66,'General Inputs'!$F$32:$AN$32,'General Inputs'!$F$53:$AN$53)/(1-Loss_ElectricEnergy)</f>
        <v>1047.1746562663457</v>
      </c>
      <c r="BL66" s="59">
        <f ca="1">SUMPRODUCT($DK66:$ES66,'General Inputs'!$F$33:$AN$33,'General Inputs'!$F$53:$AN$53)/(1-Loss_ElectricDemand)</f>
        <v>66.11572554862127</v>
      </c>
      <c r="BM66" s="59">
        <f ca="1">SUMPRODUCT($EU66:$GC66,'General Inputs'!$F$34:$AN$34,'General Inputs'!$F$53:$AN$53)/(1-Loss_GasEnergy)</f>
        <v>0</v>
      </c>
      <c r="BN66" s="59">
        <f ca="1">INDEX('General Inputs'!$F$53:$AN$53,MATCH($H66,'General Inputs'!$F$50:$AN$50,0))*$AJ66</f>
        <v>0</v>
      </c>
      <c r="BO66" s="59">
        <f ca="1">SUMPRODUCT($CA66:$DI66,'General Inputs'!$F$35:$AN$35,'General Inputs'!$F$53:$AN$53)/(1-Loss_ElectricEnergy)</f>
        <v>409.80244321285994</v>
      </c>
      <c r="BP66" s="59">
        <f ca="1">INDEX('General Inputs'!$F$51:$AN$51,MATCH($H66,'General Inputs'!$F$50:$AN$50,0))*$AM66</f>
        <v>0</v>
      </c>
      <c r="BQ66" s="59">
        <f ca="1">SUM(INDEX('General Inputs'!$F$53:$AN$53,MATCH($H66,'General Inputs'!$F$50:$AN$50,0))*$AG66,INDEX('General Inputs'!$F$53:$AN$53,MATCH($H66+$AL66,'General Inputs'!$F$50:$AN$50,0))*-$AH66)</f>
        <v>0</v>
      </c>
      <c r="BR66" s="55"/>
      <c r="BS66" s="59">
        <f ca="1">SUMPRODUCT($CA66:$DI66,'General Inputs'!$F$32:$AN$32,'General Inputs'!$F$55:$AN$55)/(1-Loss_ElectricEnergy)</f>
        <v>1047.1746562663457</v>
      </c>
      <c r="BT66" s="59">
        <f ca="1">SUMPRODUCT($DK66:$ES66,'General Inputs'!$F$33:$AN$33,'General Inputs'!$F$55:$AN$55)/(1-Loss_ElectricDemand)</f>
        <v>66.11572554862127</v>
      </c>
      <c r="BU66" s="59">
        <f ca="1">SUMPRODUCT($EU66:$GC66,'General Inputs'!$F$34:$AN$34,'General Inputs'!$F$55:$AN$55)/(1-Loss_GasEnergy)</f>
        <v>0</v>
      </c>
      <c r="BV66" s="59">
        <f ca="1">SUMPRODUCT($CA66:$DI66,OFFSET('General Inputs'!$F$40:$AN$40,MATCH($D66&amp;" Electric ($/kWh)",'General Inputs'!$E$40:$E$46,0),),'General Inputs'!$F$55:$AN$55)</f>
        <v>4143.7179867356026</v>
      </c>
      <c r="BW66" s="59">
        <f ca="1">SUMPRODUCT($EU66:$GC66,OFFSET('General Inputs'!$F$40:$AN$40,MATCH($D66&amp;" Natural Gas ($/therm)",'General Inputs'!$E$40:$E$46,0),),'General Inputs'!$F$55:$AN$55)</f>
        <v>0</v>
      </c>
      <c r="BX66" s="59">
        <f ca="1">INDEX('General Inputs'!$F$55:$AN$55,MATCH($H66,'General Inputs'!$F$50:$AN$50,0))*$AI66</f>
        <v>0</v>
      </c>
      <c r="BY66" s="59">
        <f ca="1">INDEX('General Inputs'!$F$51:$AN$51,MATCH($H66,'General Inputs'!$F$50:$AN$50,0))*$AM66</f>
        <v>0</v>
      </c>
      <c r="BZ66" s="55"/>
      <c r="CA66" s="88">
        <f t="shared" ca="1" si="251"/>
        <v>4870.0450259999998</v>
      </c>
      <c r="CB66" s="88">
        <f t="shared" ca="1" si="251"/>
        <v>4870.0450259999998</v>
      </c>
      <c r="CC66" s="88">
        <f t="shared" ca="1" si="251"/>
        <v>4870.0450259999998</v>
      </c>
      <c r="CD66" s="88">
        <f t="shared" ca="1" si="251"/>
        <v>4870.0450259999998</v>
      </c>
      <c r="CE66" s="88">
        <f t="shared" ca="1" si="251"/>
        <v>4870.0450259999998</v>
      </c>
      <c r="CF66" s="88">
        <f t="shared" ca="1" si="251"/>
        <v>4870.0450259999998</v>
      </c>
      <c r="CG66" s="88">
        <f t="shared" ca="1" si="251"/>
        <v>4870.0450259999998</v>
      </c>
      <c r="CH66" s="88">
        <f t="shared" ca="1" si="251"/>
        <v>4870.0450259999998</v>
      </c>
      <c r="CI66" s="88">
        <f t="shared" ca="1" si="251"/>
        <v>4870.0450259999998</v>
      </c>
      <c r="CJ66" s="88">
        <f t="shared" ca="1" si="251"/>
        <v>4870.0450259999998</v>
      </c>
      <c r="CK66" s="88">
        <f t="shared" ca="1" si="252"/>
        <v>0</v>
      </c>
      <c r="CL66" s="88">
        <f t="shared" ca="1" si="252"/>
        <v>0</v>
      </c>
      <c r="CM66" s="88">
        <f t="shared" ca="1" si="252"/>
        <v>0</v>
      </c>
      <c r="CN66" s="88">
        <f t="shared" ca="1" si="252"/>
        <v>0</v>
      </c>
      <c r="CO66" s="88">
        <f t="shared" ca="1" si="252"/>
        <v>0</v>
      </c>
      <c r="CP66" s="88">
        <f t="shared" ca="1" si="252"/>
        <v>0</v>
      </c>
      <c r="CQ66" s="88">
        <f t="shared" ca="1" si="252"/>
        <v>0</v>
      </c>
      <c r="CR66" s="88">
        <f t="shared" ca="1" si="252"/>
        <v>0</v>
      </c>
      <c r="CS66" s="88">
        <f t="shared" ca="1" si="252"/>
        <v>0</v>
      </c>
      <c r="CT66" s="88">
        <f t="shared" ca="1" si="252"/>
        <v>0</v>
      </c>
      <c r="CU66" s="88">
        <f t="shared" ca="1" si="253"/>
        <v>0</v>
      </c>
      <c r="CV66" s="88">
        <f t="shared" ca="1" si="253"/>
        <v>0</v>
      </c>
      <c r="CW66" s="88">
        <f t="shared" ca="1" si="253"/>
        <v>0</v>
      </c>
      <c r="CX66" s="88">
        <f t="shared" ca="1" si="253"/>
        <v>0</v>
      </c>
      <c r="CY66" s="88">
        <f t="shared" ca="1" si="253"/>
        <v>0</v>
      </c>
      <c r="CZ66" s="88">
        <f t="shared" ca="1" si="253"/>
        <v>0</v>
      </c>
      <c r="DA66" s="88">
        <f t="shared" ca="1" si="253"/>
        <v>0</v>
      </c>
      <c r="DB66" s="88">
        <f t="shared" ca="1" si="253"/>
        <v>0</v>
      </c>
      <c r="DC66" s="88">
        <f t="shared" ca="1" si="253"/>
        <v>0</v>
      </c>
      <c r="DD66" s="88">
        <f t="shared" ca="1" si="253"/>
        <v>0</v>
      </c>
      <c r="DE66" s="88">
        <f t="shared" ca="1" si="253"/>
        <v>0</v>
      </c>
      <c r="DF66" s="88">
        <f t="shared" ca="1" si="253"/>
        <v>0</v>
      </c>
      <c r="DG66" s="88">
        <f t="shared" ca="1" si="253"/>
        <v>0</v>
      </c>
      <c r="DH66" s="88">
        <f t="shared" ca="1" si="253"/>
        <v>0</v>
      </c>
      <c r="DI66" s="88">
        <f t="shared" ca="1" si="253"/>
        <v>0</v>
      </c>
      <c r="DJ66" s="169"/>
      <c r="DK66" s="88">
        <f t="shared" ca="1" si="254"/>
        <v>0.42748908299999994</v>
      </c>
      <c r="DL66" s="88">
        <f t="shared" ca="1" si="254"/>
        <v>0.42748908299999994</v>
      </c>
      <c r="DM66" s="88">
        <f t="shared" ca="1" si="254"/>
        <v>0.42748908299999994</v>
      </c>
      <c r="DN66" s="88">
        <f t="shared" ca="1" si="254"/>
        <v>0.42748908299999994</v>
      </c>
      <c r="DO66" s="88">
        <f t="shared" ca="1" si="254"/>
        <v>0.42748908299999994</v>
      </c>
      <c r="DP66" s="88">
        <f t="shared" ca="1" si="254"/>
        <v>0.42748908299999994</v>
      </c>
      <c r="DQ66" s="88">
        <f t="shared" ca="1" si="254"/>
        <v>0.42748908299999994</v>
      </c>
      <c r="DR66" s="88">
        <f t="shared" ca="1" si="254"/>
        <v>0.42748908299999994</v>
      </c>
      <c r="DS66" s="88">
        <f t="shared" ca="1" si="254"/>
        <v>0.42748908299999994</v>
      </c>
      <c r="DT66" s="88">
        <f t="shared" ca="1" si="254"/>
        <v>0.42748908299999994</v>
      </c>
      <c r="DU66" s="88">
        <f t="shared" ca="1" si="255"/>
        <v>0</v>
      </c>
      <c r="DV66" s="88">
        <f t="shared" ca="1" si="255"/>
        <v>0</v>
      </c>
      <c r="DW66" s="88">
        <f t="shared" ca="1" si="255"/>
        <v>0</v>
      </c>
      <c r="DX66" s="88">
        <f t="shared" ca="1" si="255"/>
        <v>0</v>
      </c>
      <c r="DY66" s="88">
        <f t="shared" ca="1" si="255"/>
        <v>0</v>
      </c>
      <c r="DZ66" s="88">
        <f t="shared" ca="1" si="255"/>
        <v>0</v>
      </c>
      <c r="EA66" s="88">
        <f t="shared" ca="1" si="255"/>
        <v>0</v>
      </c>
      <c r="EB66" s="88">
        <f t="shared" ca="1" si="255"/>
        <v>0</v>
      </c>
      <c r="EC66" s="88">
        <f t="shared" ca="1" si="255"/>
        <v>0</v>
      </c>
      <c r="ED66" s="88">
        <f t="shared" ca="1" si="255"/>
        <v>0</v>
      </c>
      <c r="EE66" s="88">
        <f t="shared" ca="1" si="256"/>
        <v>0</v>
      </c>
      <c r="EF66" s="88">
        <f t="shared" ca="1" si="256"/>
        <v>0</v>
      </c>
      <c r="EG66" s="88">
        <f t="shared" ca="1" si="256"/>
        <v>0</v>
      </c>
      <c r="EH66" s="88">
        <f t="shared" ca="1" si="256"/>
        <v>0</v>
      </c>
      <c r="EI66" s="88">
        <f t="shared" ca="1" si="256"/>
        <v>0</v>
      </c>
      <c r="EJ66" s="88">
        <f t="shared" ca="1" si="256"/>
        <v>0</v>
      </c>
      <c r="EK66" s="88">
        <f t="shared" ca="1" si="256"/>
        <v>0</v>
      </c>
      <c r="EL66" s="88">
        <f t="shared" ca="1" si="256"/>
        <v>0</v>
      </c>
      <c r="EM66" s="88">
        <f t="shared" ca="1" si="256"/>
        <v>0</v>
      </c>
      <c r="EN66" s="88">
        <f t="shared" ca="1" si="256"/>
        <v>0</v>
      </c>
      <c r="EO66" s="88">
        <f t="shared" ca="1" si="256"/>
        <v>0</v>
      </c>
      <c r="EP66" s="88">
        <f t="shared" ca="1" si="256"/>
        <v>0</v>
      </c>
      <c r="EQ66" s="88">
        <f t="shared" ca="1" si="256"/>
        <v>0</v>
      </c>
      <c r="ER66" s="88">
        <f t="shared" ca="1" si="256"/>
        <v>0</v>
      </c>
      <c r="ES66" s="88">
        <f t="shared" ca="1" si="256"/>
        <v>0</v>
      </c>
      <c r="ET66" s="169"/>
      <c r="EU66" s="88">
        <f t="shared" ca="1" si="257"/>
        <v>0</v>
      </c>
      <c r="EV66" s="88">
        <f t="shared" ca="1" si="257"/>
        <v>0</v>
      </c>
      <c r="EW66" s="88">
        <f t="shared" ca="1" si="257"/>
        <v>0</v>
      </c>
      <c r="EX66" s="88">
        <f t="shared" ca="1" si="257"/>
        <v>0</v>
      </c>
      <c r="EY66" s="88">
        <f t="shared" ca="1" si="257"/>
        <v>0</v>
      </c>
      <c r="EZ66" s="88">
        <f t="shared" ca="1" si="257"/>
        <v>0</v>
      </c>
      <c r="FA66" s="88">
        <f t="shared" ca="1" si="257"/>
        <v>0</v>
      </c>
      <c r="FB66" s="88">
        <f t="shared" ca="1" si="257"/>
        <v>0</v>
      </c>
      <c r="FC66" s="88">
        <f t="shared" ca="1" si="257"/>
        <v>0</v>
      </c>
      <c r="FD66" s="88">
        <f t="shared" ca="1" si="257"/>
        <v>0</v>
      </c>
      <c r="FE66" s="88">
        <f t="shared" ca="1" si="258"/>
        <v>0</v>
      </c>
      <c r="FF66" s="88">
        <f t="shared" ca="1" si="258"/>
        <v>0</v>
      </c>
      <c r="FG66" s="88">
        <f t="shared" ca="1" si="258"/>
        <v>0</v>
      </c>
      <c r="FH66" s="88">
        <f t="shared" ca="1" si="258"/>
        <v>0</v>
      </c>
      <c r="FI66" s="88">
        <f t="shared" ca="1" si="258"/>
        <v>0</v>
      </c>
      <c r="FJ66" s="88">
        <f t="shared" ca="1" si="258"/>
        <v>0</v>
      </c>
      <c r="FK66" s="88">
        <f t="shared" ca="1" si="258"/>
        <v>0</v>
      </c>
      <c r="FL66" s="88">
        <f t="shared" ca="1" si="258"/>
        <v>0</v>
      </c>
      <c r="FM66" s="88">
        <f t="shared" ca="1" si="258"/>
        <v>0</v>
      </c>
      <c r="FN66" s="88">
        <f t="shared" ca="1" si="258"/>
        <v>0</v>
      </c>
      <c r="FO66" s="88">
        <f t="shared" ca="1" si="259"/>
        <v>0</v>
      </c>
      <c r="FP66" s="88">
        <f t="shared" ca="1" si="259"/>
        <v>0</v>
      </c>
      <c r="FQ66" s="88">
        <f t="shared" ca="1" si="259"/>
        <v>0</v>
      </c>
      <c r="FR66" s="88">
        <f t="shared" ca="1" si="259"/>
        <v>0</v>
      </c>
      <c r="FS66" s="88">
        <f t="shared" ca="1" si="259"/>
        <v>0</v>
      </c>
      <c r="FT66" s="88">
        <f t="shared" ca="1" si="259"/>
        <v>0</v>
      </c>
      <c r="FU66" s="88">
        <f t="shared" ca="1" si="259"/>
        <v>0</v>
      </c>
      <c r="FV66" s="88">
        <f t="shared" ca="1" si="259"/>
        <v>0</v>
      </c>
      <c r="FW66" s="88">
        <f t="shared" ca="1" si="259"/>
        <v>0</v>
      </c>
      <c r="FX66" s="88">
        <f t="shared" ca="1" si="259"/>
        <v>0</v>
      </c>
      <c r="FY66" s="88">
        <f t="shared" ca="1" si="259"/>
        <v>0</v>
      </c>
      <c r="FZ66" s="88">
        <f t="shared" ca="1" si="259"/>
        <v>0</v>
      </c>
      <c r="GA66" s="88">
        <f t="shared" ca="1" si="259"/>
        <v>0</v>
      </c>
      <c r="GB66" s="88">
        <f t="shared" ca="1" si="259"/>
        <v>0</v>
      </c>
      <c r="GC66" s="88">
        <f t="shared" ca="1" si="259"/>
        <v>0</v>
      </c>
      <c r="GD66" s="60"/>
    </row>
    <row r="67" spans="1:186" s="54" customFormat="1">
      <c r="A67" s="61"/>
      <c r="B67" s="100" t="str">
        <f t="shared" si="0"/>
        <v>Residential_Whole House Efficiency_0_Faucet Aerator_2017</v>
      </c>
      <c r="C67" s="100">
        <f>INDEX('Measure Inputs'!$D:$D,MATCH($B67,'Measure Inputs'!$B:$B,0))</f>
        <v>19</v>
      </c>
      <c r="D67" s="101" t="s">
        <v>2</v>
      </c>
      <c r="E67" s="101" t="s">
        <v>219</v>
      </c>
      <c r="F67" s="101">
        <v>0</v>
      </c>
      <c r="G67" s="29" t="s">
        <v>525</v>
      </c>
      <c r="H67" s="101">
        <v>2017</v>
      </c>
      <c r="I67" s="55"/>
      <c r="J67" s="58" t="str">
        <f t="shared" ca="1" si="229"/>
        <v>n/a</v>
      </c>
      <c r="K67" s="58" t="str">
        <f t="shared" ca="1" si="246"/>
        <v>n/a</v>
      </c>
      <c r="L67" s="58" t="str">
        <f t="shared" ca="1" si="230"/>
        <v>n/a</v>
      </c>
      <c r="M67" s="58" t="str">
        <f t="shared" ca="1" si="231"/>
        <v>n/a</v>
      </c>
      <c r="N67" s="58">
        <f t="shared" ca="1" si="232"/>
        <v>0.32961653368545418</v>
      </c>
      <c r="O67" s="55"/>
      <c r="P67" s="175">
        <f ca="1">IFERROR(($AW67+AV67)/SUMPRODUCT($CA67:$DI67,'General Inputs'!$F$51:$AN$51),"n/a")</f>
        <v>0</v>
      </c>
      <c r="Q67" s="175">
        <f t="shared" ca="1" si="233"/>
        <v>0</v>
      </c>
      <c r="R67" s="56">
        <f t="shared" ca="1" si="260"/>
        <v>37.043314784348901</v>
      </c>
      <c r="S67" s="55"/>
      <c r="T67" s="56">
        <f ca="1">INDEX(OFFSET('Measure Inputs'!$L$7,,,InputRows),$C67)</f>
        <v>60</v>
      </c>
      <c r="U67" s="134">
        <f ca="1">INDEX(OFFSET('Measure Inputs'!$T$7,,,InputRows),$C67)</f>
        <v>1</v>
      </c>
      <c r="V67" s="134">
        <f ca="1">INDEX(OFFSET('Measure Inputs'!$U$7,,,InputRows),$C67)</f>
        <v>1</v>
      </c>
      <c r="W67" s="55"/>
      <c r="X67" s="96">
        <f ca="1">INDEX(OFFSET('Measure Inputs'!$V$7,,,InputRows),$C67)*$T67*$V67*$U67</f>
        <v>4115.9238649276558</v>
      </c>
      <c r="Y67" s="96">
        <f ca="1">INDEX(OFFSET('Measure Inputs'!$W$7,,,InputRows),$C67)*$T67*$V67*$U67</f>
        <v>1.74135240439247</v>
      </c>
      <c r="Z67" s="96">
        <f ca="1">INDEX(OFFSET('Measure Inputs'!$X$7,,,InputRows),$C67)*$T67*$V67*$U67</f>
        <v>0</v>
      </c>
      <c r="AA67" s="55"/>
      <c r="AB67" s="96">
        <f ca="1">INDEX(OFFSET('Measure Inputs'!$Z$7,,,InputRows),$C67)*$T67*$V67*$U67</f>
        <v>0</v>
      </c>
      <c r="AC67" s="96">
        <f ca="1">INDEX(OFFSET('Measure Inputs'!$AA$7,,,InputRows),$C67)*$T67*$V67*$U67</f>
        <v>0</v>
      </c>
      <c r="AD67" s="96">
        <f ca="1">INDEX(OFFSET('Measure Inputs'!$AB$7,,,InputRows),$C67)*$T67*$V67*$U67</f>
        <v>0</v>
      </c>
      <c r="AE67" s="55"/>
      <c r="AF67" s="57">
        <f ca="1">INDEX(OFFSET('Measure Inputs'!$Q$7,,,InputRows),$C67)*$T67</f>
        <v>0</v>
      </c>
      <c r="AG67" s="57">
        <f ca="1">INDEX(OFFSET('Measure Inputs'!$P$7,,,InputRows),$C67)*$T67*$V67</f>
        <v>0</v>
      </c>
      <c r="AH67" s="57">
        <f ca="1">INDEX(OFFSET('Measure Inputs'!$R$7,,,InputRows),$C67)*$T67*$V67</f>
        <v>0</v>
      </c>
      <c r="AI67" s="57">
        <f ca="1">INDEX(OFFSET('Measure Inputs'!$O$7,,,InputRows),$C67)*$T67</f>
        <v>0</v>
      </c>
      <c r="AJ67" s="57">
        <f ca="1">INDEX(OFFSET('Measure Inputs'!$S$7,,,InputRows),$C67)*$T67</f>
        <v>0</v>
      </c>
      <c r="AK67" s="63">
        <f ca="1">INDEX(OFFSET('Measure Inputs'!$M$7,,,InputRows),$C67)</f>
        <v>9</v>
      </c>
      <c r="AL67" s="88">
        <f ca="1">INDEX(OFFSET('Measure Inputs'!$N$7,,,InputRows),$C67)</f>
        <v>0</v>
      </c>
      <c r="AM67" s="57">
        <f ca="1">SUMIFS(OFFSET('Program Inputs'!$N$5,,,TotalPrograms),OFFSET('Program Inputs'!$B$5,,,TotalPrograms),SUBSTITUTE($B67,"All","*"))+AF67</f>
        <v>0</v>
      </c>
      <c r="AN67" s="57">
        <f t="shared" ca="1" si="261"/>
        <v>0</v>
      </c>
      <c r="AO67" s="55"/>
      <c r="AP67" s="59">
        <f t="shared" ca="1" si="262"/>
        <v>1071.7004959920434</v>
      </c>
      <c r="AQ67" s="59">
        <f t="shared" ca="1" si="263"/>
        <v>0</v>
      </c>
      <c r="AR67" s="59">
        <f ca="1">SUMPRODUCT($CA67:$DI67,'General Inputs'!$F$32:$AN$32,'General Inputs'!$F$51:$AN$51)/(1-Loss_ElectricEnergy)</f>
        <v>821.66232884504393</v>
      </c>
      <c r="AS67" s="59">
        <f ca="1">SUMPRODUCT($DK67:$ES67,'General Inputs'!$F$33:$AN$33,'General Inputs'!$F$51:$AN$51)/(1-Loss_ElectricDemand)</f>
        <v>250.0381671469996</v>
      </c>
      <c r="AT67" s="59">
        <f ca="1">SUMPRODUCT($EU67:$GC67,'General Inputs'!$F$34:$AN$34,'General Inputs'!$F$51:$AN$51)/(1-Loss_GasEnergy)</f>
        <v>0</v>
      </c>
      <c r="AU67" s="59">
        <f ca="1">INDEX('General Inputs'!$F$51:$AN$51,MATCH($H67,'General Inputs'!$F$50:$AN$50,0))*$AJ67</f>
        <v>0</v>
      </c>
      <c r="AV67" s="59">
        <f ca="1">INDEX('General Inputs'!$F$51:$AN$51,MATCH($H67,'General Inputs'!$F$50:$AN$50,0))*$AI67</f>
        <v>0</v>
      </c>
      <c r="AW67" s="59">
        <f ca="1">INDEX('General Inputs'!$F$51:$AN$51,MATCH($H67,'General Inputs'!$F$50:$AN$50,0))*$AM67</f>
        <v>0</v>
      </c>
      <c r="AX67" s="59">
        <f ca="1">SUM(INDEX('General Inputs'!$F$51:$AN$51,MATCH($H67,'General Inputs'!$F$50:$AN$50,0))*$AG67,INDEX('General Inputs'!$F$51:$AN$51,MATCH($H67+$AL67,'General Inputs'!$F$50:$AN$50,0))*-$AH67)</f>
        <v>0</v>
      </c>
      <c r="AY67" s="55"/>
      <c r="AZ67" s="59">
        <f ca="1">SUMPRODUCT($CA67:$DI67,'General Inputs'!$F$32:$AN$32,'General Inputs'!$F$52:$AN$52)/(1-Loss_ElectricEnergy)</f>
        <v>821.66232884504393</v>
      </c>
      <c r="BA67" s="59">
        <f ca="1">SUMPRODUCT($DK67:$ES67,'General Inputs'!$F$33:$AN$33,'General Inputs'!$F$52:$AN$52)/(1-Loss_ElectricDemand)</f>
        <v>250.0381671469996</v>
      </c>
      <c r="BB67" s="59">
        <f ca="1">SUMPRODUCT($EU67:$GC67,'General Inputs'!$F$34:$AN$34,'General Inputs'!$F$52:$AN$52)/(1-Loss_GasEnergy)</f>
        <v>0</v>
      </c>
      <c r="BC67" s="59">
        <f ca="1">INDEX('General Inputs'!$F$52:$AN$52,MATCH($H67,'General Inputs'!$F$50:$AN$50,0))*$AI67</f>
        <v>0</v>
      </c>
      <c r="BD67" s="59">
        <f ca="1">INDEX('General Inputs'!$F$52:$AN$52,MATCH($H67,'General Inputs'!$F$50:$AN$50,0))*$AM67</f>
        <v>0</v>
      </c>
      <c r="BE67" s="55"/>
      <c r="BF67" s="59">
        <f ca="1">SUMPRODUCT($CA67:$DI67,OFFSET('General Inputs'!$F$40:$AN$40,MATCH($D67&amp;" Electric ($/kWh)",'General Inputs'!$E$40:$E$46,0),),'General Inputs'!$F$54:$AN$54)</f>
        <v>3251.3553977688016</v>
      </c>
      <c r="BG67" s="59">
        <f ca="1">SUMPRODUCT($EU67:$GC67,OFFSET('General Inputs'!$F$40:$AN$40,MATCH($D67&amp;" Natural Gas ($/therm)",'General Inputs'!$E$40:$E$46,0),),'General Inputs'!$F$54:$AN$54)</f>
        <v>0</v>
      </c>
      <c r="BH67" s="59">
        <f ca="1">INDEX('General Inputs'!$F$54:$AN$54,MATCH($H67,'General Inputs'!$F$50:$AN$50,0))*$AI67</f>
        <v>0</v>
      </c>
      <c r="BI67" s="59">
        <f ca="1">SUM(INDEX('General Inputs'!$F$54:$AN$54,MATCH($H67,'General Inputs'!$F$50:$AN$50,0))*$AG67,INDEX('General Inputs'!$F$51:$AN$51,MATCH($H67+$AL67,'General Inputs'!$F$50:$AN$50,0))*-$AH67)</f>
        <v>0</v>
      </c>
      <c r="BJ67" s="55"/>
      <c r="BK67" s="59">
        <f ca="1">SUMPRODUCT($CA67:$DI67,'General Inputs'!$F$32:$AN$32,'General Inputs'!$F$53:$AN$53)/(1-Loss_ElectricEnergy)</f>
        <v>821.66232884504393</v>
      </c>
      <c r="BL67" s="59">
        <f ca="1">SUMPRODUCT($DK67:$ES67,'General Inputs'!$F$33:$AN$33,'General Inputs'!$F$53:$AN$53)/(1-Loss_ElectricDemand)</f>
        <v>250.0381671469996</v>
      </c>
      <c r="BM67" s="59">
        <f ca="1">SUMPRODUCT($EU67:$GC67,'General Inputs'!$F$34:$AN$34,'General Inputs'!$F$53:$AN$53)/(1-Loss_GasEnergy)</f>
        <v>0</v>
      </c>
      <c r="BN67" s="59">
        <f ca="1">INDEX('General Inputs'!$F$53:$AN$53,MATCH($H67,'General Inputs'!$F$50:$AN$50,0))*$AJ67</f>
        <v>0</v>
      </c>
      <c r="BO67" s="59">
        <f ca="1">SUMPRODUCT($CA67:$DI67,'General Inputs'!$F$35:$AN$35,'General Inputs'!$F$53:$AN$53)/(1-Loss_ElectricEnergy)</f>
        <v>323.37384515036757</v>
      </c>
      <c r="BP67" s="59">
        <f ca="1">INDEX('General Inputs'!$F$51:$AN$51,MATCH($H67,'General Inputs'!$F$50:$AN$50,0))*$AM67</f>
        <v>0</v>
      </c>
      <c r="BQ67" s="59">
        <f ca="1">SUM(INDEX('General Inputs'!$F$53:$AN$53,MATCH($H67,'General Inputs'!$F$50:$AN$50,0))*$AG67,INDEX('General Inputs'!$F$53:$AN$53,MATCH($H67+$AL67,'General Inputs'!$F$50:$AN$50,0))*-$AH67)</f>
        <v>0</v>
      </c>
      <c r="BR67" s="55"/>
      <c r="BS67" s="59">
        <f ca="1">SUMPRODUCT($CA67:$DI67,'General Inputs'!$F$32:$AN$32,'General Inputs'!$F$55:$AN$55)/(1-Loss_ElectricEnergy)</f>
        <v>821.66232884504393</v>
      </c>
      <c r="BT67" s="59">
        <f ca="1">SUMPRODUCT($DK67:$ES67,'General Inputs'!$F$33:$AN$33,'General Inputs'!$F$55:$AN$55)/(1-Loss_ElectricDemand)</f>
        <v>250.0381671469996</v>
      </c>
      <c r="BU67" s="59">
        <f ca="1">SUMPRODUCT($EU67:$GC67,'General Inputs'!$F$34:$AN$34,'General Inputs'!$F$55:$AN$55)/(1-Loss_GasEnergy)</f>
        <v>0</v>
      </c>
      <c r="BV67" s="59">
        <f ca="1">SUMPRODUCT($CA67:$DI67,OFFSET('General Inputs'!$F$40:$AN$40,MATCH($D67&amp;" Electric ($/kWh)",'General Inputs'!$E$40:$E$46,0),),'General Inputs'!$F$55:$AN$55)</f>
        <v>3251.3553977688016</v>
      </c>
      <c r="BW67" s="59">
        <f ca="1">SUMPRODUCT($EU67:$GC67,OFFSET('General Inputs'!$F$40:$AN$40,MATCH($D67&amp;" Natural Gas ($/therm)",'General Inputs'!$E$40:$E$46,0),),'General Inputs'!$F$55:$AN$55)</f>
        <v>0</v>
      </c>
      <c r="BX67" s="59">
        <f ca="1">INDEX('General Inputs'!$F$55:$AN$55,MATCH($H67,'General Inputs'!$F$50:$AN$50,0))*$AI67</f>
        <v>0</v>
      </c>
      <c r="BY67" s="59">
        <f ca="1">INDEX('General Inputs'!$F$51:$AN$51,MATCH($H67,'General Inputs'!$F$50:$AN$50,0))*$AM67</f>
        <v>0</v>
      </c>
      <c r="BZ67" s="55"/>
      <c r="CA67" s="88">
        <f t="shared" ca="1" si="251"/>
        <v>4115.9238649276558</v>
      </c>
      <c r="CB67" s="88">
        <f t="shared" ca="1" si="251"/>
        <v>4115.9238649276558</v>
      </c>
      <c r="CC67" s="88">
        <f t="shared" ca="1" si="251"/>
        <v>4115.9238649276558</v>
      </c>
      <c r="CD67" s="88">
        <f t="shared" ca="1" si="251"/>
        <v>4115.9238649276558</v>
      </c>
      <c r="CE67" s="88">
        <f t="shared" ca="1" si="251"/>
        <v>4115.9238649276558</v>
      </c>
      <c r="CF67" s="88">
        <f t="shared" ca="1" si="251"/>
        <v>4115.9238649276558</v>
      </c>
      <c r="CG67" s="88">
        <f t="shared" ca="1" si="251"/>
        <v>4115.9238649276558</v>
      </c>
      <c r="CH67" s="88">
        <f t="shared" ca="1" si="251"/>
        <v>4115.9238649276558</v>
      </c>
      <c r="CI67" s="88">
        <f t="shared" ca="1" si="251"/>
        <v>4115.9238649276558</v>
      </c>
      <c r="CJ67" s="88">
        <f t="shared" ca="1" si="251"/>
        <v>0</v>
      </c>
      <c r="CK67" s="88">
        <f t="shared" ca="1" si="252"/>
        <v>0</v>
      </c>
      <c r="CL67" s="88">
        <f t="shared" ca="1" si="252"/>
        <v>0</v>
      </c>
      <c r="CM67" s="88">
        <f t="shared" ca="1" si="252"/>
        <v>0</v>
      </c>
      <c r="CN67" s="88">
        <f t="shared" ca="1" si="252"/>
        <v>0</v>
      </c>
      <c r="CO67" s="88">
        <f t="shared" ca="1" si="252"/>
        <v>0</v>
      </c>
      <c r="CP67" s="88">
        <f t="shared" ca="1" si="252"/>
        <v>0</v>
      </c>
      <c r="CQ67" s="88">
        <f t="shared" ca="1" si="252"/>
        <v>0</v>
      </c>
      <c r="CR67" s="88">
        <f t="shared" ca="1" si="252"/>
        <v>0</v>
      </c>
      <c r="CS67" s="88">
        <f t="shared" ca="1" si="252"/>
        <v>0</v>
      </c>
      <c r="CT67" s="88">
        <f t="shared" ca="1" si="252"/>
        <v>0</v>
      </c>
      <c r="CU67" s="88">
        <f t="shared" ca="1" si="253"/>
        <v>0</v>
      </c>
      <c r="CV67" s="88">
        <f t="shared" ca="1" si="253"/>
        <v>0</v>
      </c>
      <c r="CW67" s="88">
        <f t="shared" ca="1" si="253"/>
        <v>0</v>
      </c>
      <c r="CX67" s="88">
        <f t="shared" ca="1" si="253"/>
        <v>0</v>
      </c>
      <c r="CY67" s="88">
        <f t="shared" ca="1" si="253"/>
        <v>0</v>
      </c>
      <c r="CZ67" s="88">
        <f t="shared" ca="1" si="253"/>
        <v>0</v>
      </c>
      <c r="DA67" s="88">
        <f t="shared" ca="1" si="253"/>
        <v>0</v>
      </c>
      <c r="DB67" s="88">
        <f t="shared" ca="1" si="253"/>
        <v>0</v>
      </c>
      <c r="DC67" s="88">
        <f t="shared" ca="1" si="253"/>
        <v>0</v>
      </c>
      <c r="DD67" s="88">
        <f t="shared" ca="1" si="253"/>
        <v>0</v>
      </c>
      <c r="DE67" s="88">
        <f t="shared" ca="1" si="253"/>
        <v>0</v>
      </c>
      <c r="DF67" s="88">
        <f t="shared" ca="1" si="253"/>
        <v>0</v>
      </c>
      <c r="DG67" s="88">
        <f t="shared" ca="1" si="253"/>
        <v>0</v>
      </c>
      <c r="DH67" s="88">
        <f t="shared" ca="1" si="253"/>
        <v>0</v>
      </c>
      <c r="DI67" s="88">
        <f t="shared" ca="1" si="253"/>
        <v>0</v>
      </c>
      <c r="DJ67" s="169"/>
      <c r="DK67" s="88">
        <f t="shared" ca="1" si="254"/>
        <v>1.74135240439247</v>
      </c>
      <c r="DL67" s="88">
        <f t="shared" ca="1" si="254"/>
        <v>1.74135240439247</v>
      </c>
      <c r="DM67" s="88">
        <f t="shared" ca="1" si="254"/>
        <v>1.74135240439247</v>
      </c>
      <c r="DN67" s="88">
        <f t="shared" ca="1" si="254"/>
        <v>1.74135240439247</v>
      </c>
      <c r="DO67" s="88">
        <f t="shared" ca="1" si="254"/>
        <v>1.74135240439247</v>
      </c>
      <c r="DP67" s="88">
        <f t="shared" ca="1" si="254"/>
        <v>1.74135240439247</v>
      </c>
      <c r="DQ67" s="88">
        <f t="shared" ca="1" si="254"/>
        <v>1.74135240439247</v>
      </c>
      <c r="DR67" s="88">
        <f t="shared" ca="1" si="254"/>
        <v>1.74135240439247</v>
      </c>
      <c r="DS67" s="88">
        <f t="shared" ca="1" si="254"/>
        <v>1.74135240439247</v>
      </c>
      <c r="DT67" s="88">
        <f t="shared" ca="1" si="254"/>
        <v>0</v>
      </c>
      <c r="DU67" s="88">
        <f t="shared" ca="1" si="255"/>
        <v>0</v>
      </c>
      <c r="DV67" s="88">
        <f t="shared" ca="1" si="255"/>
        <v>0</v>
      </c>
      <c r="DW67" s="88">
        <f t="shared" ca="1" si="255"/>
        <v>0</v>
      </c>
      <c r="DX67" s="88">
        <f t="shared" ca="1" si="255"/>
        <v>0</v>
      </c>
      <c r="DY67" s="88">
        <f t="shared" ca="1" si="255"/>
        <v>0</v>
      </c>
      <c r="DZ67" s="88">
        <f t="shared" ca="1" si="255"/>
        <v>0</v>
      </c>
      <c r="EA67" s="88">
        <f t="shared" ca="1" si="255"/>
        <v>0</v>
      </c>
      <c r="EB67" s="88">
        <f t="shared" ca="1" si="255"/>
        <v>0</v>
      </c>
      <c r="EC67" s="88">
        <f t="shared" ca="1" si="255"/>
        <v>0</v>
      </c>
      <c r="ED67" s="88">
        <f t="shared" ca="1" si="255"/>
        <v>0</v>
      </c>
      <c r="EE67" s="88">
        <f t="shared" ca="1" si="256"/>
        <v>0</v>
      </c>
      <c r="EF67" s="88">
        <f t="shared" ca="1" si="256"/>
        <v>0</v>
      </c>
      <c r="EG67" s="88">
        <f t="shared" ca="1" si="256"/>
        <v>0</v>
      </c>
      <c r="EH67" s="88">
        <f t="shared" ca="1" si="256"/>
        <v>0</v>
      </c>
      <c r="EI67" s="88">
        <f t="shared" ca="1" si="256"/>
        <v>0</v>
      </c>
      <c r="EJ67" s="88">
        <f t="shared" ca="1" si="256"/>
        <v>0</v>
      </c>
      <c r="EK67" s="88">
        <f t="shared" ca="1" si="256"/>
        <v>0</v>
      </c>
      <c r="EL67" s="88">
        <f t="shared" ca="1" si="256"/>
        <v>0</v>
      </c>
      <c r="EM67" s="88">
        <f t="shared" ca="1" si="256"/>
        <v>0</v>
      </c>
      <c r="EN67" s="88">
        <f t="shared" ca="1" si="256"/>
        <v>0</v>
      </c>
      <c r="EO67" s="88">
        <f t="shared" ca="1" si="256"/>
        <v>0</v>
      </c>
      <c r="EP67" s="88">
        <f t="shared" ca="1" si="256"/>
        <v>0</v>
      </c>
      <c r="EQ67" s="88">
        <f t="shared" ca="1" si="256"/>
        <v>0</v>
      </c>
      <c r="ER67" s="88">
        <f t="shared" ca="1" si="256"/>
        <v>0</v>
      </c>
      <c r="ES67" s="88">
        <f t="shared" ca="1" si="256"/>
        <v>0</v>
      </c>
      <c r="ET67" s="169"/>
      <c r="EU67" s="88">
        <f t="shared" ca="1" si="257"/>
        <v>0</v>
      </c>
      <c r="EV67" s="88">
        <f t="shared" ca="1" si="257"/>
        <v>0</v>
      </c>
      <c r="EW67" s="88">
        <f t="shared" ca="1" si="257"/>
        <v>0</v>
      </c>
      <c r="EX67" s="88">
        <f t="shared" ca="1" si="257"/>
        <v>0</v>
      </c>
      <c r="EY67" s="88">
        <f t="shared" ca="1" si="257"/>
        <v>0</v>
      </c>
      <c r="EZ67" s="88">
        <f t="shared" ca="1" si="257"/>
        <v>0</v>
      </c>
      <c r="FA67" s="88">
        <f t="shared" ca="1" si="257"/>
        <v>0</v>
      </c>
      <c r="FB67" s="88">
        <f t="shared" ca="1" si="257"/>
        <v>0</v>
      </c>
      <c r="FC67" s="88">
        <f t="shared" ca="1" si="257"/>
        <v>0</v>
      </c>
      <c r="FD67" s="88">
        <f t="shared" ca="1" si="257"/>
        <v>0</v>
      </c>
      <c r="FE67" s="88">
        <f t="shared" ca="1" si="258"/>
        <v>0</v>
      </c>
      <c r="FF67" s="88">
        <f t="shared" ca="1" si="258"/>
        <v>0</v>
      </c>
      <c r="FG67" s="88">
        <f t="shared" ca="1" si="258"/>
        <v>0</v>
      </c>
      <c r="FH67" s="88">
        <f t="shared" ca="1" si="258"/>
        <v>0</v>
      </c>
      <c r="FI67" s="88">
        <f t="shared" ca="1" si="258"/>
        <v>0</v>
      </c>
      <c r="FJ67" s="88">
        <f t="shared" ca="1" si="258"/>
        <v>0</v>
      </c>
      <c r="FK67" s="88">
        <f t="shared" ca="1" si="258"/>
        <v>0</v>
      </c>
      <c r="FL67" s="88">
        <f t="shared" ca="1" si="258"/>
        <v>0</v>
      </c>
      <c r="FM67" s="88">
        <f t="shared" ca="1" si="258"/>
        <v>0</v>
      </c>
      <c r="FN67" s="88">
        <f t="shared" ca="1" si="258"/>
        <v>0</v>
      </c>
      <c r="FO67" s="88">
        <f t="shared" ca="1" si="259"/>
        <v>0</v>
      </c>
      <c r="FP67" s="88">
        <f t="shared" ca="1" si="259"/>
        <v>0</v>
      </c>
      <c r="FQ67" s="88">
        <f t="shared" ca="1" si="259"/>
        <v>0</v>
      </c>
      <c r="FR67" s="88">
        <f t="shared" ca="1" si="259"/>
        <v>0</v>
      </c>
      <c r="FS67" s="88">
        <f t="shared" ca="1" si="259"/>
        <v>0</v>
      </c>
      <c r="FT67" s="88">
        <f t="shared" ca="1" si="259"/>
        <v>0</v>
      </c>
      <c r="FU67" s="88">
        <f t="shared" ca="1" si="259"/>
        <v>0</v>
      </c>
      <c r="FV67" s="88">
        <f t="shared" ca="1" si="259"/>
        <v>0</v>
      </c>
      <c r="FW67" s="88">
        <f t="shared" ca="1" si="259"/>
        <v>0</v>
      </c>
      <c r="FX67" s="88">
        <f t="shared" ca="1" si="259"/>
        <v>0</v>
      </c>
      <c r="FY67" s="88">
        <f t="shared" ca="1" si="259"/>
        <v>0</v>
      </c>
      <c r="FZ67" s="88">
        <f t="shared" ca="1" si="259"/>
        <v>0</v>
      </c>
      <c r="GA67" s="88">
        <f t="shared" ca="1" si="259"/>
        <v>0</v>
      </c>
      <c r="GB67" s="88">
        <f t="shared" ca="1" si="259"/>
        <v>0</v>
      </c>
      <c r="GC67" s="88">
        <f t="shared" ca="1" si="259"/>
        <v>0</v>
      </c>
      <c r="GD67" s="60"/>
    </row>
    <row r="68" spans="1:186" s="54" customFormat="1">
      <c r="A68" s="61"/>
      <c r="B68" s="100" t="str">
        <f t="shared" si="0"/>
        <v>Residential_Whole House Efficiency_0_Low Flow Showerhead_2017</v>
      </c>
      <c r="C68" s="100">
        <f>INDEX('Measure Inputs'!$D:$D,MATCH($B68,'Measure Inputs'!$B:$B,0))</f>
        <v>20</v>
      </c>
      <c r="D68" s="101" t="s">
        <v>2</v>
      </c>
      <c r="E68" s="101" t="s">
        <v>219</v>
      </c>
      <c r="F68" s="101">
        <v>0</v>
      </c>
      <c r="G68" s="101" t="s">
        <v>267</v>
      </c>
      <c r="H68" s="101">
        <v>2017</v>
      </c>
      <c r="I68" s="55"/>
      <c r="J68" s="58" t="str">
        <f t="shared" ca="1" si="229"/>
        <v>n/a</v>
      </c>
      <c r="K68" s="58" t="str">
        <f t="shared" ca="1" si="246"/>
        <v>n/a</v>
      </c>
      <c r="L68" s="58" t="str">
        <f t="shared" ca="1" si="230"/>
        <v>n/a</v>
      </c>
      <c r="M68" s="58" t="str">
        <f t="shared" ca="1" si="231"/>
        <v>n/a</v>
      </c>
      <c r="N68" s="58">
        <f t="shared" ca="1" si="232"/>
        <v>0.26944626743999855</v>
      </c>
      <c r="O68" s="55"/>
      <c r="P68" s="175">
        <f ca="1">IFERROR(($AW68+AV68)/SUMPRODUCT($CA68:$DI68,'General Inputs'!$F$51:$AN$51),"n/a")</f>
        <v>0</v>
      </c>
      <c r="Q68" s="175">
        <f t="shared" ca="1" si="233"/>
        <v>0</v>
      </c>
      <c r="R68" s="56">
        <f t="shared" ca="1" si="260"/>
        <v>58.742681608886194</v>
      </c>
      <c r="S68" s="55"/>
      <c r="T68" s="56">
        <f ca="1">INDEX(OFFSET('Measure Inputs'!$L$7,,,InputRows),$C68)</f>
        <v>60</v>
      </c>
      <c r="U68" s="134">
        <f ca="1">INDEX(OFFSET('Measure Inputs'!$T$7,,,InputRows),$C68)</f>
        <v>1</v>
      </c>
      <c r="V68" s="134">
        <f ca="1">INDEX(OFFSET('Measure Inputs'!$U$7,,,InputRows),$C68)</f>
        <v>1</v>
      </c>
      <c r="W68" s="55"/>
      <c r="X68" s="96">
        <f ca="1">INDEX(OFFSET('Measure Inputs'!$V$7,,,InputRows),$C68)*$T68*$V68*$U68</f>
        <v>5874.2681608886196</v>
      </c>
      <c r="Y68" s="96">
        <f ca="1">INDEX(OFFSET('Measure Inputs'!$W$7,,,InputRows),$C68)*$T68*$V68*$U68</f>
        <v>0.54074389030696568</v>
      </c>
      <c r="Z68" s="96">
        <f ca="1">INDEX(OFFSET('Measure Inputs'!$X$7,,,InputRows),$C68)*$T68*$V68*$U68</f>
        <v>0</v>
      </c>
      <c r="AA68" s="55"/>
      <c r="AB68" s="96">
        <f ca="1">INDEX(OFFSET('Measure Inputs'!$Z$7,,,InputRows),$C68)*$T68*$V68*$U68</f>
        <v>0</v>
      </c>
      <c r="AC68" s="96">
        <f ca="1">INDEX(OFFSET('Measure Inputs'!$AA$7,,,InputRows),$C68)*$T68*$V68*$U68</f>
        <v>0</v>
      </c>
      <c r="AD68" s="96">
        <f ca="1">INDEX(OFFSET('Measure Inputs'!$AB$7,,,InputRows),$C68)*$T68*$V68*$U68</f>
        <v>0</v>
      </c>
      <c r="AE68" s="55"/>
      <c r="AF68" s="57">
        <f ca="1">INDEX(OFFSET('Measure Inputs'!$Q$7,,,InputRows),$C68)*$T68</f>
        <v>0</v>
      </c>
      <c r="AG68" s="57">
        <f ca="1">INDEX(OFFSET('Measure Inputs'!$P$7,,,InputRows),$C68)*$T68*$V68</f>
        <v>0</v>
      </c>
      <c r="AH68" s="57">
        <f ca="1">INDEX(OFFSET('Measure Inputs'!$R$7,,,InputRows),$C68)*$T68*$V68</f>
        <v>0</v>
      </c>
      <c r="AI68" s="57">
        <f ca="1">INDEX(OFFSET('Measure Inputs'!$O$7,,,InputRows),$C68)*$T68</f>
        <v>0</v>
      </c>
      <c r="AJ68" s="57">
        <f ca="1">INDEX(OFFSET('Measure Inputs'!$S$7,,,InputRows),$C68)*$T68</f>
        <v>0</v>
      </c>
      <c r="AK68" s="63">
        <f ca="1">INDEX(OFFSET('Measure Inputs'!$M$7,,,InputRows),$C68)</f>
        <v>10</v>
      </c>
      <c r="AL68" s="88">
        <f ca="1">INDEX(OFFSET('Measure Inputs'!$N$7,,,InputRows),$C68)</f>
        <v>0</v>
      </c>
      <c r="AM68" s="57">
        <f ca="1">SUMIFS(OFFSET('Program Inputs'!$N$5,,,TotalPrograms),OFFSET('Program Inputs'!$B$5,,,TotalPrograms),SUBSTITUTE($B68,"All","*"))+AF68</f>
        <v>0</v>
      </c>
      <c r="AN68" s="57">
        <f t="shared" ca="1" si="261"/>
        <v>0</v>
      </c>
      <c r="AO68" s="55"/>
      <c r="AP68" s="59">
        <f t="shared" ca="1" si="262"/>
        <v>1346.7381227013609</v>
      </c>
      <c r="AQ68" s="59">
        <f t="shared" ca="1" si="263"/>
        <v>0</v>
      </c>
      <c r="AR68" s="59">
        <f ca="1">SUMPRODUCT($CA68:$DI68,'General Inputs'!$F$32:$AN$32,'General Inputs'!$F$51:$AN$51)/(1-Loss_ElectricEnergy)</f>
        <v>1263.1063387205074</v>
      </c>
      <c r="AS68" s="59">
        <f ca="1">SUMPRODUCT($DK68:$ES68,'General Inputs'!$F$33:$AN$33,'General Inputs'!$F$51:$AN$51)/(1-Loss_ElectricDemand)</f>
        <v>83.631783980853413</v>
      </c>
      <c r="AT68" s="59">
        <f ca="1">SUMPRODUCT($EU68:$GC68,'General Inputs'!$F$34:$AN$34,'General Inputs'!$F$51:$AN$51)/(1-Loss_GasEnergy)</f>
        <v>0</v>
      </c>
      <c r="AU68" s="59">
        <f ca="1">INDEX('General Inputs'!$F$51:$AN$51,MATCH($H68,'General Inputs'!$F$50:$AN$50,0))*$AJ68</f>
        <v>0</v>
      </c>
      <c r="AV68" s="59">
        <f ca="1">INDEX('General Inputs'!$F$51:$AN$51,MATCH($H68,'General Inputs'!$F$50:$AN$50,0))*$AI68</f>
        <v>0</v>
      </c>
      <c r="AW68" s="59">
        <f ca="1">INDEX('General Inputs'!$F$51:$AN$51,MATCH($H68,'General Inputs'!$F$50:$AN$50,0))*$AM68</f>
        <v>0</v>
      </c>
      <c r="AX68" s="59">
        <f ca="1">SUM(INDEX('General Inputs'!$F$51:$AN$51,MATCH($H68,'General Inputs'!$F$50:$AN$50,0))*$AG68,INDEX('General Inputs'!$F$51:$AN$51,MATCH($H68+$AL68,'General Inputs'!$F$50:$AN$50,0))*-$AH68)</f>
        <v>0</v>
      </c>
      <c r="AY68" s="55"/>
      <c r="AZ68" s="59">
        <f ca="1">SUMPRODUCT($CA68:$DI68,'General Inputs'!$F$32:$AN$32,'General Inputs'!$F$52:$AN$52)/(1-Loss_ElectricEnergy)</f>
        <v>1263.1063387205074</v>
      </c>
      <c r="BA68" s="59">
        <f ca="1">SUMPRODUCT($DK68:$ES68,'General Inputs'!$F$33:$AN$33,'General Inputs'!$F$52:$AN$52)/(1-Loss_ElectricDemand)</f>
        <v>83.631783980853413</v>
      </c>
      <c r="BB68" s="59">
        <f ca="1">SUMPRODUCT($EU68:$GC68,'General Inputs'!$F$34:$AN$34,'General Inputs'!$F$52:$AN$52)/(1-Loss_GasEnergy)</f>
        <v>0</v>
      </c>
      <c r="BC68" s="59">
        <f ca="1">INDEX('General Inputs'!$F$52:$AN$52,MATCH($H68,'General Inputs'!$F$50:$AN$50,0))*$AI68</f>
        <v>0</v>
      </c>
      <c r="BD68" s="59">
        <f ca="1">INDEX('General Inputs'!$F$52:$AN$52,MATCH($H68,'General Inputs'!$F$50:$AN$50,0))*$AM68</f>
        <v>0</v>
      </c>
      <c r="BE68" s="55"/>
      <c r="BF68" s="59">
        <f ca="1">SUMPRODUCT($CA68:$DI68,OFFSET('General Inputs'!$F$40:$AN$40,MATCH($D68&amp;" Electric ($/kWh)",'General Inputs'!$E$40:$E$46,0),),'General Inputs'!$F$54:$AN$54)</f>
        <v>4998.1695255854984</v>
      </c>
      <c r="BG68" s="59">
        <f ca="1">SUMPRODUCT($EU68:$GC68,OFFSET('General Inputs'!$F$40:$AN$40,MATCH($D68&amp;" Natural Gas ($/therm)",'General Inputs'!$E$40:$E$46,0),),'General Inputs'!$F$54:$AN$54)</f>
        <v>0</v>
      </c>
      <c r="BH68" s="59">
        <f ca="1">INDEX('General Inputs'!$F$54:$AN$54,MATCH($H68,'General Inputs'!$F$50:$AN$50,0))*$AI68</f>
        <v>0</v>
      </c>
      <c r="BI68" s="59">
        <f ca="1">SUM(INDEX('General Inputs'!$F$54:$AN$54,MATCH($H68,'General Inputs'!$F$50:$AN$50,0))*$AG68,INDEX('General Inputs'!$F$51:$AN$51,MATCH($H68+$AL68,'General Inputs'!$F$50:$AN$50,0))*-$AH68)</f>
        <v>0</v>
      </c>
      <c r="BJ68" s="55"/>
      <c r="BK68" s="59">
        <f ca="1">SUMPRODUCT($CA68:$DI68,'General Inputs'!$F$32:$AN$32,'General Inputs'!$F$53:$AN$53)/(1-Loss_ElectricEnergy)</f>
        <v>1263.1063387205074</v>
      </c>
      <c r="BL68" s="59">
        <f ca="1">SUMPRODUCT($DK68:$ES68,'General Inputs'!$F$33:$AN$33,'General Inputs'!$F$53:$AN$53)/(1-Loss_ElectricDemand)</f>
        <v>83.631783980853413</v>
      </c>
      <c r="BM68" s="59">
        <f ca="1">SUMPRODUCT($EU68:$GC68,'General Inputs'!$F$34:$AN$34,'General Inputs'!$F$53:$AN$53)/(1-Loss_GasEnergy)</f>
        <v>0</v>
      </c>
      <c r="BN68" s="59">
        <f ca="1">INDEX('General Inputs'!$F$53:$AN$53,MATCH($H68,'General Inputs'!$F$50:$AN$50,0))*$AJ68</f>
        <v>0</v>
      </c>
      <c r="BO68" s="59">
        <f ca="1">SUMPRODUCT($CA68:$DI68,'General Inputs'!$F$35:$AN$35,'General Inputs'!$F$53:$AN$53)/(1-Loss_ElectricEnergy)</f>
        <v>494.30537737695022</v>
      </c>
      <c r="BP68" s="59">
        <f ca="1">INDEX('General Inputs'!$F$51:$AN$51,MATCH($H68,'General Inputs'!$F$50:$AN$50,0))*$AM68</f>
        <v>0</v>
      </c>
      <c r="BQ68" s="59">
        <f ca="1">SUM(INDEX('General Inputs'!$F$53:$AN$53,MATCH($H68,'General Inputs'!$F$50:$AN$50,0))*$AG68,INDEX('General Inputs'!$F$53:$AN$53,MATCH($H68+$AL68,'General Inputs'!$F$50:$AN$50,0))*-$AH68)</f>
        <v>0</v>
      </c>
      <c r="BR68" s="55"/>
      <c r="BS68" s="59">
        <f ca="1">SUMPRODUCT($CA68:$DI68,'General Inputs'!$F$32:$AN$32,'General Inputs'!$F$55:$AN$55)/(1-Loss_ElectricEnergy)</f>
        <v>1263.1063387205074</v>
      </c>
      <c r="BT68" s="59">
        <f ca="1">SUMPRODUCT($DK68:$ES68,'General Inputs'!$F$33:$AN$33,'General Inputs'!$F$55:$AN$55)/(1-Loss_ElectricDemand)</f>
        <v>83.631783980853413</v>
      </c>
      <c r="BU68" s="59">
        <f ca="1">SUMPRODUCT($EU68:$GC68,'General Inputs'!$F$34:$AN$34,'General Inputs'!$F$55:$AN$55)/(1-Loss_GasEnergy)</f>
        <v>0</v>
      </c>
      <c r="BV68" s="59">
        <f ca="1">SUMPRODUCT($CA68:$DI68,OFFSET('General Inputs'!$F$40:$AN$40,MATCH($D68&amp;" Electric ($/kWh)",'General Inputs'!$E$40:$E$46,0),),'General Inputs'!$F$55:$AN$55)</f>
        <v>4998.1695255854984</v>
      </c>
      <c r="BW68" s="59">
        <f ca="1">SUMPRODUCT($EU68:$GC68,OFFSET('General Inputs'!$F$40:$AN$40,MATCH($D68&amp;" Natural Gas ($/therm)",'General Inputs'!$E$40:$E$46,0),),'General Inputs'!$F$55:$AN$55)</f>
        <v>0</v>
      </c>
      <c r="BX68" s="59">
        <f ca="1">INDEX('General Inputs'!$F$55:$AN$55,MATCH($H68,'General Inputs'!$F$50:$AN$50,0))*$AI68</f>
        <v>0</v>
      </c>
      <c r="BY68" s="59">
        <f ca="1">INDEX('General Inputs'!$F$51:$AN$51,MATCH($H68,'General Inputs'!$F$50:$AN$50,0))*$AM68</f>
        <v>0</v>
      </c>
      <c r="BZ68" s="55"/>
      <c r="CA68" s="88">
        <f t="shared" ca="1" si="251"/>
        <v>5874.2681608886196</v>
      </c>
      <c r="CB68" s="88">
        <f t="shared" ca="1" si="251"/>
        <v>5874.2681608886196</v>
      </c>
      <c r="CC68" s="88">
        <f t="shared" ca="1" si="251"/>
        <v>5874.2681608886196</v>
      </c>
      <c r="CD68" s="88">
        <f t="shared" ca="1" si="251"/>
        <v>5874.2681608886196</v>
      </c>
      <c r="CE68" s="88">
        <f t="shared" ca="1" si="251"/>
        <v>5874.2681608886196</v>
      </c>
      <c r="CF68" s="88">
        <f t="shared" ca="1" si="251"/>
        <v>5874.2681608886196</v>
      </c>
      <c r="CG68" s="88">
        <f t="shared" ca="1" si="251"/>
        <v>5874.2681608886196</v>
      </c>
      <c r="CH68" s="88">
        <f t="shared" ca="1" si="251"/>
        <v>5874.2681608886196</v>
      </c>
      <c r="CI68" s="88">
        <f t="shared" ca="1" si="251"/>
        <v>5874.2681608886196</v>
      </c>
      <c r="CJ68" s="88">
        <f t="shared" ca="1" si="251"/>
        <v>5874.2681608886196</v>
      </c>
      <c r="CK68" s="88">
        <f t="shared" ca="1" si="252"/>
        <v>0</v>
      </c>
      <c r="CL68" s="88">
        <f t="shared" ca="1" si="252"/>
        <v>0</v>
      </c>
      <c r="CM68" s="88">
        <f t="shared" ca="1" si="252"/>
        <v>0</v>
      </c>
      <c r="CN68" s="88">
        <f t="shared" ca="1" si="252"/>
        <v>0</v>
      </c>
      <c r="CO68" s="88">
        <f t="shared" ca="1" si="252"/>
        <v>0</v>
      </c>
      <c r="CP68" s="88">
        <f t="shared" ca="1" si="252"/>
        <v>0</v>
      </c>
      <c r="CQ68" s="88">
        <f t="shared" ca="1" si="252"/>
        <v>0</v>
      </c>
      <c r="CR68" s="88">
        <f t="shared" ca="1" si="252"/>
        <v>0</v>
      </c>
      <c r="CS68" s="88">
        <f t="shared" ca="1" si="252"/>
        <v>0</v>
      </c>
      <c r="CT68" s="88">
        <f t="shared" ca="1" si="252"/>
        <v>0</v>
      </c>
      <c r="CU68" s="88">
        <f t="shared" ca="1" si="253"/>
        <v>0</v>
      </c>
      <c r="CV68" s="88">
        <f t="shared" ca="1" si="253"/>
        <v>0</v>
      </c>
      <c r="CW68" s="88">
        <f t="shared" ca="1" si="253"/>
        <v>0</v>
      </c>
      <c r="CX68" s="88">
        <f t="shared" ca="1" si="253"/>
        <v>0</v>
      </c>
      <c r="CY68" s="88">
        <f t="shared" ca="1" si="253"/>
        <v>0</v>
      </c>
      <c r="CZ68" s="88">
        <f t="shared" ca="1" si="253"/>
        <v>0</v>
      </c>
      <c r="DA68" s="88">
        <f t="shared" ca="1" si="253"/>
        <v>0</v>
      </c>
      <c r="DB68" s="88">
        <f t="shared" ca="1" si="253"/>
        <v>0</v>
      </c>
      <c r="DC68" s="88">
        <f t="shared" ca="1" si="253"/>
        <v>0</v>
      </c>
      <c r="DD68" s="88">
        <f t="shared" ca="1" si="253"/>
        <v>0</v>
      </c>
      <c r="DE68" s="88">
        <f t="shared" ca="1" si="253"/>
        <v>0</v>
      </c>
      <c r="DF68" s="88">
        <f t="shared" ca="1" si="253"/>
        <v>0</v>
      </c>
      <c r="DG68" s="88">
        <f t="shared" ca="1" si="253"/>
        <v>0</v>
      </c>
      <c r="DH68" s="88">
        <f t="shared" ca="1" si="253"/>
        <v>0</v>
      </c>
      <c r="DI68" s="88">
        <f t="shared" ca="1" si="253"/>
        <v>0</v>
      </c>
      <c r="DJ68" s="169"/>
      <c r="DK68" s="88">
        <f t="shared" ca="1" si="254"/>
        <v>0.54074389030696568</v>
      </c>
      <c r="DL68" s="88">
        <f t="shared" ca="1" si="254"/>
        <v>0.54074389030696568</v>
      </c>
      <c r="DM68" s="88">
        <f t="shared" ca="1" si="254"/>
        <v>0.54074389030696568</v>
      </c>
      <c r="DN68" s="88">
        <f t="shared" ca="1" si="254"/>
        <v>0.54074389030696568</v>
      </c>
      <c r="DO68" s="88">
        <f t="shared" ca="1" si="254"/>
        <v>0.54074389030696568</v>
      </c>
      <c r="DP68" s="88">
        <f t="shared" ca="1" si="254"/>
        <v>0.54074389030696568</v>
      </c>
      <c r="DQ68" s="88">
        <f t="shared" ca="1" si="254"/>
        <v>0.54074389030696568</v>
      </c>
      <c r="DR68" s="88">
        <f t="shared" ca="1" si="254"/>
        <v>0.54074389030696568</v>
      </c>
      <c r="DS68" s="88">
        <f t="shared" ca="1" si="254"/>
        <v>0.54074389030696568</v>
      </c>
      <c r="DT68" s="88">
        <f t="shared" ca="1" si="254"/>
        <v>0.54074389030696568</v>
      </c>
      <c r="DU68" s="88">
        <f t="shared" ca="1" si="255"/>
        <v>0</v>
      </c>
      <c r="DV68" s="88">
        <f t="shared" ca="1" si="255"/>
        <v>0</v>
      </c>
      <c r="DW68" s="88">
        <f t="shared" ca="1" si="255"/>
        <v>0</v>
      </c>
      <c r="DX68" s="88">
        <f t="shared" ca="1" si="255"/>
        <v>0</v>
      </c>
      <c r="DY68" s="88">
        <f t="shared" ca="1" si="255"/>
        <v>0</v>
      </c>
      <c r="DZ68" s="88">
        <f t="shared" ca="1" si="255"/>
        <v>0</v>
      </c>
      <c r="EA68" s="88">
        <f t="shared" ca="1" si="255"/>
        <v>0</v>
      </c>
      <c r="EB68" s="88">
        <f t="shared" ca="1" si="255"/>
        <v>0</v>
      </c>
      <c r="EC68" s="88">
        <f t="shared" ca="1" si="255"/>
        <v>0</v>
      </c>
      <c r="ED68" s="88">
        <f t="shared" ca="1" si="255"/>
        <v>0</v>
      </c>
      <c r="EE68" s="88">
        <f t="shared" ca="1" si="256"/>
        <v>0</v>
      </c>
      <c r="EF68" s="88">
        <f t="shared" ca="1" si="256"/>
        <v>0</v>
      </c>
      <c r="EG68" s="88">
        <f t="shared" ca="1" si="256"/>
        <v>0</v>
      </c>
      <c r="EH68" s="88">
        <f t="shared" ca="1" si="256"/>
        <v>0</v>
      </c>
      <c r="EI68" s="88">
        <f t="shared" ca="1" si="256"/>
        <v>0</v>
      </c>
      <c r="EJ68" s="88">
        <f t="shared" ca="1" si="256"/>
        <v>0</v>
      </c>
      <c r="EK68" s="88">
        <f t="shared" ca="1" si="256"/>
        <v>0</v>
      </c>
      <c r="EL68" s="88">
        <f t="shared" ca="1" si="256"/>
        <v>0</v>
      </c>
      <c r="EM68" s="88">
        <f t="shared" ca="1" si="256"/>
        <v>0</v>
      </c>
      <c r="EN68" s="88">
        <f t="shared" ca="1" si="256"/>
        <v>0</v>
      </c>
      <c r="EO68" s="88">
        <f t="shared" ca="1" si="256"/>
        <v>0</v>
      </c>
      <c r="EP68" s="88">
        <f t="shared" ca="1" si="256"/>
        <v>0</v>
      </c>
      <c r="EQ68" s="88">
        <f t="shared" ca="1" si="256"/>
        <v>0</v>
      </c>
      <c r="ER68" s="88">
        <f t="shared" ca="1" si="256"/>
        <v>0</v>
      </c>
      <c r="ES68" s="88">
        <f t="shared" ca="1" si="256"/>
        <v>0</v>
      </c>
      <c r="ET68" s="169"/>
      <c r="EU68" s="88">
        <f t="shared" ca="1" si="257"/>
        <v>0</v>
      </c>
      <c r="EV68" s="88">
        <f t="shared" ca="1" si="257"/>
        <v>0</v>
      </c>
      <c r="EW68" s="88">
        <f t="shared" ca="1" si="257"/>
        <v>0</v>
      </c>
      <c r="EX68" s="88">
        <f t="shared" ca="1" si="257"/>
        <v>0</v>
      </c>
      <c r="EY68" s="88">
        <f t="shared" ca="1" si="257"/>
        <v>0</v>
      </c>
      <c r="EZ68" s="88">
        <f t="shared" ca="1" si="257"/>
        <v>0</v>
      </c>
      <c r="FA68" s="88">
        <f t="shared" ca="1" si="257"/>
        <v>0</v>
      </c>
      <c r="FB68" s="88">
        <f t="shared" ca="1" si="257"/>
        <v>0</v>
      </c>
      <c r="FC68" s="88">
        <f t="shared" ca="1" si="257"/>
        <v>0</v>
      </c>
      <c r="FD68" s="88">
        <f t="shared" ca="1" si="257"/>
        <v>0</v>
      </c>
      <c r="FE68" s="88">
        <f t="shared" ca="1" si="258"/>
        <v>0</v>
      </c>
      <c r="FF68" s="88">
        <f t="shared" ca="1" si="258"/>
        <v>0</v>
      </c>
      <c r="FG68" s="88">
        <f t="shared" ca="1" si="258"/>
        <v>0</v>
      </c>
      <c r="FH68" s="88">
        <f t="shared" ca="1" si="258"/>
        <v>0</v>
      </c>
      <c r="FI68" s="88">
        <f t="shared" ca="1" si="258"/>
        <v>0</v>
      </c>
      <c r="FJ68" s="88">
        <f t="shared" ca="1" si="258"/>
        <v>0</v>
      </c>
      <c r="FK68" s="88">
        <f t="shared" ca="1" si="258"/>
        <v>0</v>
      </c>
      <c r="FL68" s="88">
        <f t="shared" ca="1" si="258"/>
        <v>0</v>
      </c>
      <c r="FM68" s="88">
        <f t="shared" ca="1" si="258"/>
        <v>0</v>
      </c>
      <c r="FN68" s="88">
        <f t="shared" ca="1" si="258"/>
        <v>0</v>
      </c>
      <c r="FO68" s="88">
        <f t="shared" ca="1" si="259"/>
        <v>0</v>
      </c>
      <c r="FP68" s="88">
        <f t="shared" ca="1" si="259"/>
        <v>0</v>
      </c>
      <c r="FQ68" s="88">
        <f t="shared" ca="1" si="259"/>
        <v>0</v>
      </c>
      <c r="FR68" s="88">
        <f t="shared" ca="1" si="259"/>
        <v>0</v>
      </c>
      <c r="FS68" s="88">
        <f t="shared" ca="1" si="259"/>
        <v>0</v>
      </c>
      <c r="FT68" s="88">
        <f t="shared" ca="1" si="259"/>
        <v>0</v>
      </c>
      <c r="FU68" s="88">
        <f t="shared" ca="1" si="259"/>
        <v>0</v>
      </c>
      <c r="FV68" s="88">
        <f t="shared" ca="1" si="259"/>
        <v>0</v>
      </c>
      <c r="FW68" s="88">
        <f t="shared" ca="1" si="259"/>
        <v>0</v>
      </c>
      <c r="FX68" s="88">
        <f t="shared" ca="1" si="259"/>
        <v>0</v>
      </c>
      <c r="FY68" s="88">
        <f t="shared" ca="1" si="259"/>
        <v>0</v>
      </c>
      <c r="FZ68" s="88">
        <f t="shared" ca="1" si="259"/>
        <v>0</v>
      </c>
      <c r="GA68" s="88">
        <f t="shared" ca="1" si="259"/>
        <v>0</v>
      </c>
      <c r="GB68" s="88">
        <f t="shared" ca="1" si="259"/>
        <v>0</v>
      </c>
      <c r="GC68" s="88">
        <f t="shared" ca="1" si="259"/>
        <v>0</v>
      </c>
      <c r="GD68" s="60"/>
    </row>
    <row r="69" spans="1:186" s="54" customFormat="1">
      <c r="A69" s="61"/>
      <c r="B69" s="100" t="str">
        <f t="shared" si="0"/>
        <v>Residential_Residential Audit_0_Residential Audit_2017</v>
      </c>
      <c r="C69" s="100">
        <f>INDEX('Measure Inputs'!$D:$D,MATCH($B69,'Measure Inputs'!$B:$B,0))</f>
        <v>21</v>
      </c>
      <c r="D69" s="101" t="s">
        <v>2</v>
      </c>
      <c r="E69" s="101" t="s">
        <v>251</v>
      </c>
      <c r="F69" s="101">
        <v>0</v>
      </c>
      <c r="G69" s="101" t="s">
        <v>251</v>
      </c>
      <c r="H69" s="101">
        <v>2017</v>
      </c>
      <c r="I69" s="55"/>
      <c r="J69" s="58" t="str">
        <f t="shared" ca="1" si="229"/>
        <v>n/a</v>
      </c>
      <c r="K69" s="58" t="str">
        <f t="shared" ca="1" si="246"/>
        <v>n/a</v>
      </c>
      <c r="L69" s="58" t="str">
        <f t="shared" ca="1" si="230"/>
        <v>n/a</v>
      </c>
      <c r="M69" s="58" t="str">
        <f t="shared" ca="1" si="231"/>
        <v>n/a</v>
      </c>
      <c r="N69" s="58" t="str">
        <f t="shared" ca="1" si="232"/>
        <v>n/a</v>
      </c>
      <c r="O69" s="55"/>
      <c r="P69" s="175" t="str">
        <f ca="1">IFERROR(($AW69+AV69)/SUMPRODUCT($CA69:$DI69,'General Inputs'!$F$51:$AN$51),"n/a")</f>
        <v>n/a</v>
      </c>
      <c r="Q69" s="175" t="str">
        <f t="shared" ca="1" si="233"/>
        <v>n/a</v>
      </c>
      <c r="R69" s="56">
        <f t="shared" ref="R69:R72" ca="1" si="264">SUM(CA69:DI69)/1000</f>
        <v>0</v>
      </c>
      <c r="S69" s="55"/>
      <c r="T69" s="56">
        <f ca="1">INDEX(OFFSET('Measure Inputs'!$L$7,,,InputRows),$C69)</f>
        <v>650</v>
      </c>
      <c r="U69" s="134">
        <f ca="1">INDEX(OFFSET('Measure Inputs'!$T$7,,,InputRows),$C69)</f>
        <v>1</v>
      </c>
      <c r="V69" s="134">
        <f ca="1">INDEX(OFFSET('Measure Inputs'!$U$7,,,InputRows),$C69)</f>
        <v>1</v>
      </c>
      <c r="W69" s="55"/>
      <c r="X69" s="96">
        <f ca="1">INDEX(OFFSET('Measure Inputs'!$V$7,,,InputRows),$C69)*$T69*$V69*$U69</f>
        <v>0</v>
      </c>
      <c r="Y69" s="96">
        <f ca="1">INDEX(OFFSET('Measure Inputs'!$W$7,,,InputRows),$C69)*$T69*$V69*$U69</f>
        <v>0</v>
      </c>
      <c r="Z69" s="96">
        <f ca="1">INDEX(OFFSET('Measure Inputs'!$X$7,,,InputRows),$C69)*$T69*$V69*$U69</f>
        <v>0</v>
      </c>
      <c r="AA69" s="55"/>
      <c r="AB69" s="96">
        <f ca="1">INDEX(OFFSET('Measure Inputs'!$Z$7,,,InputRows),$C69)*$T69*$V69*$U69</f>
        <v>0</v>
      </c>
      <c r="AC69" s="96">
        <f ca="1">INDEX(OFFSET('Measure Inputs'!$AA$7,,,InputRows),$C69)*$T69*$V69*$U69</f>
        <v>0</v>
      </c>
      <c r="AD69" s="96">
        <f ca="1">INDEX(OFFSET('Measure Inputs'!$AB$7,,,InputRows),$C69)*$T69*$V69*$U69</f>
        <v>0</v>
      </c>
      <c r="AE69" s="55"/>
      <c r="AF69" s="57">
        <f ca="1">INDEX(OFFSET('Measure Inputs'!$Q$7,,,InputRows),$C69)*$T69</f>
        <v>0</v>
      </c>
      <c r="AG69" s="57">
        <f ca="1">INDEX(OFFSET('Measure Inputs'!$P$7,,,InputRows),$C69)*$T69*$V69</f>
        <v>0</v>
      </c>
      <c r="AH69" s="57">
        <f ca="1">INDEX(OFFSET('Measure Inputs'!$R$7,,,InputRows),$C69)*$T69*$V69</f>
        <v>0</v>
      </c>
      <c r="AI69" s="57">
        <f ca="1">INDEX(OFFSET('Measure Inputs'!$O$7,,,InputRows),$C69)*$T69</f>
        <v>0</v>
      </c>
      <c r="AJ69" s="57">
        <f ca="1">INDEX(OFFSET('Measure Inputs'!$S$7,,,InputRows),$C69)*$T69</f>
        <v>0</v>
      </c>
      <c r="AK69" s="63">
        <f ca="1">INDEX(OFFSET('Measure Inputs'!$M$7,,,InputRows),$C69)</f>
        <v>1</v>
      </c>
      <c r="AL69" s="88">
        <f ca="1">INDEX(OFFSET('Measure Inputs'!$N$7,,,InputRows),$C69)</f>
        <v>0</v>
      </c>
      <c r="AM69" s="57">
        <f ca="1">SUMIFS(OFFSET('Program Inputs'!$N$5,,,TotalPrograms),OFFSET('Program Inputs'!$B$5,,,TotalPrograms),SUBSTITUTE($B69,"All","*"))+AF69</f>
        <v>0</v>
      </c>
      <c r="AN69" s="57">
        <f t="shared" ref="AN69:AN72" ca="1" si="265">AM69+AI69</f>
        <v>0</v>
      </c>
      <c r="AO69" s="55"/>
      <c r="AP69" s="59">
        <f t="shared" ref="AP69:AP72" ca="1" si="266">SUMIFS(AR69:AX69,$AR$7:$AX$7,"BENEFIT")</f>
        <v>0</v>
      </c>
      <c r="AQ69" s="59">
        <f t="shared" ref="AQ69:AQ72" ca="1" si="267">SUMIFS(AR69:AX69,$AR$7:$AX$7,"COST")</f>
        <v>0</v>
      </c>
      <c r="AR69" s="59">
        <f ca="1">SUMPRODUCT($CA69:$DI69,'General Inputs'!$F$32:$AN$32,'General Inputs'!$F$51:$AN$51)/(1-Loss_ElectricEnergy)</f>
        <v>0</v>
      </c>
      <c r="AS69" s="59">
        <f ca="1">SUMPRODUCT($DK69:$ES69,'General Inputs'!$F$33:$AN$33,'General Inputs'!$F$51:$AN$51)/(1-Loss_ElectricDemand)</f>
        <v>0</v>
      </c>
      <c r="AT69" s="59">
        <f ca="1">SUMPRODUCT($EU69:$GC69,'General Inputs'!$F$34:$AN$34,'General Inputs'!$F$51:$AN$51)/(1-Loss_GasEnergy)</f>
        <v>0</v>
      </c>
      <c r="AU69" s="59">
        <f ca="1">INDEX('General Inputs'!$F$51:$AN$51,MATCH($H69,'General Inputs'!$F$50:$AN$50,0))*$AJ69</f>
        <v>0</v>
      </c>
      <c r="AV69" s="59">
        <f ca="1">INDEX('General Inputs'!$F$51:$AN$51,MATCH($H69,'General Inputs'!$F$50:$AN$50,0))*$AI69</f>
        <v>0</v>
      </c>
      <c r="AW69" s="59">
        <f ca="1">INDEX('General Inputs'!$F$51:$AN$51,MATCH($H69,'General Inputs'!$F$50:$AN$50,0))*$AM69</f>
        <v>0</v>
      </c>
      <c r="AX69" s="59">
        <f ca="1">SUM(INDEX('General Inputs'!$F$51:$AN$51,MATCH($H69,'General Inputs'!$F$50:$AN$50,0))*$AG69,INDEX('General Inputs'!$F$51:$AN$51,MATCH($H69+$AL69,'General Inputs'!$F$50:$AN$50,0))*-$AH69)</f>
        <v>0</v>
      </c>
      <c r="AY69" s="55"/>
      <c r="AZ69" s="59">
        <f ca="1">SUMPRODUCT($CA69:$DI69,'General Inputs'!$F$32:$AN$32,'General Inputs'!$F$52:$AN$52)/(1-Loss_ElectricEnergy)</f>
        <v>0</v>
      </c>
      <c r="BA69" s="59">
        <f ca="1">SUMPRODUCT($DK69:$ES69,'General Inputs'!$F$33:$AN$33,'General Inputs'!$F$52:$AN$52)/(1-Loss_ElectricDemand)</f>
        <v>0</v>
      </c>
      <c r="BB69" s="59">
        <f ca="1">SUMPRODUCT($EU69:$GC69,'General Inputs'!$F$34:$AN$34,'General Inputs'!$F$52:$AN$52)/(1-Loss_GasEnergy)</f>
        <v>0</v>
      </c>
      <c r="BC69" s="59">
        <f ca="1">INDEX('General Inputs'!$F$52:$AN$52,MATCH($H69,'General Inputs'!$F$50:$AN$50,0))*$AI69</f>
        <v>0</v>
      </c>
      <c r="BD69" s="59">
        <f ca="1">INDEX('General Inputs'!$F$52:$AN$52,MATCH($H69,'General Inputs'!$F$50:$AN$50,0))*$AM69</f>
        <v>0</v>
      </c>
      <c r="BE69" s="55"/>
      <c r="BF69" s="59">
        <f ca="1">SUMPRODUCT($CA69:$DI69,OFFSET('General Inputs'!$F$40:$AN$40,MATCH($D69&amp;" Electric ($/kWh)",'General Inputs'!$E$40:$E$46,0),),'General Inputs'!$F$54:$AN$54)</f>
        <v>0</v>
      </c>
      <c r="BG69" s="59">
        <f ca="1">SUMPRODUCT($EU69:$GC69,OFFSET('General Inputs'!$F$40:$AN$40,MATCH($D69&amp;" Natural Gas ($/therm)",'General Inputs'!$E$40:$E$46,0),),'General Inputs'!$F$54:$AN$54)</f>
        <v>0</v>
      </c>
      <c r="BH69" s="59">
        <f ca="1">INDEX('General Inputs'!$F$54:$AN$54,MATCH($H69,'General Inputs'!$F$50:$AN$50,0))*$AI69</f>
        <v>0</v>
      </c>
      <c r="BI69" s="59">
        <f ca="1">SUM(INDEX('General Inputs'!$F$54:$AN$54,MATCH($H69,'General Inputs'!$F$50:$AN$50,0))*$AG69,INDEX('General Inputs'!$F$51:$AN$51,MATCH($H69+$AL69,'General Inputs'!$F$50:$AN$50,0))*-$AH69)</f>
        <v>0</v>
      </c>
      <c r="BJ69" s="55"/>
      <c r="BK69" s="59">
        <f ca="1">SUMPRODUCT($CA69:$DI69,'General Inputs'!$F$32:$AN$32,'General Inputs'!$F$53:$AN$53)/(1-Loss_ElectricEnergy)</f>
        <v>0</v>
      </c>
      <c r="BL69" s="59">
        <f ca="1">SUMPRODUCT($DK69:$ES69,'General Inputs'!$F$33:$AN$33,'General Inputs'!$F$53:$AN$53)/(1-Loss_ElectricDemand)</f>
        <v>0</v>
      </c>
      <c r="BM69" s="59">
        <f ca="1">SUMPRODUCT($EU69:$GC69,'General Inputs'!$F$34:$AN$34,'General Inputs'!$F$53:$AN$53)/(1-Loss_GasEnergy)</f>
        <v>0</v>
      </c>
      <c r="BN69" s="59">
        <f ca="1">INDEX('General Inputs'!$F$53:$AN$53,MATCH($H69,'General Inputs'!$F$50:$AN$50,0))*$AJ69</f>
        <v>0</v>
      </c>
      <c r="BO69" s="59">
        <f ca="1">SUMPRODUCT($CA69:$DI69,'General Inputs'!$F$35:$AN$35,'General Inputs'!$F$53:$AN$53)/(1-Loss_ElectricEnergy)</f>
        <v>0</v>
      </c>
      <c r="BP69" s="59">
        <f ca="1">INDEX('General Inputs'!$F$51:$AN$51,MATCH($H69,'General Inputs'!$F$50:$AN$50,0))*$AM69</f>
        <v>0</v>
      </c>
      <c r="BQ69" s="59">
        <f ca="1">SUM(INDEX('General Inputs'!$F$53:$AN$53,MATCH($H69,'General Inputs'!$F$50:$AN$50,0))*$AG69,INDEX('General Inputs'!$F$53:$AN$53,MATCH($H69+$AL69,'General Inputs'!$F$50:$AN$50,0))*-$AH69)</f>
        <v>0</v>
      </c>
      <c r="BR69" s="55"/>
      <c r="BS69" s="59">
        <f ca="1">SUMPRODUCT($CA69:$DI69,'General Inputs'!$F$32:$AN$32,'General Inputs'!$F$55:$AN$55)/(1-Loss_ElectricEnergy)</f>
        <v>0</v>
      </c>
      <c r="BT69" s="59">
        <f ca="1">SUMPRODUCT($DK69:$ES69,'General Inputs'!$F$33:$AN$33,'General Inputs'!$F$55:$AN$55)/(1-Loss_ElectricDemand)</f>
        <v>0</v>
      </c>
      <c r="BU69" s="59">
        <f ca="1">SUMPRODUCT($EU69:$GC69,'General Inputs'!$F$34:$AN$34,'General Inputs'!$F$55:$AN$55)/(1-Loss_GasEnergy)</f>
        <v>0</v>
      </c>
      <c r="BV69" s="59">
        <f ca="1">SUMPRODUCT($CA69:$DI69,OFFSET('General Inputs'!$F$40:$AN$40,MATCH($D69&amp;" Electric ($/kWh)",'General Inputs'!$E$40:$E$46,0),),'General Inputs'!$F$55:$AN$55)</f>
        <v>0</v>
      </c>
      <c r="BW69" s="59">
        <f ca="1">SUMPRODUCT($EU69:$GC69,OFFSET('General Inputs'!$F$40:$AN$40,MATCH($D69&amp;" Natural Gas ($/therm)",'General Inputs'!$E$40:$E$46,0),),'General Inputs'!$F$55:$AN$55)</f>
        <v>0</v>
      </c>
      <c r="BX69" s="59">
        <f ca="1">INDEX('General Inputs'!$F$55:$AN$55,MATCH($H69,'General Inputs'!$F$50:$AN$50,0))*$AI69</f>
        <v>0</v>
      </c>
      <c r="BY69" s="59">
        <f ca="1">INDEX('General Inputs'!$F$51:$AN$51,MATCH($H69,'General Inputs'!$F$50:$AN$50,0))*$AM69</f>
        <v>0</v>
      </c>
      <c r="BZ69" s="55"/>
      <c r="CA69" s="88">
        <f t="shared" ref="CA69:CJ78" ca="1" si="268">IF(AND($H69&lt;=CA$8,$H69+$AK69&gt;CA$8),IF(AND($H69+$AL69&lt;=CA$8,$AL69&gt;0),$AB69,$X69),0)</f>
        <v>0</v>
      </c>
      <c r="CB69" s="88">
        <f t="shared" ca="1" si="268"/>
        <v>0</v>
      </c>
      <c r="CC69" s="88">
        <f t="shared" ca="1" si="268"/>
        <v>0</v>
      </c>
      <c r="CD69" s="88">
        <f t="shared" ca="1" si="268"/>
        <v>0</v>
      </c>
      <c r="CE69" s="88">
        <f t="shared" ca="1" si="268"/>
        <v>0</v>
      </c>
      <c r="CF69" s="88">
        <f t="shared" ca="1" si="268"/>
        <v>0</v>
      </c>
      <c r="CG69" s="88">
        <f t="shared" ca="1" si="268"/>
        <v>0</v>
      </c>
      <c r="CH69" s="88">
        <f t="shared" ca="1" si="268"/>
        <v>0</v>
      </c>
      <c r="CI69" s="88">
        <f t="shared" ca="1" si="268"/>
        <v>0</v>
      </c>
      <c r="CJ69" s="88">
        <f t="shared" ca="1" si="268"/>
        <v>0</v>
      </c>
      <c r="CK69" s="88">
        <f t="shared" ref="CK69:CT78" ca="1" si="269">IF(AND($H69&lt;=CK$8,$H69+$AK69&gt;CK$8),IF(AND($H69+$AL69&lt;=CK$8,$AL69&gt;0),$AB69,$X69),0)</f>
        <v>0</v>
      </c>
      <c r="CL69" s="88">
        <f t="shared" ca="1" si="269"/>
        <v>0</v>
      </c>
      <c r="CM69" s="88">
        <f t="shared" ca="1" si="269"/>
        <v>0</v>
      </c>
      <c r="CN69" s="88">
        <f t="shared" ca="1" si="269"/>
        <v>0</v>
      </c>
      <c r="CO69" s="88">
        <f t="shared" ca="1" si="269"/>
        <v>0</v>
      </c>
      <c r="CP69" s="88">
        <f t="shared" ca="1" si="269"/>
        <v>0</v>
      </c>
      <c r="CQ69" s="88">
        <f t="shared" ca="1" si="269"/>
        <v>0</v>
      </c>
      <c r="CR69" s="88">
        <f t="shared" ca="1" si="269"/>
        <v>0</v>
      </c>
      <c r="CS69" s="88">
        <f t="shared" ca="1" si="269"/>
        <v>0</v>
      </c>
      <c r="CT69" s="88">
        <f t="shared" ca="1" si="269"/>
        <v>0</v>
      </c>
      <c r="CU69" s="88">
        <f t="shared" ref="CU69:DI78" ca="1" si="270">IF(AND($H69&lt;=CU$8,$H69+$AK69&gt;CU$8),IF(AND($H69+$AL69&lt;=CU$8,$AL69&gt;0),$AB69,$X69),0)</f>
        <v>0</v>
      </c>
      <c r="CV69" s="88">
        <f t="shared" ca="1" si="270"/>
        <v>0</v>
      </c>
      <c r="CW69" s="88">
        <f t="shared" ca="1" si="270"/>
        <v>0</v>
      </c>
      <c r="CX69" s="88">
        <f t="shared" ca="1" si="270"/>
        <v>0</v>
      </c>
      <c r="CY69" s="88">
        <f t="shared" ca="1" si="270"/>
        <v>0</v>
      </c>
      <c r="CZ69" s="88">
        <f t="shared" ca="1" si="270"/>
        <v>0</v>
      </c>
      <c r="DA69" s="88">
        <f t="shared" ca="1" si="270"/>
        <v>0</v>
      </c>
      <c r="DB69" s="88">
        <f t="shared" ca="1" si="270"/>
        <v>0</v>
      </c>
      <c r="DC69" s="88">
        <f t="shared" ca="1" si="270"/>
        <v>0</v>
      </c>
      <c r="DD69" s="88">
        <f t="shared" ca="1" si="270"/>
        <v>0</v>
      </c>
      <c r="DE69" s="88">
        <f t="shared" ca="1" si="270"/>
        <v>0</v>
      </c>
      <c r="DF69" s="88">
        <f t="shared" ca="1" si="270"/>
        <v>0</v>
      </c>
      <c r="DG69" s="88">
        <f t="shared" ca="1" si="270"/>
        <v>0</v>
      </c>
      <c r="DH69" s="88">
        <f t="shared" ca="1" si="270"/>
        <v>0</v>
      </c>
      <c r="DI69" s="88">
        <f t="shared" ca="1" si="270"/>
        <v>0</v>
      </c>
      <c r="DJ69" s="169"/>
      <c r="DK69" s="88">
        <f t="shared" ref="DK69:DT78" ca="1" si="271">IF(AND($H69&lt;=DK$8,$H69+$AK69&gt;DK$8),IF(AND($H69+$AL69&lt;=DK$8,$AL69&gt;0),$AC69,$Y69),0)</f>
        <v>0</v>
      </c>
      <c r="DL69" s="88">
        <f t="shared" ca="1" si="271"/>
        <v>0</v>
      </c>
      <c r="DM69" s="88">
        <f t="shared" ca="1" si="271"/>
        <v>0</v>
      </c>
      <c r="DN69" s="88">
        <f t="shared" ca="1" si="271"/>
        <v>0</v>
      </c>
      <c r="DO69" s="88">
        <f t="shared" ca="1" si="271"/>
        <v>0</v>
      </c>
      <c r="DP69" s="88">
        <f t="shared" ca="1" si="271"/>
        <v>0</v>
      </c>
      <c r="DQ69" s="88">
        <f t="shared" ca="1" si="271"/>
        <v>0</v>
      </c>
      <c r="DR69" s="88">
        <f t="shared" ca="1" si="271"/>
        <v>0</v>
      </c>
      <c r="DS69" s="88">
        <f t="shared" ca="1" si="271"/>
        <v>0</v>
      </c>
      <c r="DT69" s="88">
        <f t="shared" ca="1" si="271"/>
        <v>0</v>
      </c>
      <c r="DU69" s="88">
        <f t="shared" ref="DU69:ED78" ca="1" si="272">IF(AND($H69&lt;=DU$8,$H69+$AK69&gt;DU$8),IF(AND($H69+$AL69&lt;=DU$8,$AL69&gt;0),$AC69,$Y69),0)</f>
        <v>0</v>
      </c>
      <c r="DV69" s="88">
        <f t="shared" ca="1" si="272"/>
        <v>0</v>
      </c>
      <c r="DW69" s="88">
        <f t="shared" ca="1" si="272"/>
        <v>0</v>
      </c>
      <c r="DX69" s="88">
        <f t="shared" ca="1" si="272"/>
        <v>0</v>
      </c>
      <c r="DY69" s="88">
        <f t="shared" ca="1" si="272"/>
        <v>0</v>
      </c>
      <c r="DZ69" s="88">
        <f t="shared" ca="1" si="272"/>
        <v>0</v>
      </c>
      <c r="EA69" s="88">
        <f t="shared" ca="1" si="272"/>
        <v>0</v>
      </c>
      <c r="EB69" s="88">
        <f t="shared" ca="1" si="272"/>
        <v>0</v>
      </c>
      <c r="EC69" s="88">
        <f t="shared" ca="1" si="272"/>
        <v>0</v>
      </c>
      <c r="ED69" s="88">
        <f t="shared" ca="1" si="272"/>
        <v>0</v>
      </c>
      <c r="EE69" s="88">
        <f t="shared" ref="EE69:ES78" ca="1" si="273">IF(AND($H69&lt;=EE$8,$H69+$AK69&gt;EE$8),IF(AND($H69+$AL69&lt;=EE$8,$AL69&gt;0),$AC69,$Y69),0)</f>
        <v>0</v>
      </c>
      <c r="EF69" s="88">
        <f t="shared" ca="1" si="273"/>
        <v>0</v>
      </c>
      <c r="EG69" s="88">
        <f t="shared" ca="1" si="273"/>
        <v>0</v>
      </c>
      <c r="EH69" s="88">
        <f t="shared" ca="1" si="273"/>
        <v>0</v>
      </c>
      <c r="EI69" s="88">
        <f t="shared" ca="1" si="273"/>
        <v>0</v>
      </c>
      <c r="EJ69" s="88">
        <f t="shared" ca="1" si="273"/>
        <v>0</v>
      </c>
      <c r="EK69" s="88">
        <f t="shared" ca="1" si="273"/>
        <v>0</v>
      </c>
      <c r="EL69" s="88">
        <f t="shared" ca="1" si="273"/>
        <v>0</v>
      </c>
      <c r="EM69" s="88">
        <f t="shared" ca="1" si="273"/>
        <v>0</v>
      </c>
      <c r="EN69" s="88">
        <f t="shared" ca="1" si="273"/>
        <v>0</v>
      </c>
      <c r="EO69" s="88">
        <f t="shared" ca="1" si="273"/>
        <v>0</v>
      </c>
      <c r="EP69" s="88">
        <f t="shared" ca="1" si="273"/>
        <v>0</v>
      </c>
      <c r="EQ69" s="88">
        <f t="shared" ca="1" si="273"/>
        <v>0</v>
      </c>
      <c r="ER69" s="88">
        <f t="shared" ca="1" si="273"/>
        <v>0</v>
      </c>
      <c r="ES69" s="88">
        <f t="shared" ca="1" si="273"/>
        <v>0</v>
      </c>
      <c r="ET69" s="169"/>
      <c r="EU69" s="88">
        <f t="shared" ref="EU69:FD78" ca="1" si="274">IF(AND($H69&lt;=EU$8,$H69+$AK69&gt;EU$8),IF(AND($H69+$AL69&lt;=EU$8,$AL69&gt;0),$AD69,$Z69),0)</f>
        <v>0</v>
      </c>
      <c r="EV69" s="88">
        <f t="shared" ca="1" si="274"/>
        <v>0</v>
      </c>
      <c r="EW69" s="88">
        <f t="shared" ca="1" si="274"/>
        <v>0</v>
      </c>
      <c r="EX69" s="88">
        <f t="shared" ca="1" si="274"/>
        <v>0</v>
      </c>
      <c r="EY69" s="88">
        <f t="shared" ca="1" si="274"/>
        <v>0</v>
      </c>
      <c r="EZ69" s="88">
        <f t="shared" ca="1" si="274"/>
        <v>0</v>
      </c>
      <c r="FA69" s="88">
        <f t="shared" ca="1" si="274"/>
        <v>0</v>
      </c>
      <c r="FB69" s="88">
        <f t="shared" ca="1" si="274"/>
        <v>0</v>
      </c>
      <c r="FC69" s="88">
        <f t="shared" ca="1" si="274"/>
        <v>0</v>
      </c>
      <c r="FD69" s="88">
        <f t="shared" ca="1" si="274"/>
        <v>0</v>
      </c>
      <c r="FE69" s="88">
        <f t="shared" ref="FE69:FN78" ca="1" si="275">IF(AND($H69&lt;=FE$8,$H69+$AK69&gt;FE$8),IF(AND($H69+$AL69&lt;=FE$8,$AL69&gt;0),$AD69,$Z69),0)</f>
        <v>0</v>
      </c>
      <c r="FF69" s="88">
        <f t="shared" ca="1" si="275"/>
        <v>0</v>
      </c>
      <c r="FG69" s="88">
        <f t="shared" ca="1" si="275"/>
        <v>0</v>
      </c>
      <c r="FH69" s="88">
        <f t="shared" ca="1" si="275"/>
        <v>0</v>
      </c>
      <c r="FI69" s="88">
        <f t="shared" ca="1" si="275"/>
        <v>0</v>
      </c>
      <c r="FJ69" s="88">
        <f t="shared" ca="1" si="275"/>
        <v>0</v>
      </c>
      <c r="FK69" s="88">
        <f t="shared" ca="1" si="275"/>
        <v>0</v>
      </c>
      <c r="FL69" s="88">
        <f t="shared" ca="1" si="275"/>
        <v>0</v>
      </c>
      <c r="FM69" s="88">
        <f t="shared" ca="1" si="275"/>
        <v>0</v>
      </c>
      <c r="FN69" s="88">
        <f t="shared" ca="1" si="275"/>
        <v>0</v>
      </c>
      <c r="FO69" s="88">
        <f t="shared" ref="FO69:GC78" ca="1" si="276">IF(AND($H69&lt;=FO$8,$H69+$AK69&gt;FO$8),IF(AND($H69+$AL69&lt;=FO$8,$AL69&gt;0),$AD69,$Z69),0)</f>
        <v>0</v>
      </c>
      <c r="FP69" s="88">
        <f t="shared" ca="1" si="276"/>
        <v>0</v>
      </c>
      <c r="FQ69" s="88">
        <f t="shared" ca="1" si="276"/>
        <v>0</v>
      </c>
      <c r="FR69" s="88">
        <f t="shared" ca="1" si="276"/>
        <v>0</v>
      </c>
      <c r="FS69" s="88">
        <f t="shared" ca="1" si="276"/>
        <v>0</v>
      </c>
      <c r="FT69" s="88">
        <f t="shared" ca="1" si="276"/>
        <v>0</v>
      </c>
      <c r="FU69" s="88">
        <f t="shared" ca="1" si="276"/>
        <v>0</v>
      </c>
      <c r="FV69" s="88">
        <f t="shared" ca="1" si="276"/>
        <v>0</v>
      </c>
      <c r="FW69" s="88">
        <f t="shared" ca="1" si="276"/>
        <v>0</v>
      </c>
      <c r="FX69" s="88">
        <f t="shared" ca="1" si="276"/>
        <v>0</v>
      </c>
      <c r="FY69" s="88">
        <f t="shared" ca="1" si="276"/>
        <v>0</v>
      </c>
      <c r="FZ69" s="88">
        <f t="shared" ca="1" si="276"/>
        <v>0</v>
      </c>
      <c r="GA69" s="88">
        <f t="shared" ca="1" si="276"/>
        <v>0</v>
      </c>
      <c r="GB69" s="88">
        <f t="shared" ca="1" si="276"/>
        <v>0</v>
      </c>
      <c r="GC69" s="88">
        <f t="shared" ca="1" si="276"/>
        <v>0</v>
      </c>
      <c r="GD69" s="60"/>
    </row>
    <row r="70" spans="1:186" s="54" customFormat="1">
      <c r="A70" s="61"/>
      <c r="B70" s="100" t="str">
        <f t="shared" si="0"/>
        <v>Residential_Residential Audit_0_LED_2017</v>
      </c>
      <c r="C70" s="100">
        <f>INDEX('Measure Inputs'!$D:$D,MATCH($B70,'Measure Inputs'!$B:$B,0))</f>
        <v>22</v>
      </c>
      <c r="D70" s="101" t="s">
        <v>2</v>
      </c>
      <c r="E70" s="101" t="s">
        <v>251</v>
      </c>
      <c r="F70" s="101">
        <v>0</v>
      </c>
      <c r="G70" s="101" t="s">
        <v>216</v>
      </c>
      <c r="H70" s="101">
        <v>2017</v>
      </c>
      <c r="I70" s="55"/>
      <c r="J70" s="58" t="str">
        <f t="shared" ca="1" si="229"/>
        <v>n/a</v>
      </c>
      <c r="K70" s="58" t="str">
        <f t="shared" ca="1" si="246"/>
        <v>n/a</v>
      </c>
      <c r="L70" s="58" t="str">
        <f t="shared" ca="1" si="230"/>
        <v>n/a</v>
      </c>
      <c r="M70" s="58" t="str">
        <f t="shared" ca="1" si="231"/>
        <v>n/a</v>
      </c>
      <c r="N70" s="58">
        <f t="shared" ca="1" si="232"/>
        <v>0.26866943777996116</v>
      </c>
      <c r="O70" s="55"/>
      <c r="P70" s="175">
        <f ca="1">IFERROR(($AW70+AV70)/SUMPRODUCT($CA70:$DI70,'General Inputs'!$F$51:$AN$51),"n/a")</f>
        <v>0</v>
      </c>
      <c r="Q70" s="175">
        <f t="shared" ca="1" si="233"/>
        <v>0</v>
      </c>
      <c r="R70" s="56">
        <f t="shared" ca="1" si="264"/>
        <v>422.07056892000003</v>
      </c>
      <c r="S70" s="55"/>
      <c r="T70" s="56">
        <f ca="1">INDEX(OFFSET('Measure Inputs'!$L$7,,,InputRows),$C70)</f>
        <v>1300</v>
      </c>
      <c r="U70" s="134">
        <f ca="1">INDEX(OFFSET('Measure Inputs'!$T$7,,,InputRows),$C70)</f>
        <v>1</v>
      </c>
      <c r="V70" s="134">
        <f ca="1">INDEX(OFFSET('Measure Inputs'!$U$7,,,InputRows),$C70)</f>
        <v>1</v>
      </c>
      <c r="W70" s="55"/>
      <c r="X70" s="96">
        <f ca="1">INDEX(OFFSET('Measure Inputs'!$V$7,,,InputRows),$C70)*$T70*$V70*$U70</f>
        <v>42207.056892000001</v>
      </c>
      <c r="Y70" s="96">
        <f ca="1">INDEX(OFFSET('Measure Inputs'!$W$7,,,InputRows),$C70)*$T70*$V70*$U70</f>
        <v>3.7049053859999992</v>
      </c>
      <c r="Z70" s="96">
        <f ca="1">INDEX(OFFSET('Measure Inputs'!$X$7,,,InputRows),$C70)*$T70*$V70*$U70</f>
        <v>0</v>
      </c>
      <c r="AA70" s="55"/>
      <c r="AB70" s="96">
        <f ca="1">INDEX(OFFSET('Measure Inputs'!$Z$7,,,InputRows),$C70)*$T70*$V70*$U70</f>
        <v>0</v>
      </c>
      <c r="AC70" s="96">
        <f ca="1">INDEX(OFFSET('Measure Inputs'!$AA$7,,,InputRows),$C70)*$T70*$V70*$U70</f>
        <v>0</v>
      </c>
      <c r="AD70" s="96">
        <f ca="1">INDEX(OFFSET('Measure Inputs'!$AB$7,,,InputRows),$C70)*$T70*$V70*$U70</f>
        <v>0</v>
      </c>
      <c r="AE70" s="55"/>
      <c r="AF70" s="57">
        <f ca="1">INDEX(OFFSET('Measure Inputs'!$Q$7,,,InputRows),$C70)*$T70</f>
        <v>0</v>
      </c>
      <c r="AG70" s="57">
        <f ca="1">INDEX(OFFSET('Measure Inputs'!$P$7,,,InputRows),$C70)*$T70*$V70</f>
        <v>0</v>
      </c>
      <c r="AH70" s="57">
        <f ca="1">INDEX(OFFSET('Measure Inputs'!$R$7,,,InputRows),$C70)*$T70*$V70</f>
        <v>0</v>
      </c>
      <c r="AI70" s="57">
        <f ca="1">INDEX(OFFSET('Measure Inputs'!$O$7,,,InputRows),$C70)*$T70</f>
        <v>0</v>
      </c>
      <c r="AJ70" s="57">
        <f ca="1">INDEX(OFFSET('Measure Inputs'!$S$7,,,InputRows),$C70)*$T70</f>
        <v>0</v>
      </c>
      <c r="AK70" s="63">
        <f ca="1">INDEX(OFFSET('Measure Inputs'!$M$7,,,InputRows),$C70)</f>
        <v>10</v>
      </c>
      <c r="AL70" s="88">
        <f ca="1">INDEX(OFFSET('Measure Inputs'!$N$7,,,InputRows),$C70)</f>
        <v>0</v>
      </c>
      <c r="AM70" s="57">
        <f ca="1">SUMIFS(OFFSET('Program Inputs'!$N$5,,,TotalPrograms),OFFSET('Program Inputs'!$B$5,,,TotalPrograms),SUBSTITUTE($B70,"All","*"))+AF70</f>
        <v>0</v>
      </c>
      <c r="AN70" s="57">
        <f t="shared" ca="1" si="265"/>
        <v>0</v>
      </c>
      <c r="AO70" s="55"/>
      <c r="AP70" s="59">
        <f t="shared" ca="1" si="266"/>
        <v>9648.5166423963801</v>
      </c>
      <c r="AQ70" s="59">
        <f t="shared" ca="1" si="267"/>
        <v>0</v>
      </c>
      <c r="AR70" s="59">
        <f ca="1">SUMPRODUCT($CA70:$DI70,'General Inputs'!$F$32:$AN$32,'General Inputs'!$F$51:$AN$51)/(1-Loss_ElectricEnergy)</f>
        <v>9075.5136876416618</v>
      </c>
      <c r="AS70" s="59">
        <f ca="1">SUMPRODUCT($DK70:$ES70,'General Inputs'!$F$33:$AN$33,'General Inputs'!$F$51:$AN$51)/(1-Loss_ElectricDemand)</f>
        <v>573.00295475471773</v>
      </c>
      <c r="AT70" s="59">
        <f ca="1">SUMPRODUCT($EU70:$GC70,'General Inputs'!$F$34:$AN$34,'General Inputs'!$F$51:$AN$51)/(1-Loss_GasEnergy)</f>
        <v>0</v>
      </c>
      <c r="AU70" s="59">
        <f ca="1">INDEX('General Inputs'!$F$51:$AN$51,MATCH($H70,'General Inputs'!$F$50:$AN$50,0))*$AJ70</f>
        <v>0</v>
      </c>
      <c r="AV70" s="59">
        <f ca="1">INDEX('General Inputs'!$F$51:$AN$51,MATCH($H70,'General Inputs'!$F$50:$AN$50,0))*$AI70</f>
        <v>0</v>
      </c>
      <c r="AW70" s="59">
        <f ca="1">INDEX('General Inputs'!$F$51:$AN$51,MATCH($H70,'General Inputs'!$F$50:$AN$50,0))*$AM70</f>
        <v>0</v>
      </c>
      <c r="AX70" s="59">
        <f ca="1">SUM(INDEX('General Inputs'!$F$51:$AN$51,MATCH($H70,'General Inputs'!$F$50:$AN$50,0))*$AG70,INDEX('General Inputs'!$F$51:$AN$51,MATCH($H70+$AL70,'General Inputs'!$F$50:$AN$50,0))*-$AH70)</f>
        <v>0</v>
      </c>
      <c r="AY70" s="55"/>
      <c r="AZ70" s="59">
        <f ca="1">SUMPRODUCT($CA70:$DI70,'General Inputs'!$F$32:$AN$32,'General Inputs'!$F$52:$AN$52)/(1-Loss_ElectricEnergy)</f>
        <v>9075.5136876416618</v>
      </c>
      <c r="BA70" s="59">
        <f ca="1">SUMPRODUCT($DK70:$ES70,'General Inputs'!$F$33:$AN$33,'General Inputs'!$F$52:$AN$52)/(1-Loss_ElectricDemand)</f>
        <v>573.00295475471773</v>
      </c>
      <c r="BB70" s="59">
        <f ca="1">SUMPRODUCT($EU70:$GC70,'General Inputs'!$F$34:$AN$34,'General Inputs'!$F$52:$AN$52)/(1-Loss_GasEnergy)</f>
        <v>0</v>
      </c>
      <c r="BC70" s="59">
        <f ca="1">INDEX('General Inputs'!$F$52:$AN$52,MATCH($H70,'General Inputs'!$F$50:$AN$50,0))*$AI70</f>
        <v>0</v>
      </c>
      <c r="BD70" s="59">
        <f ca="1">INDEX('General Inputs'!$F$52:$AN$52,MATCH($H70,'General Inputs'!$F$50:$AN$50,0))*$AM70</f>
        <v>0</v>
      </c>
      <c r="BE70" s="55"/>
      <c r="BF70" s="59">
        <f ca="1">SUMPRODUCT($CA70:$DI70,OFFSET('General Inputs'!$F$40:$AN$40,MATCH($D70&amp;" Electric ($/kWh)",'General Inputs'!$E$40:$E$46,0),),'General Inputs'!$F$54:$AN$54)</f>
        <v>35912.222551708554</v>
      </c>
      <c r="BG70" s="59">
        <f ca="1">SUMPRODUCT($EU70:$GC70,OFFSET('General Inputs'!$F$40:$AN$40,MATCH($D70&amp;" Natural Gas ($/therm)",'General Inputs'!$E$40:$E$46,0),),'General Inputs'!$F$54:$AN$54)</f>
        <v>0</v>
      </c>
      <c r="BH70" s="59">
        <f ca="1">INDEX('General Inputs'!$F$54:$AN$54,MATCH($H70,'General Inputs'!$F$50:$AN$50,0))*$AI70</f>
        <v>0</v>
      </c>
      <c r="BI70" s="59">
        <f ca="1">SUM(INDEX('General Inputs'!$F$54:$AN$54,MATCH($H70,'General Inputs'!$F$50:$AN$50,0))*$AG70,INDEX('General Inputs'!$F$51:$AN$51,MATCH($H70+$AL70,'General Inputs'!$F$50:$AN$50,0))*-$AH70)</f>
        <v>0</v>
      </c>
      <c r="BJ70" s="55"/>
      <c r="BK70" s="59">
        <f ca="1">SUMPRODUCT($CA70:$DI70,'General Inputs'!$F$32:$AN$32,'General Inputs'!$F$53:$AN$53)/(1-Loss_ElectricEnergy)</f>
        <v>9075.5136876416618</v>
      </c>
      <c r="BL70" s="59">
        <f ca="1">SUMPRODUCT($DK70:$ES70,'General Inputs'!$F$33:$AN$33,'General Inputs'!$F$53:$AN$53)/(1-Loss_ElectricDemand)</f>
        <v>573.00295475471773</v>
      </c>
      <c r="BM70" s="59">
        <f ca="1">SUMPRODUCT($EU70:$GC70,'General Inputs'!$F$34:$AN$34,'General Inputs'!$F$53:$AN$53)/(1-Loss_GasEnergy)</f>
        <v>0</v>
      </c>
      <c r="BN70" s="59">
        <f ca="1">INDEX('General Inputs'!$F$53:$AN$53,MATCH($H70,'General Inputs'!$F$50:$AN$50,0))*$AJ70</f>
        <v>0</v>
      </c>
      <c r="BO70" s="59">
        <f ca="1">SUMPRODUCT($CA70:$DI70,'General Inputs'!$F$35:$AN$35,'General Inputs'!$F$53:$AN$53)/(1-Loss_ElectricEnergy)</f>
        <v>3551.6211745114524</v>
      </c>
      <c r="BP70" s="59">
        <f ca="1">INDEX('General Inputs'!$F$51:$AN$51,MATCH($H70,'General Inputs'!$F$50:$AN$50,0))*$AM70</f>
        <v>0</v>
      </c>
      <c r="BQ70" s="59">
        <f ca="1">SUM(INDEX('General Inputs'!$F$53:$AN$53,MATCH($H70,'General Inputs'!$F$50:$AN$50,0))*$AG70,INDEX('General Inputs'!$F$53:$AN$53,MATCH($H70+$AL70,'General Inputs'!$F$50:$AN$50,0))*-$AH70)</f>
        <v>0</v>
      </c>
      <c r="BR70" s="55"/>
      <c r="BS70" s="59">
        <f ca="1">SUMPRODUCT($CA70:$DI70,'General Inputs'!$F$32:$AN$32,'General Inputs'!$F$55:$AN$55)/(1-Loss_ElectricEnergy)</f>
        <v>9075.5136876416618</v>
      </c>
      <c r="BT70" s="59">
        <f ca="1">SUMPRODUCT($DK70:$ES70,'General Inputs'!$F$33:$AN$33,'General Inputs'!$F$55:$AN$55)/(1-Loss_ElectricDemand)</f>
        <v>573.00295475471773</v>
      </c>
      <c r="BU70" s="59">
        <f ca="1">SUMPRODUCT($EU70:$GC70,'General Inputs'!$F$34:$AN$34,'General Inputs'!$F$55:$AN$55)/(1-Loss_GasEnergy)</f>
        <v>0</v>
      </c>
      <c r="BV70" s="59">
        <f ca="1">SUMPRODUCT($CA70:$DI70,OFFSET('General Inputs'!$F$40:$AN$40,MATCH($D70&amp;" Electric ($/kWh)",'General Inputs'!$E$40:$E$46,0),),'General Inputs'!$F$55:$AN$55)</f>
        <v>35912.222551708554</v>
      </c>
      <c r="BW70" s="59">
        <f ca="1">SUMPRODUCT($EU70:$GC70,OFFSET('General Inputs'!$F$40:$AN$40,MATCH($D70&amp;" Natural Gas ($/therm)",'General Inputs'!$E$40:$E$46,0),),'General Inputs'!$F$55:$AN$55)</f>
        <v>0</v>
      </c>
      <c r="BX70" s="59">
        <f ca="1">INDEX('General Inputs'!$F$55:$AN$55,MATCH($H70,'General Inputs'!$F$50:$AN$50,0))*$AI70</f>
        <v>0</v>
      </c>
      <c r="BY70" s="59">
        <f ca="1">INDEX('General Inputs'!$F$51:$AN$51,MATCH($H70,'General Inputs'!$F$50:$AN$50,0))*$AM70</f>
        <v>0</v>
      </c>
      <c r="BZ70" s="55"/>
      <c r="CA70" s="88">
        <f t="shared" ca="1" si="268"/>
        <v>42207.056892000001</v>
      </c>
      <c r="CB70" s="88">
        <f t="shared" ca="1" si="268"/>
        <v>42207.056892000001</v>
      </c>
      <c r="CC70" s="88">
        <f t="shared" ca="1" si="268"/>
        <v>42207.056892000001</v>
      </c>
      <c r="CD70" s="88">
        <f t="shared" ca="1" si="268"/>
        <v>42207.056892000001</v>
      </c>
      <c r="CE70" s="88">
        <f t="shared" ca="1" si="268"/>
        <v>42207.056892000001</v>
      </c>
      <c r="CF70" s="88">
        <f t="shared" ca="1" si="268"/>
        <v>42207.056892000001</v>
      </c>
      <c r="CG70" s="88">
        <f t="shared" ca="1" si="268"/>
        <v>42207.056892000001</v>
      </c>
      <c r="CH70" s="88">
        <f t="shared" ca="1" si="268"/>
        <v>42207.056892000001</v>
      </c>
      <c r="CI70" s="88">
        <f t="shared" ca="1" si="268"/>
        <v>42207.056892000001</v>
      </c>
      <c r="CJ70" s="88">
        <f t="shared" ca="1" si="268"/>
        <v>42207.056892000001</v>
      </c>
      <c r="CK70" s="88">
        <f t="shared" ca="1" si="269"/>
        <v>0</v>
      </c>
      <c r="CL70" s="88">
        <f t="shared" ca="1" si="269"/>
        <v>0</v>
      </c>
      <c r="CM70" s="88">
        <f t="shared" ca="1" si="269"/>
        <v>0</v>
      </c>
      <c r="CN70" s="88">
        <f t="shared" ca="1" si="269"/>
        <v>0</v>
      </c>
      <c r="CO70" s="88">
        <f t="shared" ca="1" si="269"/>
        <v>0</v>
      </c>
      <c r="CP70" s="88">
        <f t="shared" ca="1" si="269"/>
        <v>0</v>
      </c>
      <c r="CQ70" s="88">
        <f t="shared" ca="1" si="269"/>
        <v>0</v>
      </c>
      <c r="CR70" s="88">
        <f t="shared" ca="1" si="269"/>
        <v>0</v>
      </c>
      <c r="CS70" s="88">
        <f t="shared" ca="1" si="269"/>
        <v>0</v>
      </c>
      <c r="CT70" s="88">
        <f t="shared" ca="1" si="269"/>
        <v>0</v>
      </c>
      <c r="CU70" s="88">
        <f t="shared" ca="1" si="270"/>
        <v>0</v>
      </c>
      <c r="CV70" s="88">
        <f t="shared" ca="1" si="270"/>
        <v>0</v>
      </c>
      <c r="CW70" s="88">
        <f t="shared" ca="1" si="270"/>
        <v>0</v>
      </c>
      <c r="CX70" s="88">
        <f t="shared" ca="1" si="270"/>
        <v>0</v>
      </c>
      <c r="CY70" s="88">
        <f t="shared" ca="1" si="270"/>
        <v>0</v>
      </c>
      <c r="CZ70" s="88">
        <f t="shared" ca="1" si="270"/>
        <v>0</v>
      </c>
      <c r="DA70" s="88">
        <f t="shared" ca="1" si="270"/>
        <v>0</v>
      </c>
      <c r="DB70" s="88">
        <f t="shared" ca="1" si="270"/>
        <v>0</v>
      </c>
      <c r="DC70" s="88">
        <f t="shared" ca="1" si="270"/>
        <v>0</v>
      </c>
      <c r="DD70" s="88">
        <f t="shared" ca="1" si="270"/>
        <v>0</v>
      </c>
      <c r="DE70" s="88">
        <f t="shared" ca="1" si="270"/>
        <v>0</v>
      </c>
      <c r="DF70" s="88">
        <f t="shared" ca="1" si="270"/>
        <v>0</v>
      </c>
      <c r="DG70" s="88">
        <f t="shared" ca="1" si="270"/>
        <v>0</v>
      </c>
      <c r="DH70" s="88">
        <f t="shared" ca="1" si="270"/>
        <v>0</v>
      </c>
      <c r="DI70" s="88">
        <f t="shared" ca="1" si="270"/>
        <v>0</v>
      </c>
      <c r="DJ70" s="169"/>
      <c r="DK70" s="88">
        <f t="shared" ca="1" si="271"/>
        <v>3.7049053859999992</v>
      </c>
      <c r="DL70" s="88">
        <f t="shared" ca="1" si="271"/>
        <v>3.7049053859999992</v>
      </c>
      <c r="DM70" s="88">
        <f t="shared" ca="1" si="271"/>
        <v>3.7049053859999992</v>
      </c>
      <c r="DN70" s="88">
        <f t="shared" ca="1" si="271"/>
        <v>3.7049053859999992</v>
      </c>
      <c r="DO70" s="88">
        <f t="shared" ca="1" si="271"/>
        <v>3.7049053859999992</v>
      </c>
      <c r="DP70" s="88">
        <f t="shared" ca="1" si="271"/>
        <v>3.7049053859999992</v>
      </c>
      <c r="DQ70" s="88">
        <f t="shared" ca="1" si="271"/>
        <v>3.7049053859999992</v>
      </c>
      <c r="DR70" s="88">
        <f t="shared" ca="1" si="271"/>
        <v>3.7049053859999992</v>
      </c>
      <c r="DS70" s="88">
        <f t="shared" ca="1" si="271"/>
        <v>3.7049053859999992</v>
      </c>
      <c r="DT70" s="88">
        <f t="shared" ca="1" si="271"/>
        <v>3.7049053859999992</v>
      </c>
      <c r="DU70" s="88">
        <f t="shared" ca="1" si="272"/>
        <v>0</v>
      </c>
      <c r="DV70" s="88">
        <f t="shared" ca="1" si="272"/>
        <v>0</v>
      </c>
      <c r="DW70" s="88">
        <f t="shared" ca="1" si="272"/>
        <v>0</v>
      </c>
      <c r="DX70" s="88">
        <f t="shared" ca="1" si="272"/>
        <v>0</v>
      </c>
      <c r="DY70" s="88">
        <f t="shared" ca="1" si="272"/>
        <v>0</v>
      </c>
      <c r="DZ70" s="88">
        <f t="shared" ca="1" si="272"/>
        <v>0</v>
      </c>
      <c r="EA70" s="88">
        <f t="shared" ca="1" si="272"/>
        <v>0</v>
      </c>
      <c r="EB70" s="88">
        <f t="shared" ca="1" si="272"/>
        <v>0</v>
      </c>
      <c r="EC70" s="88">
        <f t="shared" ca="1" si="272"/>
        <v>0</v>
      </c>
      <c r="ED70" s="88">
        <f t="shared" ca="1" si="272"/>
        <v>0</v>
      </c>
      <c r="EE70" s="88">
        <f t="shared" ca="1" si="273"/>
        <v>0</v>
      </c>
      <c r="EF70" s="88">
        <f t="shared" ca="1" si="273"/>
        <v>0</v>
      </c>
      <c r="EG70" s="88">
        <f t="shared" ca="1" si="273"/>
        <v>0</v>
      </c>
      <c r="EH70" s="88">
        <f t="shared" ca="1" si="273"/>
        <v>0</v>
      </c>
      <c r="EI70" s="88">
        <f t="shared" ca="1" si="273"/>
        <v>0</v>
      </c>
      <c r="EJ70" s="88">
        <f t="shared" ca="1" si="273"/>
        <v>0</v>
      </c>
      <c r="EK70" s="88">
        <f t="shared" ca="1" si="273"/>
        <v>0</v>
      </c>
      <c r="EL70" s="88">
        <f t="shared" ca="1" si="273"/>
        <v>0</v>
      </c>
      <c r="EM70" s="88">
        <f t="shared" ca="1" si="273"/>
        <v>0</v>
      </c>
      <c r="EN70" s="88">
        <f t="shared" ca="1" si="273"/>
        <v>0</v>
      </c>
      <c r="EO70" s="88">
        <f t="shared" ca="1" si="273"/>
        <v>0</v>
      </c>
      <c r="EP70" s="88">
        <f t="shared" ca="1" si="273"/>
        <v>0</v>
      </c>
      <c r="EQ70" s="88">
        <f t="shared" ca="1" si="273"/>
        <v>0</v>
      </c>
      <c r="ER70" s="88">
        <f t="shared" ca="1" si="273"/>
        <v>0</v>
      </c>
      <c r="ES70" s="88">
        <f t="shared" ca="1" si="273"/>
        <v>0</v>
      </c>
      <c r="ET70" s="169"/>
      <c r="EU70" s="88">
        <f t="shared" ca="1" si="274"/>
        <v>0</v>
      </c>
      <c r="EV70" s="88">
        <f t="shared" ca="1" si="274"/>
        <v>0</v>
      </c>
      <c r="EW70" s="88">
        <f t="shared" ca="1" si="274"/>
        <v>0</v>
      </c>
      <c r="EX70" s="88">
        <f t="shared" ca="1" si="274"/>
        <v>0</v>
      </c>
      <c r="EY70" s="88">
        <f t="shared" ca="1" si="274"/>
        <v>0</v>
      </c>
      <c r="EZ70" s="88">
        <f t="shared" ca="1" si="274"/>
        <v>0</v>
      </c>
      <c r="FA70" s="88">
        <f t="shared" ca="1" si="274"/>
        <v>0</v>
      </c>
      <c r="FB70" s="88">
        <f t="shared" ca="1" si="274"/>
        <v>0</v>
      </c>
      <c r="FC70" s="88">
        <f t="shared" ca="1" si="274"/>
        <v>0</v>
      </c>
      <c r="FD70" s="88">
        <f t="shared" ca="1" si="274"/>
        <v>0</v>
      </c>
      <c r="FE70" s="88">
        <f t="shared" ca="1" si="275"/>
        <v>0</v>
      </c>
      <c r="FF70" s="88">
        <f t="shared" ca="1" si="275"/>
        <v>0</v>
      </c>
      <c r="FG70" s="88">
        <f t="shared" ca="1" si="275"/>
        <v>0</v>
      </c>
      <c r="FH70" s="88">
        <f t="shared" ca="1" si="275"/>
        <v>0</v>
      </c>
      <c r="FI70" s="88">
        <f t="shared" ca="1" si="275"/>
        <v>0</v>
      </c>
      <c r="FJ70" s="88">
        <f t="shared" ca="1" si="275"/>
        <v>0</v>
      </c>
      <c r="FK70" s="88">
        <f t="shared" ca="1" si="275"/>
        <v>0</v>
      </c>
      <c r="FL70" s="88">
        <f t="shared" ca="1" si="275"/>
        <v>0</v>
      </c>
      <c r="FM70" s="88">
        <f t="shared" ca="1" si="275"/>
        <v>0</v>
      </c>
      <c r="FN70" s="88">
        <f t="shared" ca="1" si="275"/>
        <v>0</v>
      </c>
      <c r="FO70" s="88">
        <f t="shared" ca="1" si="276"/>
        <v>0</v>
      </c>
      <c r="FP70" s="88">
        <f t="shared" ca="1" si="276"/>
        <v>0</v>
      </c>
      <c r="FQ70" s="88">
        <f t="shared" ca="1" si="276"/>
        <v>0</v>
      </c>
      <c r="FR70" s="88">
        <f t="shared" ca="1" si="276"/>
        <v>0</v>
      </c>
      <c r="FS70" s="88">
        <f t="shared" ca="1" si="276"/>
        <v>0</v>
      </c>
      <c r="FT70" s="88">
        <f t="shared" ca="1" si="276"/>
        <v>0</v>
      </c>
      <c r="FU70" s="88">
        <f t="shared" ca="1" si="276"/>
        <v>0</v>
      </c>
      <c r="FV70" s="88">
        <f t="shared" ca="1" si="276"/>
        <v>0</v>
      </c>
      <c r="FW70" s="88">
        <f t="shared" ca="1" si="276"/>
        <v>0</v>
      </c>
      <c r="FX70" s="88">
        <f t="shared" ca="1" si="276"/>
        <v>0</v>
      </c>
      <c r="FY70" s="88">
        <f t="shared" ca="1" si="276"/>
        <v>0</v>
      </c>
      <c r="FZ70" s="88">
        <f t="shared" ca="1" si="276"/>
        <v>0</v>
      </c>
      <c r="GA70" s="88">
        <f t="shared" ca="1" si="276"/>
        <v>0</v>
      </c>
      <c r="GB70" s="88">
        <f t="shared" ca="1" si="276"/>
        <v>0</v>
      </c>
      <c r="GC70" s="88">
        <f t="shared" ca="1" si="276"/>
        <v>0</v>
      </c>
      <c r="GD70" s="60"/>
    </row>
    <row r="71" spans="1:186" s="54" customFormat="1">
      <c r="A71" s="61"/>
      <c r="B71" s="100" t="str">
        <f t="shared" si="0"/>
        <v>Residential_Residential Audit_0_Faucet Aerator_2017</v>
      </c>
      <c r="C71" s="100">
        <f>INDEX('Measure Inputs'!$D:$D,MATCH($B71,'Measure Inputs'!$B:$B,0))</f>
        <v>23</v>
      </c>
      <c r="D71" s="101" t="s">
        <v>2</v>
      </c>
      <c r="E71" s="101" t="s">
        <v>251</v>
      </c>
      <c r="F71" s="101">
        <v>0</v>
      </c>
      <c r="G71" s="29" t="s">
        <v>525</v>
      </c>
      <c r="H71" s="101">
        <v>2017</v>
      </c>
      <c r="I71" s="55"/>
      <c r="J71" s="58" t="str">
        <f t="shared" ca="1" si="229"/>
        <v>n/a</v>
      </c>
      <c r="K71" s="58" t="str">
        <f t="shared" ca="1" si="246"/>
        <v>n/a</v>
      </c>
      <c r="L71" s="58" t="str">
        <f t="shared" ca="1" si="230"/>
        <v>n/a</v>
      </c>
      <c r="M71" s="58" t="str">
        <f t="shared" ca="1" si="231"/>
        <v>n/a</v>
      </c>
      <c r="N71" s="58">
        <f t="shared" ca="1" si="232"/>
        <v>0.32961653368545418</v>
      </c>
      <c r="O71" s="55"/>
      <c r="P71" s="175">
        <f ca="1">IFERROR(($AW71+AV71)/SUMPRODUCT($CA71:$DI71,'General Inputs'!$F$51:$AN$51),"n/a")</f>
        <v>0</v>
      </c>
      <c r="Q71" s="175">
        <f t="shared" ca="1" si="233"/>
        <v>0</v>
      </c>
      <c r="R71" s="56">
        <f t="shared" ca="1" si="264"/>
        <v>200.65128841522323</v>
      </c>
      <c r="S71" s="55"/>
      <c r="T71" s="56">
        <f ca="1">INDEX(OFFSET('Measure Inputs'!$L$7,,,InputRows),$C71)</f>
        <v>325</v>
      </c>
      <c r="U71" s="134">
        <f ca="1">INDEX(OFFSET('Measure Inputs'!$T$7,,,InputRows),$C71)</f>
        <v>1</v>
      </c>
      <c r="V71" s="134">
        <f ca="1">INDEX(OFFSET('Measure Inputs'!$U$7,,,InputRows),$C71)</f>
        <v>1</v>
      </c>
      <c r="W71" s="55"/>
      <c r="X71" s="96">
        <f ca="1">INDEX(OFFSET('Measure Inputs'!$V$7,,,InputRows),$C71)*$T71*$V71*$U71</f>
        <v>22294.58760169147</v>
      </c>
      <c r="Y71" s="96">
        <f ca="1">INDEX(OFFSET('Measure Inputs'!$W$7,,,InputRows),$C71)*$T71*$V71*$U71</f>
        <v>9.4323255237925459</v>
      </c>
      <c r="Z71" s="96">
        <f ca="1">INDEX(OFFSET('Measure Inputs'!$X$7,,,InputRows),$C71)*$T71*$V71*$U71</f>
        <v>0</v>
      </c>
      <c r="AA71" s="55"/>
      <c r="AB71" s="96">
        <f ca="1">INDEX(OFFSET('Measure Inputs'!$Z$7,,,InputRows),$C71)*$T71*$V71*$U71</f>
        <v>0</v>
      </c>
      <c r="AC71" s="96">
        <f ca="1">INDEX(OFFSET('Measure Inputs'!$AA$7,,,InputRows),$C71)*$T71*$V71*$U71</f>
        <v>0</v>
      </c>
      <c r="AD71" s="96">
        <f ca="1">INDEX(OFFSET('Measure Inputs'!$AB$7,,,InputRows),$C71)*$T71*$V71*$U71</f>
        <v>0</v>
      </c>
      <c r="AE71" s="55"/>
      <c r="AF71" s="57">
        <f ca="1">INDEX(OFFSET('Measure Inputs'!$Q$7,,,InputRows),$C71)*$T71</f>
        <v>0</v>
      </c>
      <c r="AG71" s="57">
        <f ca="1">INDEX(OFFSET('Measure Inputs'!$P$7,,,InputRows),$C71)*$T71*$V71</f>
        <v>0</v>
      </c>
      <c r="AH71" s="57">
        <f ca="1">INDEX(OFFSET('Measure Inputs'!$R$7,,,InputRows),$C71)*$T71*$V71</f>
        <v>0</v>
      </c>
      <c r="AI71" s="57">
        <f ca="1">INDEX(OFFSET('Measure Inputs'!$O$7,,,InputRows),$C71)*$T71</f>
        <v>0</v>
      </c>
      <c r="AJ71" s="57">
        <f ca="1">INDEX(OFFSET('Measure Inputs'!$S$7,,,InputRows),$C71)*$T71</f>
        <v>0</v>
      </c>
      <c r="AK71" s="63">
        <f ca="1">INDEX(OFFSET('Measure Inputs'!$M$7,,,InputRows),$C71)</f>
        <v>9</v>
      </c>
      <c r="AL71" s="88">
        <f ca="1">INDEX(OFFSET('Measure Inputs'!$N$7,,,InputRows),$C71)</f>
        <v>0</v>
      </c>
      <c r="AM71" s="57">
        <f ca="1">SUMIFS(OFFSET('Program Inputs'!$N$5,,,TotalPrograms),OFFSET('Program Inputs'!$B$5,,,TotalPrograms),SUBSTITUTE($B71,"All","*"))+AF71</f>
        <v>0</v>
      </c>
      <c r="AN71" s="57">
        <f t="shared" ca="1" si="265"/>
        <v>0</v>
      </c>
      <c r="AO71" s="55"/>
      <c r="AP71" s="59">
        <f t="shared" ca="1" si="266"/>
        <v>5805.0443532902354</v>
      </c>
      <c r="AQ71" s="59">
        <f t="shared" ca="1" si="267"/>
        <v>0</v>
      </c>
      <c r="AR71" s="59">
        <f ca="1">SUMPRODUCT($CA71:$DI71,'General Inputs'!$F$32:$AN$32,'General Inputs'!$F$51:$AN$51)/(1-Loss_ElectricEnergy)</f>
        <v>4450.6709479106548</v>
      </c>
      <c r="AS71" s="59">
        <f ca="1">SUMPRODUCT($DK71:$ES71,'General Inputs'!$F$33:$AN$33,'General Inputs'!$F$51:$AN$51)/(1-Loss_ElectricDemand)</f>
        <v>1354.3734053795808</v>
      </c>
      <c r="AT71" s="59">
        <f ca="1">SUMPRODUCT($EU71:$GC71,'General Inputs'!$F$34:$AN$34,'General Inputs'!$F$51:$AN$51)/(1-Loss_GasEnergy)</f>
        <v>0</v>
      </c>
      <c r="AU71" s="59">
        <f ca="1">INDEX('General Inputs'!$F$51:$AN$51,MATCH($H71,'General Inputs'!$F$50:$AN$50,0))*$AJ71</f>
        <v>0</v>
      </c>
      <c r="AV71" s="59">
        <f ca="1">INDEX('General Inputs'!$F$51:$AN$51,MATCH($H71,'General Inputs'!$F$50:$AN$50,0))*$AI71</f>
        <v>0</v>
      </c>
      <c r="AW71" s="59">
        <f ca="1">INDEX('General Inputs'!$F$51:$AN$51,MATCH($H71,'General Inputs'!$F$50:$AN$50,0))*$AM71</f>
        <v>0</v>
      </c>
      <c r="AX71" s="59">
        <f ca="1">SUM(INDEX('General Inputs'!$F$51:$AN$51,MATCH($H71,'General Inputs'!$F$50:$AN$50,0))*$AG71,INDEX('General Inputs'!$F$51:$AN$51,MATCH($H71+$AL71,'General Inputs'!$F$50:$AN$50,0))*-$AH71)</f>
        <v>0</v>
      </c>
      <c r="AY71" s="55"/>
      <c r="AZ71" s="59">
        <f ca="1">SUMPRODUCT($CA71:$DI71,'General Inputs'!$F$32:$AN$32,'General Inputs'!$F$52:$AN$52)/(1-Loss_ElectricEnergy)</f>
        <v>4450.6709479106548</v>
      </c>
      <c r="BA71" s="59">
        <f ca="1">SUMPRODUCT($DK71:$ES71,'General Inputs'!$F$33:$AN$33,'General Inputs'!$F$52:$AN$52)/(1-Loss_ElectricDemand)</f>
        <v>1354.3734053795808</v>
      </c>
      <c r="BB71" s="59">
        <f ca="1">SUMPRODUCT($EU71:$GC71,'General Inputs'!$F$34:$AN$34,'General Inputs'!$F$52:$AN$52)/(1-Loss_GasEnergy)</f>
        <v>0</v>
      </c>
      <c r="BC71" s="59">
        <f ca="1">INDEX('General Inputs'!$F$52:$AN$52,MATCH($H71,'General Inputs'!$F$50:$AN$50,0))*$AI71</f>
        <v>0</v>
      </c>
      <c r="BD71" s="59">
        <f ca="1">INDEX('General Inputs'!$F$52:$AN$52,MATCH($H71,'General Inputs'!$F$50:$AN$50,0))*$AM71</f>
        <v>0</v>
      </c>
      <c r="BE71" s="55"/>
      <c r="BF71" s="59">
        <f ca="1">SUMPRODUCT($CA71:$DI71,OFFSET('General Inputs'!$F$40:$AN$40,MATCH($D71&amp;" Electric ($/kWh)",'General Inputs'!$E$40:$E$46,0),),'General Inputs'!$F$54:$AN$54)</f>
        <v>17611.508404581007</v>
      </c>
      <c r="BG71" s="59">
        <f ca="1">SUMPRODUCT($EU71:$GC71,OFFSET('General Inputs'!$F$40:$AN$40,MATCH($D71&amp;" Natural Gas ($/therm)",'General Inputs'!$E$40:$E$46,0),),'General Inputs'!$F$54:$AN$54)</f>
        <v>0</v>
      </c>
      <c r="BH71" s="59">
        <f ca="1">INDEX('General Inputs'!$F$54:$AN$54,MATCH($H71,'General Inputs'!$F$50:$AN$50,0))*$AI71</f>
        <v>0</v>
      </c>
      <c r="BI71" s="59">
        <f ca="1">SUM(INDEX('General Inputs'!$F$54:$AN$54,MATCH($H71,'General Inputs'!$F$50:$AN$50,0))*$AG71,INDEX('General Inputs'!$F$51:$AN$51,MATCH($H71+$AL71,'General Inputs'!$F$50:$AN$50,0))*-$AH71)</f>
        <v>0</v>
      </c>
      <c r="BJ71" s="55"/>
      <c r="BK71" s="59">
        <f ca="1">SUMPRODUCT($CA71:$DI71,'General Inputs'!$F$32:$AN$32,'General Inputs'!$F$53:$AN$53)/(1-Loss_ElectricEnergy)</f>
        <v>4450.6709479106548</v>
      </c>
      <c r="BL71" s="59">
        <f ca="1">SUMPRODUCT($DK71:$ES71,'General Inputs'!$F$33:$AN$33,'General Inputs'!$F$53:$AN$53)/(1-Loss_ElectricDemand)</f>
        <v>1354.3734053795808</v>
      </c>
      <c r="BM71" s="59">
        <f ca="1">SUMPRODUCT($EU71:$GC71,'General Inputs'!$F$34:$AN$34,'General Inputs'!$F$53:$AN$53)/(1-Loss_GasEnergy)</f>
        <v>0</v>
      </c>
      <c r="BN71" s="59">
        <f ca="1">INDEX('General Inputs'!$F$53:$AN$53,MATCH($H71,'General Inputs'!$F$50:$AN$50,0))*$AJ71</f>
        <v>0</v>
      </c>
      <c r="BO71" s="59">
        <f ca="1">SUMPRODUCT($CA71:$DI71,'General Inputs'!$F$35:$AN$35,'General Inputs'!$F$53:$AN$53)/(1-Loss_ElectricEnergy)</f>
        <v>1751.6083278978247</v>
      </c>
      <c r="BP71" s="59">
        <f ca="1">INDEX('General Inputs'!$F$51:$AN$51,MATCH($H71,'General Inputs'!$F$50:$AN$50,0))*$AM71</f>
        <v>0</v>
      </c>
      <c r="BQ71" s="59">
        <f ca="1">SUM(INDEX('General Inputs'!$F$53:$AN$53,MATCH($H71,'General Inputs'!$F$50:$AN$50,0))*$AG71,INDEX('General Inputs'!$F$53:$AN$53,MATCH($H71+$AL71,'General Inputs'!$F$50:$AN$50,0))*-$AH71)</f>
        <v>0</v>
      </c>
      <c r="BR71" s="55"/>
      <c r="BS71" s="59">
        <f ca="1">SUMPRODUCT($CA71:$DI71,'General Inputs'!$F$32:$AN$32,'General Inputs'!$F$55:$AN$55)/(1-Loss_ElectricEnergy)</f>
        <v>4450.6709479106548</v>
      </c>
      <c r="BT71" s="59">
        <f ca="1">SUMPRODUCT($DK71:$ES71,'General Inputs'!$F$33:$AN$33,'General Inputs'!$F$55:$AN$55)/(1-Loss_ElectricDemand)</f>
        <v>1354.3734053795808</v>
      </c>
      <c r="BU71" s="59">
        <f ca="1">SUMPRODUCT($EU71:$GC71,'General Inputs'!$F$34:$AN$34,'General Inputs'!$F$55:$AN$55)/(1-Loss_GasEnergy)</f>
        <v>0</v>
      </c>
      <c r="BV71" s="59">
        <f ca="1">SUMPRODUCT($CA71:$DI71,OFFSET('General Inputs'!$F$40:$AN$40,MATCH($D71&amp;" Electric ($/kWh)",'General Inputs'!$E$40:$E$46,0),),'General Inputs'!$F$55:$AN$55)</f>
        <v>17611.508404581007</v>
      </c>
      <c r="BW71" s="59">
        <f ca="1">SUMPRODUCT($EU71:$GC71,OFFSET('General Inputs'!$F$40:$AN$40,MATCH($D71&amp;" Natural Gas ($/therm)",'General Inputs'!$E$40:$E$46,0),),'General Inputs'!$F$55:$AN$55)</f>
        <v>0</v>
      </c>
      <c r="BX71" s="59">
        <f ca="1">INDEX('General Inputs'!$F$55:$AN$55,MATCH($H71,'General Inputs'!$F$50:$AN$50,0))*$AI71</f>
        <v>0</v>
      </c>
      <c r="BY71" s="59">
        <f ca="1">INDEX('General Inputs'!$F$51:$AN$51,MATCH($H71,'General Inputs'!$F$50:$AN$50,0))*$AM71</f>
        <v>0</v>
      </c>
      <c r="BZ71" s="55"/>
      <c r="CA71" s="88">
        <f t="shared" ca="1" si="268"/>
        <v>22294.58760169147</v>
      </c>
      <c r="CB71" s="88">
        <f t="shared" ca="1" si="268"/>
        <v>22294.58760169147</v>
      </c>
      <c r="CC71" s="88">
        <f t="shared" ca="1" si="268"/>
        <v>22294.58760169147</v>
      </c>
      <c r="CD71" s="88">
        <f t="shared" ca="1" si="268"/>
        <v>22294.58760169147</v>
      </c>
      <c r="CE71" s="88">
        <f t="shared" ca="1" si="268"/>
        <v>22294.58760169147</v>
      </c>
      <c r="CF71" s="88">
        <f t="shared" ca="1" si="268"/>
        <v>22294.58760169147</v>
      </c>
      <c r="CG71" s="88">
        <f t="shared" ca="1" si="268"/>
        <v>22294.58760169147</v>
      </c>
      <c r="CH71" s="88">
        <f t="shared" ca="1" si="268"/>
        <v>22294.58760169147</v>
      </c>
      <c r="CI71" s="88">
        <f t="shared" ca="1" si="268"/>
        <v>22294.58760169147</v>
      </c>
      <c r="CJ71" s="88">
        <f t="shared" ca="1" si="268"/>
        <v>0</v>
      </c>
      <c r="CK71" s="88">
        <f t="shared" ca="1" si="269"/>
        <v>0</v>
      </c>
      <c r="CL71" s="88">
        <f t="shared" ca="1" si="269"/>
        <v>0</v>
      </c>
      <c r="CM71" s="88">
        <f t="shared" ca="1" si="269"/>
        <v>0</v>
      </c>
      <c r="CN71" s="88">
        <f t="shared" ca="1" si="269"/>
        <v>0</v>
      </c>
      <c r="CO71" s="88">
        <f t="shared" ca="1" si="269"/>
        <v>0</v>
      </c>
      <c r="CP71" s="88">
        <f t="shared" ca="1" si="269"/>
        <v>0</v>
      </c>
      <c r="CQ71" s="88">
        <f t="shared" ca="1" si="269"/>
        <v>0</v>
      </c>
      <c r="CR71" s="88">
        <f t="shared" ca="1" si="269"/>
        <v>0</v>
      </c>
      <c r="CS71" s="88">
        <f t="shared" ca="1" si="269"/>
        <v>0</v>
      </c>
      <c r="CT71" s="88">
        <f t="shared" ca="1" si="269"/>
        <v>0</v>
      </c>
      <c r="CU71" s="88">
        <f t="shared" ca="1" si="270"/>
        <v>0</v>
      </c>
      <c r="CV71" s="88">
        <f t="shared" ca="1" si="270"/>
        <v>0</v>
      </c>
      <c r="CW71" s="88">
        <f t="shared" ca="1" si="270"/>
        <v>0</v>
      </c>
      <c r="CX71" s="88">
        <f t="shared" ca="1" si="270"/>
        <v>0</v>
      </c>
      <c r="CY71" s="88">
        <f t="shared" ca="1" si="270"/>
        <v>0</v>
      </c>
      <c r="CZ71" s="88">
        <f t="shared" ca="1" si="270"/>
        <v>0</v>
      </c>
      <c r="DA71" s="88">
        <f t="shared" ca="1" si="270"/>
        <v>0</v>
      </c>
      <c r="DB71" s="88">
        <f t="shared" ca="1" si="270"/>
        <v>0</v>
      </c>
      <c r="DC71" s="88">
        <f t="shared" ca="1" si="270"/>
        <v>0</v>
      </c>
      <c r="DD71" s="88">
        <f t="shared" ca="1" si="270"/>
        <v>0</v>
      </c>
      <c r="DE71" s="88">
        <f t="shared" ca="1" si="270"/>
        <v>0</v>
      </c>
      <c r="DF71" s="88">
        <f t="shared" ca="1" si="270"/>
        <v>0</v>
      </c>
      <c r="DG71" s="88">
        <f t="shared" ca="1" si="270"/>
        <v>0</v>
      </c>
      <c r="DH71" s="88">
        <f t="shared" ca="1" si="270"/>
        <v>0</v>
      </c>
      <c r="DI71" s="88">
        <f t="shared" ca="1" si="270"/>
        <v>0</v>
      </c>
      <c r="DJ71" s="169"/>
      <c r="DK71" s="88">
        <f t="shared" ca="1" si="271"/>
        <v>9.4323255237925459</v>
      </c>
      <c r="DL71" s="88">
        <f t="shared" ca="1" si="271"/>
        <v>9.4323255237925459</v>
      </c>
      <c r="DM71" s="88">
        <f t="shared" ca="1" si="271"/>
        <v>9.4323255237925459</v>
      </c>
      <c r="DN71" s="88">
        <f t="shared" ca="1" si="271"/>
        <v>9.4323255237925459</v>
      </c>
      <c r="DO71" s="88">
        <f t="shared" ca="1" si="271"/>
        <v>9.4323255237925459</v>
      </c>
      <c r="DP71" s="88">
        <f t="shared" ca="1" si="271"/>
        <v>9.4323255237925459</v>
      </c>
      <c r="DQ71" s="88">
        <f t="shared" ca="1" si="271"/>
        <v>9.4323255237925459</v>
      </c>
      <c r="DR71" s="88">
        <f t="shared" ca="1" si="271"/>
        <v>9.4323255237925459</v>
      </c>
      <c r="DS71" s="88">
        <f t="shared" ca="1" si="271"/>
        <v>9.4323255237925459</v>
      </c>
      <c r="DT71" s="88">
        <f t="shared" ca="1" si="271"/>
        <v>0</v>
      </c>
      <c r="DU71" s="88">
        <f t="shared" ca="1" si="272"/>
        <v>0</v>
      </c>
      <c r="DV71" s="88">
        <f t="shared" ca="1" si="272"/>
        <v>0</v>
      </c>
      <c r="DW71" s="88">
        <f t="shared" ca="1" si="272"/>
        <v>0</v>
      </c>
      <c r="DX71" s="88">
        <f t="shared" ca="1" si="272"/>
        <v>0</v>
      </c>
      <c r="DY71" s="88">
        <f t="shared" ca="1" si="272"/>
        <v>0</v>
      </c>
      <c r="DZ71" s="88">
        <f t="shared" ca="1" si="272"/>
        <v>0</v>
      </c>
      <c r="EA71" s="88">
        <f t="shared" ca="1" si="272"/>
        <v>0</v>
      </c>
      <c r="EB71" s="88">
        <f t="shared" ca="1" si="272"/>
        <v>0</v>
      </c>
      <c r="EC71" s="88">
        <f t="shared" ca="1" si="272"/>
        <v>0</v>
      </c>
      <c r="ED71" s="88">
        <f t="shared" ca="1" si="272"/>
        <v>0</v>
      </c>
      <c r="EE71" s="88">
        <f t="shared" ca="1" si="273"/>
        <v>0</v>
      </c>
      <c r="EF71" s="88">
        <f t="shared" ca="1" si="273"/>
        <v>0</v>
      </c>
      <c r="EG71" s="88">
        <f t="shared" ca="1" si="273"/>
        <v>0</v>
      </c>
      <c r="EH71" s="88">
        <f t="shared" ca="1" si="273"/>
        <v>0</v>
      </c>
      <c r="EI71" s="88">
        <f t="shared" ca="1" si="273"/>
        <v>0</v>
      </c>
      <c r="EJ71" s="88">
        <f t="shared" ca="1" si="273"/>
        <v>0</v>
      </c>
      <c r="EK71" s="88">
        <f t="shared" ca="1" si="273"/>
        <v>0</v>
      </c>
      <c r="EL71" s="88">
        <f t="shared" ca="1" si="273"/>
        <v>0</v>
      </c>
      <c r="EM71" s="88">
        <f t="shared" ca="1" si="273"/>
        <v>0</v>
      </c>
      <c r="EN71" s="88">
        <f t="shared" ca="1" si="273"/>
        <v>0</v>
      </c>
      <c r="EO71" s="88">
        <f t="shared" ca="1" si="273"/>
        <v>0</v>
      </c>
      <c r="EP71" s="88">
        <f t="shared" ca="1" si="273"/>
        <v>0</v>
      </c>
      <c r="EQ71" s="88">
        <f t="shared" ca="1" si="273"/>
        <v>0</v>
      </c>
      <c r="ER71" s="88">
        <f t="shared" ca="1" si="273"/>
        <v>0</v>
      </c>
      <c r="ES71" s="88">
        <f t="shared" ca="1" si="273"/>
        <v>0</v>
      </c>
      <c r="ET71" s="169"/>
      <c r="EU71" s="88">
        <f t="shared" ca="1" si="274"/>
        <v>0</v>
      </c>
      <c r="EV71" s="88">
        <f t="shared" ca="1" si="274"/>
        <v>0</v>
      </c>
      <c r="EW71" s="88">
        <f t="shared" ca="1" si="274"/>
        <v>0</v>
      </c>
      <c r="EX71" s="88">
        <f t="shared" ca="1" si="274"/>
        <v>0</v>
      </c>
      <c r="EY71" s="88">
        <f t="shared" ca="1" si="274"/>
        <v>0</v>
      </c>
      <c r="EZ71" s="88">
        <f t="shared" ca="1" si="274"/>
        <v>0</v>
      </c>
      <c r="FA71" s="88">
        <f t="shared" ca="1" si="274"/>
        <v>0</v>
      </c>
      <c r="FB71" s="88">
        <f t="shared" ca="1" si="274"/>
        <v>0</v>
      </c>
      <c r="FC71" s="88">
        <f t="shared" ca="1" si="274"/>
        <v>0</v>
      </c>
      <c r="FD71" s="88">
        <f t="shared" ca="1" si="274"/>
        <v>0</v>
      </c>
      <c r="FE71" s="88">
        <f t="shared" ca="1" si="275"/>
        <v>0</v>
      </c>
      <c r="FF71" s="88">
        <f t="shared" ca="1" si="275"/>
        <v>0</v>
      </c>
      <c r="FG71" s="88">
        <f t="shared" ca="1" si="275"/>
        <v>0</v>
      </c>
      <c r="FH71" s="88">
        <f t="shared" ca="1" si="275"/>
        <v>0</v>
      </c>
      <c r="FI71" s="88">
        <f t="shared" ca="1" si="275"/>
        <v>0</v>
      </c>
      <c r="FJ71" s="88">
        <f t="shared" ca="1" si="275"/>
        <v>0</v>
      </c>
      <c r="FK71" s="88">
        <f t="shared" ca="1" si="275"/>
        <v>0</v>
      </c>
      <c r="FL71" s="88">
        <f t="shared" ca="1" si="275"/>
        <v>0</v>
      </c>
      <c r="FM71" s="88">
        <f t="shared" ca="1" si="275"/>
        <v>0</v>
      </c>
      <c r="FN71" s="88">
        <f t="shared" ca="1" si="275"/>
        <v>0</v>
      </c>
      <c r="FO71" s="88">
        <f t="shared" ca="1" si="276"/>
        <v>0</v>
      </c>
      <c r="FP71" s="88">
        <f t="shared" ca="1" si="276"/>
        <v>0</v>
      </c>
      <c r="FQ71" s="88">
        <f t="shared" ca="1" si="276"/>
        <v>0</v>
      </c>
      <c r="FR71" s="88">
        <f t="shared" ca="1" si="276"/>
        <v>0</v>
      </c>
      <c r="FS71" s="88">
        <f t="shared" ca="1" si="276"/>
        <v>0</v>
      </c>
      <c r="FT71" s="88">
        <f t="shared" ca="1" si="276"/>
        <v>0</v>
      </c>
      <c r="FU71" s="88">
        <f t="shared" ca="1" si="276"/>
        <v>0</v>
      </c>
      <c r="FV71" s="88">
        <f t="shared" ca="1" si="276"/>
        <v>0</v>
      </c>
      <c r="FW71" s="88">
        <f t="shared" ca="1" si="276"/>
        <v>0</v>
      </c>
      <c r="FX71" s="88">
        <f t="shared" ca="1" si="276"/>
        <v>0</v>
      </c>
      <c r="FY71" s="88">
        <f t="shared" ca="1" si="276"/>
        <v>0</v>
      </c>
      <c r="FZ71" s="88">
        <f t="shared" ca="1" si="276"/>
        <v>0</v>
      </c>
      <c r="GA71" s="88">
        <f t="shared" ca="1" si="276"/>
        <v>0</v>
      </c>
      <c r="GB71" s="88">
        <f t="shared" ca="1" si="276"/>
        <v>0</v>
      </c>
      <c r="GC71" s="88">
        <f t="shared" ca="1" si="276"/>
        <v>0</v>
      </c>
      <c r="GD71" s="60"/>
    </row>
    <row r="72" spans="1:186" s="54" customFormat="1">
      <c r="A72" s="61"/>
      <c r="B72" s="100" t="str">
        <f t="shared" ref="B72:B129" si="277">D72&amp;"_"&amp;E72&amp;"_"&amp;F72&amp;"_"&amp;G72&amp;"_"&amp;H72</f>
        <v>Residential_Residential Audit_0_Low Flow Showerhead_2017</v>
      </c>
      <c r="C72" s="100">
        <f>INDEX('Measure Inputs'!$D:$D,MATCH($B72,'Measure Inputs'!$B:$B,0))</f>
        <v>24</v>
      </c>
      <c r="D72" s="101" t="s">
        <v>2</v>
      </c>
      <c r="E72" s="101" t="s">
        <v>251</v>
      </c>
      <c r="F72" s="101">
        <v>0</v>
      </c>
      <c r="G72" s="101" t="s">
        <v>267</v>
      </c>
      <c r="H72" s="101">
        <v>2017</v>
      </c>
      <c r="I72" s="55"/>
      <c r="J72" s="58" t="str">
        <f t="shared" ca="1" si="229"/>
        <v>n/a</v>
      </c>
      <c r="K72" s="58" t="str">
        <f t="shared" ca="1" si="246"/>
        <v>n/a</v>
      </c>
      <c r="L72" s="58" t="str">
        <f t="shared" ca="1" si="230"/>
        <v>n/a</v>
      </c>
      <c r="M72" s="58" t="str">
        <f t="shared" ca="1" si="231"/>
        <v>n/a</v>
      </c>
      <c r="N72" s="58">
        <f t="shared" ca="1" si="232"/>
        <v>0.26944626743999855</v>
      </c>
      <c r="O72" s="55"/>
      <c r="P72" s="175">
        <f ca="1">IFERROR(($AW72+AV72)/SUMPRODUCT($CA72:$DI72,'General Inputs'!$F$51:$AN$51),"n/a")</f>
        <v>0</v>
      </c>
      <c r="Q72" s="175">
        <f t="shared" ca="1" si="233"/>
        <v>0</v>
      </c>
      <c r="R72" s="56">
        <f t="shared" ca="1" si="264"/>
        <v>318.18952538146692</v>
      </c>
      <c r="S72" s="55"/>
      <c r="T72" s="56">
        <f ca="1">INDEX(OFFSET('Measure Inputs'!$L$7,,,InputRows),$C72)</f>
        <v>325</v>
      </c>
      <c r="U72" s="134">
        <f ca="1">INDEX(OFFSET('Measure Inputs'!$T$7,,,InputRows),$C72)</f>
        <v>1</v>
      </c>
      <c r="V72" s="134">
        <f ca="1">INDEX(OFFSET('Measure Inputs'!$U$7,,,InputRows),$C72)</f>
        <v>1</v>
      </c>
      <c r="W72" s="55"/>
      <c r="X72" s="96">
        <f ca="1">INDEX(OFFSET('Measure Inputs'!$V$7,,,InputRows),$C72)*$T72*$V72*$U72</f>
        <v>31818.952538146692</v>
      </c>
      <c r="Y72" s="96">
        <f ca="1">INDEX(OFFSET('Measure Inputs'!$W$7,,,InputRows),$C72)*$T72*$V72*$U72</f>
        <v>2.9290294058293975</v>
      </c>
      <c r="Z72" s="96">
        <f ca="1">INDEX(OFFSET('Measure Inputs'!$X$7,,,InputRows),$C72)*$T72*$V72*$U72</f>
        <v>0</v>
      </c>
      <c r="AA72" s="55"/>
      <c r="AB72" s="96">
        <f ca="1">INDEX(OFFSET('Measure Inputs'!$Z$7,,,InputRows),$C72)*$T72*$V72*$U72</f>
        <v>0</v>
      </c>
      <c r="AC72" s="96">
        <f ca="1">INDEX(OFFSET('Measure Inputs'!$AA$7,,,InputRows),$C72)*$T72*$V72*$U72</f>
        <v>0</v>
      </c>
      <c r="AD72" s="96">
        <f ca="1">INDEX(OFFSET('Measure Inputs'!$AB$7,,,InputRows),$C72)*$T72*$V72*$U72</f>
        <v>0</v>
      </c>
      <c r="AE72" s="55"/>
      <c r="AF72" s="57">
        <f ca="1">INDEX(OFFSET('Measure Inputs'!$Q$7,,,InputRows),$C72)*$T72</f>
        <v>0</v>
      </c>
      <c r="AG72" s="57">
        <f ca="1">INDEX(OFFSET('Measure Inputs'!$P$7,,,InputRows),$C72)*$T72*$V72</f>
        <v>0</v>
      </c>
      <c r="AH72" s="57">
        <f ca="1">INDEX(OFFSET('Measure Inputs'!$R$7,,,InputRows),$C72)*$T72*$V72</f>
        <v>0</v>
      </c>
      <c r="AI72" s="57">
        <f ca="1">INDEX(OFFSET('Measure Inputs'!$O$7,,,InputRows),$C72)*$T72</f>
        <v>0</v>
      </c>
      <c r="AJ72" s="57">
        <f ca="1">INDEX(OFFSET('Measure Inputs'!$S$7,,,InputRows),$C72)*$T72</f>
        <v>0</v>
      </c>
      <c r="AK72" s="63">
        <f ca="1">INDEX(OFFSET('Measure Inputs'!$M$7,,,InputRows),$C72)</f>
        <v>10</v>
      </c>
      <c r="AL72" s="88">
        <f ca="1">INDEX(OFFSET('Measure Inputs'!$N$7,,,InputRows),$C72)</f>
        <v>0</v>
      </c>
      <c r="AM72" s="57">
        <f ca="1">SUMIFS(OFFSET('Program Inputs'!$N$5,,,TotalPrograms),OFFSET('Program Inputs'!$B$5,,,TotalPrograms),SUBSTITUTE($B72,"All","*"))+AF72</f>
        <v>0</v>
      </c>
      <c r="AN72" s="57">
        <f t="shared" ca="1" si="265"/>
        <v>0</v>
      </c>
      <c r="AO72" s="55"/>
      <c r="AP72" s="59">
        <f t="shared" ca="1" si="266"/>
        <v>7294.8314979657043</v>
      </c>
      <c r="AQ72" s="59">
        <f t="shared" ca="1" si="267"/>
        <v>0</v>
      </c>
      <c r="AR72" s="59">
        <f ca="1">SUMPRODUCT($CA72:$DI72,'General Inputs'!$F$32:$AN$32,'General Inputs'!$F$51:$AN$51)/(1-Loss_ElectricEnergy)</f>
        <v>6841.8260014027483</v>
      </c>
      <c r="AS72" s="59">
        <f ca="1">SUMPRODUCT($DK72:$ES72,'General Inputs'!$F$33:$AN$33,'General Inputs'!$F$51:$AN$51)/(1-Loss_ElectricDemand)</f>
        <v>453.00549656295595</v>
      </c>
      <c r="AT72" s="59">
        <f ca="1">SUMPRODUCT($EU72:$GC72,'General Inputs'!$F$34:$AN$34,'General Inputs'!$F$51:$AN$51)/(1-Loss_GasEnergy)</f>
        <v>0</v>
      </c>
      <c r="AU72" s="59">
        <f ca="1">INDEX('General Inputs'!$F$51:$AN$51,MATCH($H72,'General Inputs'!$F$50:$AN$50,0))*$AJ72</f>
        <v>0</v>
      </c>
      <c r="AV72" s="59">
        <f ca="1">INDEX('General Inputs'!$F$51:$AN$51,MATCH($H72,'General Inputs'!$F$50:$AN$50,0))*$AI72</f>
        <v>0</v>
      </c>
      <c r="AW72" s="59">
        <f ca="1">INDEX('General Inputs'!$F$51:$AN$51,MATCH($H72,'General Inputs'!$F$50:$AN$50,0))*$AM72</f>
        <v>0</v>
      </c>
      <c r="AX72" s="59">
        <f ca="1">SUM(INDEX('General Inputs'!$F$51:$AN$51,MATCH($H72,'General Inputs'!$F$50:$AN$50,0))*$AG72,INDEX('General Inputs'!$F$51:$AN$51,MATCH($H72+$AL72,'General Inputs'!$F$50:$AN$50,0))*-$AH72)</f>
        <v>0</v>
      </c>
      <c r="AY72" s="55"/>
      <c r="AZ72" s="59">
        <f ca="1">SUMPRODUCT($CA72:$DI72,'General Inputs'!$F$32:$AN$32,'General Inputs'!$F$52:$AN$52)/(1-Loss_ElectricEnergy)</f>
        <v>6841.8260014027483</v>
      </c>
      <c r="BA72" s="59">
        <f ca="1">SUMPRODUCT($DK72:$ES72,'General Inputs'!$F$33:$AN$33,'General Inputs'!$F$52:$AN$52)/(1-Loss_ElectricDemand)</f>
        <v>453.00549656295595</v>
      </c>
      <c r="BB72" s="59">
        <f ca="1">SUMPRODUCT($EU72:$GC72,'General Inputs'!$F$34:$AN$34,'General Inputs'!$F$52:$AN$52)/(1-Loss_GasEnergy)</f>
        <v>0</v>
      </c>
      <c r="BC72" s="59">
        <f ca="1">INDEX('General Inputs'!$F$52:$AN$52,MATCH($H72,'General Inputs'!$F$50:$AN$50,0))*$AI72</f>
        <v>0</v>
      </c>
      <c r="BD72" s="59">
        <f ca="1">INDEX('General Inputs'!$F$52:$AN$52,MATCH($H72,'General Inputs'!$F$50:$AN$50,0))*$AM72</f>
        <v>0</v>
      </c>
      <c r="BE72" s="55"/>
      <c r="BF72" s="59">
        <f ca="1">SUMPRODUCT($CA72:$DI72,OFFSET('General Inputs'!$F$40:$AN$40,MATCH($D72&amp;" Electric ($/kWh)",'General Inputs'!$E$40:$E$46,0),),'General Inputs'!$F$54:$AN$54)</f>
        <v>27073.418263588115</v>
      </c>
      <c r="BG72" s="59">
        <f ca="1">SUMPRODUCT($EU72:$GC72,OFFSET('General Inputs'!$F$40:$AN$40,MATCH($D72&amp;" Natural Gas ($/therm)",'General Inputs'!$E$40:$E$46,0),),'General Inputs'!$F$54:$AN$54)</f>
        <v>0</v>
      </c>
      <c r="BH72" s="59">
        <f ca="1">INDEX('General Inputs'!$F$54:$AN$54,MATCH($H72,'General Inputs'!$F$50:$AN$50,0))*$AI72</f>
        <v>0</v>
      </c>
      <c r="BI72" s="59">
        <f ca="1">SUM(INDEX('General Inputs'!$F$54:$AN$54,MATCH($H72,'General Inputs'!$F$50:$AN$50,0))*$AG72,INDEX('General Inputs'!$F$51:$AN$51,MATCH($H72+$AL72,'General Inputs'!$F$50:$AN$50,0))*-$AH72)</f>
        <v>0</v>
      </c>
      <c r="BJ72" s="55"/>
      <c r="BK72" s="59">
        <f ca="1">SUMPRODUCT($CA72:$DI72,'General Inputs'!$F$32:$AN$32,'General Inputs'!$F$53:$AN$53)/(1-Loss_ElectricEnergy)</f>
        <v>6841.8260014027483</v>
      </c>
      <c r="BL72" s="59">
        <f ca="1">SUMPRODUCT($DK72:$ES72,'General Inputs'!$F$33:$AN$33,'General Inputs'!$F$53:$AN$53)/(1-Loss_ElectricDemand)</f>
        <v>453.00549656295595</v>
      </c>
      <c r="BM72" s="59">
        <f ca="1">SUMPRODUCT($EU72:$GC72,'General Inputs'!$F$34:$AN$34,'General Inputs'!$F$53:$AN$53)/(1-Loss_GasEnergy)</f>
        <v>0</v>
      </c>
      <c r="BN72" s="59">
        <f ca="1">INDEX('General Inputs'!$F$53:$AN$53,MATCH($H72,'General Inputs'!$F$50:$AN$50,0))*$AJ72</f>
        <v>0</v>
      </c>
      <c r="BO72" s="59">
        <f ca="1">SUMPRODUCT($CA72:$DI72,'General Inputs'!$F$35:$AN$35,'General Inputs'!$F$53:$AN$53)/(1-Loss_ElectricEnergy)</f>
        <v>2677.4874607918141</v>
      </c>
      <c r="BP72" s="59">
        <f ca="1">INDEX('General Inputs'!$F$51:$AN$51,MATCH($H72,'General Inputs'!$F$50:$AN$50,0))*$AM72</f>
        <v>0</v>
      </c>
      <c r="BQ72" s="59">
        <f ca="1">SUM(INDEX('General Inputs'!$F$53:$AN$53,MATCH($H72,'General Inputs'!$F$50:$AN$50,0))*$AG72,INDEX('General Inputs'!$F$53:$AN$53,MATCH($H72+$AL72,'General Inputs'!$F$50:$AN$50,0))*-$AH72)</f>
        <v>0</v>
      </c>
      <c r="BR72" s="55"/>
      <c r="BS72" s="59">
        <f ca="1">SUMPRODUCT($CA72:$DI72,'General Inputs'!$F$32:$AN$32,'General Inputs'!$F$55:$AN$55)/(1-Loss_ElectricEnergy)</f>
        <v>6841.8260014027483</v>
      </c>
      <c r="BT72" s="59">
        <f ca="1">SUMPRODUCT($DK72:$ES72,'General Inputs'!$F$33:$AN$33,'General Inputs'!$F$55:$AN$55)/(1-Loss_ElectricDemand)</f>
        <v>453.00549656295595</v>
      </c>
      <c r="BU72" s="59">
        <f ca="1">SUMPRODUCT($EU72:$GC72,'General Inputs'!$F$34:$AN$34,'General Inputs'!$F$55:$AN$55)/(1-Loss_GasEnergy)</f>
        <v>0</v>
      </c>
      <c r="BV72" s="59">
        <f ca="1">SUMPRODUCT($CA72:$DI72,OFFSET('General Inputs'!$F$40:$AN$40,MATCH($D72&amp;" Electric ($/kWh)",'General Inputs'!$E$40:$E$46,0),),'General Inputs'!$F$55:$AN$55)</f>
        <v>27073.418263588115</v>
      </c>
      <c r="BW72" s="59">
        <f ca="1">SUMPRODUCT($EU72:$GC72,OFFSET('General Inputs'!$F$40:$AN$40,MATCH($D72&amp;" Natural Gas ($/therm)",'General Inputs'!$E$40:$E$46,0),),'General Inputs'!$F$55:$AN$55)</f>
        <v>0</v>
      </c>
      <c r="BX72" s="59">
        <f ca="1">INDEX('General Inputs'!$F$55:$AN$55,MATCH($H72,'General Inputs'!$F$50:$AN$50,0))*$AI72</f>
        <v>0</v>
      </c>
      <c r="BY72" s="59">
        <f ca="1">INDEX('General Inputs'!$F$51:$AN$51,MATCH($H72,'General Inputs'!$F$50:$AN$50,0))*$AM72</f>
        <v>0</v>
      </c>
      <c r="BZ72" s="55"/>
      <c r="CA72" s="88">
        <f t="shared" ca="1" si="268"/>
        <v>31818.952538146692</v>
      </c>
      <c r="CB72" s="88">
        <f t="shared" ca="1" si="268"/>
        <v>31818.952538146692</v>
      </c>
      <c r="CC72" s="88">
        <f t="shared" ca="1" si="268"/>
        <v>31818.952538146692</v>
      </c>
      <c r="CD72" s="88">
        <f t="shared" ca="1" si="268"/>
        <v>31818.952538146692</v>
      </c>
      <c r="CE72" s="88">
        <f t="shared" ca="1" si="268"/>
        <v>31818.952538146692</v>
      </c>
      <c r="CF72" s="88">
        <f t="shared" ca="1" si="268"/>
        <v>31818.952538146692</v>
      </c>
      <c r="CG72" s="88">
        <f t="shared" ca="1" si="268"/>
        <v>31818.952538146692</v>
      </c>
      <c r="CH72" s="88">
        <f t="shared" ca="1" si="268"/>
        <v>31818.952538146692</v>
      </c>
      <c r="CI72" s="88">
        <f t="shared" ca="1" si="268"/>
        <v>31818.952538146692</v>
      </c>
      <c r="CJ72" s="88">
        <f t="shared" ca="1" si="268"/>
        <v>31818.952538146692</v>
      </c>
      <c r="CK72" s="88">
        <f t="shared" ca="1" si="269"/>
        <v>0</v>
      </c>
      <c r="CL72" s="88">
        <f t="shared" ca="1" si="269"/>
        <v>0</v>
      </c>
      <c r="CM72" s="88">
        <f t="shared" ca="1" si="269"/>
        <v>0</v>
      </c>
      <c r="CN72" s="88">
        <f t="shared" ca="1" si="269"/>
        <v>0</v>
      </c>
      <c r="CO72" s="88">
        <f t="shared" ca="1" si="269"/>
        <v>0</v>
      </c>
      <c r="CP72" s="88">
        <f t="shared" ca="1" si="269"/>
        <v>0</v>
      </c>
      <c r="CQ72" s="88">
        <f t="shared" ca="1" si="269"/>
        <v>0</v>
      </c>
      <c r="CR72" s="88">
        <f t="shared" ca="1" si="269"/>
        <v>0</v>
      </c>
      <c r="CS72" s="88">
        <f t="shared" ca="1" si="269"/>
        <v>0</v>
      </c>
      <c r="CT72" s="88">
        <f t="shared" ca="1" si="269"/>
        <v>0</v>
      </c>
      <c r="CU72" s="88">
        <f t="shared" ca="1" si="270"/>
        <v>0</v>
      </c>
      <c r="CV72" s="88">
        <f t="shared" ca="1" si="270"/>
        <v>0</v>
      </c>
      <c r="CW72" s="88">
        <f t="shared" ca="1" si="270"/>
        <v>0</v>
      </c>
      <c r="CX72" s="88">
        <f t="shared" ca="1" si="270"/>
        <v>0</v>
      </c>
      <c r="CY72" s="88">
        <f t="shared" ca="1" si="270"/>
        <v>0</v>
      </c>
      <c r="CZ72" s="88">
        <f t="shared" ca="1" si="270"/>
        <v>0</v>
      </c>
      <c r="DA72" s="88">
        <f t="shared" ca="1" si="270"/>
        <v>0</v>
      </c>
      <c r="DB72" s="88">
        <f t="shared" ca="1" si="270"/>
        <v>0</v>
      </c>
      <c r="DC72" s="88">
        <f t="shared" ca="1" si="270"/>
        <v>0</v>
      </c>
      <c r="DD72" s="88">
        <f t="shared" ca="1" si="270"/>
        <v>0</v>
      </c>
      <c r="DE72" s="88">
        <f t="shared" ca="1" si="270"/>
        <v>0</v>
      </c>
      <c r="DF72" s="88">
        <f t="shared" ca="1" si="270"/>
        <v>0</v>
      </c>
      <c r="DG72" s="88">
        <f t="shared" ca="1" si="270"/>
        <v>0</v>
      </c>
      <c r="DH72" s="88">
        <f t="shared" ca="1" si="270"/>
        <v>0</v>
      </c>
      <c r="DI72" s="88">
        <f t="shared" ca="1" si="270"/>
        <v>0</v>
      </c>
      <c r="DJ72" s="169"/>
      <c r="DK72" s="88">
        <f t="shared" ca="1" si="271"/>
        <v>2.9290294058293975</v>
      </c>
      <c r="DL72" s="88">
        <f t="shared" ca="1" si="271"/>
        <v>2.9290294058293975</v>
      </c>
      <c r="DM72" s="88">
        <f t="shared" ca="1" si="271"/>
        <v>2.9290294058293975</v>
      </c>
      <c r="DN72" s="88">
        <f t="shared" ca="1" si="271"/>
        <v>2.9290294058293975</v>
      </c>
      <c r="DO72" s="88">
        <f t="shared" ca="1" si="271"/>
        <v>2.9290294058293975</v>
      </c>
      <c r="DP72" s="88">
        <f t="shared" ca="1" si="271"/>
        <v>2.9290294058293975</v>
      </c>
      <c r="DQ72" s="88">
        <f t="shared" ca="1" si="271"/>
        <v>2.9290294058293975</v>
      </c>
      <c r="DR72" s="88">
        <f t="shared" ca="1" si="271"/>
        <v>2.9290294058293975</v>
      </c>
      <c r="DS72" s="88">
        <f t="shared" ca="1" si="271"/>
        <v>2.9290294058293975</v>
      </c>
      <c r="DT72" s="88">
        <f t="shared" ca="1" si="271"/>
        <v>2.9290294058293975</v>
      </c>
      <c r="DU72" s="88">
        <f t="shared" ca="1" si="272"/>
        <v>0</v>
      </c>
      <c r="DV72" s="88">
        <f t="shared" ca="1" si="272"/>
        <v>0</v>
      </c>
      <c r="DW72" s="88">
        <f t="shared" ca="1" si="272"/>
        <v>0</v>
      </c>
      <c r="DX72" s="88">
        <f t="shared" ca="1" si="272"/>
        <v>0</v>
      </c>
      <c r="DY72" s="88">
        <f t="shared" ca="1" si="272"/>
        <v>0</v>
      </c>
      <c r="DZ72" s="88">
        <f t="shared" ca="1" si="272"/>
        <v>0</v>
      </c>
      <c r="EA72" s="88">
        <f t="shared" ca="1" si="272"/>
        <v>0</v>
      </c>
      <c r="EB72" s="88">
        <f t="shared" ca="1" si="272"/>
        <v>0</v>
      </c>
      <c r="EC72" s="88">
        <f t="shared" ca="1" si="272"/>
        <v>0</v>
      </c>
      <c r="ED72" s="88">
        <f t="shared" ca="1" si="272"/>
        <v>0</v>
      </c>
      <c r="EE72" s="88">
        <f t="shared" ca="1" si="273"/>
        <v>0</v>
      </c>
      <c r="EF72" s="88">
        <f t="shared" ca="1" si="273"/>
        <v>0</v>
      </c>
      <c r="EG72" s="88">
        <f t="shared" ca="1" si="273"/>
        <v>0</v>
      </c>
      <c r="EH72" s="88">
        <f t="shared" ca="1" si="273"/>
        <v>0</v>
      </c>
      <c r="EI72" s="88">
        <f t="shared" ca="1" si="273"/>
        <v>0</v>
      </c>
      <c r="EJ72" s="88">
        <f t="shared" ca="1" si="273"/>
        <v>0</v>
      </c>
      <c r="EK72" s="88">
        <f t="shared" ca="1" si="273"/>
        <v>0</v>
      </c>
      <c r="EL72" s="88">
        <f t="shared" ca="1" si="273"/>
        <v>0</v>
      </c>
      <c r="EM72" s="88">
        <f t="shared" ca="1" si="273"/>
        <v>0</v>
      </c>
      <c r="EN72" s="88">
        <f t="shared" ca="1" si="273"/>
        <v>0</v>
      </c>
      <c r="EO72" s="88">
        <f t="shared" ca="1" si="273"/>
        <v>0</v>
      </c>
      <c r="EP72" s="88">
        <f t="shared" ca="1" si="273"/>
        <v>0</v>
      </c>
      <c r="EQ72" s="88">
        <f t="shared" ca="1" si="273"/>
        <v>0</v>
      </c>
      <c r="ER72" s="88">
        <f t="shared" ca="1" si="273"/>
        <v>0</v>
      </c>
      <c r="ES72" s="88">
        <f t="shared" ca="1" si="273"/>
        <v>0</v>
      </c>
      <c r="ET72" s="169"/>
      <c r="EU72" s="88">
        <f t="shared" ca="1" si="274"/>
        <v>0</v>
      </c>
      <c r="EV72" s="88">
        <f t="shared" ca="1" si="274"/>
        <v>0</v>
      </c>
      <c r="EW72" s="88">
        <f t="shared" ca="1" si="274"/>
        <v>0</v>
      </c>
      <c r="EX72" s="88">
        <f t="shared" ca="1" si="274"/>
        <v>0</v>
      </c>
      <c r="EY72" s="88">
        <f t="shared" ca="1" si="274"/>
        <v>0</v>
      </c>
      <c r="EZ72" s="88">
        <f t="shared" ca="1" si="274"/>
        <v>0</v>
      </c>
      <c r="FA72" s="88">
        <f t="shared" ca="1" si="274"/>
        <v>0</v>
      </c>
      <c r="FB72" s="88">
        <f t="shared" ca="1" si="274"/>
        <v>0</v>
      </c>
      <c r="FC72" s="88">
        <f t="shared" ca="1" si="274"/>
        <v>0</v>
      </c>
      <c r="FD72" s="88">
        <f t="shared" ca="1" si="274"/>
        <v>0</v>
      </c>
      <c r="FE72" s="88">
        <f t="shared" ca="1" si="275"/>
        <v>0</v>
      </c>
      <c r="FF72" s="88">
        <f t="shared" ca="1" si="275"/>
        <v>0</v>
      </c>
      <c r="FG72" s="88">
        <f t="shared" ca="1" si="275"/>
        <v>0</v>
      </c>
      <c r="FH72" s="88">
        <f t="shared" ca="1" si="275"/>
        <v>0</v>
      </c>
      <c r="FI72" s="88">
        <f t="shared" ca="1" si="275"/>
        <v>0</v>
      </c>
      <c r="FJ72" s="88">
        <f t="shared" ca="1" si="275"/>
        <v>0</v>
      </c>
      <c r="FK72" s="88">
        <f t="shared" ca="1" si="275"/>
        <v>0</v>
      </c>
      <c r="FL72" s="88">
        <f t="shared" ca="1" si="275"/>
        <v>0</v>
      </c>
      <c r="FM72" s="88">
        <f t="shared" ca="1" si="275"/>
        <v>0</v>
      </c>
      <c r="FN72" s="88">
        <f t="shared" ca="1" si="275"/>
        <v>0</v>
      </c>
      <c r="FO72" s="88">
        <f t="shared" ca="1" si="276"/>
        <v>0</v>
      </c>
      <c r="FP72" s="88">
        <f t="shared" ca="1" si="276"/>
        <v>0</v>
      </c>
      <c r="FQ72" s="88">
        <f t="shared" ca="1" si="276"/>
        <v>0</v>
      </c>
      <c r="FR72" s="88">
        <f t="shared" ca="1" si="276"/>
        <v>0</v>
      </c>
      <c r="FS72" s="88">
        <f t="shared" ca="1" si="276"/>
        <v>0</v>
      </c>
      <c r="FT72" s="88">
        <f t="shared" ca="1" si="276"/>
        <v>0</v>
      </c>
      <c r="FU72" s="88">
        <f t="shared" ca="1" si="276"/>
        <v>0</v>
      </c>
      <c r="FV72" s="88">
        <f t="shared" ca="1" si="276"/>
        <v>0</v>
      </c>
      <c r="FW72" s="88">
        <f t="shared" ca="1" si="276"/>
        <v>0</v>
      </c>
      <c r="FX72" s="88">
        <f t="shared" ca="1" si="276"/>
        <v>0</v>
      </c>
      <c r="FY72" s="88">
        <f t="shared" ca="1" si="276"/>
        <v>0</v>
      </c>
      <c r="FZ72" s="88">
        <f t="shared" ca="1" si="276"/>
        <v>0</v>
      </c>
      <c r="GA72" s="88">
        <f t="shared" ca="1" si="276"/>
        <v>0</v>
      </c>
      <c r="GB72" s="88">
        <f t="shared" ca="1" si="276"/>
        <v>0</v>
      </c>
      <c r="GC72" s="88">
        <f t="shared" ca="1" si="276"/>
        <v>0</v>
      </c>
      <c r="GD72" s="60"/>
    </row>
    <row r="73" spans="1:186" s="54" customFormat="1">
      <c r="A73" s="61"/>
      <c r="B73" s="100" t="str">
        <f t="shared" si="277"/>
        <v>Residential_School-Based Education_0_School-Based Education_2017</v>
      </c>
      <c r="C73" s="100">
        <f>INDEX('Measure Inputs'!$D:$D,MATCH($B73,'Measure Inputs'!$B:$B,0))</f>
        <v>25</v>
      </c>
      <c r="D73" s="101" t="s">
        <v>2</v>
      </c>
      <c r="E73" s="101" t="s">
        <v>252</v>
      </c>
      <c r="F73" s="101">
        <v>0</v>
      </c>
      <c r="G73" s="101" t="s">
        <v>252</v>
      </c>
      <c r="H73" s="101">
        <v>2017</v>
      </c>
      <c r="I73" s="55"/>
      <c r="J73" s="58" t="str">
        <f t="shared" ca="1" si="229"/>
        <v>n/a</v>
      </c>
      <c r="K73" s="58" t="str">
        <f t="shared" ca="1" si="246"/>
        <v>n/a</v>
      </c>
      <c r="L73" s="58" t="str">
        <f t="shared" ca="1" si="230"/>
        <v>n/a</v>
      </c>
      <c r="M73" s="58" t="str">
        <f t="shared" ca="1" si="231"/>
        <v>n/a</v>
      </c>
      <c r="N73" s="58">
        <f t="shared" ca="1" si="232"/>
        <v>0.27102815608429864</v>
      </c>
      <c r="O73" s="55"/>
      <c r="P73" s="175">
        <f ca="1">IFERROR(($AW73+AV73)/SUMPRODUCT($CA73:$DI73,'General Inputs'!$F$51:$AN$51),"n/a")</f>
        <v>0</v>
      </c>
      <c r="Q73" s="175">
        <f t="shared" ca="1" si="233"/>
        <v>0</v>
      </c>
      <c r="R73" s="56">
        <f t="shared" ca="1" si="260"/>
        <v>2382</v>
      </c>
      <c r="S73" s="55"/>
      <c r="T73" s="56">
        <f ca="1">INDEX(OFFSET('Measure Inputs'!$L$7,,,InputRows),$C73)</f>
        <v>1200</v>
      </c>
      <c r="U73" s="134">
        <f ca="1">INDEX(OFFSET('Measure Inputs'!$T$7,,,InputRows),$C73)</f>
        <v>1</v>
      </c>
      <c r="V73" s="134">
        <f ca="1">INDEX(OFFSET('Measure Inputs'!$U$7,,,InputRows),$C73)</f>
        <v>1</v>
      </c>
      <c r="W73" s="55"/>
      <c r="X73" s="96">
        <f ca="1">INDEX(OFFSET('Measure Inputs'!$V$7,,,InputRows),$C73)*$T73*$V73*$U73</f>
        <v>476400</v>
      </c>
      <c r="Y73" s="96">
        <f ca="1">INDEX(OFFSET('Measure Inputs'!$W$7,,,InputRows),$C73)*$T73*$V73*$U73</f>
        <v>48</v>
      </c>
      <c r="Z73" s="96">
        <f ca="1">INDEX(OFFSET('Measure Inputs'!$X$7,,,InputRows),$C73)*$T73*$V73*$U73</f>
        <v>0</v>
      </c>
      <c r="AA73" s="55"/>
      <c r="AB73" s="96">
        <f ca="1">INDEX(OFFSET('Measure Inputs'!$Z$7,,,InputRows),$C73)*$T73*$V73*$U73</f>
        <v>0</v>
      </c>
      <c r="AC73" s="96">
        <f ca="1">INDEX(OFFSET('Measure Inputs'!$AA$7,,,InputRows),$C73)*$T73*$V73*$U73</f>
        <v>0</v>
      </c>
      <c r="AD73" s="96">
        <f ca="1">INDEX(OFFSET('Measure Inputs'!$AB$7,,,InputRows),$C73)*$T73*$V73*$U73</f>
        <v>0</v>
      </c>
      <c r="AE73" s="55"/>
      <c r="AF73" s="57">
        <f ca="1">INDEX(OFFSET('Measure Inputs'!$Q$7,,,InputRows),$C73)*$T73</f>
        <v>0</v>
      </c>
      <c r="AG73" s="57">
        <f ca="1">INDEX(OFFSET('Measure Inputs'!$P$7,,,InputRows),$C73)*$T73*$V73</f>
        <v>0</v>
      </c>
      <c r="AH73" s="57">
        <f ca="1">INDEX(OFFSET('Measure Inputs'!$R$7,,,InputRows),$C73)*$T73*$V73</f>
        <v>0</v>
      </c>
      <c r="AI73" s="57">
        <f ca="1">INDEX(OFFSET('Measure Inputs'!$O$7,,,InputRows),$C73)*$T73</f>
        <v>0</v>
      </c>
      <c r="AJ73" s="57">
        <f ca="1">INDEX(OFFSET('Measure Inputs'!$S$7,,,InputRows),$C73)*$T73</f>
        <v>0</v>
      </c>
      <c r="AK73" s="63">
        <f ca="1">INDEX(OFFSET('Measure Inputs'!$M$7,,,InputRows),$C73)</f>
        <v>5</v>
      </c>
      <c r="AL73" s="88">
        <f ca="1">INDEX(OFFSET('Measure Inputs'!$N$7,,,InputRows),$C73)</f>
        <v>0</v>
      </c>
      <c r="AM73" s="57">
        <f ca="1">SUMIFS(OFFSET('Program Inputs'!$N$5,,,TotalPrograms),OFFSET('Program Inputs'!$B$5,,,TotalPrograms),SUBSTITUTE($B73,"All","*"))+AF73</f>
        <v>0</v>
      </c>
      <c r="AN73" s="57">
        <f t="shared" ca="1" si="261"/>
        <v>0</v>
      </c>
      <c r="AO73" s="55"/>
      <c r="AP73" s="59">
        <f t="shared" ca="1" si="262"/>
        <v>64422.405138620947</v>
      </c>
      <c r="AQ73" s="59">
        <f t="shared" ca="1" si="263"/>
        <v>0</v>
      </c>
      <c r="AR73" s="59">
        <f ca="1">SUMPRODUCT($CA73:$DI73,'General Inputs'!$F$32:$AN$32,'General Inputs'!$F$51:$AN$51)/(1-Loss_ElectricEnergy)</f>
        <v>60069.145857430303</v>
      </c>
      <c r="AS73" s="59">
        <f ca="1">SUMPRODUCT($DK73:$ES73,'General Inputs'!$F$33:$AN$33,'General Inputs'!$F$51:$AN$51)/(1-Loss_ElectricDemand)</f>
        <v>4353.2592811906443</v>
      </c>
      <c r="AT73" s="59">
        <f ca="1">SUMPRODUCT($EU73:$GC73,'General Inputs'!$F$34:$AN$34,'General Inputs'!$F$51:$AN$51)/(1-Loss_GasEnergy)</f>
        <v>0</v>
      </c>
      <c r="AU73" s="59">
        <f ca="1">INDEX('General Inputs'!$F$51:$AN$51,MATCH($H73,'General Inputs'!$F$50:$AN$50,0))*$AJ73</f>
        <v>0</v>
      </c>
      <c r="AV73" s="59">
        <f ca="1">INDEX('General Inputs'!$F$51:$AN$51,MATCH($H73,'General Inputs'!$F$50:$AN$50,0))*$AI73</f>
        <v>0</v>
      </c>
      <c r="AW73" s="59">
        <f ca="1">INDEX('General Inputs'!$F$51:$AN$51,MATCH($H73,'General Inputs'!$F$50:$AN$50,0))*$AM73</f>
        <v>0</v>
      </c>
      <c r="AX73" s="59">
        <f ca="1">SUM(INDEX('General Inputs'!$F$51:$AN$51,MATCH($H73,'General Inputs'!$F$50:$AN$50,0))*$AG73,INDEX('General Inputs'!$F$51:$AN$51,MATCH($H73+$AL73,'General Inputs'!$F$50:$AN$50,0))*-$AH73)</f>
        <v>0</v>
      </c>
      <c r="AY73" s="55"/>
      <c r="AZ73" s="59">
        <f ca="1">SUMPRODUCT($CA73:$DI73,'General Inputs'!$F$32:$AN$32,'General Inputs'!$F$52:$AN$52)/(1-Loss_ElectricEnergy)</f>
        <v>60069.145857430303</v>
      </c>
      <c r="BA73" s="59">
        <f ca="1">SUMPRODUCT($DK73:$ES73,'General Inputs'!$F$33:$AN$33,'General Inputs'!$F$52:$AN$52)/(1-Loss_ElectricDemand)</f>
        <v>4353.2592811906443</v>
      </c>
      <c r="BB73" s="59">
        <f ca="1">SUMPRODUCT($EU73:$GC73,'General Inputs'!$F$34:$AN$34,'General Inputs'!$F$52:$AN$52)/(1-Loss_GasEnergy)</f>
        <v>0</v>
      </c>
      <c r="BC73" s="59">
        <f ca="1">INDEX('General Inputs'!$F$52:$AN$52,MATCH($H73,'General Inputs'!$F$50:$AN$50,0))*$AI73</f>
        <v>0</v>
      </c>
      <c r="BD73" s="59">
        <f ca="1">INDEX('General Inputs'!$F$52:$AN$52,MATCH($H73,'General Inputs'!$F$50:$AN$50,0))*$AM73</f>
        <v>0</v>
      </c>
      <c r="BE73" s="55"/>
      <c r="BF73" s="59">
        <f ca="1">SUMPRODUCT($CA73:$DI73,OFFSET('General Inputs'!$F$40:$AN$40,MATCH($D73&amp;" Electric ($/kWh)",'General Inputs'!$E$40:$E$46,0),),'General Inputs'!$F$54:$AN$54)</f>
        <v>237696.35623607851</v>
      </c>
      <c r="BG73" s="59">
        <f ca="1">SUMPRODUCT($EU73:$GC73,OFFSET('General Inputs'!$F$40:$AN$40,MATCH($D73&amp;" Natural Gas ($/therm)",'General Inputs'!$E$40:$E$46,0),),'General Inputs'!$F$54:$AN$54)</f>
        <v>0</v>
      </c>
      <c r="BH73" s="59">
        <f ca="1">INDEX('General Inputs'!$F$54:$AN$54,MATCH($H73,'General Inputs'!$F$50:$AN$50,0))*$AI73</f>
        <v>0</v>
      </c>
      <c r="BI73" s="59">
        <f ca="1">SUM(INDEX('General Inputs'!$F$54:$AN$54,MATCH($H73,'General Inputs'!$F$50:$AN$50,0))*$AG73,INDEX('General Inputs'!$F$51:$AN$51,MATCH($H73+$AL73,'General Inputs'!$F$50:$AN$50,0))*-$AH73)</f>
        <v>0</v>
      </c>
      <c r="BJ73" s="55"/>
      <c r="BK73" s="59">
        <f ca="1">SUMPRODUCT($CA73:$DI73,'General Inputs'!$F$32:$AN$32,'General Inputs'!$F$53:$AN$53)/(1-Loss_ElectricEnergy)</f>
        <v>60069.145857430303</v>
      </c>
      <c r="BL73" s="59">
        <f ca="1">SUMPRODUCT($DK73:$ES73,'General Inputs'!$F$33:$AN$33,'General Inputs'!$F$53:$AN$53)/(1-Loss_ElectricDemand)</f>
        <v>4353.2592811906443</v>
      </c>
      <c r="BM73" s="59">
        <f ca="1">SUMPRODUCT($EU73:$GC73,'General Inputs'!$F$34:$AN$34,'General Inputs'!$F$53:$AN$53)/(1-Loss_GasEnergy)</f>
        <v>0</v>
      </c>
      <c r="BN73" s="59">
        <f ca="1">INDEX('General Inputs'!$F$53:$AN$53,MATCH($H73,'General Inputs'!$F$50:$AN$50,0))*$AJ73</f>
        <v>0</v>
      </c>
      <c r="BO73" s="59">
        <f ca="1">SUMPRODUCT($CA73:$DI73,'General Inputs'!$F$35:$AN$35,'General Inputs'!$F$53:$AN$53)/(1-Loss_ElectricEnergy)</f>
        <v>24226.357423465342</v>
      </c>
      <c r="BP73" s="59">
        <f ca="1">INDEX('General Inputs'!$F$51:$AN$51,MATCH($H73,'General Inputs'!$F$50:$AN$50,0))*$AM73</f>
        <v>0</v>
      </c>
      <c r="BQ73" s="59">
        <f ca="1">SUM(INDEX('General Inputs'!$F$53:$AN$53,MATCH($H73,'General Inputs'!$F$50:$AN$50,0))*$AG73,INDEX('General Inputs'!$F$53:$AN$53,MATCH($H73+$AL73,'General Inputs'!$F$50:$AN$50,0))*-$AH73)</f>
        <v>0</v>
      </c>
      <c r="BR73" s="55"/>
      <c r="BS73" s="59">
        <f ca="1">SUMPRODUCT($CA73:$DI73,'General Inputs'!$F$32:$AN$32,'General Inputs'!$F$55:$AN$55)/(1-Loss_ElectricEnergy)</f>
        <v>60069.145857430303</v>
      </c>
      <c r="BT73" s="59">
        <f ca="1">SUMPRODUCT($DK73:$ES73,'General Inputs'!$F$33:$AN$33,'General Inputs'!$F$55:$AN$55)/(1-Loss_ElectricDemand)</f>
        <v>4353.2592811906443</v>
      </c>
      <c r="BU73" s="59">
        <f ca="1">SUMPRODUCT($EU73:$GC73,'General Inputs'!$F$34:$AN$34,'General Inputs'!$F$55:$AN$55)/(1-Loss_GasEnergy)</f>
        <v>0</v>
      </c>
      <c r="BV73" s="59">
        <f ca="1">SUMPRODUCT($CA73:$DI73,OFFSET('General Inputs'!$F$40:$AN$40,MATCH($D73&amp;" Electric ($/kWh)",'General Inputs'!$E$40:$E$46,0),),'General Inputs'!$F$55:$AN$55)</f>
        <v>237696.35623607851</v>
      </c>
      <c r="BW73" s="59">
        <f ca="1">SUMPRODUCT($EU73:$GC73,OFFSET('General Inputs'!$F$40:$AN$40,MATCH($D73&amp;" Natural Gas ($/therm)",'General Inputs'!$E$40:$E$46,0),),'General Inputs'!$F$55:$AN$55)</f>
        <v>0</v>
      </c>
      <c r="BX73" s="59">
        <f ca="1">INDEX('General Inputs'!$F$55:$AN$55,MATCH($H73,'General Inputs'!$F$50:$AN$50,0))*$AI73</f>
        <v>0</v>
      </c>
      <c r="BY73" s="59">
        <f ca="1">INDEX('General Inputs'!$F$51:$AN$51,MATCH($H73,'General Inputs'!$F$50:$AN$50,0))*$AM73</f>
        <v>0</v>
      </c>
      <c r="BZ73" s="55"/>
      <c r="CA73" s="88">
        <f t="shared" ca="1" si="268"/>
        <v>476400</v>
      </c>
      <c r="CB73" s="88">
        <f t="shared" ca="1" si="268"/>
        <v>476400</v>
      </c>
      <c r="CC73" s="88">
        <f t="shared" ca="1" si="268"/>
        <v>476400</v>
      </c>
      <c r="CD73" s="88">
        <f t="shared" ca="1" si="268"/>
        <v>476400</v>
      </c>
      <c r="CE73" s="88">
        <f t="shared" ca="1" si="268"/>
        <v>476400</v>
      </c>
      <c r="CF73" s="88">
        <f t="shared" ca="1" si="268"/>
        <v>0</v>
      </c>
      <c r="CG73" s="88">
        <f t="shared" ca="1" si="268"/>
        <v>0</v>
      </c>
      <c r="CH73" s="88">
        <f t="shared" ca="1" si="268"/>
        <v>0</v>
      </c>
      <c r="CI73" s="88">
        <f t="shared" ca="1" si="268"/>
        <v>0</v>
      </c>
      <c r="CJ73" s="88">
        <f t="shared" ca="1" si="268"/>
        <v>0</v>
      </c>
      <c r="CK73" s="88">
        <f t="shared" ca="1" si="269"/>
        <v>0</v>
      </c>
      <c r="CL73" s="88">
        <f t="shared" ca="1" si="269"/>
        <v>0</v>
      </c>
      <c r="CM73" s="88">
        <f t="shared" ca="1" si="269"/>
        <v>0</v>
      </c>
      <c r="CN73" s="88">
        <f t="shared" ca="1" si="269"/>
        <v>0</v>
      </c>
      <c r="CO73" s="88">
        <f t="shared" ca="1" si="269"/>
        <v>0</v>
      </c>
      <c r="CP73" s="88">
        <f t="shared" ca="1" si="269"/>
        <v>0</v>
      </c>
      <c r="CQ73" s="88">
        <f t="shared" ca="1" si="269"/>
        <v>0</v>
      </c>
      <c r="CR73" s="88">
        <f t="shared" ca="1" si="269"/>
        <v>0</v>
      </c>
      <c r="CS73" s="88">
        <f t="shared" ca="1" si="269"/>
        <v>0</v>
      </c>
      <c r="CT73" s="88">
        <f t="shared" ca="1" si="269"/>
        <v>0</v>
      </c>
      <c r="CU73" s="88">
        <f t="shared" ca="1" si="270"/>
        <v>0</v>
      </c>
      <c r="CV73" s="88">
        <f t="shared" ca="1" si="270"/>
        <v>0</v>
      </c>
      <c r="CW73" s="88">
        <f t="shared" ca="1" si="270"/>
        <v>0</v>
      </c>
      <c r="CX73" s="88">
        <f t="shared" ca="1" si="270"/>
        <v>0</v>
      </c>
      <c r="CY73" s="88">
        <f t="shared" ca="1" si="270"/>
        <v>0</v>
      </c>
      <c r="CZ73" s="88">
        <f t="shared" ca="1" si="270"/>
        <v>0</v>
      </c>
      <c r="DA73" s="88">
        <f t="shared" ca="1" si="270"/>
        <v>0</v>
      </c>
      <c r="DB73" s="88">
        <f t="shared" ca="1" si="270"/>
        <v>0</v>
      </c>
      <c r="DC73" s="88">
        <f t="shared" ca="1" si="270"/>
        <v>0</v>
      </c>
      <c r="DD73" s="88">
        <f t="shared" ca="1" si="270"/>
        <v>0</v>
      </c>
      <c r="DE73" s="88">
        <f t="shared" ca="1" si="270"/>
        <v>0</v>
      </c>
      <c r="DF73" s="88">
        <f t="shared" ca="1" si="270"/>
        <v>0</v>
      </c>
      <c r="DG73" s="88">
        <f t="shared" ca="1" si="270"/>
        <v>0</v>
      </c>
      <c r="DH73" s="88">
        <f t="shared" ca="1" si="270"/>
        <v>0</v>
      </c>
      <c r="DI73" s="88">
        <f t="shared" ca="1" si="270"/>
        <v>0</v>
      </c>
      <c r="DJ73" s="169"/>
      <c r="DK73" s="88">
        <f t="shared" ca="1" si="271"/>
        <v>48</v>
      </c>
      <c r="DL73" s="88">
        <f t="shared" ca="1" si="271"/>
        <v>48</v>
      </c>
      <c r="DM73" s="88">
        <f t="shared" ca="1" si="271"/>
        <v>48</v>
      </c>
      <c r="DN73" s="88">
        <f t="shared" ca="1" si="271"/>
        <v>48</v>
      </c>
      <c r="DO73" s="88">
        <f t="shared" ca="1" si="271"/>
        <v>48</v>
      </c>
      <c r="DP73" s="88">
        <f t="shared" ca="1" si="271"/>
        <v>0</v>
      </c>
      <c r="DQ73" s="88">
        <f t="shared" ca="1" si="271"/>
        <v>0</v>
      </c>
      <c r="DR73" s="88">
        <f t="shared" ca="1" si="271"/>
        <v>0</v>
      </c>
      <c r="DS73" s="88">
        <f t="shared" ca="1" si="271"/>
        <v>0</v>
      </c>
      <c r="DT73" s="88">
        <f t="shared" ca="1" si="271"/>
        <v>0</v>
      </c>
      <c r="DU73" s="88">
        <f t="shared" ca="1" si="272"/>
        <v>0</v>
      </c>
      <c r="DV73" s="88">
        <f t="shared" ca="1" si="272"/>
        <v>0</v>
      </c>
      <c r="DW73" s="88">
        <f t="shared" ca="1" si="272"/>
        <v>0</v>
      </c>
      <c r="DX73" s="88">
        <f t="shared" ca="1" si="272"/>
        <v>0</v>
      </c>
      <c r="DY73" s="88">
        <f t="shared" ca="1" si="272"/>
        <v>0</v>
      </c>
      <c r="DZ73" s="88">
        <f t="shared" ca="1" si="272"/>
        <v>0</v>
      </c>
      <c r="EA73" s="88">
        <f t="shared" ca="1" si="272"/>
        <v>0</v>
      </c>
      <c r="EB73" s="88">
        <f t="shared" ca="1" si="272"/>
        <v>0</v>
      </c>
      <c r="EC73" s="88">
        <f t="shared" ca="1" si="272"/>
        <v>0</v>
      </c>
      <c r="ED73" s="88">
        <f t="shared" ca="1" si="272"/>
        <v>0</v>
      </c>
      <c r="EE73" s="88">
        <f t="shared" ca="1" si="273"/>
        <v>0</v>
      </c>
      <c r="EF73" s="88">
        <f t="shared" ca="1" si="273"/>
        <v>0</v>
      </c>
      <c r="EG73" s="88">
        <f t="shared" ca="1" si="273"/>
        <v>0</v>
      </c>
      <c r="EH73" s="88">
        <f t="shared" ca="1" si="273"/>
        <v>0</v>
      </c>
      <c r="EI73" s="88">
        <f t="shared" ca="1" si="273"/>
        <v>0</v>
      </c>
      <c r="EJ73" s="88">
        <f t="shared" ca="1" si="273"/>
        <v>0</v>
      </c>
      <c r="EK73" s="88">
        <f t="shared" ca="1" si="273"/>
        <v>0</v>
      </c>
      <c r="EL73" s="88">
        <f t="shared" ca="1" si="273"/>
        <v>0</v>
      </c>
      <c r="EM73" s="88">
        <f t="shared" ca="1" si="273"/>
        <v>0</v>
      </c>
      <c r="EN73" s="88">
        <f t="shared" ca="1" si="273"/>
        <v>0</v>
      </c>
      <c r="EO73" s="88">
        <f t="shared" ca="1" si="273"/>
        <v>0</v>
      </c>
      <c r="EP73" s="88">
        <f t="shared" ca="1" si="273"/>
        <v>0</v>
      </c>
      <c r="EQ73" s="88">
        <f t="shared" ca="1" si="273"/>
        <v>0</v>
      </c>
      <c r="ER73" s="88">
        <f t="shared" ca="1" si="273"/>
        <v>0</v>
      </c>
      <c r="ES73" s="88">
        <f t="shared" ca="1" si="273"/>
        <v>0</v>
      </c>
      <c r="ET73" s="169"/>
      <c r="EU73" s="88">
        <f t="shared" ca="1" si="274"/>
        <v>0</v>
      </c>
      <c r="EV73" s="88">
        <f t="shared" ca="1" si="274"/>
        <v>0</v>
      </c>
      <c r="EW73" s="88">
        <f t="shared" ca="1" si="274"/>
        <v>0</v>
      </c>
      <c r="EX73" s="88">
        <f t="shared" ca="1" si="274"/>
        <v>0</v>
      </c>
      <c r="EY73" s="88">
        <f t="shared" ca="1" si="274"/>
        <v>0</v>
      </c>
      <c r="EZ73" s="88">
        <f t="shared" ca="1" si="274"/>
        <v>0</v>
      </c>
      <c r="FA73" s="88">
        <f t="shared" ca="1" si="274"/>
        <v>0</v>
      </c>
      <c r="FB73" s="88">
        <f t="shared" ca="1" si="274"/>
        <v>0</v>
      </c>
      <c r="FC73" s="88">
        <f t="shared" ca="1" si="274"/>
        <v>0</v>
      </c>
      <c r="FD73" s="88">
        <f t="shared" ca="1" si="274"/>
        <v>0</v>
      </c>
      <c r="FE73" s="88">
        <f t="shared" ca="1" si="275"/>
        <v>0</v>
      </c>
      <c r="FF73" s="88">
        <f t="shared" ca="1" si="275"/>
        <v>0</v>
      </c>
      <c r="FG73" s="88">
        <f t="shared" ca="1" si="275"/>
        <v>0</v>
      </c>
      <c r="FH73" s="88">
        <f t="shared" ca="1" si="275"/>
        <v>0</v>
      </c>
      <c r="FI73" s="88">
        <f t="shared" ca="1" si="275"/>
        <v>0</v>
      </c>
      <c r="FJ73" s="88">
        <f t="shared" ca="1" si="275"/>
        <v>0</v>
      </c>
      <c r="FK73" s="88">
        <f t="shared" ca="1" si="275"/>
        <v>0</v>
      </c>
      <c r="FL73" s="88">
        <f t="shared" ca="1" si="275"/>
        <v>0</v>
      </c>
      <c r="FM73" s="88">
        <f t="shared" ca="1" si="275"/>
        <v>0</v>
      </c>
      <c r="FN73" s="88">
        <f t="shared" ca="1" si="275"/>
        <v>0</v>
      </c>
      <c r="FO73" s="88">
        <f t="shared" ca="1" si="276"/>
        <v>0</v>
      </c>
      <c r="FP73" s="88">
        <f t="shared" ca="1" si="276"/>
        <v>0</v>
      </c>
      <c r="FQ73" s="88">
        <f t="shared" ca="1" si="276"/>
        <v>0</v>
      </c>
      <c r="FR73" s="88">
        <f t="shared" ca="1" si="276"/>
        <v>0</v>
      </c>
      <c r="FS73" s="88">
        <f t="shared" ca="1" si="276"/>
        <v>0</v>
      </c>
      <c r="FT73" s="88">
        <f t="shared" ca="1" si="276"/>
        <v>0</v>
      </c>
      <c r="FU73" s="88">
        <f t="shared" ca="1" si="276"/>
        <v>0</v>
      </c>
      <c r="FV73" s="88">
        <f t="shared" ca="1" si="276"/>
        <v>0</v>
      </c>
      <c r="FW73" s="88">
        <f t="shared" ca="1" si="276"/>
        <v>0</v>
      </c>
      <c r="FX73" s="88">
        <f t="shared" ca="1" si="276"/>
        <v>0</v>
      </c>
      <c r="FY73" s="88">
        <f t="shared" ca="1" si="276"/>
        <v>0</v>
      </c>
      <c r="FZ73" s="88">
        <f t="shared" ca="1" si="276"/>
        <v>0</v>
      </c>
      <c r="GA73" s="88">
        <f t="shared" ca="1" si="276"/>
        <v>0</v>
      </c>
      <c r="GB73" s="88">
        <f t="shared" ca="1" si="276"/>
        <v>0</v>
      </c>
      <c r="GC73" s="88">
        <f t="shared" ca="1" si="276"/>
        <v>0</v>
      </c>
      <c r="GD73" s="60"/>
    </row>
    <row r="74" spans="1:186" s="54" customFormat="1">
      <c r="A74" s="61"/>
      <c r="B74" s="100" t="str">
        <f t="shared" si="277"/>
        <v>Residential_Weatherization_0_Air Sealing_2017</v>
      </c>
      <c r="C74" s="100">
        <f>INDEX('Measure Inputs'!$D:$D,MATCH($B74,'Measure Inputs'!$B:$B,0))</f>
        <v>26</v>
      </c>
      <c r="D74" s="101" t="s">
        <v>2</v>
      </c>
      <c r="E74" s="101" t="s">
        <v>253</v>
      </c>
      <c r="F74" s="101">
        <v>0</v>
      </c>
      <c r="G74" s="101" t="s">
        <v>270</v>
      </c>
      <c r="H74" s="101">
        <v>2017</v>
      </c>
      <c r="I74" s="55"/>
      <c r="J74" s="58" t="str">
        <f t="shared" ca="1" si="229"/>
        <v>n/a</v>
      </c>
      <c r="K74" s="58" t="str">
        <f t="shared" ca="1" si="246"/>
        <v>n/a</v>
      </c>
      <c r="L74" s="58" t="str">
        <f t="shared" ca="1" si="230"/>
        <v>n/a</v>
      </c>
      <c r="M74" s="58" t="str">
        <f t="shared" ca="1" si="231"/>
        <v>n/a</v>
      </c>
      <c r="N74" s="58">
        <f t="shared" ca="1" si="232"/>
        <v>0.28587507605178064</v>
      </c>
      <c r="O74" s="55"/>
      <c r="P74" s="175">
        <f ca="1">IFERROR(($AW74+AV74)/SUMPRODUCT($CA74:$DI74,'General Inputs'!$F$51:$AN$51),"n/a")</f>
        <v>0</v>
      </c>
      <c r="Q74" s="175">
        <f t="shared" ca="1" si="233"/>
        <v>0</v>
      </c>
      <c r="R74" s="56">
        <f t="shared" ca="1" si="260"/>
        <v>325.45117950089957</v>
      </c>
      <c r="S74" s="55"/>
      <c r="T74" s="56">
        <f ca="1">INDEX(OFFSET('Measure Inputs'!$L$7,,,InputRows),$C74)</f>
        <v>30</v>
      </c>
      <c r="U74" s="134">
        <f ca="1">INDEX(OFFSET('Measure Inputs'!$T$7,,,InputRows),$C74)</f>
        <v>1</v>
      </c>
      <c r="V74" s="134">
        <f ca="1">INDEX(OFFSET('Measure Inputs'!$U$7,,,InputRows),$C74)</f>
        <v>1</v>
      </c>
      <c r="W74" s="55"/>
      <c r="X74" s="96">
        <f ca="1">INDEX(OFFSET('Measure Inputs'!$V$7,,,InputRows),$C74)*$T74*$V74*$U74</f>
        <v>21696.745300059978</v>
      </c>
      <c r="Y74" s="96">
        <f ca="1">INDEX(OFFSET('Measure Inputs'!$W$7,,,InputRows),$C74)*$T74*$V74*$U74</f>
        <v>3.9582525098107197</v>
      </c>
      <c r="Z74" s="96">
        <f ca="1">INDEX(OFFSET('Measure Inputs'!$X$7,,,InputRows),$C74)*$T74*$V74*$U74</f>
        <v>0</v>
      </c>
      <c r="AA74" s="55"/>
      <c r="AB74" s="96">
        <f ca="1">INDEX(OFFSET('Measure Inputs'!$Z$7,,,InputRows),$C74)*$T74*$V74*$U74</f>
        <v>0</v>
      </c>
      <c r="AC74" s="96">
        <f ca="1">INDEX(OFFSET('Measure Inputs'!$AA$7,,,InputRows),$C74)*$T74*$V74*$U74</f>
        <v>0</v>
      </c>
      <c r="AD74" s="96">
        <f ca="1">INDEX(OFFSET('Measure Inputs'!$AB$7,,,InputRows),$C74)*$T74*$V74*$U74</f>
        <v>0</v>
      </c>
      <c r="AE74" s="55"/>
      <c r="AF74" s="57">
        <f ca="1">INDEX(OFFSET('Measure Inputs'!$Q$7,,,InputRows),$C74)*$T74</f>
        <v>0</v>
      </c>
      <c r="AG74" s="57">
        <f ca="1">INDEX(OFFSET('Measure Inputs'!$P$7,,,InputRows),$C74)*$T74*$V74</f>
        <v>0</v>
      </c>
      <c r="AH74" s="57">
        <f ca="1">INDEX(OFFSET('Measure Inputs'!$R$7,,,InputRows),$C74)*$T74*$V74</f>
        <v>0</v>
      </c>
      <c r="AI74" s="57">
        <f ca="1">INDEX(OFFSET('Measure Inputs'!$O$7,,,InputRows),$C74)*$T74</f>
        <v>0</v>
      </c>
      <c r="AJ74" s="57">
        <f ca="1">INDEX(OFFSET('Measure Inputs'!$S$7,,,InputRows),$C74)*$T74</f>
        <v>0</v>
      </c>
      <c r="AK74" s="63">
        <f ca="1">INDEX(OFFSET('Measure Inputs'!$M$7,,,InputRows),$C74)</f>
        <v>15</v>
      </c>
      <c r="AL74" s="88">
        <f ca="1">INDEX(OFFSET('Measure Inputs'!$N$7,,,InputRows),$C74)</f>
        <v>0</v>
      </c>
      <c r="AM74" s="57">
        <f ca="1">SUMIFS(OFFSET('Program Inputs'!$N$5,,,TotalPrograms),OFFSET('Program Inputs'!$B$5,,,TotalPrograms),SUBSTITUTE($B74,"All","*"))+AF74</f>
        <v>0</v>
      </c>
      <c r="AN74" s="57">
        <f t="shared" ca="1" si="261"/>
        <v>0</v>
      </c>
      <c r="AO74" s="55"/>
      <c r="AP74" s="59">
        <f t="shared" ca="1" si="262"/>
        <v>6817.0587031347432</v>
      </c>
      <c r="AQ74" s="59">
        <f t="shared" ca="1" si="263"/>
        <v>0</v>
      </c>
      <c r="AR74" s="59">
        <f ca="1">SUMPRODUCT($CA74:$DI74,'General Inputs'!$F$32:$AN$32,'General Inputs'!$F$51:$AN$51)/(1-Loss_ElectricEnergy)</f>
        <v>6026.2850858098855</v>
      </c>
      <c r="AS74" s="59">
        <f ca="1">SUMPRODUCT($DK74:$ES74,'General Inputs'!$F$33:$AN$33,'General Inputs'!$F$51:$AN$51)/(1-Loss_ElectricDemand)</f>
        <v>790.77361732485747</v>
      </c>
      <c r="AT74" s="59">
        <f ca="1">SUMPRODUCT($EU74:$GC74,'General Inputs'!$F$34:$AN$34,'General Inputs'!$F$51:$AN$51)/(1-Loss_GasEnergy)</f>
        <v>0</v>
      </c>
      <c r="AU74" s="59">
        <f ca="1">INDEX('General Inputs'!$F$51:$AN$51,MATCH($H74,'General Inputs'!$F$50:$AN$50,0))*$AJ74</f>
        <v>0</v>
      </c>
      <c r="AV74" s="59">
        <f ca="1">INDEX('General Inputs'!$F$51:$AN$51,MATCH($H74,'General Inputs'!$F$50:$AN$50,0))*$AI74</f>
        <v>0</v>
      </c>
      <c r="AW74" s="59">
        <f ca="1">INDEX('General Inputs'!$F$51:$AN$51,MATCH($H74,'General Inputs'!$F$50:$AN$50,0))*$AM74</f>
        <v>0</v>
      </c>
      <c r="AX74" s="59">
        <f ca="1">SUM(INDEX('General Inputs'!$F$51:$AN$51,MATCH($H74,'General Inputs'!$F$50:$AN$50,0))*$AG74,INDEX('General Inputs'!$F$51:$AN$51,MATCH($H74+$AL74,'General Inputs'!$F$50:$AN$50,0))*-$AH74)</f>
        <v>0</v>
      </c>
      <c r="AY74" s="55"/>
      <c r="AZ74" s="59">
        <f ca="1">SUMPRODUCT($CA74:$DI74,'General Inputs'!$F$32:$AN$32,'General Inputs'!$F$52:$AN$52)/(1-Loss_ElectricEnergy)</f>
        <v>6026.2850858098855</v>
      </c>
      <c r="BA74" s="59">
        <f ca="1">SUMPRODUCT($DK74:$ES74,'General Inputs'!$F$33:$AN$33,'General Inputs'!$F$52:$AN$52)/(1-Loss_ElectricDemand)</f>
        <v>790.77361732485747</v>
      </c>
      <c r="BB74" s="59">
        <f ca="1">SUMPRODUCT($EU74:$GC74,'General Inputs'!$F$34:$AN$34,'General Inputs'!$F$52:$AN$52)/(1-Loss_GasEnergy)</f>
        <v>0</v>
      </c>
      <c r="BC74" s="59">
        <f ca="1">INDEX('General Inputs'!$F$52:$AN$52,MATCH($H74,'General Inputs'!$F$50:$AN$50,0))*$AI74</f>
        <v>0</v>
      </c>
      <c r="BD74" s="59">
        <f ca="1">INDEX('General Inputs'!$F$52:$AN$52,MATCH($H74,'General Inputs'!$F$50:$AN$50,0))*$AM74</f>
        <v>0</v>
      </c>
      <c r="BE74" s="55"/>
      <c r="BF74" s="59">
        <f ca="1">SUMPRODUCT($CA74:$DI74,OFFSET('General Inputs'!$F$40:$AN$40,MATCH($D74&amp;" Electric ($/kWh)",'General Inputs'!$E$40:$E$46,0),),'General Inputs'!$F$54:$AN$54)</f>
        <v>23846.285577900355</v>
      </c>
      <c r="BG74" s="59">
        <f ca="1">SUMPRODUCT($EU74:$GC74,OFFSET('General Inputs'!$F$40:$AN$40,MATCH($D74&amp;" Natural Gas ($/therm)",'General Inputs'!$E$40:$E$46,0),),'General Inputs'!$F$54:$AN$54)</f>
        <v>0</v>
      </c>
      <c r="BH74" s="59">
        <f ca="1">INDEX('General Inputs'!$F$54:$AN$54,MATCH($H74,'General Inputs'!$F$50:$AN$50,0))*$AI74</f>
        <v>0</v>
      </c>
      <c r="BI74" s="59">
        <f ca="1">SUM(INDEX('General Inputs'!$F$54:$AN$54,MATCH($H74,'General Inputs'!$F$50:$AN$50,0))*$AG74,INDEX('General Inputs'!$F$51:$AN$51,MATCH($H74+$AL74,'General Inputs'!$F$50:$AN$50,0))*-$AH74)</f>
        <v>0</v>
      </c>
      <c r="BJ74" s="55"/>
      <c r="BK74" s="59">
        <f ca="1">SUMPRODUCT($CA74:$DI74,'General Inputs'!$F$32:$AN$32,'General Inputs'!$F$53:$AN$53)/(1-Loss_ElectricEnergy)</f>
        <v>6026.2850858098855</v>
      </c>
      <c r="BL74" s="59">
        <f ca="1">SUMPRODUCT($DK74:$ES74,'General Inputs'!$F$33:$AN$33,'General Inputs'!$F$53:$AN$53)/(1-Loss_ElectricDemand)</f>
        <v>790.77361732485747</v>
      </c>
      <c r="BM74" s="59">
        <f ca="1">SUMPRODUCT($EU74:$GC74,'General Inputs'!$F$34:$AN$34,'General Inputs'!$F$53:$AN$53)/(1-Loss_GasEnergy)</f>
        <v>0</v>
      </c>
      <c r="BN74" s="59">
        <f ca="1">INDEX('General Inputs'!$F$53:$AN$53,MATCH($H74,'General Inputs'!$F$50:$AN$50,0))*$AJ74</f>
        <v>0</v>
      </c>
      <c r="BO74" s="59">
        <f ca="1">SUMPRODUCT($CA74:$DI74,'General Inputs'!$F$35:$AN$35,'General Inputs'!$F$53:$AN$53)/(1-Loss_ElectricEnergy)</f>
        <v>2298.6896655878159</v>
      </c>
      <c r="BP74" s="59">
        <f ca="1">INDEX('General Inputs'!$F$51:$AN$51,MATCH($H74,'General Inputs'!$F$50:$AN$50,0))*$AM74</f>
        <v>0</v>
      </c>
      <c r="BQ74" s="59">
        <f ca="1">SUM(INDEX('General Inputs'!$F$53:$AN$53,MATCH($H74,'General Inputs'!$F$50:$AN$50,0))*$AG74,INDEX('General Inputs'!$F$53:$AN$53,MATCH($H74+$AL74,'General Inputs'!$F$50:$AN$50,0))*-$AH74)</f>
        <v>0</v>
      </c>
      <c r="BR74" s="55"/>
      <c r="BS74" s="59">
        <f ca="1">SUMPRODUCT($CA74:$DI74,'General Inputs'!$F$32:$AN$32,'General Inputs'!$F$55:$AN$55)/(1-Loss_ElectricEnergy)</f>
        <v>6026.2850858098855</v>
      </c>
      <c r="BT74" s="59">
        <f ca="1">SUMPRODUCT($DK74:$ES74,'General Inputs'!$F$33:$AN$33,'General Inputs'!$F$55:$AN$55)/(1-Loss_ElectricDemand)</f>
        <v>790.77361732485747</v>
      </c>
      <c r="BU74" s="59">
        <f ca="1">SUMPRODUCT($EU74:$GC74,'General Inputs'!$F$34:$AN$34,'General Inputs'!$F$55:$AN$55)/(1-Loss_GasEnergy)</f>
        <v>0</v>
      </c>
      <c r="BV74" s="59">
        <f ca="1">SUMPRODUCT($CA74:$DI74,OFFSET('General Inputs'!$F$40:$AN$40,MATCH($D74&amp;" Electric ($/kWh)",'General Inputs'!$E$40:$E$46,0),),'General Inputs'!$F$55:$AN$55)</f>
        <v>23846.285577900355</v>
      </c>
      <c r="BW74" s="59">
        <f ca="1">SUMPRODUCT($EU74:$GC74,OFFSET('General Inputs'!$F$40:$AN$40,MATCH($D74&amp;" Natural Gas ($/therm)",'General Inputs'!$E$40:$E$46,0),),'General Inputs'!$F$55:$AN$55)</f>
        <v>0</v>
      </c>
      <c r="BX74" s="59">
        <f ca="1">INDEX('General Inputs'!$F$55:$AN$55,MATCH($H74,'General Inputs'!$F$50:$AN$50,0))*$AI74</f>
        <v>0</v>
      </c>
      <c r="BY74" s="59">
        <f ca="1">INDEX('General Inputs'!$F$51:$AN$51,MATCH($H74,'General Inputs'!$F$50:$AN$50,0))*$AM74</f>
        <v>0</v>
      </c>
      <c r="BZ74" s="55"/>
      <c r="CA74" s="88">
        <f t="shared" ca="1" si="268"/>
        <v>21696.745300059978</v>
      </c>
      <c r="CB74" s="88">
        <f t="shared" ca="1" si="268"/>
        <v>21696.745300059978</v>
      </c>
      <c r="CC74" s="88">
        <f t="shared" ca="1" si="268"/>
        <v>21696.745300059978</v>
      </c>
      <c r="CD74" s="88">
        <f t="shared" ca="1" si="268"/>
        <v>21696.745300059978</v>
      </c>
      <c r="CE74" s="88">
        <f t="shared" ca="1" si="268"/>
        <v>21696.745300059978</v>
      </c>
      <c r="CF74" s="88">
        <f t="shared" ca="1" si="268"/>
        <v>21696.745300059978</v>
      </c>
      <c r="CG74" s="88">
        <f t="shared" ca="1" si="268"/>
        <v>21696.745300059978</v>
      </c>
      <c r="CH74" s="88">
        <f t="shared" ca="1" si="268"/>
        <v>21696.745300059978</v>
      </c>
      <c r="CI74" s="88">
        <f t="shared" ca="1" si="268"/>
        <v>21696.745300059978</v>
      </c>
      <c r="CJ74" s="88">
        <f t="shared" ca="1" si="268"/>
        <v>21696.745300059978</v>
      </c>
      <c r="CK74" s="88">
        <f t="shared" ca="1" si="269"/>
        <v>21696.745300059978</v>
      </c>
      <c r="CL74" s="88">
        <f t="shared" ca="1" si="269"/>
        <v>21696.745300059978</v>
      </c>
      <c r="CM74" s="88">
        <f t="shared" ca="1" si="269"/>
        <v>21696.745300059978</v>
      </c>
      <c r="CN74" s="88">
        <f t="shared" ca="1" si="269"/>
        <v>21696.745300059978</v>
      </c>
      <c r="CO74" s="88">
        <f t="shared" ca="1" si="269"/>
        <v>21696.745300059978</v>
      </c>
      <c r="CP74" s="88">
        <f t="shared" ca="1" si="269"/>
        <v>0</v>
      </c>
      <c r="CQ74" s="88">
        <f t="shared" ca="1" si="269"/>
        <v>0</v>
      </c>
      <c r="CR74" s="88">
        <f t="shared" ca="1" si="269"/>
        <v>0</v>
      </c>
      <c r="CS74" s="88">
        <f t="shared" ca="1" si="269"/>
        <v>0</v>
      </c>
      <c r="CT74" s="88">
        <f t="shared" ca="1" si="269"/>
        <v>0</v>
      </c>
      <c r="CU74" s="88">
        <f t="shared" ca="1" si="270"/>
        <v>0</v>
      </c>
      <c r="CV74" s="88">
        <f t="shared" ca="1" si="270"/>
        <v>0</v>
      </c>
      <c r="CW74" s="88">
        <f t="shared" ca="1" si="270"/>
        <v>0</v>
      </c>
      <c r="CX74" s="88">
        <f t="shared" ca="1" si="270"/>
        <v>0</v>
      </c>
      <c r="CY74" s="88">
        <f t="shared" ca="1" si="270"/>
        <v>0</v>
      </c>
      <c r="CZ74" s="88">
        <f t="shared" ca="1" si="270"/>
        <v>0</v>
      </c>
      <c r="DA74" s="88">
        <f t="shared" ca="1" si="270"/>
        <v>0</v>
      </c>
      <c r="DB74" s="88">
        <f t="shared" ca="1" si="270"/>
        <v>0</v>
      </c>
      <c r="DC74" s="88">
        <f t="shared" ca="1" si="270"/>
        <v>0</v>
      </c>
      <c r="DD74" s="88">
        <f t="shared" ca="1" si="270"/>
        <v>0</v>
      </c>
      <c r="DE74" s="88">
        <f t="shared" ca="1" si="270"/>
        <v>0</v>
      </c>
      <c r="DF74" s="88">
        <f t="shared" ca="1" si="270"/>
        <v>0</v>
      </c>
      <c r="DG74" s="88">
        <f t="shared" ca="1" si="270"/>
        <v>0</v>
      </c>
      <c r="DH74" s="88">
        <f t="shared" ca="1" si="270"/>
        <v>0</v>
      </c>
      <c r="DI74" s="88">
        <f t="shared" ca="1" si="270"/>
        <v>0</v>
      </c>
      <c r="DJ74" s="169"/>
      <c r="DK74" s="88">
        <f t="shared" ca="1" si="271"/>
        <v>3.9582525098107197</v>
      </c>
      <c r="DL74" s="88">
        <f t="shared" ca="1" si="271"/>
        <v>3.9582525098107197</v>
      </c>
      <c r="DM74" s="88">
        <f t="shared" ca="1" si="271"/>
        <v>3.9582525098107197</v>
      </c>
      <c r="DN74" s="88">
        <f t="shared" ca="1" si="271"/>
        <v>3.9582525098107197</v>
      </c>
      <c r="DO74" s="88">
        <f t="shared" ca="1" si="271"/>
        <v>3.9582525098107197</v>
      </c>
      <c r="DP74" s="88">
        <f t="shared" ca="1" si="271"/>
        <v>3.9582525098107197</v>
      </c>
      <c r="DQ74" s="88">
        <f t="shared" ca="1" si="271"/>
        <v>3.9582525098107197</v>
      </c>
      <c r="DR74" s="88">
        <f t="shared" ca="1" si="271"/>
        <v>3.9582525098107197</v>
      </c>
      <c r="DS74" s="88">
        <f t="shared" ca="1" si="271"/>
        <v>3.9582525098107197</v>
      </c>
      <c r="DT74" s="88">
        <f t="shared" ca="1" si="271"/>
        <v>3.9582525098107197</v>
      </c>
      <c r="DU74" s="88">
        <f t="shared" ca="1" si="272"/>
        <v>3.9582525098107197</v>
      </c>
      <c r="DV74" s="88">
        <f t="shared" ca="1" si="272"/>
        <v>3.9582525098107197</v>
      </c>
      <c r="DW74" s="88">
        <f t="shared" ca="1" si="272"/>
        <v>3.9582525098107197</v>
      </c>
      <c r="DX74" s="88">
        <f t="shared" ca="1" si="272"/>
        <v>3.9582525098107197</v>
      </c>
      <c r="DY74" s="88">
        <f t="shared" ca="1" si="272"/>
        <v>3.9582525098107197</v>
      </c>
      <c r="DZ74" s="88">
        <f t="shared" ca="1" si="272"/>
        <v>0</v>
      </c>
      <c r="EA74" s="88">
        <f t="shared" ca="1" si="272"/>
        <v>0</v>
      </c>
      <c r="EB74" s="88">
        <f t="shared" ca="1" si="272"/>
        <v>0</v>
      </c>
      <c r="EC74" s="88">
        <f t="shared" ca="1" si="272"/>
        <v>0</v>
      </c>
      <c r="ED74" s="88">
        <f t="shared" ca="1" si="272"/>
        <v>0</v>
      </c>
      <c r="EE74" s="88">
        <f t="shared" ca="1" si="273"/>
        <v>0</v>
      </c>
      <c r="EF74" s="88">
        <f t="shared" ca="1" si="273"/>
        <v>0</v>
      </c>
      <c r="EG74" s="88">
        <f t="shared" ca="1" si="273"/>
        <v>0</v>
      </c>
      <c r="EH74" s="88">
        <f t="shared" ca="1" si="273"/>
        <v>0</v>
      </c>
      <c r="EI74" s="88">
        <f t="shared" ca="1" si="273"/>
        <v>0</v>
      </c>
      <c r="EJ74" s="88">
        <f t="shared" ca="1" si="273"/>
        <v>0</v>
      </c>
      <c r="EK74" s="88">
        <f t="shared" ca="1" si="273"/>
        <v>0</v>
      </c>
      <c r="EL74" s="88">
        <f t="shared" ca="1" si="273"/>
        <v>0</v>
      </c>
      <c r="EM74" s="88">
        <f t="shared" ca="1" si="273"/>
        <v>0</v>
      </c>
      <c r="EN74" s="88">
        <f t="shared" ca="1" si="273"/>
        <v>0</v>
      </c>
      <c r="EO74" s="88">
        <f t="shared" ca="1" si="273"/>
        <v>0</v>
      </c>
      <c r="EP74" s="88">
        <f t="shared" ca="1" si="273"/>
        <v>0</v>
      </c>
      <c r="EQ74" s="88">
        <f t="shared" ca="1" si="273"/>
        <v>0</v>
      </c>
      <c r="ER74" s="88">
        <f t="shared" ca="1" si="273"/>
        <v>0</v>
      </c>
      <c r="ES74" s="88">
        <f t="shared" ca="1" si="273"/>
        <v>0</v>
      </c>
      <c r="ET74" s="169"/>
      <c r="EU74" s="88">
        <f t="shared" ca="1" si="274"/>
        <v>0</v>
      </c>
      <c r="EV74" s="88">
        <f t="shared" ca="1" si="274"/>
        <v>0</v>
      </c>
      <c r="EW74" s="88">
        <f t="shared" ca="1" si="274"/>
        <v>0</v>
      </c>
      <c r="EX74" s="88">
        <f t="shared" ca="1" si="274"/>
        <v>0</v>
      </c>
      <c r="EY74" s="88">
        <f t="shared" ca="1" si="274"/>
        <v>0</v>
      </c>
      <c r="EZ74" s="88">
        <f t="shared" ca="1" si="274"/>
        <v>0</v>
      </c>
      <c r="FA74" s="88">
        <f t="shared" ca="1" si="274"/>
        <v>0</v>
      </c>
      <c r="FB74" s="88">
        <f t="shared" ca="1" si="274"/>
        <v>0</v>
      </c>
      <c r="FC74" s="88">
        <f t="shared" ca="1" si="274"/>
        <v>0</v>
      </c>
      <c r="FD74" s="88">
        <f t="shared" ca="1" si="274"/>
        <v>0</v>
      </c>
      <c r="FE74" s="88">
        <f t="shared" ca="1" si="275"/>
        <v>0</v>
      </c>
      <c r="FF74" s="88">
        <f t="shared" ca="1" si="275"/>
        <v>0</v>
      </c>
      <c r="FG74" s="88">
        <f t="shared" ca="1" si="275"/>
        <v>0</v>
      </c>
      <c r="FH74" s="88">
        <f t="shared" ca="1" si="275"/>
        <v>0</v>
      </c>
      <c r="FI74" s="88">
        <f t="shared" ca="1" si="275"/>
        <v>0</v>
      </c>
      <c r="FJ74" s="88">
        <f t="shared" ca="1" si="275"/>
        <v>0</v>
      </c>
      <c r="FK74" s="88">
        <f t="shared" ca="1" si="275"/>
        <v>0</v>
      </c>
      <c r="FL74" s="88">
        <f t="shared" ca="1" si="275"/>
        <v>0</v>
      </c>
      <c r="FM74" s="88">
        <f t="shared" ca="1" si="275"/>
        <v>0</v>
      </c>
      <c r="FN74" s="88">
        <f t="shared" ca="1" si="275"/>
        <v>0</v>
      </c>
      <c r="FO74" s="88">
        <f t="shared" ca="1" si="276"/>
        <v>0</v>
      </c>
      <c r="FP74" s="88">
        <f t="shared" ca="1" si="276"/>
        <v>0</v>
      </c>
      <c r="FQ74" s="88">
        <f t="shared" ca="1" si="276"/>
        <v>0</v>
      </c>
      <c r="FR74" s="88">
        <f t="shared" ca="1" si="276"/>
        <v>0</v>
      </c>
      <c r="FS74" s="88">
        <f t="shared" ca="1" si="276"/>
        <v>0</v>
      </c>
      <c r="FT74" s="88">
        <f t="shared" ca="1" si="276"/>
        <v>0</v>
      </c>
      <c r="FU74" s="88">
        <f t="shared" ca="1" si="276"/>
        <v>0</v>
      </c>
      <c r="FV74" s="88">
        <f t="shared" ca="1" si="276"/>
        <v>0</v>
      </c>
      <c r="FW74" s="88">
        <f t="shared" ca="1" si="276"/>
        <v>0</v>
      </c>
      <c r="FX74" s="88">
        <f t="shared" ca="1" si="276"/>
        <v>0</v>
      </c>
      <c r="FY74" s="88">
        <f t="shared" ca="1" si="276"/>
        <v>0</v>
      </c>
      <c r="FZ74" s="88">
        <f t="shared" ca="1" si="276"/>
        <v>0</v>
      </c>
      <c r="GA74" s="88">
        <f t="shared" ca="1" si="276"/>
        <v>0</v>
      </c>
      <c r="GB74" s="88">
        <f t="shared" ca="1" si="276"/>
        <v>0</v>
      </c>
      <c r="GC74" s="88">
        <f t="shared" ca="1" si="276"/>
        <v>0</v>
      </c>
      <c r="GD74" s="60"/>
    </row>
    <row r="75" spans="1:186" s="54" customFormat="1">
      <c r="A75" s="61"/>
      <c r="B75" s="100" t="str">
        <f t="shared" si="277"/>
        <v>Residential_Weatherization_0_Water Heater Tank Wrap_2017</v>
      </c>
      <c r="C75" s="100">
        <f>INDEX('Measure Inputs'!$D:$D,MATCH($B75,'Measure Inputs'!$B:$B,0))</f>
        <v>27</v>
      </c>
      <c r="D75" s="101" t="s">
        <v>2</v>
      </c>
      <c r="E75" s="101" t="s">
        <v>253</v>
      </c>
      <c r="F75" s="101">
        <v>0</v>
      </c>
      <c r="G75" s="101" t="s">
        <v>266</v>
      </c>
      <c r="H75" s="101">
        <v>2017</v>
      </c>
      <c r="I75" s="55"/>
      <c r="J75" s="58" t="str">
        <f t="shared" ca="1" si="229"/>
        <v>n/a</v>
      </c>
      <c r="K75" s="58" t="str">
        <f t="shared" ca="1" si="246"/>
        <v>n/a</v>
      </c>
      <c r="L75" s="58" t="str">
        <f t="shared" ca="1" si="230"/>
        <v>n/a</v>
      </c>
      <c r="M75" s="58" t="str">
        <f t="shared" ca="1" si="231"/>
        <v>n/a</v>
      </c>
      <c r="N75" s="58">
        <f t="shared" ca="1" si="232"/>
        <v>0.27356014990931132</v>
      </c>
      <c r="O75" s="55"/>
      <c r="P75" s="175">
        <f ca="1">IFERROR(($AW75+AV75)/SUMPRODUCT($CA75:$DI75,'General Inputs'!$F$51:$AN$51),"n/a")</f>
        <v>0</v>
      </c>
      <c r="Q75" s="175">
        <f t="shared" ca="1" si="233"/>
        <v>0</v>
      </c>
      <c r="R75" s="56">
        <f t="shared" ca="1" si="260"/>
        <v>10.725</v>
      </c>
      <c r="S75" s="55"/>
      <c r="T75" s="56">
        <f ca="1">INDEX(OFFSET('Measure Inputs'!$L$7,,,InputRows),$C75)</f>
        <v>15</v>
      </c>
      <c r="U75" s="134">
        <f ca="1">INDEX(OFFSET('Measure Inputs'!$T$7,,,InputRows),$C75)</f>
        <v>1</v>
      </c>
      <c r="V75" s="134">
        <f ca="1">INDEX(OFFSET('Measure Inputs'!$U$7,,,InputRows),$C75)</f>
        <v>1</v>
      </c>
      <c r="W75" s="55"/>
      <c r="X75" s="96">
        <f ca="1">INDEX(OFFSET('Measure Inputs'!$V$7,,,InputRows),$C75)*$T75*$V75*$U75</f>
        <v>2145</v>
      </c>
      <c r="Y75" s="96">
        <f ca="1">INDEX(OFFSET('Measure Inputs'!$W$7,,,InputRows),$C75)*$T75*$V75*$U75</f>
        <v>0.24600000000000002</v>
      </c>
      <c r="Z75" s="96">
        <f ca="1">INDEX(OFFSET('Measure Inputs'!$X$7,,,InputRows),$C75)*$T75*$V75*$U75</f>
        <v>0</v>
      </c>
      <c r="AA75" s="55"/>
      <c r="AB75" s="96">
        <f ca="1">INDEX(OFFSET('Measure Inputs'!$Z$7,,,InputRows),$C75)*$T75*$V75*$U75</f>
        <v>0</v>
      </c>
      <c r="AC75" s="96">
        <f ca="1">INDEX(OFFSET('Measure Inputs'!$AA$7,,,InputRows),$C75)*$T75*$V75*$U75</f>
        <v>0</v>
      </c>
      <c r="AD75" s="96">
        <f ca="1">INDEX(OFFSET('Measure Inputs'!$AB$7,,,InputRows),$C75)*$T75*$V75*$U75</f>
        <v>0</v>
      </c>
      <c r="AE75" s="55"/>
      <c r="AF75" s="57">
        <f ca="1">INDEX(OFFSET('Measure Inputs'!$Q$7,,,InputRows),$C75)*$T75</f>
        <v>0</v>
      </c>
      <c r="AG75" s="57">
        <f ca="1">INDEX(OFFSET('Measure Inputs'!$P$7,,,InputRows),$C75)*$T75*$V75</f>
        <v>0</v>
      </c>
      <c r="AH75" s="57">
        <f ca="1">INDEX(OFFSET('Measure Inputs'!$R$7,,,InputRows),$C75)*$T75*$V75</f>
        <v>0</v>
      </c>
      <c r="AI75" s="57">
        <f ca="1">INDEX(OFFSET('Measure Inputs'!$O$7,,,InputRows),$C75)*$T75</f>
        <v>0</v>
      </c>
      <c r="AJ75" s="57">
        <f ca="1">INDEX(OFFSET('Measure Inputs'!$S$7,,,InputRows),$C75)*$T75</f>
        <v>0</v>
      </c>
      <c r="AK75" s="63">
        <f ca="1">INDEX(OFFSET('Measure Inputs'!$M$7,,,InputRows),$C75)</f>
        <v>5</v>
      </c>
      <c r="AL75" s="88">
        <f ca="1">INDEX(OFFSET('Measure Inputs'!$N$7,,,InputRows),$C75)</f>
        <v>0</v>
      </c>
      <c r="AM75" s="57">
        <f ca="1">SUMIFS(OFFSET('Program Inputs'!$N$5,,,TotalPrograms),OFFSET('Program Inputs'!$B$5,,,TotalPrograms),SUBSTITUTE($B75,"All","*"))+AF75</f>
        <v>0</v>
      </c>
      <c r="AN75" s="57">
        <f t="shared" ca="1" si="261"/>
        <v>0</v>
      </c>
      <c r="AO75" s="55"/>
      <c r="AP75" s="59">
        <f t="shared" ca="1" si="262"/>
        <v>292.77291784672337</v>
      </c>
      <c r="AQ75" s="59">
        <f t="shared" ca="1" si="263"/>
        <v>0</v>
      </c>
      <c r="AR75" s="59">
        <f ca="1">SUMPRODUCT($CA75:$DI75,'General Inputs'!$F$32:$AN$32,'General Inputs'!$F$51:$AN$51)/(1-Loss_ElectricEnergy)</f>
        <v>270.46246403062133</v>
      </c>
      <c r="AS75" s="59">
        <f ca="1">SUMPRODUCT($DK75:$ES75,'General Inputs'!$F$33:$AN$33,'General Inputs'!$F$51:$AN$51)/(1-Loss_ElectricDemand)</f>
        <v>22.310453816102058</v>
      </c>
      <c r="AT75" s="59">
        <f ca="1">SUMPRODUCT($EU75:$GC75,'General Inputs'!$F$34:$AN$34,'General Inputs'!$F$51:$AN$51)/(1-Loss_GasEnergy)</f>
        <v>0</v>
      </c>
      <c r="AU75" s="59">
        <f ca="1">INDEX('General Inputs'!$F$51:$AN$51,MATCH($H75,'General Inputs'!$F$50:$AN$50,0))*$AJ75</f>
        <v>0</v>
      </c>
      <c r="AV75" s="59">
        <f ca="1">INDEX('General Inputs'!$F$51:$AN$51,MATCH($H75,'General Inputs'!$F$50:$AN$50,0))*$AI75</f>
        <v>0</v>
      </c>
      <c r="AW75" s="59">
        <f ca="1">INDEX('General Inputs'!$F$51:$AN$51,MATCH($H75,'General Inputs'!$F$50:$AN$50,0))*$AM75</f>
        <v>0</v>
      </c>
      <c r="AX75" s="59">
        <f ca="1">SUM(INDEX('General Inputs'!$F$51:$AN$51,MATCH($H75,'General Inputs'!$F$50:$AN$50,0))*$AG75,INDEX('General Inputs'!$F$51:$AN$51,MATCH($H75+$AL75,'General Inputs'!$F$50:$AN$50,0))*-$AH75)</f>
        <v>0</v>
      </c>
      <c r="AY75" s="55"/>
      <c r="AZ75" s="59">
        <f ca="1">SUMPRODUCT($CA75:$DI75,'General Inputs'!$F$32:$AN$32,'General Inputs'!$F$52:$AN$52)/(1-Loss_ElectricEnergy)</f>
        <v>270.46246403062133</v>
      </c>
      <c r="BA75" s="59">
        <f ca="1">SUMPRODUCT($DK75:$ES75,'General Inputs'!$F$33:$AN$33,'General Inputs'!$F$52:$AN$52)/(1-Loss_ElectricDemand)</f>
        <v>22.310453816102058</v>
      </c>
      <c r="BB75" s="59">
        <f ca="1">SUMPRODUCT($EU75:$GC75,'General Inputs'!$F$34:$AN$34,'General Inputs'!$F$52:$AN$52)/(1-Loss_GasEnergy)</f>
        <v>0</v>
      </c>
      <c r="BC75" s="59">
        <f ca="1">INDEX('General Inputs'!$F$52:$AN$52,MATCH($H75,'General Inputs'!$F$50:$AN$50,0))*$AI75</f>
        <v>0</v>
      </c>
      <c r="BD75" s="59">
        <f ca="1">INDEX('General Inputs'!$F$52:$AN$52,MATCH($H75,'General Inputs'!$F$50:$AN$50,0))*$AM75</f>
        <v>0</v>
      </c>
      <c r="BE75" s="55"/>
      <c r="BF75" s="59">
        <f ca="1">SUMPRODUCT($CA75:$DI75,OFFSET('General Inputs'!$F$40:$AN$40,MATCH($D75&amp;" Electric ($/kWh)",'General Inputs'!$E$40:$E$46,0),),'General Inputs'!$F$54:$AN$54)</f>
        <v>1070.2323344382628</v>
      </c>
      <c r="BG75" s="59">
        <f ca="1">SUMPRODUCT($EU75:$GC75,OFFSET('General Inputs'!$F$40:$AN$40,MATCH($D75&amp;" Natural Gas ($/therm)",'General Inputs'!$E$40:$E$46,0),),'General Inputs'!$F$54:$AN$54)</f>
        <v>0</v>
      </c>
      <c r="BH75" s="59">
        <f ca="1">INDEX('General Inputs'!$F$54:$AN$54,MATCH($H75,'General Inputs'!$F$50:$AN$50,0))*$AI75</f>
        <v>0</v>
      </c>
      <c r="BI75" s="59">
        <f ca="1">SUM(INDEX('General Inputs'!$F$54:$AN$54,MATCH($H75,'General Inputs'!$F$50:$AN$50,0))*$AG75,INDEX('General Inputs'!$F$51:$AN$51,MATCH($H75+$AL75,'General Inputs'!$F$50:$AN$50,0))*-$AH75)</f>
        <v>0</v>
      </c>
      <c r="BJ75" s="55"/>
      <c r="BK75" s="59">
        <f ca="1">SUMPRODUCT($CA75:$DI75,'General Inputs'!$F$32:$AN$32,'General Inputs'!$F$53:$AN$53)/(1-Loss_ElectricEnergy)</f>
        <v>270.46246403062133</v>
      </c>
      <c r="BL75" s="59">
        <f ca="1">SUMPRODUCT($DK75:$ES75,'General Inputs'!$F$33:$AN$33,'General Inputs'!$F$53:$AN$53)/(1-Loss_ElectricDemand)</f>
        <v>22.310453816102058</v>
      </c>
      <c r="BM75" s="59">
        <f ca="1">SUMPRODUCT($EU75:$GC75,'General Inputs'!$F$34:$AN$34,'General Inputs'!$F$53:$AN$53)/(1-Loss_GasEnergy)</f>
        <v>0</v>
      </c>
      <c r="BN75" s="59">
        <f ca="1">INDEX('General Inputs'!$F$53:$AN$53,MATCH($H75,'General Inputs'!$F$50:$AN$50,0))*$AJ75</f>
        <v>0</v>
      </c>
      <c r="BO75" s="59">
        <f ca="1">SUMPRODUCT($CA75:$DI75,'General Inputs'!$F$35:$AN$35,'General Inputs'!$F$53:$AN$53)/(1-Loss_ElectricEnergy)</f>
        <v>109.07963197593023</v>
      </c>
      <c r="BP75" s="59">
        <f ca="1">INDEX('General Inputs'!$F$51:$AN$51,MATCH($H75,'General Inputs'!$F$50:$AN$50,0))*$AM75</f>
        <v>0</v>
      </c>
      <c r="BQ75" s="59">
        <f ca="1">SUM(INDEX('General Inputs'!$F$53:$AN$53,MATCH($H75,'General Inputs'!$F$50:$AN$50,0))*$AG75,INDEX('General Inputs'!$F$53:$AN$53,MATCH($H75+$AL75,'General Inputs'!$F$50:$AN$50,0))*-$AH75)</f>
        <v>0</v>
      </c>
      <c r="BR75" s="55"/>
      <c r="BS75" s="59">
        <f ca="1">SUMPRODUCT($CA75:$DI75,'General Inputs'!$F$32:$AN$32,'General Inputs'!$F$55:$AN$55)/(1-Loss_ElectricEnergy)</f>
        <v>270.46246403062133</v>
      </c>
      <c r="BT75" s="59">
        <f ca="1">SUMPRODUCT($DK75:$ES75,'General Inputs'!$F$33:$AN$33,'General Inputs'!$F$55:$AN$55)/(1-Loss_ElectricDemand)</f>
        <v>22.310453816102058</v>
      </c>
      <c r="BU75" s="59">
        <f ca="1">SUMPRODUCT($EU75:$GC75,'General Inputs'!$F$34:$AN$34,'General Inputs'!$F$55:$AN$55)/(1-Loss_GasEnergy)</f>
        <v>0</v>
      </c>
      <c r="BV75" s="59">
        <f ca="1">SUMPRODUCT($CA75:$DI75,OFFSET('General Inputs'!$F$40:$AN$40,MATCH($D75&amp;" Electric ($/kWh)",'General Inputs'!$E$40:$E$46,0),),'General Inputs'!$F$55:$AN$55)</f>
        <v>1070.2323344382628</v>
      </c>
      <c r="BW75" s="59">
        <f ca="1">SUMPRODUCT($EU75:$GC75,OFFSET('General Inputs'!$F$40:$AN$40,MATCH($D75&amp;" Natural Gas ($/therm)",'General Inputs'!$E$40:$E$46,0),),'General Inputs'!$F$55:$AN$55)</f>
        <v>0</v>
      </c>
      <c r="BX75" s="59">
        <f ca="1">INDEX('General Inputs'!$F$55:$AN$55,MATCH($H75,'General Inputs'!$F$50:$AN$50,0))*$AI75</f>
        <v>0</v>
      </c>
      <c r="BY75" s="59">
        <f ca="1">INDEX('General Inputs'!$F$51:$AN$51,MATCH($H75,'General Inputs'!$F$50:$AN$50,0))*$AM75</f>
        <v>0</v>
      </c>
      <c r="BZ75" s="55"/>
      <c r="CA75" s="88">
        <f t="shared" ca="1" si="268"/>
        <v>2145</v>
      </c>
      <c r="CB75" s="88">
        <f t="shared" ca="1" si="268"/>
        <v>2145</v>
      </c>
      <c r="CC75" s="88">
        <f t="shared" ca="1" si="268"/>
        <v>2145</v>
      </c>
      <c r="CD75" s="88">
        <f t="shared" ca="1" si="268"/>
        <v>2145</v>
      </c>
      <c r="CE75" s="88">
        <f t="shared" ca="1" si="268"/>
        <v>2145</v>
      </c>
      <c r="CF75" s="88">
        <f t="shared" ca="1" si="268"/>
        <v>0</v>
      </c>
      <c r="CG75" s="88">
        <f t="shared" ca="1" si="268"/>
        <v>0</v>
      </c>
      <c r="CH75" s="88">
        <f t="shared" ca="1" si="268"/>
        <v>0</v>
      </c>
      <c r="CI75" s="88">
        <f t="shared" ca="1" si="268"/>
        <v>0</v>
      </c>
      <c r="CJ75" s="88">
        <f t="shared" ca="1" si="268"/>
        <v>0</v>
      </c>
      <c r="CK75" s="88">
        <f t="shared" ca="1" si="269"/>
        <v>0</v>
      </c>
      <c r="CL75" s="88">
        <f t="shared" ca="1" si="269"/>
        <v>0</v>
      </c>
      <c r="CM75" s="88">
        <f t="shared" ca="1" si="269"/>
        <v>0</v>
      </c>
      <c r="CN75" s="88">
        <f t="shared" ca="1" si="269"/>
        <v>0</v>
      </c>
      <c r="CO75" s="88">
        <f t="shared" ca="1" si="269"/>
        <v>0</v>
      </c>
      <c r="CP75" s="88">
        <f t="shared" ca="1" si="269"/>
        <v>0</v>
      </c>
      <c r="CQ75" s="88">
        <f t="shared" ca="1" si="269"/>
        <v>0</v>
      </c>
      <c r="CR75" s="88">
        <f t="shared" ca="1" si="269"/>
        <v>0</v>
      </c>
      <c r="CS75" s="88">
        <f t="shared" ca="1" si="269"/>
        <v>0</v>
      </c>
      <c r="CT75" s="88">
        <f t="shared" ca="1" si="269"/>
        <v>0</v>
      </c>
      <c r="CU75" s="88">
        <f t="shared" ca="1" si="270"/>
        <v>0</v>
      </c>
      <c r="CV75" s="88">
        <f t="shared" ca="1" si="270"/>
        <v>0</v>
      </c>
      <c r="CW75" s="88">
        <f t="shared" ca="1" si="270"/>
        <v>0</v>
      </c>
      <c r="CX75" s="88">
        <f t="shared" ca="1" si="270"/>
        <v>0</v>
      </c>
      <c r="CY75" s="88">
        <f t="shared" ca="1" si="270"/>
        <v>0</v>
      </c>
      <c r="CZ75" s="88">
        <f t="shared" ca="1" si="270"/>
        <v>0</v>
      </c>
      <c r="DA75" s="88">
        <f t="shared" ca="1" si="270"/>
        <v>0</v>
      </c>
      <c r="DB75" s="88">
        <f t="shared" ca="1" si="270"/>
        <v>0</v>
      </c>
      <c r="DC75" s="88">
        <f t="shared" ca="1" si="270"/>
        <v>0</v>
      </c>
      <c r="DD75" s="88">
        <f t="shared" ca="1" si="270"/>
        <v>0</v>
      </c>
      <c r="DE75" s="88">
        <f t="shared" ca="1" si="270"/>
        <v>0</v>
      </c>
      <c r="DF75" s="88">
        <f t="shared" ca="1" si="270"/>
        <v>0</v>
      </c>
      <c r="DG75" s="88">
        <f t="shared" ca="1" si="270"/>
        <v>0</v>
      </c>
      <c r="DH75" s="88">
        <f t="shared" ca="1" si="270"/>
        <v>0</v>
      </c>
      <c r="DI75" s="88">
        <f t="shared" ca="1" si="270"/>
        <v>0</v>
      </c>
      <c r="DJ75" s="169"/>
      <c r="DK75" s="88">
        <f t="shared" ca="1" si="271"/>
        <v>0.24600000000000002</v>
      </c>
      <c r="DL75" s="88">
        <f t="shared" ca="1" si="271"/>
        <v>0.24600000000000002</v>
      </c>
      <c r="DM75" s="88">
        <f t="shared" ca="1" si="271"/>
        <v>0.24600000000000002</v>
      </c>
      <c r="DN75" s="88">
        <f t="shared" ca="1" si="271"/>
        <v>0.24600000000000002</v>
      </c>
      <c r="DO75" s="88">
        <f t="shared" ca="1" si="271"/>
        <v>0.24600000000000002</v>
      </c>
      <c r="DP75" s="88">
        <f t="shared" ca="1" si="271"/>
        <v>0</v>
      </c>
      <c r="DQ75" s="88">
        <f t="shared" ca="1" si="271"/>
        <v>0</v>
      </c>
      <c r="DR75" s="88">
        <f t="shared" ca="1" si="271"/>
        <v>0</v>
      </c>
      <c r="DS75" s="88">
        <f t="shared" ca="1" si="271"/>
        <v>0</v>
      </c>
      <c r="DT75" s="88">
        <f t="shared" ca="1" si="271"/>
        <v>0</v>
      </c>
      <c r="DU75" s="88">
        <f t="shared" ca="1" si="272"/>
        <v>0</v>
      </c>
      <c r="DV75" s="88">
        <f t="shared" ca="1" si="272"/>
        <v>0</v>
      </c>
      <c r="DW75" s="88">
        <f t="shared" ca="1" si="272"/>
        <v>0</v>
      </c>
      <c r="DX75" s="88">
        <f t="shared" ca="1" si="272"/>
        <v>0</v>
      </c>
      <c r="DY75" s="88">
        <f t="shared" ca="1" si="272"/>
        <v>0</v>
      </c>
      <c r="DZ75" s="88">
        <f t="shared" ca="1" si="272"/>
        <v>0</v>
      </c>
      <c r="EA75" s="88">
        <f t="shared" ca="1" si="272"/>
        <v>0</v>
      </c>
      <c r="EB75" s="88">
        <f t="shared" ca="1" si="272"/>
        <v>0</v>
      </c>
      <c r="EC75" s="88">
        <f t="shared" ca="1" si="272"/>
        <v>0</v>
      </c>
      <c r="ED75" s="88">
        <f t="shared" ca="1" si="272"/>
        <v>0</v>
      </c>
      <c r="EE75" s="88">
        <f t="shared" ca="1" si="273"/>
        <v>0</v>
      </c>
      <c r="EF75" s="88">
        <f t="shared" ca="1" si="273"/>
        <v>0</v>
      </c>
      <c r="EG75" s="88">
        <f t="shared" ca="1" si="273"/>
        <v>0</v>
      </c>
      <c r="EH75" s="88">
        <f t="shared" ca="1" si="273"/>
        <v>0</v>
      </c>
      <c r="EI75" s="88">
        <f t="shared" ca="1" si="273"/>
        <v>0</v>
      </c>
      <c r="EJ75" s="88">
        <f t="shared" ca="1" si="273"/>
        <v>0</v>
      </c>
      <c r="EK75" s="88">
        <f t="shared" ca="1" si="273"/>
        <v>0</v>
      </c>
      <c r="EL75" s="88">
        <f t="shared" ca="1" si="273"/>
        <v>0</v>
      </c>
      <c r="EM75" s="88">
        <f t="shared" ca="1" si="273"/>
        <v>0</v>
      </c>
      <c r="EN75" s="88">
        <f t="shared" ca="1" si="273"/>
        <v>0</v>
      </c>
      <c r="EO75" s="88">
        <f t="shared" ca="1" si="273"/>
        <v>0</v>
      </c>
      <c r="EP75" s="88">
        <f t="shared" ca="1" si="273"/>
        <v>0</v>
      </c>
      <c r="EQ75" s="88">
        <f t="shared" ca="1" si="273"/>
        <v>0</v>
      </c>
      <c r="ER75" s="88">
        <f t="shared" ca="1" si="273"/>
        <v>0</v>
      </c>
      <c r="ES75" s="88">
        <f t="shared" ca="1" si="273"/>
        <v>0</v>
      </c>
      <c r="ET75" s="169"/>
      <c r="EU75" s="88">
        <f t="shared" ca="1" si="274"/>
        <v>0</v>
      </c>
      <c r="EV75" s="88">
        <f t="shared" ca="1" si="274"/>
        <v>0</v>
      </c>
      <c r="EW75" s="88">
        <f t="shared" ca="1" si="274"/>
        <v>0</v>
      </c>
      <c r="EX75" s="88">
        <f t="shared" ca="1" si="274"/>
        <v>0</v>
      </c>
      <c r="EY75" s="88">
        <f t="shared" ca="1" si="274"/>
        <v>0</v>
      </c>
      <c r="EZ75" s="88">
        <f t="shared" ca="1" si="274"/>
        <v>0</v>
      </c>
      <c r="FA75" s="88">
        <f t="shared" ca="1" si="274"/>
        <v>0</v>
      </c>
      <c r="FB75" s="88">
        <f t="shared" ca="1" si="274"/>
        <v>0</v>
      </c>
      <c r="FC75" s="88">
        <f t="shared" ca="1" si="274"/>
        <v>0</v>
      </c>
      <c r="FD75" s="88">
        <f t="shared" ca="1" si="274"/>
        <v>0</v>
      </c>
      <c r="FE75" s="88">
        <f t="shared" ca="1" si="275"/>
        <v>0</v>
      </c>
      <c r="FF75" s="88">
        <f t="shared" ca="1" si="275"/>
        <v>0</v>
      </c>
      <c r="FG75" s="88">
        <f t="shared" ca="1" si="275"/>
        <v>0</v>
      </c>
      <c r="FH75" s="88">
        <f t="shared" ca="1" si="275"/>
        <v>0</v>
      </c>
      <c r="FI75" s="88">
        <f t="shared" ca="1" si="275"/>
        <v>0</v>
      </c>
      <c r="FJ75" s="88">
        <f t="shared" ca="1" si="275"/>
        <v>0</v>
      </c>
      <c r="FK75" s="88">
        <f t="shared" ca="1" si="275"/>
        <v>0</v>
      </c>
      <c r="FL75" s="88">
        <f t="shared" ca="1" si="275"/>
        <v>0</v>
      </c>
      <c r="FM75" s="88">
        <f t="shared" ca="1" si="275"/>
        <v>0</v>
      </c>
      <c r="FN75" s="88">
        <f t="shared" ca="1" si="275"/>
        <v>0</v>
      </c>
      <c r="FO75" s="88">
        <f t="shared" ca="1" si="276"/>
        <v>0</v>
      </c>
      <c r="FP75" s="88">
        <f t="shared" ca="1" si="276"/>
        <v>0</v>
      </c>
      <c r="FQ75" s="88">
        <f t="shared" ca="1" si="276"/>
        <v>0</v>
      </c>
      <c r="FR75" s="88">
        <f t="shared" ca="1" si="276"/>
        <v>0</v>
      </c>
      <c r="FS75" s="88">
        <f t="shared" ca="1" si="276"/>
        <v>0</v>
      </c>
      <c r="FT75" s="88">
        <f t="shared" ca="1" si="276"/>
        <v>0</v>
      </c>
      <c r="FU75" s="88">
        <f t="shared" ca="1" si="276"/>
        <v>0</v>
      </c>
      <c r="FV75" s="88">
        <f t="shared" ca="1" si="276"/>
        <v>0</v>
      </c>
      <c r="FW75" s="88">
        <f t="shared" ca="1" si="276"/>
        <v>0</v>
      </c>
      <c r="FX75" s="88">
        <f t="shared" ca="1" si="276"/>
        <v>0</v>
      </c>
      <c r="FY75" s="88">
        <f t="shared" ca="1" si="276"/>
        <v>0</v>
      </c>
      <c r="FZ75" s="88">
        <f t="shared" ca="1" si="276"/>
        <v>0</v>
      </c>
      <c r="GA75" s="88">
        <f t="shared" ca="1" si="276"/>
        <v>0</v>
      </c>
      <c r="GB75" s="88">
        <f t="shared" ca="1" si="276"/>
        <v>0</v>
      </c>
      <c r="GC75" s="88">
        <f t="shared" ca="1" si="276"/>
        <v>0</v>
      </c>
      <c r="GD75" s="60"/>
    </row>
    <row r="76" spans="1:186" s="54" customFormat="1">
      <c r="A76" s="61"/>
      <c r="B76" s="100" t="str">
        <f t="shared" si="277"/>
        <v>Residential_Weatherization_0_Hot Water Pipe Insulation_2017</v>
      </c>
      <c r="C76" s="100">
        <f>INDEX('Measure Inputs'!$D:$D,MATCH($B76,'Measure Inputs'!$B:$B,0))</f>
        <v>28</v>
      </c>
      <c r="D76" s="101" t="s">
        <v>2</v>
      </c>
      <c r="E76" s="101" t="s">
        <v>253</v>
      </c>
      <c r="F76" s="101">
        <v>0</v>
      </c>
      <c r="G76" s="101" t="s">
        <v>265</v>
      </c>
      <c r="H76" s="101">
        <v>2017</v>
      </c>
      <c r="I76" s="55"/>
      <c r="J76" s="58" t="str">
        <f t="shared" ca="1" si="229"/>
        <v>n/a</v>
      </c>
      <c r="K76" s="58" t="str">
        <f t="shared" ca="1" si="246"/>
        <v>n/a</v>
      </c>
      <c r="L76" s="58" t="str">
        <f t="shared" ca="1" si="230"/>
        <v>n/a</v>
      </c>
      <c r="M76" s="58" t="str">
        <f t="shared" ca="1" si="231"/>
        <v>n/a</v>
      </c>
      <c r="N76" s="58">
        <f t="shared" ca="1" si="232"/>
        <v>0.2734638001882867</v>
      </c>
      <c r="O76" s="55"/>
      <c r="P76" s="175">
        <f ca="1">IFERROR(($AW76+AV76)/SUMPRODUCT($CA76:$DI76,'General Inputs'!$F$51:$AN$51),"n/a")</f>
        <v>0</v>
      </c>
      <c r="Q76" s="175">
        <f t="shared" ca="1" si="233"/>
        <v>0</v>
      </c>
      <c r="R76" s="56">
        <f t="shared" ca="1" si="260"/>
        <v>27.719894520949317</v>
      </c>
      <c r="S76" s="55"/>
      <c r="T76" s="56">
        <f ca="1">INDEX(OFFSET('Measure Inputs'!$L$7,,,InputRows),$C76)</f>
        <v>15</v>
      </c>
      <c r="U76" s="134">
        <f ca="1">INDEX(OFFSET('Measure Inputs'!$T$7,,,InputRows),$C76)</f>
        <v>1</v>
      </c>
      <c r="V76" s="134">
        <f ca="1">INDEX(OFFSET('Measure Inputs'!$U$7,,,InputRows),$C76)</f>
        <v>1</v>
      </c>
      <c r="W76" s="55"/>
      <c r="X76" s="96">
        <f ca="1">INDEX(OFFSET('Measure Inputs'!$V$7,,,InputRows),$C76)*$T76*$V76*$U76</f>
        <v>1847.9929680632874</v>
      </c>
      <c r="Y76" s="96">
        <f ca="1">INDEX(OFFSET('Measure Inputs'!$W$7,,,InputRows),$C76)*$T76*$V76*$U76</f>
        <v>0.21095810137708759</v>
      </c>
      <c r="Z76" s="96">
        <f ca="1">INDEX(OFFSET('Measure Inputs'!$X$7,,,InputRows),$C76)*$T76*$V76*$U76</f>
        <v>0</v>
      </c>
      <c r="AA76" s="55"/>
      <c r="AB76" s="96">
        <f ca="1">INDEX(OFFSET('Measure Inputs'!$Z$7,,,InputRows),$C76)*$T76*$V76*$U76</f>
        <v>0</v>
      </c>
      <c r="AC76" s="96">
        <f ca="1">INDEX(OFFSET('Measure Inputs'!$AA$7,,,InputRows),$C76)*$T76*$V76*$U76</f>
        <v>0</v>
      </c>
      <c r="AD76" s="96">
        <f ca="1">INDEX(OFFSET('Measure Inputs'!$AB$7,,,InputRows),$C76)*$T76*$V76*$U76</f>
        <v>0</v>
      </c>
      <c r="AE76" s="55"/>
      <c r="AF76" s="57">
        <f ca="1">INDEX(OFFSET('Measure Inputs'!$Q$7,,,InputRows),$C76)*$T76</f>
        <v>0</v>
      </c>
      <c r="AG76" s="57">
        <f ca="1">INDEX(OFFSET('Measure Inputs'!$P$7,,,InputRows),$C76)*$T76*$V76</f>
        <v>0</v>
      </c>
      <c r="AH76" s="57">
        <f ca="1">INDEX(OFFSET('Measure Inputs'!$R$7,,,InputRows),$C76)*$T76*$V76</f>
        <v>0</v>
      </c>
      <c r="AI76" s="57">
        <f ca="1">INDEX(OFFSET('Measure Inputs'!$O$7,,,InputRows),$C76)*$T76</f>
        <v>0</v>
      </c>
      <c r="AJ76" s="57">
        <f ca="1">INDEX(OFFSET('Measure Inputs'!$S$7,,,InputRows),$C76)*$T76</f>
        <v>0</v>
      </c>
      <c r="AK76" s="63">
        <f ca="1">INDEX(OFFSET('Measure Inputs'!$M$7,,,InputRows),$C76)</f>
        <v>15</v>
      </c>
      <c r="AL76" s="88">
        <f ca="1">INDEX(OFFSET('Measure Inputs'!$N$7,,,InputRows),$C76)</f>
        <v>0</v>
      </c>
      <c r="AM76" s="57">
        <f ca="1">SUMIFS(OFFSET('Program Inputs'!$N$5,,,TotalPrograms),OFFSET('Program Inputs'!$B$5,,,TotalPrograms),SUBSTITUTE($B76,"All","*"))+AF76</f>
        <v>0</v>
      </c>
      <c r="AN76" s="57">
        <f t="shared" ca="1" si="261"/>
        <v>0</v>
      </c>
      <c r="AO76" s="55"/>
      <c r="AP76" s="59">
        <f t="shared" ca="1" si="262"/>
        <v>555.42613205325108</v>
      </c>
      <c r="AQ76" s="59">
        <f t="shared" ca="1" si="263"/>
        <v>0</v>
      </c>
      <c r="AR76" s="59">
        <f ca="1">SUMPRODUCT($CA76:$DI76,'General Inputs'!$F$32:$AN$32,'General Inputs'!$F$51:$AN$51)/(1-Loss_ElectricEnergy)</f>
        <v>513.28124601668014</v>
      </c>
      <c r="AS76" s="59">
        <f ca="1">SUMPRODUCT($DK76:$ES76,'General Inputs'!$F$33:$AN$33,'General Inputs'!$F$51:$AN$51)/(1-Loss_ElectricDemand)</f>
        <v>42.144886036570909</v>
      </c>
      <c r="AT76" s="59">
        <f ca="1">SUMPRODUCT($EU76:$GC76,'General Inputs'!$F$34:$AN$34,'General Inputs'!$F$51:$AN$51)/(1-Loss_GasEnergy)</f>
        <v>0</v>
      </c>
      <c r="AU76" s="59">
        <f ca="1">INDEX('General Inputs'!$F$51:$AN$51,MATCH($H76,'General Inputs'!$F$50:$AN$50,0))*$AJ76</f>
        <v>0</v>
      </c>
      <c r="AV76" s="59">
        <f ca="1">INDEX('General Inputs'!$F$51:$AN$51,MATCH($H76,'General Inputs'!$F$50:$AN$50,0))*$AI76</f>
        <v>0</v>
      </c>
      <c r="AW76" s="59">
        <f ca="1">INDEX('General Inputs'!$F$51:$AN$51,MATCH($H76,'General Inputs'!$F$50:$AN$50,0))*$AM76</f>
        <v>0</v>
      </c>
      <c r="AX76" s="59">
        <f ca="1">SUM(INDEX('General Inputs'!$F$51:$AN$51,MATCH($H76,'General Inputs'!$F$50:$AN$50,0))*$AG76,INDEX('General Inputs'!$F$51:$AN$51,MATCH($H76+$AL76,'General Inputs'!$F$50:$AN$50,0))*-$AH76)</f>
        <v>0</v>
      </c>
      <c r="AY76" s="55"/>
      <c r="AZ76" s="59">
        <f ca="1">SUMPRODUCT($CA76:$DI76,'General Inputs'!$F$32:$AN$32,'General Inputs'!$F$52:$AN$52)/(1-Loss_ElectricEnergy)</f>
        <v>513.28124601668014</v>
      </c>
      <c r="BA76" s="59">
        <f ca="1">SUMPRODUCT($DK76:$ES76,'General Inputs'!$F$33:$AN$33,'General Inputs'!$F$52:$AN$52)/(1-Loss_ElectricDemand)</f>
        <v>42.144886036570909</v>
      </c>
      <c r="BB76" s="59">
        <f ca="1">SUMPRODUCT($EU76:$GC76,'General Inputs'!$F$34:$AN$34,'General Inputs'!$F$52:$AN$52)/(1-Loss_GasEnergy)</f>
        <v>0</v>
      </c>
      <c r="BC76" s="59">
        <f ca="1">INDEX('General Inputs'!$F$52:$AN$52,MATCH($H76,'General Inputs'!$F$50:$AN$50,0))*$AI76</f>
        <v>0</v>
      </c>
      <c r="BD76" s="59">
        <f ca="1">INDEX('General Inputs'!$F$52:$AN$52,MATCH($H76,'General Inputs'!$F$50:$AN$50,0))*$AM76</f>
        <v>0</v>
      </c>
      <c r="BE76" s="55"/>
      <c r="BF76" s="59">
        <f ca="1">SUMPRODUCT($CA76:$DI76,OFFSET('General Inputs'!$F$40:$AN$40,MATCH($D76&amp;" Electric ($/kWh)",'General Inputs'!$E$40:$E$46,0),),'General Inputs'!$F$54:$AN$54)</f>
        <v>2031.0773552873407</v>
      </c>
      <c r="BG76" s="59">
        <f ca="1">SUMPRODUCT($EU76:$GC76,OFFSET('General Inputs'!$F$40:$AN$40,MATCH($D76&amp;" Natural Gas ($/therm)",'General Inputs'!$E$40:$E$46,0),),'General Inputs'!$F$54:$AN$54)</f>
        <v>0</v>
      </c>
      <c r="BH76" s="59">
        <f ca="1">INDEX('General Inputs'!$F$54:$AN$54,MATCH($H76,'General Inputs'!$F$50:$AN$50,0))*$AI76</f>
        <v>0</v>
      </c>
      <c r="BI76" s="59">
        <f ca="1">SUM(INDEX('General Inputs'!$F$54:$AN$54,MATCH($H76,'General Inputs'!$F$50:$AN$50,0))*$AG76,INDEX('General Inputs'!$F$51:$AN$51,MATCH($H76+$AL76,'General Inputs'!$F$50:$AN$50,0))*-$AH76)</f>
        <v>0</v>
      </c>
      <c r="BJ76" s="55"/>
      <c r="BK76" s="59">
        <f ca="1">SUMPRODUCT($CA76:$DI76,'General Inputs'!$F$32:$AN$32,'General Inputs'!$F$53:$AN$53)/(1-Loss_ElectricEnergy)</f>
        <v>513.28124601668014</v>
      </c>
      <c r="BL76" s="59">
        <f ca="1">SUMPRODUCT($DK76:$ES76,'General Inputs'!$F$33:$AN$33,'General Inputs'!$F$53:$AN$53)/(1-Loss_ElectricDemand)</f>
        <v>42.144886036570909</v>
      </c>
      <c r="BM76" s="59">
        <f ca="1">SUMPRODUCT($EU76:$GC76,'General Inputs'!$F$34:$AN$34,'General Inputs'!$F$53:$AN$53)/(1-Loss_GasEnergy)</f>
        <v>0</v>
      </c>
      <c r="BN76" s="59">
        <f ca="1">INDEX('General Inputs'!$F$53:$AN$53,MATCH($H76,'General Inputs'!$F$50:$AN$50,0))*$AJ76</f>
        <v>0</v>
      </c>
      <c r="BO76" s="59">
        <f ca="1">SUMPRODUCT($CA76:$DI76,'General Inputs'!$F$35:$AN$35,'General Inputs'!$F$53:$AN$53)/(1-Loss_ElectricEnergy)</f>
        <v>195.7879985692735</v>
      </c>
      <c r="BP76" s="59">
        <f ca="1">INDEX('General Inputs'!$F$51:$AN$51,MATCH($H76,'General Inputs'!$F$50:$AN$50,0))*$AM76</f>
        <v>0</v>
      </c>
      <c r="BQ76" s="59">
        <f ca="1">SUM(INDEX('General Inputs'!$F$53:$AN$53,MATCH($H76,'General Inputs'!$F$50:$AN$50,0))*$AG76,INDEX('General Inputs'!$F$53:$AN$53,MATCH($H76+$AL76,'General Inputs'!$F$50:$AN$50,0))*-$AH76)</f>
        <v>0</v>
      </c>
      <c r="BR76" s="55"/>
      <c r="BS76" s="59">
        <f ca="1">SUMPRODUCT($CA76:$DI76,'General Inputs'!$F$32:$AN$32,'General Inputs'!$F$55:$AN$55)/(1-Loss_ElectricEnergy)</f>
        <v>513.28124601668014</v>
      </c>
      <c r="BT76" s="59">
        <f ca="1">SUMPRODUCT($DK76:$ES76,'General Inputs'!$F$33:$AN$33,'General Inputs'!$F$55:$AN$55)/(1-Loss_ElectricDemand)</f>
        <v>42.144886036570909</v>
      </c>
      <c r="BU76" s="59">
        <f ca="1">SUMPRODUCT($EU76:$GC76,'General Inputs'!$F$34:$AN$34,'General Inputs'!$F$55:$AN$55)/(1-Loss_GasEnergy)</f>
        <v>0</v>
      </c>
      <c r="BV76" s="59">
        <f ca="1">SUMPRODUCT($CA76:$DI76,OFFSET('General Inputs'!$F$40:$AN$40,MATCH($D76&amp;" Electric ($/kWh)",'General Inputs'!$E$40:$E$46,0),),'General Inputs'!$F$55:$AN$55)</f>
        <v>2031.0773552873407</v>
      </c>
      <c r="BW76" s="59">
        <f ca="1">SUMPRODUCT($EU76:$GC76,OFFSET('General Inputs'!$F$40:$AN$40,MATCH($D76&amp;" Natural Gas ($/therm)",'General Inputs'!$E$40:$E$46,0),),'General Inputs'!$F$55:$AN$55)</f>
        <v>0</v>
      </c>
      <c r="BX76" s="59">
        <f ca="1">INDEX('General Inputs'!$F$55:$AN$55,MATCH($H76,'General Inputs'!$F$50:$AN$50,0))*$AI76</f>
        <v>0</v>
      </c>
      <c r="BY76" s="59">
        <f ca="1">INDEX('General Inputs'!$F$51:$AN$51,MATCH($H76,'General Inputs'!$F$50:$AN$50,0))*$AM76</f>
        <v>0</v>
      </c>
      <c r="BZ76" s="55"/>
      <c r="CA76" s="88">
        <f t="shared" ca="1" si="268"/>
        <v>1847.9929680632874</v>
      </c>
      <c r="CB76" s="88">
        <f t="shared" ca="1" si="268"/>
        <v>1847.9929680632874</v>
      </c>
      <c r="CC76" s="88">
        <f t="shared" ca="1" si="268"/>
        <v>1847.9929680632874</v>
      </c>
      <c r="CD76" s="88">
        <f t="shared" ca="1" si="268"/>
        <v>1847.9929680632874</v>
      </c>
      <c r="CE76" s="88">
        <f t="shared" ca="1" si="268"/>
        <v>1847.9929680632874</v>
      </c>
      <c r="CF76" s="88">
        <f t="shared" ca="1" si="268"/>
        <v>1847.9929680632874</v>
      </c>
      <c r="CG76" s="88">
        <f t="shared" ca="1" si="268"/>
        <v>1847.9929680632874</v>
      </c>
      <c r="CH76" s="88">
        <f t="shared" ca="1" si="268"/>
        <v>1847.9929680632874</v>
      </c>
      <c r="CI76" s="88">
        <f t="shared" ca="1" si="268"/>
        <v>1847.9929680632874</v>
      </c>
      <c r="CJ76" s="88">
        <f t="shared" ca="1" si="268"/>
        <v>1847.9929680632874</v>
      </c>
      <c r="CK76" s="88">
        <f t="shared" ca="1" si="269"/>
        <v>1847.9929680632874</v>
      </c>
      <c r="CL76" s="88">
        <f t="shared" ca="1" si="269"/>
        <v>1847.9929680632874</v>
      </c>
      <c r="CM76" s="88">
        <f t="shared" ca="1" si="269"/>
        <v>1847.9929680632874</v>
      </c>
      <c r="CN76" s="88">
        <f t="shared" ca="1" si="269"/>
        <v>1847.9929680632874</v>
      </c>
      <c r="CO76" s="88">
        <f t="shared" ca="1" si="269"/>
        <v>1847.9929680632874</v>
      </c>
      <c r="CP76" s="88">
        <f t="shared" ca="1" si="269"/>
        <v>0</v>
      </c>
      <c r="CQ76" s="88">
        <f t="shared" ca="1" si="269"/>
        <v>0</v>
      </c>
      <c r="CR76" s="88">
        <f t="shared" ca="1" si="269"/>
        <v>0</v>
      </c>
      <c r="CS76" s="88">
        <f t="shared" ca="1" si="269"/>
        <v>0</v>
      </c>
      <c r="CT76" s="88">
        <f t="shared" ca="1" si="269"/>
        <v>0</v>
      </c>
      <c r="CU76" s="88">
        <f t="shared" ca="1" si="270"/>
        <v>0</v>
      </c>
      <c r="CV76" s="88">
        <f t="shared" ca="1" si="270"/>
        <v>0</v>
      </c>
      <c r="CW76" s="88">
        <f t="shared" ca="1" si="270"/>
        <v>0</v>
      </c>
      <c r="CX76" s="88">
        <f t="shared" ca="1" si="270"/>
        <v>0</v>
      </c>
      <c r="CY76" s="88">
        <f t="shared" ca="1" si="270"/>
        <v>0</v>
      </c>
      <c r="CZ76" s="88">
        <f t="shared" ca="1" si="270"/>
        <v>0</v>
      </c>
      <c r="DA76" s="88">
        <f t="shared" ca="1" si="270"/>
        <v>0</v>
      </c>
      <c r="DB76" s="88">
        <f t="shared" ca="1" si="270"/>
        <v>0</v>
      </c>
      <c r="DC76" s="88">
        <f t="shared" ca="1" si="270"/>
        <v>0</v>
      </c>
      <c r="DD76" s="88">
        <f t="shared" ca="1" si="270"/>
        <v>0</v>
      </c>
      <c r="DE76" s="88">
        <f t="shared" ca="1" si="270"/>
        <v>0</v>
      </c>
      <c r="DF76" s="88">
        <f t="shared" ca="1" si="270"/>
        <v>0</v>
      </c>
      <c r="DG76" s="88">
        <f t="shared" ca="1" si="270"/>
        <v>0</v>
      </c>
      <c r="DH76" s="88">
        <f t="shared" ca="1" si="270"/>
        <v>0</v>
      </c>
      <c r="DI76" s="88">
        <f t="shared" ca="1" si="270"/>
        <v>0</v>
      </c>
      <c r="DJ76" s="169"/>
      <c r="DK76" s="88">
        <f t="shared" ca="1" si="271"/>
        <v>0.21095810137708759</v>
      </c>
      <c r="DL76" s="88">
        <f t="shared" ca="1" si="271"/>
        <v>0.21095810137708759</v>
      </c>
      <c r="DM76" s="88">
        <f t="shared" ca="1" si="271"/>
        <v>0.21095810137708759</v>
      </c>
      <c r="DN76" s="88">
        <f t="shared" ca="1" si="271"/>
        <v>0.21095810137708759</v>
      </c>
      <c r="DO76" s="88">
        <f t="shared" ca="1" si="271"/>
        <v>0.21095810137708759</v>
      </c>
      <c r="DP76" s="88">
        <f t="shared" ca="1" si="271"/>
        <v>0.21095810137708759</v>
      </c>
      <c r="DQ76" s="88">
        <f t="shared" ca="1" si="271"/>
        <v>0.21095810137708759</v>
      </c>
      <c r="DR76" s="88">
        <f t="shared" ca="1" si="271"/>
        <v>0.21095810137708759</v>
      </c>
      <c r="DS76" s="88">
        <f t="shared" ca="1" si="271"/>
        <v>0.21095810137708759</v>
      </c>
      <c r="DT76" s="88">
        <f t="shared" ca="1" si="271"/>
        <v>0.21095810137708759</v>
      </c>
      <c r="DU76" s="88">
        <f t="shared" ca="1" si="272"/>
        <v>0.21095810137708759</v>
      </c>
      <c r="DV76" s="88">
        <f t="shared" ca="1" si="272"/>
        <v>0.21095810137708759</v>
      </c>
      <c r="DW76" s="88">
        <f t="shared" ca="1" si="272"/>
        <v>0.21095810137708759</v>
      </c>
      <c r="DX76" s="88">
        <f t="shared" ca="1" si="272"/>
        <v>0.21095810137708759</v>
      </c>
      <c r="DY76" s="88">
        <f t="shared" ca="1" si="272"/>
        <v>0.21095810137708759</v>
      </c>
      <c r="DZ76" s="88">
        <f t="shared" ca="1" si="272"/>
        <v>0</v>
      </c>
      <c r="EA76" s="88">
        <f t="shared" ca="1" si="272"/>
        <v>0</v>
      </c>
      <c r="EB76" s="88">
        <f t="shared" ca="1" si="272"/>
        <v>0</v>
      </c>
      <c r="EC76" s="88">
        <f t="shared" ca="1" si="272"/>
        <v>0</v>
      </c>
      <c r="ED76" s="88">
        <f t="shared" ca="1" si="272"/>
        <v>0</v>
      </c>
      <c r="EE76" s="88">
        <f t="shared" ca="1" si="273"/>
        <v>0</v>
      </c>
      <c r="EF76" s="88">
        <f t="shared" ca="1" si="273"/>
        <v>0</v>
      </c>
      <c r="EG76" s="88">
        <f t="shared" ca="1" si="273"/>
        <v>0</v>
      </c>
      <c r="EH76" s="88">
        <f t="shared" ca="1" si="273"/>
        <v>0</v>
      </c>
      <c r="EI76" s="88">
        <f t="shared" ca="1" si="273"/>
        <v>0</v>
      </c>
      <c r="EJ76" s="88">
        <f t="shared" ca="1" si="273"/>
        <v>0</v>
      </c>
      <c r="EK76" s="88">
        <f t="shared" ca="1" si="273"/>
        <v>0</v>
      </c>
      <c r="EL76" s="88">
        <f t="shared" ca="1" si="273"/>
        <v>0</v>
      </c>
      <c r="EM76" s="88">
        <f t="shared" ca="1" si="273"/>
        <v>0</v>
      </c>
      <c r="EN76" s="88">
        <f t="shared" ca="1" si="273"/>
        <v>0</v>
      </c>
      <c r="EO76" s="88">
        <f t="shared" ca="1" si="273"/>
        <v>0</v>
      </c>
      <c r="EP76" s="88">
        <f t="shared" ca="1" si="273"/>
        <v>0</v>
      </c>
      <c r="EQ76" s="88">
        <f t="shared" ca="1" si="273"/>
        <v>0</v>
      </c>
      <c r="ER76" s="88">
        <f t="shared" ca="1" si="273"/>
        <v>0</v>
      </c>
      <c r="ES76" s="88">
        <f t="shared" ca="1" si="273"/>
        <v>0</v>
      </c>
      <c r="ET76" s="169"/>
      <c r="EU76" s="88">
        <f t="shared" ca="1" si="274"/>
        <v>0</v>
      </c>
      <c r="EV76" s="88">
        <f t="shared" ca="1" si="274"/>
        <v>0</v>
      </c>
      <c r="EW76" s="88">
        <f t="shared" ca="1" si="274"/>
        <v>0</v>
      </c>
      <c r="EX76" s="88">
        <f t="shared" ca="1" si="274"/>
        <v>0</v>
      </c>
      <c r="EY76" s="88">
        <f t="shared" ca="1" si="274"/>
        <v>0</v>
      </c>
      <c r="EZ76" s="88">
        <f t="shared" ca="1" si="274"/>
        <v>0</v>
      </c>
      <c r="FA76" s="88">
        <f t="shared" ca="1" si="274"/>
        <v>0</v>
      </c>
      <c r="FB76" s="88">
        <f t="shared" ca="1" si="274"/>
        <v>0</v>
      </c>
      <c r="FC76" s="88">
        <f t="shared" ca="1" si="274"/>
        <v>0</v>
      </c>
      <c r="FD76" s="88">
        <f t="shared" ca="1" si="274"/>
        <v>0</v>
      </c>
      <c r="FE76" s="88">
        <f t="shared" ca="1" si="275"/>
        <v>0</v>
      </c>
      <c r="FF76" s="88">
        <f t="shared" ca="1" si="275"/>
        <v>0</v>
      </c>
      <c r="FG76" s="88">
        <f t="shared" ca="1" si="275"/>
        <v>0</v>
      </c>
      <c r="FH76" s="88">
        <f t="shared" ca="1" si="275"/>
        <v>0</v>
      </c>
      <c r="FI76" s="88">
        <f t="shared" ca="1" si="275"/>
        <v>0</v>
      </c>
      <c r="FJ76" s="88">
        <f t="shared" ca="1" si="275"/>
        <v>0</v>
      </c>
      <c r="FK76" s="88">
        <f t="shared" ca="1" si="275"/>
        <v>0</v>
      </c>
      <c r="FL76" s="88">
        <f t="shared" ca="1" si="275"/>
        <v>0</v>
      </c>
      <c r="FM76" s="88">
        <f t="shared" ca="1" si="275"/>
        <v>0</v>
      </c>
      <c r="FN76" s="88">
        <f t="shared" ca="1" si="275"/>
        <v>0</v>
      </c>
      <c r="FO76" s="88">
        <f t="shared" ca="1" si="276"/>
        <v>0</v>
      </c>
      <c r="FP76" s="88">
        <f t="shared" ca="1" si="276"/>
        <v>0</v>
      </c>
      <c r="FQ76" s="88">
        <f t="shared" ca="1" si="276"/>
        <v>0</v>
      </c>
      <c r="FR76" s="88">
        <f t="shared" ca="1" si="276"/>
        <v>0</v>
      </c>
      <c r="FS76" s="88">
        <f t="shared" ca="1" si="276"/>
        <v>0</v>
      </c>
      <c r="FT76" s="88">
        <f t="shared" ca="1" si="276"/>
        <v>0</v>
      </c>
      <c r="FU76" s="88">
        <f t="shared" ca="1" si="276"/>
        <v>0</v>
      </c>
      <c r="FV76" s="88">
        <f t="shared" ca="1" si="276"/>
        <v>0</v>
      </c>
      <c r="FW76" s="88">
        <f t="shared" ca="1" si="276"/>
        <v>0</v>
      </c>
      <c r="FX76" s="88">
        <f t="shared" ca="1" si="276"/>
        <v>0</v>
      </c>
      <c r="FY76" s="88">
        <f t="shared" ca="1" si="276"/>
        <v>0</v>
      </c>
      <c r="FZ76" s="88">
        <f t="shared" ca="1" si="276"/>
        <v>0</v>
      </c>
      <c r="GA76" s="88">
        <f t="shared" ca="1" si="276"/>
        <v>0</v>
      </c>
      <c r="GB76" s="88">
        <f t="shared" ca="1" si="276"/>
        <v>0</v>
      </c>
      <c r="GC76" s="88">
        <f t="shared" ca="1" si="276"/>
        <v>0</v>
      </c>
      <c r="GD76" s="60"/>
    </row>
    <row r="77" spans="1:186" s="54" customFormat="1">
      <c r="A77" s="61"/>
      <c r="B77" s="100" t="str">
        <f t="shared" si="277"/>
        <v>Residential_Weatherization_0_Water Heater Temperature Setback_2017</v>
      </c>
      <c r="C77" s="100">
        <f>INDEX('Measure Inputs'!$D:$D,MATCH($B77,'Measure Inputs'!$B:$B,0))</f>
        <v>29</v>
      </c>
      <c r="D77" s="101" t="s">
        <v>2</v>
      </c>
      <c r="E77" s="101" t="s">
        <v>253</v>
      </c>
      <c r="F77" s="101">
        <v>0</v>
      </c>
      <c r="G77" s="101" t="s">
        <v>271</v>
      </c>
      <c r="H77" s="101">
        <v>2017</v>
      </c>
      <c r="I77" s="55"/>
      <c r="J77" s="58" t="str">
        <f t="shared" ca="1" si="229"/>
        <v>n/a</v>
      </c>
      <c r="K77" s="58" t="str">
        <f t="shared" ca="1" si="246"/>
        <v>n/a</v>
      </c>
      <c r="L77" s="58" t="str">
        <f t="shared" ca="1" si="230"/>
        <v>n/a</v>
      </c>
      <c r="M77" s="58" t="str">
        <f t="shared" ca="1" si="231"/>
        <v>n/a</v>
      </c>
      <c r="N77" s="58">
        <f t="shared" ca="1" si="232"/>
        <v>0.27344959757691045</v>
      </c>
      <c r="O77" s="55"/>
      <c r="P77" s="175">
        <f ca="1">IFERROR(($AW77+AV77)/SUMPRODUCT($CA77:$DI77,'General Inputs'!$F$51:$AN$51),"n/a")</f>
        <v>0</v>
      </c>
      <c r="Q77" s="175">
        <f t="shared" ca="1" si="233"/>
        <v>0</v>
      </c>
      <c r="R77" s="56">
        <f t="shared" ca="1" si="260"/>
        <v>1.513140121300572</v>
      </c>
      <c r="S77" s="55"/>
      <c r="T77" s="56">
        <f ca="1">INDEX(OFFSET('Measure Inputs'!$L$7,,,InputRows),$C77)</f>
        <v>15</v>
      </c>
      <c r="U77" s="134">
        <f ca="1">INDEX(OFFSET('Measure Inputs'!$T$7,,,InputRows),$C77)</f>
        <v>1</v>
      </c>
      <c r="V77" s="134">
        <f ca="1">INDEX(OFFSET('Measure Inputs'!$U$7,,,InputRows),$C77)</f>
        <v>1</v>
      </c>
      <c r="W77" s="55"/>
      <c r="X77" s="96">
        <f ca="1">INDEX(OFFSET('Measure Inputs'!$V$7,,,InputRows),$C77)*$T77*$V77*$U77</f>
        <v>756.570060650286</v>
      </c>
      <c r="Y77" s="96">
        <f ca="1">INDEX(OFFSET('Measure Inputs'!$W$7,,,InputRows),$C77)*$T77*$V77*$U77</f>
        <v>8.6307330669665297E-2</v>
      </c>
      <c r="Z77" s="96">
        <f ca="1">INDEX(OFFSET('Measure Inputs'!$X$7,,,InputRows),$C77)*$T77*$V77*$U77</f>
        <v>0</v>
      </c>
      <c r="AA77" s="55"/>
      <c r="AB77" s="96">
        <f ca="1">INDEX(OFFSET('Measure Inputs'!$Z$7,,,InputRows),$C77)*$T77*$V77*$U77</f>
        <v>0</v>
      </c>
      <c r="AC77" s="96">
        <f ca="1">INDEX(OFFSET('Measure Inputs'!$AA$7,,,InputRows),$C77)*$T77*$V77*$U77</f>
        <v>0</v>
      </c>
      <c r="AD77" s="96">
        <f ca="1">INDEX(OFFSET('Measure Inputs'!$AB$7,,,InputRows),$C77)*$T77*$V77*$U77</f>
        <v>0</v>
      </c>
      <c r="AE77" s="55"/>
      <c r="AF77" s="57">
        <f ca="1">INDEX(OFFSET('Measure Inputs'!$Q$7,,,InputRows),$C77)*$T77</f>
        <v>0</v>
      </c>
      <c r="AG77" s="57">
        <f ca="1">INDEX(OFFSET('Measure Inputs'!$P$7,,,InputRows),$C77)*$T77*$V77</f>
        <v>0</v>
      </c>
      <c r="AH77" s="57">
        <f ca="1">INDEX(OFFSET('Measure Inputs'!$R$7,,,InputRows),$C77)*$T77*$V77</f>
        <v>0</v>
      </c>
      <c r="AI77" s="57">
        <f ca="1">INDEX(OFFSET('Measure Inputs'!$O$7,,,InputRows),$C77)*$T77</f>
        <v>0</v>
      </c>
      <c r="AJ77" s="57">
        <f ca="1">INDEX(OFFSET('Measure Inputs'!$S$7,,,InputRows),$C77)*$T77</f>
        <v>0</v>
      </c>
      <c r="AK77" s="63">
        <f ca="1">INDEX(OFFSET('Measure Inputs'!$M$7,,,InputRows),$C77)</f>
        <v>2</v>
      </c>
      <c r="AL77" s="88">
        <f ca="1">INDEX(OFFSET('Measure Inputs'!$N$7,,,InputRows),$C77)</f>
        <v>0</v>
      </c>
      <c r="AM77" s="57">
        <f ca="1">SUMIFS(OFFSET('Program Inputs'!$N$5,,,TotalPrograms),OFFSET('Program Inputs'!$B$5,,,TotalPrograms),SUBSTITUTE($B77,"All","*"))+AF77</f>
        <v>0</v>
      </c>
      <c r="AN77" s="57">
        <f t="shared" ca="1" si="261"/>
        <v>0</v>
      </c>
      <c r="AO77" s="55"/>
      <c r="AP77" s="59">
        <f t="shared" ca="1" si="262"/>
        <v>45.653138279341817</v>
      </c>
      <c r="AQ77" s="59">
        <f t="shared" ca="1" si="263"/>
        <v>0</v>
      </c>
      <c r="AR77" s="59">
        <f ca="1">SUMPRODUCT($CA77:$DI77,'General Inputs'!$F$32:$AN$32,'General Inputs'!$F$51:$AN$51)/(1-Loss_ElectricEnergy)</f>
        <v>42.191239162374345</v>
      </c>
      <c r="AS77" s="59">
        <f ca="1">SUMPRODUCT($DK77:$ES77,'General Inputs'!$F$33:$AN$33,'General Inputs'!$F$51:$AN$51)/(1-Loss_ElectricDemand)</f>
        <v>3.461899116967476</v>
      </c>
      <c r="AT77" s="59">
        <f ca="1">SUMPRODUCT($EU77:$GC77,'General Inputs'!$F$34:$AN$34,'General Inputs'!$F$51:$AN$51)/(1-Loss_GasEnergy)</f>
        <v>0</v>
      </c>
      <c r="AU77" s="59">
        <f ca="1">INDEX('General Inputs'!$F$51:$AN$51,MATCH($H77,'General Inputs'!$F$50:$AN$50,0))*$AJ77</f>
        <v>0</v>
      </c>
      <c r="AV77" s="59">
        <f ca="1">INDEX('General Inputs'!$F$51:$AN$51,MATCH($H77,'General Inputs'!$F$50:$AN$50,0))*$AI77</f>
        <v>0</v>
      </c>
      <c r="AW77" s="59">
        <f ca="1">INDEX('General Inputs'!$F$51:$AN$51,MATCH($H77,'General Inputs'!$F$50:$AN$50,0))*$AM77</f>
        <v>0</v>
      </c>
      <c r="AX77" s="59">
        <f ca="1">SUM(INDEX('General Inputs'!$F$51:$AN$51,MATCH($H77,'General Inputs'!$F$50:$AN$50,0))*$AG77,INDEX('General Inputs'!$F$51:$AN$51,MATCH($H77+$AL77,'General Inputs'!$F$50:$AN$50,0))*-$AH77)</f>
        <v>0</v>
      </c>
      <c r="AY77" s="55"/>
      <c r="AZ77" s="59">
        <f ca="1">SUMPRODUCT($CA77:$DI77,'General Inputs'!$F$32:$AN$32,'General Inputs'!$F$52:$AN$52)/(1-Loss_ElectricEnergy)</f>
        <v>42.191239162374345</v>
      </c>
      <c r="BA77" s="59">
        <f ca="1">SUMPRODUCT($DK77:$ES77,'General Inputs'!$F$33:$AN$33,'General Inputs'!$F$52:$AN$52)/(1-Loss_ElectricDemand)</f>
        <v>3.461899116967476</v>
      </c>
      <c r="BB77" s="59">
        <f ca="1">SUMPRODUCT($EU77:$GC77,'General Inputs'!$F$34:$AN$34,'General Inputs'!$F$52:$AN$52)/(1-Loss_GasEnergy)</f>
        <v>0</v>
      </c>
      <c r="BC77" s="59">
        <f ca="1">INDEX('General Inputs'!$F$52:$AN$52,MATCH($H77,'General Inputs'!$F$50:$AN$50,0))*$AI77</f>
        <v>0</v>
      </c>
      <c r="BD77" s="59">
        <f ca="1">INDEX('General Inputs'!$F$52:$AN$52,MATCH($H77,'General Inputs'!$F$50:$AN$50,0))*$AM77</f>
        <v>0</v>
      </c>
      <c r="BE77" s="55"/>
      <c r="BF77" s="59">
        <f ca="1">SUMPRODUCT($CA77:$DI77,OFFSET('General Inputs'!$F$40:$AN$40,MATCH($D77&amp;" Electric ($/kWh)",'General Inputs'!$E$40:$E$46,0),),'General Inputs'!$F$54:$AN$54)</f>
        <v>166.95266215011128</v>
      </c>
      <c r="BG77" s="59">
        <f ca="1">SUMPRODUCT($EU77:$GC77,OFFSET('General Inputs'!$F$40:$AN$40,MATCH($D77&amp;" Natural Gas ($/therm)",'General Inputs'!$E$40:$E$46,0),),'General Inputs'!$F$54:$AN$54)</f>
        <v>0</v>
      </c>
      <c r="BH77" s="59">
        <f ca="1">INDEX('General Inputs'!$F$54:$AN$54,MATCH($H77,'General Inputs'!$F$50:$AN$50,0))*$AI77</f>
        <v>0</v>
      </c>
      <c r="BI77" s="59">
        <f ca="1">SUM(INDEX('General Inputs'!$F$54:$AN$54,MATCH($H77,'General Inputs'!$F$50:$AN$50,0))*$AG77,INDEX('General Inputs'!$F$51:$AN$51,MATCH($H77+$AL77,'General Inputs'!$F$50:$AN$50,0))*-$AH77)</f>
        <v>0</v>
      </c>
      <c r="BJ77" s="55"/>
      <c r="BK77" s="59">
        <f ca="1">SUMPRODUCT($CA77:$DI77,'General Inputs'!$F$32:$AN$32,'General Inputs'!$F$53:$AN$53)/(1-Loss_ElectricEnergy)</f>
        <v>42.191239162374345</v>
      </c>
      <c r="BL77" s="59">
        <f ca="1">SUMPRODUCT($DK77:$ES77,'General Inputs'!$F$33:$AN$33,'General Inputs'!$F$53:$AN$53)/(1-Loss_ElectricDemand)</f>
        <v>3.461899116967476</v>
      </c>
      <c r="BM77" s="59">
        <f ca="1">SUMPRODUCT($EU77:$GC77,'General Inputs'!$F$34:$AN$34,'General Inputs'!$F$53:$AN$53)/(1-Loss_GasEnergy)</f>
        <v>0</v>
      </c>
      <c r="BN77" s="59">
        <f ca="1">INDEX('General Inputs'!$F$53:$AN$53,MATCH($H77,'General Inputs'!$F$50:$AN$50,0))*$AJ77</f>
        <v>0</v>
      </c>
      <c r="BO77" s="59">
        <f ca="1">SUMPRODUCT($CA77:$DI77,'General Inputs'!$F$35:$AN$35,'General Inputs'!$F$53:$AN$53)/(1-Loss_ElectricEnergy)</f>
        <v>17.36545845393881</v>
      </c>
      <c r="BP77" s="59">
        <f ca="1">INDEX('General Inputs'!$F$51:$AN$51,MATCH($H77,'General Inputs'!$F$50:$AN$50,0))*$AM77</f>
        <v>0</v>
      </c>
      <c r="BQ77" s="59">
        <f ca="1">SUM(INDEX('General Inputs'!$F$53:$AN$53,MATCH($H77,'General Inputs'!$F$50:$AN$50,0))*$AG77,INDEX('General Inputs'!$F$53:$AN$53,MATCH($H77+$AL77,'General Inputs'!$F$50:$AN$50,0))*-$AH77)</f>
        <v>0</v>
      </c>
      <c r="BR77" s="55"/>
      <c r="BS77" s="59">
        <f ca="1">SUMPRODUCT($CA77:$DI77,'General Inputs'!$F$32:$AN$32,'General Inputs'!$F$55:$AN$55)/(1-Loss_ElectricEnergy)</f>
        <v>42.191239162374345</v>
      </c>
      <c r="BT77" s="59">
        <f ca="1">SUMPRODUCT($DK77:$ES77,'General Inputs'!$F$33:$AN$33,'General Inputs'!$F$55:$AN$55)/(1-Loss_ElectricDemand)</f>
        <v>3.461899116967476</v>
      </c>
      <c r="BU77" s="59">
        <f ca="1">SUMPRODUCT($EU77:$GC77,'General Inputs'!$F$34:$AN$34,'General Inputs'!$F$55:$AN$55)/(1-Loss_GasEnergy)</f>
        <v>0</v>
      </c>
      <c r="BV77" s="59">
        <f ca="1">SUMPRODUCT($CA77:$DI77,OFFSET('General Inputs'!$F$40:$AN$40,MATCH($D77&amp;" Electric ($/kWh)",'General Inputs'!$E$40:$E$46,0),),'General Inputs'!$F$55:$AN$55)</f>
        <v>166.95266215011128</v>
      </c>
      <c r="BW77" s="59">
        <f ca="1">SUMPRODUCT($EU77:$GC77,OFFSET('General Inputs'!$F$40:$AN$40,MATCH($D77&amp;" Natural Gas ($/therm)",'General Inputs'!$E$40:$E$46,0),),'General Inputs'!$F$55:$AN$55)</f>
        <v>0</v>
      </c>
      <c r="BX77" s="59">
        <f ca="1">INDEX('General Inputs'!$F$55:$AN$55,MATCH($H77,'General Inputs'!$F$50:$AN$50,0))*$AI77</f>
        <v>0</v>
      </c>
      <c r="BY77" s="59">
        <f ca="1">INDEX('General Inputs'!$F$51:$AN$51,MATCH($H77,'General Inputs'!$F$50:$AN$50,0))*$AM77</f>
        <v>0</v>
      </c>
      <c r="BZ77" s="55"/>
      <c r="CA77" s="88">
        <f t="shared" ca="1" si="268"/>
        <v>756.570060650286</v>
      </c>
      <c r="CB77" s="88">
        <f t="shared" ca="1" si="268"/>
        <v>756.570060650286</v>
      </c>
      <c r="CC77" s="88">
        <f t="shared" ca="1" si="268"/>
        <v>0</v>
      </c>
      <c r="CD77" s="88">
        <f t="shared" ca="1" si="268"/>
        <v>0</v>
      </c>
      <c r="CE77" s="88">
        <f t="shared" ca="1" si="268"/>
        <v>0</v>
      </c>
      <c r="CF77" s="88">
        <f t="shared" ca="1" si="268"/>
        <v>0</v>
      </c>
      <c r="CG77" s="88">
        <f t="shared" ca="1" si="268"/>
        <v>0</v>
      </c>
      <c r="CH77" s="88">
        <f t="shared" ca="1" si="268"/>
        <v>0</v>
      </c>
      <c r="CI77" s="88">
        <f t="shared" ca="1" si="268"/>
        <v>0</v>
      </c>
      <c r="CJ77" s="88">
        <f t="shared" ca="1" si="268"/>
        <v>0</v>
      </c>
      <c r="CK77" s="88">
        <f t="shared" ca="1" si="269"/>
        <v>0</v>
      </c>
      <c r="CL77" s="88">
        <f t="shared" ca="1" si="269"/>
        <v>0</v>
      </c>
      <c r="CM77" s="88">
        <f t="shared" ca="1" si="269"/>
        <v>0</v>
      </c>
      <c r="CN77" s="88">
        <f t="shared" ca="1" si="269"/>
        <v>0</v>
      </c>
      <c r="CO77" s="88">
        <f t="shared" ca="1" si="269"/>
        <v>0</v>
      </c>
      <c r="CP77" s="88">
        <f t="shared" ca="1" si="269"/>
        <v>0</v>
      </c>
      <c r="CQ77" s="88">
        <f t="shared" ca="1" si="269"/>
        <v>0</v>
      </c>
      <c r="CR77" s="88">
        <f t="shared" ca="1" si="269"/>
        <v>0</v>
      </c>
      <c r="CS77" s="88">
        <f t="shared" ca="1" si="269"/>
        <v>0</v>
      </c>
      <c r="CT77" s="88">
        <f t="shared" ca="1" si="269"/>
        <v>0</v>
      </c>
      <c r="CU77" s="88">
        <f t="shared" ca="1" si="270"/>
        <v>0</v>
      </c>
      <c r="CV77" s="88">
        <f t="shared" ca="1" si="270"/>
        <v>0</v>
      </c>
      <c r="CW77" s="88">
        <f t="shared" ca="1" si="270"/>
        <v>0</v>
      </c>
      <c r="CX77" s="88">
        <f t="shared" ca="1" si="270"/>
        <v>0</v>
      </c>
      <c r="CY77" s="88">
        <f t="shared" ca="1" si="270"/>
        <v>0</v>
      </c>
      <c r="CZ77" s="88">
        <f t="shared" ca="1" si="270"/>
        <v>0</v>
      </c>
      <c r="DA77" s="88">
        <f t="shared" ca="1" si="270"/>
        <v>0</v>
      </c>
      <c r="DB77" s="88">
        <f t="shared" ca="1" si="270"/>
        <v>0</v>
      </c>
      <c r="DC77" s="88">
        <f t="shared" ca="1" si="270"/>
        <v>0</v>
      </c>
      <c r="DD77" s="88">
        <f t="shared" ca="1" si="270"/>
        <v>0</v>
      </c>
      <c r="DE77" s="88">
        <f t="shared" ca="1" si="270"/>
        <v>0</v>
      </c>
      <c r="DF77" s="88">
        <f t="shared" ca="1" si="270"/>
        <v>0</v>
      </c>
      <c r="DG77" s="88">
        <f t="shared" ca="1" si="270"/>
        <v>0</v>
      </c>
      <c r="DH77" s="88">
        <f t="shared" ca="1" si="270"/>
        <v>0</v>
      </c>
      <c r="DI77" s="88">
        <f t="shared" ca="1" si="270"/>
        <v>0</v>
      </c>
      <c r="DJ77" s="169"/>
      <c r="DK77" s="88">
        <f t="shared" ca="1" si="271"/>
        <v>8.6307330669665297E-2</v>
      </c>
      <c r="DL77" s="88">
        <f t="shared" ca="1" si="271"/>
        <v>8.6307330669665297E-2</v>
      </c>
      <c r="DM77" s="88">
        <f t="shared" ca="1" si="271"/>
        <v>0</v>
      </c>
      <c r="DN77" s="88">
        <f t="shared" ca="1" si="271"/>
        <v>0</v>
      </c>
      <c r="DO77" s="88">
        <f t="shared" ca="1" si="271"/>
        <v>0</v>
      </c>
      <c r="DP77" s="88">
        <f t="shared" ca="1" si="271"/>
        <v>0</v>
      </c>
      <c r="DQ77" s="88">
        <f t="shared" ca="1" si="271"/>
        <v>0</v>
      </c>
      <c r="DR77" s="88">
        <f t="shared" ca="1" si="271"/>
        <v>0</v>
      </c>
      <c r="DS77" s="88">
        <f t="shared" ca="1" si="271"/>
        <v>0</v>
      </c>
      <c r="DT77" s="88">
        <f t="shared" ca="1" si="271"/>
        <v>0</v>
      </c>
      <c r="DU77" s="88">
        <f t="shared" ca="1" si="272"/>
        <v>0</v>
      </c>
      <c r="DV77" s="88">
        <f t="shared" ca="1" si="272"/>
        <v>0</v>
      </c>
      <c r="DW77" s="88">
        <f t="shared" ca="1" si="272"/>
        <v>0</v>
      </c>
      <c r="DX77" s="88">
        <f t="shared" ca="1" si="272"/>
        <v>0</v>
      </c>
      <c r="DY77" s="88">
        <f t="shared" ca="1" si="272"/>
        <v>0</v>
      </c>
      <c r="DZ77" s="88">
        <f t="shared" ca="1" si="272"/>
        <v>0</v>
      </c>
      <c r="EA77" s="88">
        <f t="shared" ca="1" si="272"/>
        <v>0</v>
      </c>
      <c r="EB77" s="88">
        <f t="shared" ca="1" si="272"/>
        <v>0</v>
      </c>
      <c r="EC77" s="88">
        <f t="shared" ca="1" si="272"/>
        <v>0</v>
      </c>
      <c r="ED77" s="88">
        <f t="shared" ca="1" si="272"/>
        <v>0</v>
      </c>
      <c r="EE77" s="88">
        <f t="shared" ca="1" si="273"/>
        <v>0</v>
      </c>
      <c r="EF77" s="88">
        <f t="shared" ca="1" si="273"/>
        <v>0</v>
      </c>
      <c r="EG77" s="88">
        <f t="shared" ca="1" si="273"/>
        <v>0</v>
      </c>
      <c r="EH77" s="88">
        <f t="shared" ca="1" si="273"/>
        <v>0</v>
      </c>
      <c r="EI77" s="88">
        <f t="shared" ca="1" si="273"/>
        <v>0</v>
      </c>
      <c r="EJ77" s="88">
        <f t="shared" ca="1" si="273"/>
        <v>0</v>
      </c>
      <c r="EK77" s="88">
        <f t="shared" ca="1" si="273"/>
        <v>0</v>
      </c>
      <c r="EL77" s="88">
        <f t="shared" ca="1" si="273"/>
        <v>0</v>
      </c>
      <c r="EM77" s="88">
        <f t="shared" ca="1" si="273"/>
        <v>0</v>
      </c>
      <c r="EN77" s="88">
        <f t="shared" ca="1" si="273"/>
        <v>0</v>
      </c>
      <c r="EO77" s="88">
        <f t="shared" ca="1" si="273"/>
        <v>0</v>
      </c>
      <c r="EP77" s="88">
        <f t="shared" ca="1" si="273"/>
        <v>0</v>
      </c>
      <c r="EQ77" s="88">
        <f t="shared" ca="1" si="273"/>
        <v>0</v>
      </c>
      <c r="ER77" s="88">
        <f t="shared" ca="1" si="273"/>
        <v>0</v>
      </c>
      <c r="ES77" s="88">
        <f t="shared" ca="1" si="273"/>
        <v>0</v>
      </c>
      <c r="ET77" s="169"/>
      <c r="EU77" s="88">
        <f t="shared" ca="1" si="274"/>
        <v>0</v>
      </c>
      <c r="EV77" s="88">
        <f t="shared" ca="1" si="274"/>
        <v>0</v>
      </c>
      <c r="EW77" s="88">
        <f t="shared" ca="1" si="274"/>
        <v>0</v>
      </c>
      <c r="EX77" s="88">
        <f t="shared" ca="1" si="274"/>
        <v>0</v>
      </c>
      <c r="EY77" s="88">
        <f t="shared" ca="1" si="274"/>
        <v>0</v>
      </c>
      <c r="EZ77" s="88">
        <f t="shared" ca="1" si="274"/>
        <v>0</v>
      </c>
      <c r="FA77" s="88">
        <f t="shared" ca="1" si="274"/>
        <v>0</v>
      </c>
      <c r="FB77" s="88">
        <f t="shared" ca="1" si="274"/>
        <v>0</v>
      </c>
      <c r="FC77" s="88">
        <f t="shared" ca="1" si="274"/>
        <v>0</v>
      </c>
      <c r="FD77" s="88">
        <f t="shared" ca="1" si="274"/>
        <v>0</v>
      </c>
      <c r="FE77" s="88">
        <f t="shared" ca="1" si="275"/>
        <v>0</v>
      </c>
      <c r="FF77" s="88">
        <f t="shared" ca="1" si="275"/>
        <v>0</v>
      </c>
      <c r="FG77" s="88">
        <f t="shared" ca="1" si="275"/>
        <v>0</v>
      </c>
      <c r="FH77" s="88">
        <f t="shared" ca="1" si="275"/>
        <v>0</v>
      </c>
      <c r="FI77" s="88">
        <f t="shared" ca="1" si="275"/>
        <v>0</v>
      </c>
      <c r="FJ77" s="88">
        <f t="shared" ca="1" si="275"/>
        <v>0</v>
      </c>
      <c r="FK77" s="88">
        <f t="shared" ca="1" si="275"/>
        <v>0</v>
      </c>
      <c r="FL77" s="88">
        <f t="shared" ca="1" si="275"/>
        <v>0</v>
      </c>
      <c r="FM77" s="88">
        <f t="shared" ca="1" si="275"/>
        <v>0</v>
      </c>
      <c r="FN77" s="88">
        <f t="shared" ca="1" si="275"/>
        <v>0</v>
      </c>
      <c r="FO77" s="88">
        <f t="shared" ca="1" si="276"/>
        <v>0</v>
      </c>
      <c r="FP77" s="88">
        <f t="shared" ca="1" si="276"/>
        <v>0</v>
      </c>
      <c r="FQ77" s="88">
        <f t="shared" ca="1" si="276"/>
        <v>0</v>
      </c>
      <c r="FR77" s="88">
        <f t="shared" ca="1" si="276"/>
        <v>0</v>
      </c>
      <c r="FS77" s="88">
        <f t="shared" ca="1" si="276"/>
        <v>0</v>
      </c>
      <c r="FT77" s="88">
        <f t="shared" ca="1" si="276"/>
        <v>0</v>
      </c>
      <c r="FU77" s="88">
        <f t="shared" ca="1" si="276"/>
        <v>0</v>
      </c>
      <c r="FV77" s="88">
        <f t="shared" ca="1" si="276"/>
        <v>0</v>
      </c>
      <c r="FW77" s="88">
        <f t="shared" ca="1" si="276"/>
        <v>0</v>
      </c>
      <c r="FX77" s="88">
        <f t="shared" ca="1" si="276"/>
        <v>0</v>
      </c>
      <c r="FY77" s="88">
        <f t="shared" ca="1" si="276"/>
        <v>0</v>
      </c>
      <c r="FZ77" s="88">
        <f t="shared" ca="1" si="276"/>
        <v>0</v>
      </c>
      <c r="GA77" s="88">
        <f t="shared" ca="1" si="276"/>
        <v>0</v>
      </c>
      <c r="GB77" s="88">
        <f t="shared" ca="1" si="276"/>
        <v>0</v>
      </c>
      <c r="GC77" s="88">
        <f t="shared" ca="1" si="276"/>
        <v>0</v>
      </c>
      <c r="GD77" s="60"/>
    </row>
    <row r="78" spans="1:186" s="54" customFormat="1">
      <c r="A78" s="61"/>
      <c r="B78" s="100" t="str">
        <f t="shared" si="277"/>
        <v>Residential_Weatherization_0_LED_2017</v>
      </c>
      <c r="C78" s="100">
        <f>INDEX('Measure Inputs'!$D:$D,MATCH($B78,'Measure Inputs'!$B:$B,0))</f>
        <v>30</v>
      </c>
      <c r="D78" s="101" t="s">
        <v>2</v>
      </c>
      <c r="E78" s="101" t="s">
        <v>253</v>
      </c>
      <c r="F78" s="101">
        <v>0</v>
      </c>
      <c r="G78" s="101" t="s">
        <v>216</v>
      </c>
      <c r="H78" s="101">
        <v>2017</v>
      </c>
      <c r="I78" s="55"/>
      <c r="J78" s="58" t="str">
        <f t="shared" ca="1" si="229"/>
        <v>n/a</v>
      </c>
      <c r="K78" s="58" t="str">
        <f t="shared" ca="1" si="246"/>
        <v>n/a</v>
      </c>
      <c r="L78" s="58" t="str">
        <f t="shared" ca="1" si="230"/>
        <v>n/a</v>
      </c>
      <c r="M78" s="58" t="str">
        <f t="shared" ca="1" si="231"/>
        <v>n/a</v>
      </c>
      <c r="N78" s="58">
        <f t="shared" ca="1" si="232"/>
        <v>0.26866943777996122</v>
      </c>
      <c r="O78" s="55"/>
      <c r="P78" s="175">
        <f ca="1">IFERROR(($AW78+AV78)/SUMPRODUCT($CA78:$DI78,'General Inputs'!$F$51:$AN$51),"n/a")</f>
        <v>0</v>
      </c>
      <c r="Q78" s="175">
        <f t="shared" ca="1" si="233"/>
        <v>0</v>
      </c>
      <c r="R78" s="56">
        <f t="shared" ca="1" si="260"/>
        <v>38.96036020799999</v>
      </c>
      <c r="S78" s="55"/>
      <c r="T78" s="56">
        <f ca="1">INDEX(OFFSET('Measure Inputs'!$L$7,,,InputRows),$C78)</f>
        <v>120</v>
      </c>
      <c r="U78" s="134">
        <f ca="1">INDEX(OFFSET('Measure Inputs'!$T$7,,,InputRows),$C78)</f>
        <v>1</v>
      </c>
      <c r="V78" s="134">
        <f ca="1">INDEX(OFFSET('Measure Inputs'!$U$7,,,InputRows),$C78)</f>
        <v>1</v>
      </c>
      <c r="W78" s="55"/>
      <c r="X78" s="96">
        <f ca="1">INDEX(OFFSET('Measure Inputs'!$V$7,,,InputRows),$C78)*$T78*$V78*$U78</f>
        <v>3896.0360207999997</v>
      </c>
      <c r="Y78" s="96">
        <f ca="1">INDEX(OFFSET('Measure Inputs'!$W$7,,,InputRows),$C78)*$T78*$V78*$U78</f>
        <v>0.34199126639999994</v>
      </c>
      <c r="Z78" s="96">
        <f ca="1">INDEX(OFFSET('Measure Inputs'!$X$7,,,InputRows),$C78)*$T78*$V78*$U78</f>
        <v>0</v>
      </c>
      <c r="AA78" s="55"/>
      <c r="AB78" s="96">
        <f ca="1">INDEX(OFFSET('Measure Inputs'!$Z$7,,,InputRows),$C78)*$T78*$V78*$U78</f>
        <v>0</v>
      </c>
      <c r="AC78" s="96">
        <f ca="1">INDEX(OFFSET('Measure Inputs'!$AA$7,,,InputRows),$C78)*$T78*$V78*$U78</f>
        <v>0</v>
      </c>
      <c r="AD78" s="96">
        <f ca="1">INDEX(OFFSET('Measure Inputs'!$AB$7,,,InputRows),$C78)*$T78*$V78*$U78</f>
        <v>0</v>
      </c>
      <c r="AE78" s="55"/>
      <c r="AF78" s="57">
        <f ca="1">INDEX(OFFSET('Measure Inputs'!$Q$7,,,InputRows),$C78)*$T78</f>
        <v>0</v>
      </c>
      <c r="AG78" s="57">
        <f ca="1">INDEX(OFFSET('Measure Inputs'!$P$7,,,InputRows),$C78)*$T78*$V78</f>
        <v>0</v>
      </c>
      <c r="AH78" s="57">
        <f ca="1">INDEX(OFFSET('Measure Inputs'!$R$7,,,InputRows),$C78)*$T78*$V78</f>
        <v>0</v>
      </c>
      <c r="AI78" s="57">
        <f ca="1">INDEX(OFFSET('Measure Inputs'!$O$7,,,InputRows),$C78)*$T78</f>
        <v>0</v>
      </c>
      <c r="AJ78" s="57">
        <f ca="1">INDEX(OFFSET('Measure Inputs'!$S$7,,,InputRows),$C78)*$T78</f>
        <v>0</v>
      </c>
      <c r="AK78" s="63">
        <f ca="1">INDEX(OFFSET('Measure Inputs'!$M$7,,,InputRows),$C78)</f>
        <v>10</v>
      </c>
      <c r="AL78" s="88">
        <f ca="1">INDEX(OFFSET('Measure Inputs'!$N$7,,,InputRows),$C78)</f>
        <v>0</v>
      </c>
      <c r="AM78" s="57">
        <f ca="1">SUMIFS(OFFSET('Program Inputs'!$N$5,,,TotalPrograms),OFFSET('Program Inputs'!$B$5,,,TotalPrograms),SUBSTITUTE($B78,"All","*"))+AF78</f>
        <v>0</v>
      </c>
      <c r="AN78" s="57">
        <f t="shared" ca="1" si="261"/>
        <v>0</v>
      </c>
      <c r="AO78" s="55"/>
      <c r="AP78" s="59">
        <f t="shared" ca="1" si="262"/>
        <v>890.63230545197348</v>
      </c>
      <c r="AQ78" s="59">
        <f t="shared" ca="1" si="263"/>
        <v>0</v>
      </c>
      <c r="AR78" s="59">
        <f ca="1">SUMPRODUCT($CA78:$DI78,'General Inputs'!$F$32:$AN$32,'General Inputs'!$F$51:$AN$51)/(1-Loss_ElectricEnergy)</f>
        <v>837.73972501307651</v>
      </c>
      <c r="AS78" s="59">
        <f ca="1">SUMPRODUCT($DK78:$ES78,'General Inputs'!$F$33:$AN$33,'General Inputs'!$F$51:$AN$51)/(1-Loss_ElectricDemand)</f>
        <v>52.892580438897014</v>
      </c>
      <c r="AT78" s="59">
        <f ca="1">SUMPRODUCT($EU78:$GC78,'General Inputs'!$F$34:$AN$34,'General Inputs'!$F$51:$AN$51)/(1-Loss_GasEnergy)</f>
        <v>0</v>
      </c>
      <c r="AU78" s="59">
        <f ca="1">INDEX('General Inputs'!$F$51:$AN$51,MATCH($H78,'General Inputs'!$F$50:$AN$50,0))*$AJ78</f>
        <v>0</v>
      </c>
      <c r="AV78" s="59">
        <f ca="1">INDEX('General Inputs'!$F$51:$AN$51,MATCH($H78,'General Inputs'!$F$50:$AN$50,0))*$AI78</f>
        <v>0</v>
      </c>
      <c r="AW78" s="59">
        <f ca="1">INDEX('General Inputs'!$F$51:$AN$51,MATCH($H78,'General Inputs'!$F$50:$AN$50,0))*$AM78</f>
        <v>0</v>
      </c>
      <c r="AX78" s="59">
        <f ca="1">SUM(INDEX('General Inputs'!$F$51:$AN$51,MATCH($H78,'General Inputs'!$F$50:$AN$50,0))*$AG78,INDEX('General Inputs'!$F$51:$AN$51,MATCH($H78+$AL78,'General Inputs'!$F$50:$AN$50,0))*-$AH78)</f>
        <v>0</v>
      </c>
      <c r="AY78" s="55"/>
      <c r="AZ78" s="59">
        <f ca="1">SUMPRODUCT($CA78:$DI78,'General Inputs'!$F$32:$AN$32,'General Inputs'!$F$52:$AN$52)/(1-Loss_ElectricEnergy)</f>
        <v>837.73972501307651</v>
      </c>
      <c r="BA78" s="59">
        <f ca="1">SUMPRODUCT($DK78:$ES78,'General Inputs'!$F$33:$AN$33,'General Inputs'!$F$52:$AN$52)/(1-Loss_ElectricDemand)</f>
        <v>52.892580438897014</v>
      </c>
      <c r="BB78" s="59">
        <f ca="1">SUMPRODUCT($EU78:$GC78,'General Inputs'!$F$34:$AN$34,'General Inputs'!$F$52:$AN$52)/(1-Loss_GasEnergy)</f>
        <v>0</v>
      </c>
      <c r="BC78" s="59">
        <f ca="1">INDEX('General Inputs'!$F$52:$AN$52,MATCH($H78,'General Inputs'!$F$50:$AN$50,0))*$AI78</f>
        <v>0</v>
      </c>
      <c r="BD78" s="59">
        <f ca="1">INDEX('General Inputs'!$F$52:$AN$52,MATCH($H78,'General Inputs'!$F$50:$AN$50,0))*$AM78</f>
        <v>0</v>
      </c>
      <c r="BE78" s="55"/>
      <c r="BF78" s="59">
        <f ca="1">SUMPRODUCT($CA78:$DI78,OFFSET('General Inputs'!$F$40:$AN$40,MATCH($D78&amp;" Electric ($/kWh)",'General Inputs'!$E$40:$E$46,0),),'General Inputs'!$F$54:$AN$54)</f>
        <v>3314.9743893884815</v>
      </c>
      <c r="BG78" s="59">
        <f ca="1">SUMPRODUCT($EU78:$GC78,OFFSET('General Inputs'!$F$40:$AN$40,MATCH($D78&amp;" Natural Gas ($/therm)",'General Inputs'!$E$40:$E$46,0),),'General Inputs'!$F$54:$AN$54)</f>
        <v>0</v>
      </c>
      <c r="BH78" s="59">
        <f ca="1">INDEX('General Inputs'!$F$54:$AN$54,MATCH($H78,'General Inputs'!$F$50:$AN$50,0))*$AI78</f>
        <v>0</v>
      </c>
      <c r="BI78" s="59">
        <f ca="1">SUM(INDEX('General Inputs'!$F$54:$AN$54,MATCH($H78,'General Inputs'!$F$50:$AN$50,0))*$AG78,INDEX('General Inputs'!$F$51:$AN$51,MATCH($H78+$AL78,'General Inputs'!$F$50:$AN$50,0))*-$AH78)</f>
        <v>0</v>
      </c>
      <c r="BJ78" s="55"/>
      <c r="BK78" s="59">
        <f ca="1">SUMPRODUCT($CA78:$DI78,'General Inputs'!$F$32:$AN$32,'General Inputs'!$F$53:$AN$53)/(1-Loss_ElectricEnergy)</f>
        <v>837.73972501307651</v>
      </c>
      <c r="BL78" s="59">
        <f ca="1">SUMPRODUCT($DK78:$ES78,'General Inputs'!$F$33:$AN$33,'General Inputs'!$F$53:$AN$53)/(1-Loss_ElectricDemand)</f>
        <v>52.892580438897014</v>
      </c>
      <c r="BM78" s="59">
        <f ca="1">SUMPRODUCT($EU78:$GC78,'General Inputs'!$F$34:$AN$34,'General Inputs'!$F$53:$AN$53)/(1-Loss_GasEnergy)</f>
        <v>0</v>
      </c>
      <c r="BN78" s="59">
        <f ca="1">INDEX('General Inputs'!$F$53:$AN$53,MATCH($H78,'General Inputs'!$F$50:$AN$50,0))*$AJ78</f>
        <v>0</v>
      </c>
      <c r="BO78" s="59">
        <f ca="1">SUMPRODUCT($CA78:$DI78,'General Inputs'!$F$35:$AN$35,'General Inputs'!$F$53:$AN$53)/(1-Loss_ElectricEnergy)</f>
        <v>327.84195457028795</v>
      </c>
      <c r="BP78" s="59">
        <f ca="1">INDEX('General Inputs'!$F$51:$AN$51,MATCH($H78,'General Inputs'!$F$50:$AN$50,0))*$AM78</f>
        <v>0</v>
      </c>
      <c r="BQ78" s="59">
        <f ca="1">SUM(INDEX('General Inputs'!$F$53:$AN$53,MATCH($H78,'General Inputs'!$F$50:$AN$50,0))*$AG78,INDEX('General Inputs'!$F$53:$AN$53,MATCH($H78+$AL78,'General Inputs'!$F$50:$AN$50,0))*-$AH78)</f>
        <v>0</v>
      </c>
      <c r="BR78" s="55"/>
      <c r="BS78" s="59">
        <f ca="1">SUMPRODUCT($CA78:$DI78,'General Inputs'!$F$32:$AN$32,'General Inputs'!$F$55:$AN$55)/(1-Loss_ElectricEnergy)</f>
        <v>837.73972501307651</v>
      </c>
      <c r="BT78" s="59">
        <f ca="1">SUMPRODUCT($DK78:$ES78,'General Inputs'!$F$33:$AN$33,'General Inputs'!$F$55:$AN$55)/(1-Loss_ElectricDemand)</f>
        <v>52.892580438897014</v>
      </c>
      <c r="BU78" s="59">
        <f ca="1">SUMPRODUCT($EU78:$GC78,'General Inputs'!$F$34:$AN$34,'General Inputs'!$F$55:$AN$55)/(1-Loss_GasEnergy)</f>
        <v>0</v>
      </c>
      <c r="BV78" s="59">
        <f ca="1">SUMPRODUCT($CA78:$DI78,OFFSET('General Inputs'!$F$40:$AN$40,MATCH($D78&amp;" Electric ($/kWh)",'General Inputs'!$E$40:$E$46,0),),'General Inputs'!$F$55:$AN$55)</f>
        <v>3314.9743893884815</v>
      </c>
      <c r="BW78" s="59">
        <f ca="1">SUMPRODUCT($EU78:$GC78,OFFSET('General Inputs'!$F$40:$AN$40,MATCH($D78&amp;" Natural Gas ($/therm)",'General Inputs'!$E$40:$E$46,0),),'General Inputs'!$F$55:$AN$55)</f>
        <v>0</v>
      </c>
      <c r="BX78" s="59">
        <f ca="1">INDEX('General Inputs'!$F$55:$AN$55,MATCH($H78,'General Inputs'!$F$50:$AN$50,0))*$AI78</f>
        <v>0</v>
      </c>
      <c r="BY78" s="59">
        <f ca="1">INDEX('General Inputs'!$F$51:$AN$51,MATCH($H78,'General Inputs'!$F$50:$AN$50,0))*$AM78</f>
        <v>0</v>
      </c>
      <c r="BZ78" s="55"/>
      <c r="CA78" s="88">
        <f t="shared" ca="1" si="268"/>
        <v>3896.0360207999997</v>
      </c>
      <c r="CB78" s="88">
        <f t="shared" ca="1" si="268"/>
        <v>3896.0360207999997</v>
      </c>
      <c r="CC78" s="88">
        <f t="shared" ca="1" si="268"/>
        <v>3896.0360207999997</v>
      </c>
      <c r="CD78" s="88">
        <f t="shared" ca="1" si="268"/>
        <v>3896.0360207999997</v>
      </c>
      <c r="CE78" s="88">
        <f t="shared" ca="1" si="268"/>
        <v>3896.0360207999997</v>
      </c>
      <c r="CF78" s="88">
        <f t="shared" ca="1" si="268"/>
        <v>3896.0360207999997</v>
      </c>
      <c r="CG78" s="88">
        <f t="shared" ca="1" si="268"/>
        <v>3896.0360207999997</v>
      </c>
      <c r="CH78" s="88">
        <f t="shared" ca="1" si="268"/>
        <v>3896.0360207999997</v>
      </c>
      <c r="CI78" s="88">
        <f t="shared" ca="1" si="268"/>
        <v>3896.0360207999997</v>
      </c>
      <c r="CJ78" s="88">
        <f t="shared" ca="1" si="268"/>
        <v>3896.0360207999997</v>
      </c>
      <c r="CK78" s="88">
        <f t="shared" ca="1" si="269"/>
        <v>0</v>
      </c>
      <c r="CL78" s="88">
        <f t="shared" ca="1" si="269"/>
        <v>0</v>
      </c>
      <c r="CM78" s="88">
        <f t="shared" ca="1" si="269"/>
        <v>0</v>
      </c>
      <c r="CN78" s="88">
        <f t="shared" ca="1" si="269"/>
        <v>0</v>
      </c>
      <c r="CO78" s="88">
        <f t="shared" ca="1" si="269"/>
        <v>0</v>
      </c>
      <c r="CP78" s="88">
        <f t="shared" ca="1" si="269"/>
        <v>0</v>
      </c>
      <c r="CQ78" s="88">
        <f t="shared" ca="1" si="269"/>
        <v>0</v>
      </c>
      <c r="CR78" s="88">
        <f t="shared" ca="1" si="269"/>
        <v>0</v>
      </c>
      <c r="CS78" s="88">
        <f t="shared" ca="1" si="269"/>
        <v>0</v>
      </c>
      <c r="CT78" s="88">
        <f t="shared" ca="1" si="269"/>
        <v>0</v>
      </c>
      <c r="CU78" s="88">
        <f t="shared" ca="1" si="270"/>
        <v>0</v>
      </c>
      <c r="CV78" s="88">
        <f t="shared" ca="1" si="270"/>
        <v>0</v>
      </c>
      <c r="CW78" s="88">
        <f t="shared" ca="1" si="270"/>
        <v>0</v>
      </c>
      <c r="CX78" s="88">
        <f t="shared" ca="1" si="270"/>
        <v>0</v>
      </c>
      <c r="CY78" s="88">
        <f t="shared" ca="1" si="270"/>
        <v>0</v>
      </c>
      <c r="CZ78" s="88">
        <f t="shared" ca="1" si="270"/>
        <v>0</v>
      </c>
      <c r="DA78" s="88">
        <f t="shared" ca="1" si="270"/>
        <v>0</v>
      </c>
      <c r="DB78" s="88">
        <f t="shared" ca="1" si="270"/>
        <v>0</v>
      </c>
      <c r="DC78" s="88">
        <f t="shared" ca="1" si="270"/>
        <v>0</v>
      </c>
      <c r="DD78" s="88">
        <f t="shared" ca="1" si="270"/>
        <v>0</v>
      </c>
      <c r="DE78" s="88">
        <f t="shared" ca="1" si="270"/>
        <v>0</v>
      </c>
      <c r="DF78" s="88">
        <f t="shared" ca="1" si="270"/>
        <v>0</v>
      </c>
      <c r="DG78" s="88">
        <f t="shared" ca="1" si="270"/>
        <v>0</v>
      </c>
      <c r="DH78" s="88">
        <f t="shared" ca="1" si="270"/>
        <v>0</v>
      </c>
      <c r="DI78" s="88">
        <f t="shared" ca="1" si="270"/>
        <v>0</v>
      </c>
      <c r="DJ78" s="169"/>
      <c r="DK78" s="88">
        <f t="shared" ca="1" si="271"/>
        <v>0.34199126639999994</v>
      </c>
      <c r="DL78" s="88">
        <f t="shared" ca="1" si="271"/>
        <v>0.34199126639999994</v>
      </c>
      <c r="DM78" s="88">
        <f t="shared" ca="1" si="271"/>
        <v>0.34199126639999994</v>
      </c>
      <c r="DN78" s="88">
        <f t="shared" ca="1" si="271"/>
        <v>0.34199126639999994</v>
      </c>
      <c r="DO78" s="88">
        <f t="shared" ca="1" si="271"/>
        <v>0.34199126639999994</v>
      </c>
      <c r="DP78" s="88">
        <f t="shared" ca="1" si="271"/>
        <v>0.34199126639999994</v>
      </c>
      <c r="DQ78" s="88">
        <f t="shared" ca="1" si="271"/>
        <v>0.34199126639999994</v>
      </c>
      <c r="DR78" s="88">
        <f t="shared" ca="1" si="271"/>
        <v>0.34199126639999994</v>
      </c>
      <c r="DS78" s="88">
        <f t="shared" ca="1" si="271"/>
        <v>0.34199126639999994</v>
      </c>
      <c r="DT78" s="88">
        <f t="shared" ca="1" si="271"/>
        <v>0.34199126639999994</v>
      </c>
      <c r="DU78" s="88">
        <f t="shared" ca="1" si="272"/>
        <v>0</v>
      </c>
      <c r="DV78" s="88">
        <f t="shared" ca="1" si="272"/>
        <v>0</v>
      </c>
      <c r="DW78" s="88">
        <f t="shared" ca="1" si="272"/>
        <v>0</v>
      </c>
      <c r="DX78" s="88">
        <f t="shared" ca="1" si="272"/>
        <v>0</v>
      </c>
      <c r="DY78" s="88">
        <f t="shared" ca="1" si="272"/>
        <v>0</v>
      </c>
      <c r="DZ78" s="88">
        <f t="shared" ca="1" si="272"/>
        <v>0</v>
      </c>
      <c r="EA78" s="88">
        <f t="shared" ca="1" si="272"/>
        <v>0</v>
      </c>
      <c r="EB78" s="88">
        <f t="shared" ca="1" si="272"/>
        <v>0</v>
      </c>
      <c r="EC78" s="88">
        <f t="shared" ca="1" si="272"/>
        <v>0</v>
      </c>
      <c r="ED78" s="88">
        <f t="shared" ca="1" si="272"/>
        <v>0</v>
      </c>
      <c r="EE78" s="88">
        <f t="shared" ca="1" si="273"/>
        <v>0</v>
      </c>
      <c r="EF78" s="88">
        <f t="shared" ca="1" si="273"/>
        <v>0</v>
      </c>
      <c r="EG78" s="88">
        <f t="shared" ca="1" si="273"/>
        <v>0</v>
      </c>
      <c r="EH78" s="88">
        <f t="shared" ca="1" si="273"/>
        <v>0</v>
      </c>
      <c r="EI78" s="88">
        <f t="shared" ca="1" si="273"/>
        <v>0</v>
      </c>
      <c r="EJ78" s="88">
        <f t="shared" ca="1" si="273"/>
        <v>0</v>
      </c>
      <c r="EK78" s="88">
        <f t="shared" ca="1" si="273"/>
        <v>0</v>
      </c>
      <c r="EL78" s="88">
        <f t="shared" ca="1" si="273"/>
        <v>0</v>
      </c>
      <c r="EM78" s="88">
        <f t="shared" ca="1" si="273"/>
        <v>0</v>
      </c>
      <c r="EN78" s="88">
        <f t="shared" ca="1" si="273"/>
        <v>0</v>
      </c>
      <c r="EO78" s="88">
        <f t="shared" ca="1" si="273"/>
        <v>0</v>
      </c>
      <c r="EP78" s="88">
        <f t="shared" ca="1" si="273"/>
        <v>0</v>
      </c>
      <c r="EQ78" s="88">
        <f t="shared" ca="1" si="273"/>
        <v>0</v>
      </c>
      <c r="ER78" s="88">
        <f t="shared" ca="1" si="273"/>
        <v>0</v>
      </c>
      <c r="ES78" s="88">
        <f t="shared" ca="1" si="273"/>
        <v>0</v>
      </c>
      <c r="ET78" s="169"/>
      <c r="EU78" s="88">
        <f t="shared" ca="1" si="274"/>
        <v>0</v>
      </c>
      <c r="EV78" s="88">
        <f t="shared" ca="1" si="274"/>
        <v>0</v>
      </c>
      <c r="EW78" s="88">
        <f t="shared" ca="1" si="274"/>
        <v>0</v>
      </c>
      <c r="EX78" s="88">
        <f t="shared" ca="1" si="274"/>
        <v>0</v>
      </c>
      <c r="EY78" s="88">
        <f t="shared" ca="1" si="274"/>
        <v>0</v>
      </c>
      <c r="EZ78" s="88">
        <f t="shared" ca="1" si="274"/>
        <v>0</v>
      </c>
      <c r="FA78" s="88">
        <f t="shared" ca="1" si="274"/>
        <v>0</v>
      </c>
      <c r="FB78" s="88">
        <f t="shared" ca="1" si="274"/>
        <v>0</v>
      </c>
      <c r="FC78" s="88">
        <f t="shared" ca="1" si="274"/>
        <v>0</v>
      </c>
      <c r="FD78" s="88">
        <f t="shared" ca="1" si="274"/>
        <v>0</v>
      </c>
      <c r="FE78" s="88">
        <f t="shared" ca="1" si="275"/>
        <v>0</v>
      </c>
      <c r="FF78" s="88">
        <f t="shared" ca="1" si="275"/>
        <v>0</v>
      </c>
      <c r="FG78" s="88">
        <f t="shared" ca="1" si="275"/>
        <v>0</v>
      </c>
      <c r="FH78" s="88">
        <f t="shared" ca="1" si="275"/>
        <v>0</v>
      </c>
      <c r="FI78" s="88">
        <f t="shared" ca="1" si="275"/>
        <v>0</v>
      </c>
      <c r="FJ78" s="88">
        <f t="shared" ca="1" si="275"/>
        <v>0</v>
      </c>
      <c r="FK78" s="88">
        <f t="shared" ca="1" si="275"/>
        <v>0</v>
      </c>
      <c r="FL78" s="88">
        <f t="shared" ca="1" si="275"/>
        <v>0</v>
      </c>
      <c r="FM78" s="88">
        <f t="shared" ca="1" si="275"/>
        <v>0</v>
      </c>
      <c r="FN78" s="88">
        <f t="shared" ca="1" si="275"/>
        <v>0</v>
      </c>
      <c r="FO78" s="88">
        <f t="shared" ca="1" si="276"/>
        <v>0</v>
      </c>
      <c r="FP78" s="88">
        <f t="shared" ca="1" si="276"/>
        <v>0</v>
      </c>
      <c r="FQ78" s="88">
        <f t="shared" ca="1" si="276"/>
        <v>0</v>
      </c>
      <c r="FR78" s="88">
        <f t="shared" ca="1" si="276"/>
        <v>0</v>
      </c>
      <c r="FS78" s="88">
        <f t="shared" ca="1" si="276"/>
        <v>0</v>
      </c>
      <c r="FT78" s="88">
        <f t="shared" ca="1" si="276"/>
        <v>0</v>
      </c>
      <c r="FU78" s="88">
        <f t="shared" ca="1" si="276"/>
        <v>0</v>
      </c>
      <c r="FV78" s="88">
        <f t="shared" ca="1" si="276"/>
        <v>0</v>
      </c>
      <c r="FW78" s="88">
        <f t="shared" ca="1" si="276"/>
        <v>0</v>
      </c>
      <c r="FX78" s="88">
        <f t="shared" ca="1" si="276"/>
        <v>0</v>
      </c>
      <c r="FY78" s="88">
        <f t="shared" ca="1" si="276"/>
        <v>0</v>
      </c>
      <c r="FZ78" s="88">
        <f t="shared" ca="1" si="276"/>
        <v>0</v>
      </c>
      <c r="GA78" s="88">
        <f t="shared" ca="1" si="276"/>
        <v>0</v>
      </c>
      <c r="GB78" s="88">
        <f t="shared" ca="1" si="276"/>
        <v>0</v>
      </c>
      <c r="GC78" s="88">
        <f t="shared" ca="1" si="276"/>
        <v>0</v>
      </c>
      <c r="GD78" s="60"/>
    </row>
    <row r="79" spans="1:186" s="54" customFormat="1">
      <c r="A79" s="61"/>
      <c r="B79" s="100" t="str">
        <f t="shared" si="277"/>
        <v>Residential_Weatherization_0_Faucet Aerator_2017</v>
      </c>
      <c r="C79" s="100">
        <f>INDEX('Measure Inputs'!$D:$D,MATCH($B79,'Measure Inputs'!$B:$B,0))</f>
        <v>31</v>
      </c>
      <c r="D79" s="101" t="s">
        <v>2</v>
      </c>
      <c r="E79" s="101" t="s">
        <v>253</v>
      </c>
      <c r="F79" s="101">
        <v>0</v>
      </c>
      <c r="G79" s="29" t="s">
        <v>525</v>
      </c>
      <c r="H79" s="101">
        <v>2017</v>
      </c>
      <c r="I79" s="55"/>
      <c r="J79" s="58" t="str">
        <f t="shared" ca="1" si="229"/>
        <v>n/a</v>
      </c>
      <c r="K79" s="58" t="str">
        <f t="shared" ca="1" si="246"/>
        <v>n/a</v>
      </c>
      <c r="L79" s="58" t="str">
        <f t="shared" ca="1" si="230"/>
        <v>n/a</v>
      </c>
      <c r="M79" s="58" t="str">
        <f t="shared" ca="1" si="231"/>
        <v>n/a</v>
      </c>
      <c r="N79" s="58">
        <f t="shared" ca="1" si="232"/>
        <v>0.32961653368545418</v>
      </c>
      <c r="O79" s="55"/>
      <c r="P79" s="175">
        <f ca="1">IFERROR(($AW79+AV79)/SUMPRODUCT($CA79:$DI79,'General Inputs'!$F$51:$AN$51),"n/a")</f>
        <v>0</v>
      </c>
      <c r="Q79" s="175">
        <f t="shared" ca="1" si="233"/>
        <v>0</v>
      </c>
      <c r="R79" s="56">
        <f t="shared" ca="1" si="260"/>
        <v>18.521657392174451</v>
      </c>
      <c r="S79" s="55"/>
      <c r="T79" s="56">
        <f ca="1">INDEX(OFFSET('Measure Inputs'!$L$7,,,InputRows),$C79)</f>
        <v>30</v>
      </c>
      <c r="U79" s="134">
        <f ca="1">INDEX(OFFSET('Measure Inputs'!$T$7,,,InputRows),$C79)</f>
        <v>1</v>
      </c>
      <c r="V79" s="134">
        <f ca="1">INDEX(OFFSET('Measure Inputs'!$U$7,,,InputRows),$C79)</f>
        <v>1</v>
      </c>
      <c r="W79" s="55"/>
      <c r="X79" s="96">
        <f ca="1">INDEX(OFFSET('Measure Inputs'!$V$7,,,InputRows),$C79)*$T79*$V79*$U79</f>
        <v>2057.9619324638279</v>
      </c>
      <c r="Y79" s="96">
        <f ca="1">INDEX(OFFSET('Measure Inputs'!$W$7,,,InputRows),$C79)*$T79*$V79*$U79</f>
        <v>0.87067620219623498</v>
      </c>
      <c r="Z79" s="96">
        <f ca="1">INDEX(OFFSET('Measure Inputs'!$X$7,,,InputRows),$C79)*$T79*$V79*$U79</f>
        <v>0</v>
      </c>
      <c r="AA79" s="55"/>
      <c r="AB79" s="96">
        <f ca="1">INDEX(OFFSET('Measure Inputs'!$Z$7,,,InputRows),$C79)*$T79*$V79*$U79</f>
        <v>0</v>
      </c>
      <c r="AC79" s="96">
        <f ca="1">INDEX(OFFSET('Measure Inputs'!$AA$7,,,InputRows),$C79)*$T79*$V79*$U79</f>
        <v>0</v>
      </c>
      <c r="AD79" s="96">
        <f ca="1">INDEX(OFFSET('Measure Inputs'!$AB$7,,,InputRows),$C79)*$T79*$V79*$U79</f>
        <v>0</v>
      </c>
      <c r="AE79" s="55"/>
      <c r="AF79" s="57">
        <f ca="1">INDEX(OFFSET('Measure Inputs'!$Q$7,,,InputRows),$C79)*$T79</f>
        <v>0</v>
      </c>
      <c r="AG79" s="57">
        <f ca="1">INDEX(OFFSET('Measure Inputs'!$P$7,,,InputRows),$C79)*$T79*$V79</f>
        <v>0</v>
      </c>
      <c r="AH79" s="57">
        <f ca="1">INDEX(OFFSET('Measure Inputs'!$R$7,,,InputRows),$C79)*$T79*$V79</f>
        <v>0</v>
      </c>
      <c r="AI79" s="57">
        <f ca="1">INDEX(OFFSET('Measure Inputs'!$O$7,,,InputRows),$C79)*$T79</f>
        <v>0</v>
      </c>
      <c r="AJ79" s="57">
        <f ca="1">INDEX(OFFSET('Measure Inputs'!$S$7,,,InputRows),$C79)*$T79</f>
        <v>0</v>
      </c>
      <c r="AK79" s="63">
        <f ca="1">INDEX(OFFSET('Measure Inputs'!$M$7,,,InputRows),$C79)</f>
        <v>9</v>
      </c>
      <c r="AL79" s="88">
        <f ca="1">INDEX(OFFSET('Measure Inputs'!$N$7,,,InputRows),$C79)</f>
        <v>0</v>
      </c>
      <c r="AM79" s="57">
        <f ca="1">SUMIFS(OFFSET('Program Inputs'!$N$5,,,TotalPrograms),OFFSET('Program Inputs'!$B$5,,,TotalPrograms),SUBSTITUTE($B79,"All","*"))+AF79</f>
        <v>0</v>
      </c>
      <c r="AN79" s="57">
        <f t="shared" ca="1" si="261"/>
        <v>0</v>
      </c>
      <c r="AO79" s="55"/>
      <c r="AP79" s="59">
        <f t="shared" ca="1" si="262"/>
        <v>535.85024799602172</v>
      </c>
      <c r="AQ79" s="59">
        <f t="shared" ca="1" si="263"/>
        <v>0</v>
      </c>
      <c r="AR79" s="59">
        <f ca="1">SUMPRODUCT($CA79:$DI79,'General Inputs'!$F$32:$AN$32,'General Inputs'!$F$51:$AN$51)/(1-Loss_ElectricEnergy)</f>
        <v>410.83116442252197</v>
      </c>
      <c r="AS79" s="59">
        <f ca="1">SUMPRODUCT($DK79:$ES79,'General Inputs'!$F$33:$AN$33,'General Inputs'!$F$51:$AN$51)/(1-Loss_ElectricDemand)</f>
        <v>125.0190835734998</v>
      </c>
      <c r="AT79" s="59">
        <f ca="1">SUMPRODUCT($EU79:$GC79,'General Inputs'!$F$34:$AN$34,'General Inputs'!$F$51:$AN$51)/(1-Loss_GasEnergy)</f>
        <v>0</v>
      </c>
      <c r="AU79" s="59">
        <f ca="1">INDEX('General Inputs'!$F$51:$AN$51,MATCH($H79,'General Inputs'!$F$50:$AN$50,0))*$AJ79</f>
        <v>0</v>
      </c>
      <c r="AV79" s="59">
        <f ca="1">INDEX('General Inputs'!$F$51:$AN$51,MATCH($H79,'General Inputs'!$F$50:$AN$50,0))*$AI79</f>
        <v>0</v>
      </c>
      <c r="AW79" s="59">
        <f ca="1">INDEX('General Inputs'!$F$51:$AN$51,MATCH($H79,'General Inputs'!$F$50:$AN$50,0))*$AM79</f>
        <v>0</v>
      </c>
      <c r="AX79" s="59">
        <f ca="1">SUM(INDEX('General Inputs'!$F$51:$AN$51,MATCH($H79,'General Inputs'!$F$50:$AN$50,0))*$AG79,INDEX('General Inputs'!$F$51:$AN$51,MATCH($H79+$AL79,'General Inputs'!$F$50:$AN$50,0))*-$AH79)</f>
        <v>0</v>
      </c>
      <c r="AY79" s="55"/>
      <c r="AZ79" s="59">
        <f ca="1">SUMPRODUCT($CA79:$DI79,'General Inputs'!$F$32:$AN$32,'General Inputs'!$F$52:$AN$52)/(1-Loss_ElectricEnergy)</f>
        <v>410.83116442252197</v>
      </c>
      <c r="BA79" s="59">
        <f ca="1">SUMPRODUCT($DK79:$ES79,'General Inputs'!$F$33:$AN$33,'General Inputs'!$F$52:$AN$52)/(1-Loss_ElectricDemand)</f>
        <v>125.0190835734998</v>
      </c>
      <c r="BB79" s="59">
        <f ca="1">SUMPRODUCT($EU79:$GC79,'General Inputs'!$F$34:$AN$34,'General Inputs'!$F$52:$AN$52)/(1-Loss_GasEnergy)</f>
        <v>0</v>
      </c>
      <c r="BC79" s="59">
        <f ca="1">INDEX('General Inputs'!$F$52:$AN$52,MATCH($H79,'General Inputs'!$F$50:$AN$50,0))*$AI79</f>
        <v>0</v>
      </c>
      <c r="BD79" s="59">
        <f ca="1">INDEX('General Inputs'!$F$52:$AN$52,MATCH($H79,'General Inputs'!$F$50:$AN$50,0))*$AM79</f>
        <v>0</v>
      </c>
      <c r="BE79" s="55"/>
      <c r="BF79" s="59">
        <f ca="1">SUMPRODUCT($CA79:$DI79,OFFSET('General Inputs'!$F$40:$AN$40,MATCH($D79&amp;" Electric ($/kWh)",'General Inputs'!$E$40:$E$46,0),),'General Inputs'!$F$54:$AN$54)</f>
        <v>1625.6776988844008</v>
      </c>
      <c r="BG79" s="59">
        <f ca="1">SUMPRODUCT($EU79:$GC79,OFFSET('General Inputs'!$F$40:$AN$40,MATCH($D79&amp;" Natural Gas ($/therm)",'General Inputs'!$E$40:$E$46,0),),'General Inputs'!$F$54:$AN$54)</f>
        <v>0</v>
      </c>
      <c r="BH79" s="59">
        <f ca="1">INDEX('General Inputs'!$F$54:$AN$54,MATCH($H79,'General Inputs'!$F$50:$AN$50,0))*$AI79</f>
        <v>0</v>
      </c>
      <c r="BI79" s="59">
        <f ca="1">SUM(INDEX('General Inputs'!$F$54:$AN$54,MATCH($H79,'General Inputs'!$F$50:$AN$50,0))*$AG79,INDEX('General Inputs'!$F$51:$AN$51,MATCH($H79+$AL79,'General Inputs'!$F$50:$AN$50,0))*-$AH79)</f>
        <v>0</v>
      </c>
      <c r="BJ79" s="55"/>
      <c r="BK79" s="59">
        <f ca="1">SUMPRODUCT($CA79:$DI79,'General Inputs'!$F$32:$AN$32,'General Inputs'!$F$53:$AN$53)/(1-Loss_ElectricEnergy)</f>
        <v>410.83116442252197</v>
      </c>
      <c r="BL79" s="59">
        <f ca="1">SUMPRODUCT($DK79:$ES79,'General Inputs'!$F$33:$AN$33,'General Inputs'!$F$53:$AN$53)/(1-Loss_ElectricDemand)</f>
        <v>125.0190835734998</v>
      </c>
      <c r="BM79" s="59">
        <f ca="1">SUMPRODUCT($EU79:$GC79,'General Inputs'!$F$34:$AN$34,'General Inputs'!$F$53:$AN$53)/(1-Loss_GasEnergy)</f>
        <v>0</v>
      </c>
      <c r="BN79" s="59">
        <f ca="1">INDEX('General Inputs'!$F$53:$AN$53,MATCH($H79,'General Inputs'!$F$50:$AN$50,0))*$AJ79</f>
        <v>0</v>
      </c>
      <c r="BO79" s="59">
        <f ca="1">SUMPRODUCT($CA79:$DI79,'General Inputs'!$F$35:$AN$35,'General Inputs'!$F$53:$AN$53)/(1-Loss_ElectricEnergy)</f>
        <v>161.68692257518379</v>
      </c>
      <c r="BP79" s="59">
        <f ca="1">INDEX('General Inputs'!$F$51:$AN$51,MATCH($H79,'General Inputs'!$F$50:$AN$50,0))*$AM79</f>
        <v>0</v>
      </c>
      <c r="BQ79" s="59">
        <f ca="1">SUM(INDEX('General Inputs'!$F$53:$AN$53,MATCH($H79,'General Inputs'!$F$50:$AN$50,0))*$AG79,INDEX('General Inputs'!$F$53:$AN$53,MATCH($H79+$AL79,'General Inputs'!$F$50:$AN$50,0))*-$AH79)</f>
        <v>0</v>
      </c>
      <c r="BR79" s="55"/>
      <c r="BS79" s="59">
        <f ca="1">SUMPRODUCT($CA79:$DI79,'General Inputs'!$F$32:$AN$32,'General Inputs'!$F$55:$AN$55)/(1-Loss_ElectricEnergy)</f>
        <v>410.83116442252197</v>
      </c>
      <c r="BT79" s="59">
        <f ca="1">SUMPRODUCT($DK79:$ES79,'General Inputs'!$F$33:$AN$33,'General Inputs'!$F$55:$AN$55)/(1-Loss_ElectricDemand)</f>
        <v>125.0190835734998</v>
      </c>
      <c r="BU79" s="59">
        <f ca="1">SUMPRODUCT($EU79:$GC79,'General Inputs'!$F$34:$AN$34,'General Inputs'!$F$55:$AN$55)/(1-Loss_GasEnergy)</f>
        <v>0</v>
      </c>
      <c r="BV79" s="59">
        <f ca="1">SUMPRODUCT($CA79:$DI79,OFFSET('General Inputs'!$F$40:$AN$40,MATCH($D79&amp;" Electric ($/kWh)",'General Inputs'!$E$40:$E$46,0),),'General Inputs'!$F$55:$AN$55)</f>
        <v>1625.6776988844008</v>
      </c>
      <c r="BW79" s="59">
        <f ca="1">SUMPRODUCT($EU79:$GC79,OFFSET('General Inputs'!$F$40:$AN$40,MATCH($D79&amp;" Natural Gas ($/therm)",'General Inputs'!$E$40:$E$46,0),),'General Inputs'!$F$55:$AN$55)</f>
        <v>0</v>
      </c>
      <c r="BX79" s="59">
        <f ca="1">INDEX('General Inputs'!$F$55:$AN$55,MATCH($H79,'General Inputs'!$F$50:$AN$50,0))*$AI79</f>
        <v>0</v>
      </c>
      <c r="BY79" s="59">
        <f ca="1">INDEX('General Inputs'!$F$51:$AN$51,MATCH($H79,'General Inputs'!$F$50:$AN$50,0))*$AM79</f>
        <v>0</v>
      </c>
      <c r="BZ79" s="55"/>
      <c r="CA79" s="88">
        <f t="shared" ref="CA79:CJ88" ca="1" si="278">IF(AND($H79&lt;=CA$8,$H79+$AK79&gt;CA$8),IF(AND($H79+$AL79&lt;=CA$8,$AL79&gt;0),$AB79,$X79),0)</f>
        <v>2057.9619324638279</v>
      </c>
      <c r="CB79" s="88">
        <f t="shared" ca="1" si="278"/>
        <v>2057.9619324638279</v>
      </c>
      <c r="CC79" s="88">
        <f t="shared" ca="1" si="278"/>
        <v>2057.9619324638279</v>
      </c>
      <c r="CD79" s="88">
        <f t="shared" ca="1" si="278"/>
        <v>2057.9619324638279</v>
      </c>
      <c r="CE79" s="88">
        <f t="shared" ca="1" si="278"/>
        <v>2057.9619324638279</v>
      </c>
      <c r="CF79" s="88">
        <f t="shared" ca="1" si="278"/>
        <v>2057.9619324638279</v>
      </c>
      <c r="CG79" s="88">
        <f t="shared" ca="1" si="278"/>
        <v>2057.9619324638279</v>
      </c>
      <c r="CH79" s="88">
        <f t="shared" ca="1" si="278"/>
        <v>2057.9619324638279</v>
      </c>
      <c r="CI79" s="88">
        <f t="shared" ca="1" si="278"/>
        <v>2057.9619324638279</v>
      </c>
      <c r="CJ79" s="88">
        <f t="shared" ca="1" si="278"/>
        <v>0</v>
      </c>
      <c r="CK79" s="88">
        <f t="shared" ref="CK79:CT88" ca="1" si="279">IF(AND($H79&lt;=CK$8,$H79+$AK79&gt;CK$8),IF(AND($H79+$AL79&lt;=CK$8,$AL79&gt;0),$AB79,$X79),0)</f>
        <v>0</v>
      </c>
      <c r="CL79" s="88">
        <f t="shared" ca="1" si="279"/>
        <v>0</v>
      </c>
      <c r="CM79" s="88">
        <f t="shared" ca="1" si="279"/>
        <v>0</v>
      </c>
      <c r="CN79" s="88">
        <f t="shared" ca="1" si="279"/>
        <v>0</v>
      </c>
      <c r="CO79" s="88">
        <f t="shared" ca="1" si="279"/>
        <v>0</v>
      </c>
      <c r="CP79" s="88">
        <f t="shared" ca="1" si="279"/>
        <v>0</v>
      </c>
      <c r="CQ79" s="88">
        <f t="shared" ca="1" si="279"/>
        <v>0</v>
      </c>
      <c r="CR79" s="88">
        <f t="shared" ca="1" si="279"/>
        <v>0</v>
      </c>
      <c r="CS79" s="88">
        <f t="shared" ca="1" si="279"/>
        <v>0</v>
      </c>
      <c r="CT79" s="88">
        <f t="shared" ca="1" si="279"/>
        <v>0</v>
      </c>
      <c r="CU79" s="88">
        <f t="shared" ref="CU79:DI88" ca="1" si="280">IF(AND($H79&lt;=CU$8,$H79+$AK79&gt;CU$8),IF(AND($H79+$AL79&lt;=CU$8,$AL79&gt;0),$AB79,$X79),0)</f>
        <v>0</v>
      </c>
      <c r="CV79" s="88">
        <f t="shared" ca="1" si="280"/>
        <v>0</v>
      </c>
      <c r="CW79" s="88">
        <f t="shared" ca="1" si="280"/>
        <v>0</v>
      </c>
      <c r="CX79" s="88">
        <f t="shared" ca="1" si="280"/>
        <v>0</v>
      </c>
      <c r="CY79" s="88">
        <f t="shared" ca="1" si="280"/>
        <v>0</v>
      </c>
      <c r="CZ79" s="88">
        <f t="shared" ca="1" si="280"/>
        <v>0</v>
      </c>
      <c r="DA79" s="88">
        <f t="shared" ca="1" si="280"/>
        <v>0</v>
      </c>
      <c r="DB79" s="88">
        <f t="shared" ca="1" si="280"/>
        <v>0</v>
      </c>
      <c r="DC79" s="88">
        <f t="shared" ca="1" si="280"/>
        <v>0</v>
      </c>
      <c r="DD79" s="88">
        <f t="shared" ca="1" si="280"/>
        <v>0</v>
      </c>
      <c r="DE79" s="88">
        <f t="shared" ca="1" si="280"/>
        <v>0</v>
      </c>
      <c r="DF79" s="88">
        <f t="shared" ca="1" si="280"/>
        <v>0</v>
      </c>
      <c r="DG79" s="88">
        <f t="shared" ca="1" si="280"/>
        <v>0</v>
      </c>
      <c r="DH79" s="88">
        <f t="shared" ca="1" si="280"/>
        <v>0</v>
      </c>
      <c r="DI79" s="88">
        <f t="shared" ca="1" si="280"/>
        <v>0</v>
      </c>
      <c r="DJ79" s="169"/>
      <c r="DK79" s="88">
        <f t="shared" ref="DK79:DT88" ca="1" si="281">IF(AND($H79&lt;=DK$8,$H79+$AK79&gt;DK$8),IF(AND($H79+$AL79&lt;=DK$8,$AL79&gt;0),$AC79,$Y79),0)</f>
        <v>0.87067620219623498</v>
      </c>
      <c r="DL79" s="88">
        <f t="shared" ca="1" si="281"/>
        <v>0.87067620219623498</v>
      </c>
      <c r="DM79" s="88">
        <f t="shared" ca="1" si="281"/>
        <v>0.87067620219623498</v>
      </c>
      <c r="DN79" s="88">
        <f t="shared" ca="1" si="281"/>
        <v>0.87067620219623498</v>
      </c>
      <c r="DO79" s="88">
        <f t="shared" ca="1" si="281"/>
        <v>0.87067620219623498</v>
      </c>
      <c r="DP79" s="88">
        <f t="shared" ca="1" si="281"/>
        <v>0.87067620219623498</v>
      </c>
      <c r="DQ79" s="88">
        <f t="shared" ca="1" si="281"/>
        <v>0.87067620219623498</v>
      </c>
      <c r="DR79" s="88">
        <f t="shared" ca="1" si="281"/>
        <v>0.87067620219623498</v>
      </c>
      <c r="DS79" s="88">
        <f t="shared" ca="1" si="281"/>
        <v>0.87067620219623498</v>
      </c>
      <c r="DT79" s="88">
        <f t="shared" ca="1" si="281"/>
        <v>0</v>
      </c>
      <c r="DU79" s="88">
        <f t="shared" ref="DU79:ED88" ca="1" si="282">IF(AND($H79&lt;=DU$8,$H79+$AK79&gt;DU$8),IF(AND($H79+$AL79&lt;=DU$8,$AL79&gt;0),$AC79,$Y79),0)</f>
        <v>0</v>
      </c>
      <c r="DV79" s="88">
        <f t="shared" ca="1" si="282"/>
        <v>0</v>
      </c>
      <c r="DW79" s="88">
        <f t="shared" ca="1" si="282"/>
        <v>0</v>
      </c>
      <c r="DX79" s="88">
        <f t="shared" ca="1" si="282"/>
        <v>0</v>
      </c>
      <c r="DY79" s="88">
        <f t="shared" ca="1" si="282"/>
        <v>0</v>
      </c>
      <c r="DZ79" s="88">
        <f t="shared" ca="1" si="282"/>
        <v>0</v>
      </c>
      <c r="EA79" s="88">
        <f t="shared" ca="1" si="282"/>
        <v>0</v>
      </c>
      <c r="EB79" s="88">
        <f t="shared" ca="1" si="282"/>
        <v>0</v>
      </c>
      <c r="EC79" s="88">
        <f t="shared" ca="1" si="282"/>
        <v>0</v>
      </c>
      <c r="ED79" s="88">
        <f t="shared" ca="1" si="282"/>
        <v>0</v>
      </c>
      <c r="EE79" s="88">
        <f t="shared" ref="EE79:ES88" ca="1" si="283">IF(AND($H79&lt;=EE$8,$H79+$AK79&gt;EE$8),IF(AND($H79+$AL79&lt;=EE$8,$AL79&gt;0),$AC79,$Y79),0)</f>
        <v>0</v>
      </c>
      <c r="EF79" s="88">
        <f t="shared" ca="1" si="283"/>
        <v>0</v>
      </c>
      <c r="EG79" s="88">
        <f t="shared" ca="1" si="283"/>
        <v>0</v>
      </c>
      <c r="EH79" s="88">
        <f t="shared" ca="1" si="283"/>
        <v>0</v>
      </c>
      <c r="EI79" s="88">
        <f t="shared" ca="1" si="283"/>
        <v>0</v>
      </c>
      <c r="EJ79" s="88">
        <f t="shared" ca="1" si="283"/>
        <v>0</v>
      </c>
      <c r="EK79" s="88">
        <f t="shared" ca="1" si="283"/>
        <v>0</v>
      </c>
      <c r="EL79" s="88">
        <f t="shared" ca="1" si="283"/>
        <v>0</v>
      </c>
      <c r="EM79" s="88">
        <f t="shared" ca="1" si="283"/>
        <v>0</v>
      </c>
      <c r="EN79" s="88">
        <f t="shared" ca="1" si="283"/>
        <v>0</v>
      </c>
      <c r="EO79" s="88">
        <f t="shared" ca="1" si="283"/>
        <v>0</v>
      </c>
      <c r="EP79" s="88">
        <f t="shared" ca="1" si="283"/>
        <v>0</v>
      </c>
      <c r="EQ79" s="88">
        <f t="shared" ca="1" si="283"/>
        <v>0</v>
      </c>
      <c r="ER79" s="88">
        <f t="shared" ca="1" si="283"/>
        <v>0</v>
      </c>
      <c r="ES79" s="88">
        <f t="shared" ca="1" si="283"/>
        <v>0</v>
      </c>
      <c r="ET79" s="169"/>
      <c r="EU79" s="88">
        <f t="shared" ref="EU79:FD88" ca="1" si="284">IF(AND($H79&lt;=EU$8,$H79+$AK79&gt;EU$8),IF(AND($H79+$AL79&lt;=EU$8,$AL79&gt;0),$AD79,$Z79),0)</f>
        <v>0</v>
      </c>
      <c r="EV79" s="88">
        <f t="shared" ca="1" si="284"/>
        <v>0</v>
      </c>
      <c r="EW79" s="88">
        <f t="shared" ca="1" si="284"/>
        <v>0</v>
      </c>
      <c r="EX79" s="88">
        <f t="shared" ca="1" si="284"/>
        <v>0</v>
      </c>
      <c r="EY79" s="88">
        <f t="shared" ca="1" si="284"/>
        <v>0</v>
      </c>
      <c r="EZ79" s="88">
        <f t="shared" ca="1" si="284"/>
        <v>0</v>
      </c>
      <c r="FA79" s="88">
        <f t="shared" ca="1" si="284"/>
        <v>0</v>
      </c>
      <c r="FB79" s="88">
        <f t="shared" ca="1" si="284"/>
        <v>0</v>
      </c>
      <c r="FC79" s="88">
        <f t="shared" ca="1" si="284"/>
        <v>0</v>
      </c>
      <c r="FD79" s="88">
        <f t="shared" ca="1" si="284"/>
        <v>0</v>
      </c>
      <c r="FE79" s="88">
        <f t="shared" ref="FE79:FN88" ca="1" si="285">IF(AND($H79&lt;=FE$8,$H79+$AK79&gt;FE$8),IF(AND($H79+$AL79&lt;=FE$8,$AL79&gt;0),$AD79,$Z79),0)</f>
        <v>0</v>
      </c>
      <c r="FF79" s="88">
        <f t="shared" ca="1" si="285"/>
        <v>0</v>
      </c>
      <c r="FG79" s="88">
        <f t="shared" ca="1" si="285"/>
        <v>0</v>
      </c>
      <c r="FH79" s="88">
        <f t="shared" ca="1" si="285"/>
        <v>0</v>
      </c>
      <c r="FI79" s="88">
        <f t="shared" ca="1" si="285"/>
        <v>0</v>
      </c>
      <c r="FJ79" s="88">
        <f t="shared" ca="1" si="285"/>
        <v>0</v>
      </c>
      <c r="FK79" s="88">
        <f t="shared" ca="1" si="285"/>
        <v>0</v>
      </c>
      <c r="FL79" s="88">
        <f t="shared" ca="1" si="285"/>
        <v>0</v>
      </c>
      <c r="FM79" s="88">
        <f t="shared" ca="1" si="285"/>
        <v>0</v>
      </c>
      <c r="FN79" s="88">
        <f t="shared" ca="1" si="285"/>
        <v>0</v>
      </c>
      <c r="FO79" s="88">
        <f t="shared" ref="FO79:GC88" ca="1" si="286">IF(AND($H79&lt;=FO$8,$H79+$AK79&gt;FO$8),IF(AND($H79+$AL79&lt;=FO$8,$AL79&gt;0),$AD79,$Z79),0)</f>
        <v>0</v>
      </c>
      <c r="FP79" s="88">
        <f t="shared" ca="1" si="286"/>
        <v>0</v>
      </c>
      <c r="FQ79" s="88">
        <f t="shared" ca="1" si="286"/>
        <v>0</v>
      </c>
      <c r="FR79" s="88">
        <f t="shared" ca="1" si="286"/>
        <v>0</v>
      </c>
      <c r="FS79" s="88">
        <f t="shared" ca="1" si="286"/>
        <v>0</v>
      </c>
      <c r="FT79" s="88">
        <f t="shared" ca="1" si="286"/>
        <v>0</v>
      </c>
      <c r="FU79" s="88">
        <f t="shared" ca="1" si="286"/>
        <v>0</v>
      </c>
      <c r="FV79" s="88">
        <f t="shared" ca="1" si="286"/>
        <v>0</v>
      </c>
      <c r="FW79" s="88">
        <f t="shared" ca="1" si="286"/>
        <v>0</v>
      </c>
      <c r="FX79" s="88">
        <f t="shared" ca="1" si="286"/>
        <v>0</v>
      </c>
      <c r="FY79" s="88">
        <f t="shared" ca="1" si="286"/>
        <v>0</v>
      </c>
      <c r="FZ79" s="88">
        <f t="shared" ca="1" si="286"/>
        <v>0</v>
      </c>
      <c r="GA79" s="88">
        <f t="shared" ca="1" si="286"/>
        <v>0</v>
      </c>
      <c r="GB79" s="88">
        <f t="shared" ca="1" si="286"/>
        <v>0</v>
      </c>
      <c r="GC79" s="88">
        <f t="shared" ca="1" si="286"/>
        <v>0</v>
      </c>
      <c r="GD79" s="60"/>
    </row>
    <row r="80" spans="1:186" s="54" customFormat="1">
      <c r="A80" s="61"/>
      <c r="B80" s="100" t="str">
        <f t="shared" si="277"/>
        <v>Residential_Weatherization_0_Low Flow Showerhead_2017</v>
      </c>
      <c r="C80" s="100">
        <f>INDEX('Measure Inputs'!$D:$D,MATCH($B80,'Measure Inputs'!$B:$B,0))</f>
        <v>32</v>
      </c>
      <c r="D80" s="101" t="s">
        <v>2</v>
      </c>
      <c r="E80" s="101" t="s">
        <v>253</v>
      </c>
      <c r="F80" s="101">
        <v>0</v>
      </c>
      <c r="G80" s="101" t="s">
        <v>267</v>
      </c>
      <c r="H80" s="101">
        <v>2017</v>
      </c>
      <c r="I80" s="55"/>
      <c r="J80" s="58" t="str">
        <f t="shared" ca="1" si="229"/>
        <v>n/a</v>
      </c>
      <c r="K80" s="58" t="str">
        <f t="shared" ca="1" si="246"/>
        <v>n/a</v>
      </c>
      <c r="L80" s="58" t="str">
        <f t="shared" ca="1" si="230"/>
        <v>n/a</v>
      </c>
      <c r="M80" s="58" t="str">
        <f t="shared" ca="1" si="231"/>
        <v>n/a</v>
      </c>
      <c r="N80" s="58">
        <f t="shared" ca="1" si="232"/>
        <v>0.26944626743999855</v>
      </c>
      <c r="O80" s="55"/>
      <c r="P80" s="175">
        <f ca="1">IFERROR(($AW80+AV80)/SUMPRODUCT($CA80:$DI80,'General Inputs'!$F$51:$AN$51),"n/a")</f>
        <v>0</v>
      </c>
      <c r="Q80" s="175">
        <f t="shared" ca="1" si="233"/>
        <v>0</v>
      </c>
      <c r="R80" s="56">
        <f t="shared" ca="1" si="260"/>
        <v>29.371340804443097</v>
      </c>
      <c r="S80" s="55"/>
      <c r="T80" s="56">
        <f ca="1">INDEX(OFFSET('Measure Inputs'!$L$7,,,InputRows),$C80)</f>
        <v>30</v>
      </c>
      <c r="U80" s="134">
        <f ca="1">INDEX(OFFSET('Measure Inputs'!$T$7,,,InputRows),$C80)</f>
        <v>1</v>
      </c>
      <c r="V80" s="134">
        <f ca="1">INDEX(OFFSET('Measure Inputs'!$U$7,,,InputRows),$C80)</f>
        <v>1</v>
      </c>
      <c r="W80" s="55"/>
      <c r="X80" s="96">
        <f ca="1">INDEX(OFFSET('Measure Inputs'!$V$7,,,InputRows),$C80)*$T80*$V80*$U80</f>
        <v>2937.1340804443098</v>
      </c>
      <c r="Y80" s="96">
        <f ca="1">INDEX(OFFSET('Measure Inputs'!$W$7,,,InputRows),$C80)*$T80*$V80*$U80</f>
        <v>0.27037194515348284</v>
      </c>
      <c r="Z80" s="96">
        <f ca="1">INDEX(OFFSET('Measure Inputs'!$X$7,,,InputRows),$C80)*$T80*$V80*$U80</f>
        <v>0</v>
      </c>
      <c r="AA80" s="55"/>
      <c r="AB80" s="96">
        <f ca="1">INDEX(OFFSET('Measure Inputs'!$Z$7,,,InputRows),$C80)*$T80*$V80*$U80</f>
        <v>0</v>
      </c>
      <c r="AC80" s="96">
        <f ca="1">INDEX(OFFSET('Measure Inputs'!$AA$7,,,InputRows),$C80)*$T80*$V80*$U80</f>
        <v>0</v>
      </c>
      <c r="AD80" s="96">
        <f ca="1">INDEX(OFFSET('Measure Inputs'!$AB$7,,,InputRows),$C80)*$T80*$V80*$U80</f>
        <v>0</v>
      </c>
      <c r="AE80" s="55"/>
      <c r="AF80" s="57">
        <f ca="1">INDEX(OFFSET('Measure Inputs'!$Q$7,,,InputRows),$C80)*$T80</f>
        <v>0</v>
      </c>
      <c r="AG80" s="57">
        <f ca="1">INDEX(OFFSET('Measure Inputs'!$P$7,,,InputRows),$C80)*$T80*$V80</f>
        <v>0</v>
      </c>
      <c r="AH80" s="57">
        <f ca="1">INDEX(OFFSET('Measure Inputs'!$R$7,,,InputRows),$C80)*$T80*$V80</f>
        <v>0</v>
      </c>
      <c r="AI80" s="57">
        <f ca="1">INDEX(OFFSET('Measure Inputs'!$O$7,,,InputRows),$C80)*$T80</f>
        <v>0</v>
      </c>
      <c r="AJ80" s="57">
        <f ca="1">INDEX(OFFSET('Measure Inputs'!$S$7,,,InputRows),$C80)*$T80</f>
        <v>0</v>
      </c>
      <c r="AK80" s="63">
        <f ca="1">INDEX(OFFSET('Measure Inputs'!$M$7,,,InputRows),$C80)</f>
        <v>10</v>
      </c>
      <c r="AL80" s="88">
        <f ca="1">INDEX(OFFSET('Measure Inputs'!$N$7,,,InputRows),$C80)</f>
        <v>0</v>
      </c>
      <c r="AM80" s="57">
        <f ca="1">SUMIFS(OFFSET('Program Inputs'!$N$5,,,TotalPrograms),OFFSET('Program Inputs'!$B$5,,,TotalPrograms),SUBSTITUTE($B80,"All","*"))+AF80</f>
        <v>0</v>
      </c>
      <c r="AN80" s="57">
        <f t="shared" ca="1" si="261"/>
        <v>0</v>
      </c>
      <c r="AO80" s="55"/>
      <c r="AP80" s="59">
        <f t="shared" ca="1" si="262"/>
        <v>673.36906135068045</v>
      </c>
      <c r="AQ80" s="59">
        <f t="shared" ca="1" si="263"/>
        <v>0</v>
      </c>
      <c r="AR80" s="59">
        <f ca="1">SUMPRODUCT($CA80:$DI80,'General Inputs'!$F$32:$AN$32,'General Inputs'!$F$51:$AN$51)/(1-Loss_ElectricEnergy)</f>
        <v>631.55316936025372</v>
      </c>
      <c r="AS80" s="59">
        <f ca="1">SUMPRODUCT($DK80:$ES80,'General Inputs'!$F$33:$AN$33,'General Inputs'!$F$51:$AN$51)/(1-Loss_ElectricDemand)</f>
        <v>41.815891990426707</v>
      </c>
      <c r="AT80" s="59">
        <f ca="1">SUMPRODUCT($EU80:$GC80,'General Inputs'!$F$34:$AN$34,'General Inputs'!$F$51:$AN$51)/(1-Loss_GasEnergy)</f>
        <v>0</v>
      </c>
      <c r="AU80" s="59">
        <f ca="1">INDEX('General Inputs'!$F$51:$AN$51,MATCH($H80,'General Inputs'!$F$50:$AN$50,0))*$AJ80</f>
        <v>0</v>
      </c>
      <c r="AV80" s="59">
        <f ca="1">INDEX('General Inputs'!$F$51:$AN$51,MATCH($H80,'General Inputs'!$F$50:$AN$50,0))*$AI80</f>
        <v>0</v>
      </c>
      <c r="AW80" s="59">
        <f ca="1">INDEX('General Inputs'!$F$51:$AN$51,MATCH($H80,'General Inputs'!$F$50:$AN$50,0))*$AM80</f>
        <v>0</v>
      </c>
      <c r="AX80" s="59">
        <f ca="1">SUM(INDEX('General Inputs'!$F$51:$AN$51,MATCH($H80,'General Inputs'!$F$50:$AN$50,0))*$AG80,INDEX('General Inputs'!$F$51:$AN$51,MATCH($H80+$AL80,'General Inputs'!$F$50:$AN$50,0))*-$AH80)</f>
        <v>0</v>
      </c>
      <c r="AY80" s="55"/>
      <c r="AZ80" s="59">
        <f ca="1">SUMPRODUCT($CA80:$DI80,'General Inputs'!$F$32:$AN$32,'General Inputs'!$F$52:$AN$52)/(1-Loss_ElectricEnergy)</f>
        <v>631.55316936025372</v>
      </c>
      <c r="BA80" s="59">
        <f ca="1">SUMPRODUCT($DK80:$ES80,'General Inputs'!$F$33:$AN$33,'General Inputs'!$F$52:$AN$52)/(1-Loss_ElectricDemand)</f>
        <v>41.815891990426707</v>
      </c>
      <c r="BB80" s="59">
        <f ca="1">SUMPRODUCT($EU80:$GC80,'General Inputs'!$F$34:$AN$34,'General Inputs'!$F$52:$AN$52)/(1-Loss_GasEnergy)</f>
        <v>0</v>
      </c>
      <c r="BC80" s="59">
        <f ca="1">INDEX('General Inputs'!$F$52:$AN$52,MATCH($H80,'General Inputs'!$F$50:$AN$50,0))*$AI80</f>
        <v>0</v>
      </c>
      <c r="BD80" s="59">
        <f ca="1">INDEX('General Inputs'!$F$52:$AN$52,MATCH($H80,'General Inputs'!$F$50:$AN$50,0))*$AM80</f>
        <v>0</v>
      </c>
      <c r="BE80" s="55"/>
      <c r="BF80" s="59">
        <f ca="1">SUMPRODUCT($CA80:$DI80,OFFSET('General Inputs'!$F$40:$AN$40,MATCH($D80&amp;" Electric ($/kWh)",'General Inputs'!$E$40:$E$46,0),),'General Inputs'!$F$54:$AN$54)</f>
        <v>2499.0847627927492</v>
      </c>
      <c r="BG80" s="59">
        <f ca="1">SUMPRODUCT($EU80:$GC80,OFFSET('General Inputs'!$F$40:$AN$40,MATCH($D80&amp;" Natural Gas ($/therm)",'General Inputs'!$E$40:$E$46,0),),'General Inputs'!$F$54:$AN$54)</f>
        <v>0</v>
      </c>
      <c r="BH80" s="59">
        <f ca="1">INDEX('General Inputs'!$F$54:$AN$54,MATCH($H80,'General Inputs'!$F$50:$AN$50,0))*$AI80</f>
        <v>0</v>
      </c>
      <c r="BI80" s="59">
        <f ca="1">SUM(INDEX('General Inputs'!$F$54:$AN$54,MATCH($H80,'General Inputs'!$F$50:$AN$50,0))*$AG80,INDEX('General Inputs'!$F$51:$AN$51,MATCH($H80+$AL80,'General Inputs'!$F$50:$AN$50,0))*-$AH80)</f>
        <v>0</v>
      </c>
      <c r="BJ80" s="55"/>
      <c r="BK80" s="59">
        <f ca="1">SUMPRODUCT($CA80:$DI80,'General Inputs'!$F$32:$AN$32,'General Inputs'!$F$53:$AN$53)/(1-Loss_ElectricEnergy)</f>
        <v>631.55316936025372</v>
      </c>
      <c r="BL80" s="59">
        <f ca="1">SUMPRODUCT($DK80:$ES80,'General Inputs'!$F$33:$AN$33,'General Inputs'!$F$53:$AN$53)/(1-Loss_ElectricDemand)</f>
        <v>41.815891990426707</v>
      </c>
      <c r="BM80" s="59">
        <f ca="1">SUMPRODUCT($EU80:$GC80,'General Inputs'!$F$34:$AN$34,'General Inputs'!$F$53:$AN$53)/(1-Loss_GasEnergy)</f>
        <v>0</v>
      </c>
      <c r="BN80" s="59">
        <f ca="1">INDEX('General Inputs'!$F$53:$AN$53,MATCH($H80,'General Inputs'!$F$50:$AN$50,0))*$AJ80</f>
        <v>0</v>
      </c>
      <c r="BO80" s="59">
        <f ca="1">SUMPRODUCT($CA80:$DI80,'General Inputs'!$F$35:$AN$35,'General Inputs'!$F$53:$AN$53)/(1-Loss_ElectricEnergy)</f>
        <v>247.15268868847511</v>
      </c>
      <c r="BP80" s="59">
        <f ca="1">INDEX('General Inputs'!$F$51:$AN$51,MATCH($H80,'General Inputs'!$F$50:$AN$50,0))*$AM80</f>
        <v>0</v>
      </c>
      <c r="BQ80" s="59">
        <f ca="1">SUM(INDEX('General Inputs'!$F$53:$AN$53,MATCH($H80,'General Inputs'!$F$50:$AN$50,0))*$AG80,INDEX('General Inputs'!$F$53:$AN$53,MATCH($H80+$AL80,'General Inputs'!$F$50:$AN$50,0))*-$AH80)</f>
        <v>0</v>
      </c>
      <c r="BR80" s="55"/>
      <c r="BS80" s="59">
        <f ca="1">SUMPRODUCT($CA80:$DI80,'General Inputs'!$F$32:$AN$32,'General Inputs'!$F$55:$AN$55)/(1-Loss_ElectricEnergy)</f>
        <v>631.55316936025372</v>
      </c>
      <c r="BT80" s="59">
        <f ca="1">SUMPRODUCT($DK80:$ES80,'General Inputs'!$F$33:$AN$33,'General Inputs'!$F$55:$AN$55)/(1-Loss_ElectricDemand)</f>
        <v>41.815891990426707</v>
      </c>
      <c r="BU80" s="59">
        <f ca="1">SUMPRODUCT($EU80:$GC80,'General Inputs'!$F$34:$AN$34,'General Inputs'!$F$55:$AN$55)/(1-Loss_GasEnergy)</f>
        <v>0</v>
      </c>
      <c r="BV80" s="59">
        <f ca="1">SUMPRODUCT($CA80:$DI80,OFFSET('General Inputs'!$F$40:$AN$40,MATCH($D80&amp;" Electric ($/kWh)",'General Inputs'!$E$40:$E$46,0),),'General Inputs'!$F$55:$AN$55)</f>
        <v>2499.0847627927492</v>
      </c>
      <c r="BW80" s="59">
        <f ca="1">SUMPRODUCT($EU80:$GC80,OFFSET('General Inputs'!$F$40:$AN$40,MATCH($D80&amp;" Natural Gas ($/therm)",'General Inputs'!$E$40:$E$46,0),),'General Inputs'!$F$55:$AN$55)</f>
        <v>0</v>
      </c>
      <c r="BX80" s="59">
        <f ca="1">INDEX('General Inputs'!$F$55:$AN$55,MATCH($H80,'General Inputs'!$F$50:$AN$50,0))*$AI80</f>
        <v>0</v>
      </c>
      <c r="BY80" s="59">
        <f ca="1">INDEX('General Inputs'!$F$51:$AN$51,MATCH($H80,'General Inputs'!$F$50:$AN$50,0))*$AM80</f>
        <v>0</v>
      </c>
      <c r="BZ80" s="55"/>
      <c r="CA80" s="88">
        <f t="shared" ca="1" si="278"/>
        <v>2937.1340804443098</v>
      </c>
      <c r="CB80" s="88">
        <f t="shared" ca="1" si="278"/>
        <v>2937.1340804443098</v>
      </c>
      <c r="CC80" s="88">
        <f t="shared" ca="1" si="278"/>
        <v>2937.1340804443098</v>
      </c>
      <c r="CD80" s="88">
        <f t="shared" ca="1" si="278"/>
        <v>2937.1340804443098</v>
      </c>
      <c r="CE80" s="88">
        <f t="shared" ca="1" si="278"/>
        <v>2937.1340804443098</v>
      </c>
      <c r="CF80" s="88">
        <f t="shared" ca="1" si="278"/>
        <v>2937.1340804443098</v>
      </c>
      <c r="CG80" s="88">
        <f t="shared" ca="1" si="278"/>
        <v>2937.1340804443098</v>
      </c>
      <c r="CH80" s="88">
        <f t="shared" ca="1" si="278"/>
        <v>2937.1340804443098</v>
      </c>
      <c r="CI80" s="88">
        <f t="shared" ca="1" si="278"/>
        <v>2937.1340804443098</v>
      </c>
      <c r="CJ80" s="88">
        <f t="shared" ca="1" si="278"/>
        <v>2937.1340804443098</v>
      </c>
      <c r="CK80" s="88">
        <f t="shared" ca="1" si="279"/>
        <v>0</v>
      </c>
      <c r="CL80" s="88">
        <f t="shared" ca="1" si="279"/>
        <v>0</v>
      </c>
      <c r="CM80" s="88">
        <f t="shared" ca="1" si="279"/>
        <v>0</v>
      </c>
      <c r="CN80" s="88">
        <f t="shared" ca="1" si="279"/>
        <v>0</v>
      </c>
      <c r="CO80" s="88">
        <f t="shared" ca="1" si="279"/>
        <v>0</v>
      </c>
      <c r="CP80" s="88">
        <f t="shared" ca="1" si="279"/>
        <v>0</v>
      </c>
      <c r="CQ80" s="88">
        <f t="shared" ca="1" si="279"/>
        <v>0</v>
      </c>
      <c r="CR80" s="88">
        <f t="shared" ca="1" si="279"/>
        <v>0</v>
      </c>
      <c r="CS80" s="88">
        <f t="shared" ca="1" si="279"/>
        <v>0</v>
      </c>
      <c r="CT80" s="88">
        <f t="shared" ca="1" si="279"/>
        <v>0</v>
      </c>
      <c r="CU80" s="88">
        <f t="shared" ca="1" si="280"/>
        <v>0</v>
      </c>
      <c r="CV80" s="88">
        <f t="shared" ca="1" si="280"/>
        <v>0</v>
      </c>
      <c r="CW80" s="88">
        <f t="shared" ca="1" si="280"/>
        <v>0</v>
      </c>
      <c r="CX80" s="88">
        <f t="shared" ca="1" si="280"/>
        <v>0</v>
      </c>
      <c r="CY80" s="88">
        <f t="shared" ca="1" si="280"/>
        <v>0</v>
      </c>
      <c r="CZ80" s="88">
        <f t="shared" ca="1" si="280"/>
        <v>0</v>
      </c>
      <c r="DA80" s="88">
        <f t="shared" ca="1" si="280"/>
        <v>0</v>
      </c>
      <c r="DB80" s="88">
        <f t="shared" ca="1" si="280"/>
        <v>0</v>
      </c>
      <c r="DC80" s="88">
        <f t="shared" ca="1" si="280"/>
        <v>0</v>
      </c>
      <c r="DD80" s="88">
        <f t="shared" ca="1" si="280"/>
        <v>0</v>
      </c>
      <c r="DE80" s="88">
        <f t="shared" ca="1" si="280"/>
        <v>0</v>
      </c>
      <c r="DF80" s="88">
        <f t="shared" ca="1" si="280"/>
        <v>0</v>
      </c>
      <c r="DG80" s="88">
        <f t="shared" ca="1" si="280"/>
        <v>0</v>
      </c>
      <c r="DH80" s="88">
        <f t="shared" ca="1" si="280"/>
        <v>0</v>
      </c>
      <c r="DI80" s="88">
        <f t="shared" ca="1" si="280"/>
        <v>0</v>
      </c>
      <c r="DJ80" s="169"/>
      <c r="DK80" s="88">
        <f t="shared" ca="1" si="281"/>
        <v>0.27037194515348284</v>
      </c>
      <c r="DL80" s="88">
        <f t="shared" ca="1" si="281"/>
        <v>0.27037194515348284</v>
      </c>
      <c r="DM80" s="88">
        <f t="shared" ca="1" si="281"/>
        <v>0.27037194515348284</v>
      </c>
      <c r="DN80" s="88">
        <f t="shared" ca="1" si="281"/>
        <v>0.27037194515348284</v>
      </c>
      <c r="DO80" s="88">
        <f t="shared" ca="1" si="281"/>
        <v>0.27037194515348284</v>
      </c>
      <c r="DP80" s="88">
        <f t="shared" ca="1" si="281"/>
        <v>0.27037194515348284</v>
      </c>
      <c r="DQ80" s="88">
        <f t="shared" ca="1" si="281"/>
        <v>0.27037194515348284</v>
      </c>
      <c r="DR80" s="88">
        <f t="shared" ca="1" si="281"/>
        <v>0.27037194515348284</v>
      </c>
      <c r="DS80" s="88">
        <f t="shared" ca="1" si="281"/>
        <v>0.27037194515348284</v>
      </c>
      <c r="DT80" s="88">
        <f t="shared" ca="1" si="281"/>
        <v>0.27037194515348284</v>
      </c>
      <c r="DU80" s="88">
        <f t="shared" ca="1" si="282"/>
        <v>0</v>
      </c>
      <c r="DV80" s="88">
        <f t="shared" ca="1" si="282"/>
        <v>0</v>
      </c>
      <c r="DW80" s="88">
        <f t="shared" ca="1" si="282"/>
        <v>0</v>
      </c>
      <c r="DX80" s="88">
        <f t="shared" ca="1" si="282"/>
        <v>0</v>
      </c>
      <c r="DY80" s="88">
        <f t="shared" ca="1" si="282"/>
        <v>0</v>
      </c>
      <c r="DZ80" s="88">
        <f t="shared" ca="1" si="282"/>
        <v>0</v>
      </c>
      <c r="EA80" s="88">
        <f t="shared" ca="1" si="282"/>
        <v>0</v>
      </c>
      <c r="EB80" s="88">
        <f t="shared" ca="1" si="282"/>
        <v>0</v>
      </c>
      <c r="EC80" s="88">
        <f t="shared" ca="1" si="282"/>
        <v>0</v>
      </c>
      <c r="ED80" s="88">
        <f t="shared" ca="1" si="282"/>
        <v>0</v>
      </c>
      <c r="EE80" s="88">
        <f t="shared" ca="1" si="283"/>
        <v>0</v>
      </c>
      <c r="EF80" s="88">
        <f t="shared" ca="1" si="283"/>
        <v>0</v>
      </c>
      <c r="EG80" s="88">
        <f t="shared" ca="1" si="283"/>
        <v>0</v>
      </c>
      <c r="EH80" s="88">
        <f t="shared" ca="1" si="283"/>
        <v>0</v>
      </c>
      <c r="EI80" s="88">
        <f t="shared" ca="1" si="283"/>
        <v>0</v>
      </c>
      <c r="EJ80" s="88">
        <f t="shared" ca="1" si="283"/>
        <v>0</v>
      </c>
      <c r="EK80" s="88">
        <f t="shared" ca="1" si="283"/>
        <v>0</v>
      </c>
      <c r="EL80" s="88">
        <f t="shared" ca="1" si="283"/>
        <v>0</v>
      </c>
      <c r="EM80" s="88">
        <f t="shared" ca="1" si="283"/>
        <v>0</v>
      </c>
      <c r="EN80" s="88">
        <f t="shared" ca="1" si="283"/>
        <v>0</v>
      </c>
      <c r="EO80" s="88">
        <f t="shared" ca="1" si="283"/>
        <v>0</v>
      </c>
      <c r="EP80" s="88">
        <f t="shared" ca="1" si="283"/>
        <v>0</v>
      </c>
      <c r="EQ80" s="88">
        <f t="shared" ca="1" si="283"/>
        <v>0</v>
      </c>
      <c r="ER80" s="88">
        <f t="shared" ca="1" si="283"/>
        <v>0</v>
      </c>
      <c r="ES80" s="88">
        <f t="shared" ca="1" si="283"/>
        <v>0</v>
      </c>
      <c r="ET80" s="169"/>
      <c r="EU80" s="88">
        <f t="shared" ca="1" si="284"/>
        <v>0</v>
      </c>
      <c r="EV80" s="88">
        <f t="shared" ca="1" si="284"/>
        <v>0</v>
      </c>
      <c r="EW80" s="88">
        <f t="shared" ca="1" si="284"/>
        <v>0</v>
      </c>
      <c r="EX80" s="88">
        <f t="shared" ca="1" si="284"/>
        <v>0</v>
      </c>
      <c r="EY80" s="88">
        <f t="shared" ca="1" si="284"/>
        <v>0</v>
      </c>
      <c r="EZ80" s="88">
        <f t="shared" ca="1" si="284"/>
        <v>0</v>
      </c>
      <c r="FA80" s="88">
        <f t="shared" ca="1" si="284"/>
        <v>0</v>
      </c>
      <c r="FB80" s="88">
        <f t="shared" ca="1" si="284"/>
        <v>0</v>
      </c>
      <c r="FC80" s="88">
        <f t="shared" ca="1" si="284"/>
        <v>0</v>
      </c>
      <c r="FD80" s="88">
        <f t="shared" ca="1" si="284"/>
        <v>0</v>
      </c>
      <c r="FE80" s="88">
        <f t="shared" ca="1" si="285"/>
        <v>0</v>
      </c>
      <c r="FF80" s="88">
        <f t="shared" ca="1" si="285"/>
        <v>0</v>
      </c>
      <c r="FG80" s="88">
        <f t="shared" ca="1" si="285"/>
        <v>0</v>
      </c>
      <c r="FH80" s="88">
        <f t="shared" ca="1" si="285"/>
        <v>0</v>
      </c>
      <c r="FI80" s="88">
        <f t="shared" ca="1" si="285"/>
        <v>0</v>
      </c>
      <c r="FJ80" s="88">
        <f t="shared" ca="1" si="285"/>
        <v>0</v>
      </c>
      <c r="FK80" s="88">
        <f t="shared" ca="1" si="285"/>
        <v>0</v>
      </c>
      <c r="FL80" s="88">
        <f t="shared" ca="1" si="285"/>
        <v>0</v>
      </c>
      <c r="FM80" s="88">
        <f t="shared" ca="1" si="285"/>
        <v>0</v>
      </c>
      <c r="FN80" s="88">
        <f t="shared" ca="1" si="285"/>
        <v>0</v>
      </c>
      <c r="FO80" s="88">
        <f t="shared" ca="1" si="286"/>
        <v>0</v>
      </c>
      <c r="FP80" s="88">
        <f t="shared" ca="1" si="286"/>
        <v>0</v>
      </c>
      <c r="FQ80" s="88">
        <f t="shared" ca="1" si="286"/>
        <v>0</v>
      </c>
      <c r="FR80" s="88">
        <f t="shared" ca="1" si="286"/>
        <v>0</v>
      </c>
      <c r="FS80" s="88">
        <f t="shared" ca="1" si="286"/>
        <v>0</v>
      </c>
      <c r="FT80" s="88">
        <f t="shared" ca="1" si="286"/>
        <v>0</v>
      </c>
      <c r="FU80" s="88">
        <f t="shared" ca="1" si="286"/>
        <v>0</v>
      </c>
      <c r="FV80" s="88">
        <f t="shared" ca="1" si="286"/>
        <v>0</v>
      </c>
      <c r="FW80" s="88">
        <f t="shared" ca="1" si="286"/>
        <v>0</v>
      </c>
      <c r="FX80" s="88">
        <f t="shared" ca="1" si="286"/>
        <v>0</v>
      </c>
      <c r="FY80" s="88">
        <f t="shared" ca="1" si="286"/>
        <v>0</v>
      </c>
      <c r="FZ80" s="88">
        <f t="shared" ca="1" si="286"/>
        <v>0</v>
      </c>
      <c r="GA80" s="88">
        <f t="shared" ca="1" si="286"/>
        <v>0</v>
      </c>
      <c r="GB80" s="88">
        <f t="shared" ca="1" si="286"/>
        <v>0</v>
      </c>
      <c r="GC80" s="88">
        <f t="shared" ca="1" si="286"/>
        <v>0</v>
      </c>
      <c r="GD80" s="60"/>
    </row>
    <row r="81" spans="1:186" s="54" customFormat="1">
      <c r="A81" s="61"/>
      <c r="B81" s="100" t="str">
        <f t="shared" si="277"/>
        <v>C&amp;I_C&amp;I Custom_0_C&amp;I Custom_2017</v>
      </c>
      <c r="C81" s="100">
        <f>INDEX('Measure Inputs'!$D:$D,MATCH($B81,'Measure Inputs'!$B:$B,0))</f>
        <v>33</v>
      </c>
      <c r="D81" s="101" t="s">
        <v>256</v>
      </c>
      <c r="E81" s="101" t="s">
        <v>254</v>
      </c>
      <c r="F81" s="101">
        <v>0</v>
      </c>
      <c r="G81" s="101" t="s">
        <v>254</v>
      </c>
      <c r="H81" s="101">
        <v>2017</v>
      </c>
      <c r="I81" s="55"/>
      <c r="J81" s="58">
        <f t="shared" ca="1" si="229"/>
        <v>1.3460052248425056</v>
      </c>
      <c r="K81" s="58">
        <f t="shared" ca="1" si="246"/>
        <v>2.6923155894085271</v>
      </c>
      <c r="L81" s="58">
        <f t="shared" ca="1" si="230"/>
        <v>0.49994333136042512</v>
      </c>
      <c r="M81" s="58">
        <f t="shared" ca="1" si="231"/>
        <v>1.7832413922725845</v>
      </c>
      <c r="N81" s="58">
        <f t="shared" ca="1" si="232"/>
        <v>2.6923155894085271</v>
      </c>
      <c r="O81" s="55"/>
      <c r="P81" s="175">
        <f ca="1">IFERROR(($AW81+AV81)/SUMPRODUCT($CA81:$DI81,'General Inputs'!$F$51:$AN$51),"n/a")</f>
        <v>1.3677812677709334E-2</v>
      </c>
      <c r="Q81" s="175">
        <f t="shared" ca="1" si="233"/>
        <v>0.12114080449102509</v>
      </c>
      <c r="R81" s="56">
        <f t="shared" ca="1" si="260"/>
        <v>29494.603531914898</v>
      </c>
      <c r="S81" s="55"/>
      <c r="T81" s="56">
        <f ca="1">INDEX(OFFSET('Measure Inputs'!$L$7,,,InputRows),$C81)</f>
        <v>60</v>
      </c>
      <c r="U81" s="134">
        <f ca="1">INDEX(OFFSET('Measure Inputs'!$T$7,,,InputRows),$C81)</f>
        <v>1</v>
      </c>
      <c r="V81" s="134">
        <f ca="1">INDEX(OFFSET('Measure Inputs'!$U$7,,,InputRows),$C81)</f>
        <v>1</v>
      </c>
      <c r="W81" s="55"/>
      <c r="X81" s="96">
        <f ca="1">INDEX(OFFSET('Measure Inputs'!$V$7,,,InputRows),$C81)*$T81*$V81*$U81</f>
        <v>1966306.9021276594</v>
      </c>
      <c r="Y81" s="96">
        <f ca="1">INDEX(OFFSET('Measure Inputs'!$W$7,,,InputRows),$C81)*$T81*$V81*$U81</f>
        <v>476.36042553191493</v>
      </c>
      <c r="Z81" s="96">
        <f ca="1">INDEX(OFFSET('Measure Inputs'!$X$7,,,InputRows),$C81)*$T81*$V81*$U81</f>
        <v>0</v>
      </c>
      <c r="AA81" s="55"/>
      <c r="AB81" s="96">
        <f ca="1">INDEX(OFFSET('Measure Inputs'!$Z$7,,,InputRows),$C81)*$T81*$V81*$U81</f>
        <v>0</v>
      </c>
      <c r="AC81" s="96">
        <f ca="1">INDEX(OFFSET('Measure Inputs'!$AA$7,,,InputRows),$C81)*$T81*$V81*$U81</f>
        <v>0</v>
      </c>
      <c r="AD81" s="96">
        <f ca="1">INDEX(OFFSET('Measure Inputs'!$AB$7,,,InputRows),$C81)*$T81*$V81*$U81</f>
        <v>0</v>
      </c>
      <c r="AE81" s="55"/>
      <c r="AF81" s="57">
        <f ca="1">INDEX(OFFSET('Measure Inputs'!$Q$7,,,InputRows),$C81)*$T81</f>
        <v>0</v>
      </c>
      <c r="AG81" s="57">
        <f ca="1">INDEX(OFFSET('Measure Inputs'!$P$7,,,InputRows),$C81)*$T81*$V81</f>
        <v>476454</v>
      </c>
      <c r="AH81" s="57">
        <f ca="1">INDEX(OFFSET('Measure Inputs'!$R$7,,,InputRows),$C81)*$T81*$V81</f>
        <v>0</v>
      </c>
      <c r="AI81" s="57">
        <f ca="1">INDEX(OFFSET('Measure Inputs'!$O$7,,,InputRows),$C81)*$T81</f>
        <v>238200</v>
      </c>
      <c r="AJ81" s="57">
        <f ca="1">INDEX(OFFSET('Measure Inputs'!$S$7,,,InputRows),$C81)*$T81</f>
        <v>0</v>
      </c>
      <c r="AK81" s="63">
        <f ca="1">INDEX(OFFSET('Measure Inputs'!$M$7,,,InputRows),$C81)</f>
        <v>15</v>
      </c>
      <c r="AL81" s="88">
        <f ca="1">INDEX(OFFSET('Measure Inputs'!$N$7,,,InputRows),$C81)</f>
        <v>0</v>
      </c>
      <c r="AM81" s="57">
        <f ca="1">SUMIFS(OFFSET('Program Inputs'!$N$5,,,TotalPrograms),OFFSET('Program Inputs'!$B$5,,,TotalPrograms),SUBSTITUTE($B81,"All","*"))+AF81</f>
        <v>0</v>
      </c>
      <c r="AN81" s="57">
        <f t="shared" ca="1" si="261"/>
        <v>238200</v>
      </c>
      <c r="AO81" s="55"/>
      <c r="AP81" s="59">
        <f t="shared" ca="1" si="262"/>
        <v>641309.57339711115</v>
      </c>
      <c r="AQ81" s="59">
        <f t="shared" ca="1" si="263"/>
        <v>476454</v>
      </c>
      <c r="AR81" s="59">
        <f ca="1">SUMPRODUCT($CA81:$DI81,'General Inputs'!$F$32:$AN$32,'General Inputs'!$F$51:$AN$51)/(1-Loss_ElectricEnergy)</f>
        <v>546143.01797533641</v>
      </c>
      <c r="AS81" s="59">
        <f ca="1">SUMPRODUCT($DK81:$ES81,'General Inputs'!$F$33:$AN$33,'General Inputs'!$F$51:$AN$51)/(1-Loss_ElectricDemand)</f>
        <v>95166.555421774741</v>
      </c>
      <c r="AT81" s="59">
        <f ca="1">SUMPRODUCT($EU81:$GC81,'General Inputs'!$F$34:$AN$34,'General Inputs'!$F$51:$AN$51)/(1-Loss_GasEnergy)</f>
        <v>0</v>
      </c>
      <c r="AU81" s="59">
        <f ca="1">INDEX('General Inputs'!$F$51:$AN$51,MATCH($H81,'General Inputs'!$F$50:$AN$50,0))*$AJ81</f>
        <v>0</v>
      </c>
      <c r="AV81" s="59">
        <f ca="1">INDEX('General Inputs'!$F$51:$AN$51,MATCH($H81,'General Inputs'!$F$50:$AN$50,0))*$AI81</f>
        <v>238200</v>
      </c>
      <c r="AW81" s="59">
        <f ca="1">INDEX('General Inputs'!$F$51:$AN$51,MATCH($H81,'General Inputs'!$F$50:$AN$50,0))*$AM81</f>
        <v>0</v>
      </c>
      <c r="AX81" s="59">
        <f ca="1">SUM(INDEX('General Inputs'!$F$51:$AN$51,MATCH($H81,'General Inputs'!$F$50:$AN$50,0))*$AG81,INDEX('General Inputs'!$F$51:$AN$51,MATCH($H81+$AL81,'General Inputs'!$F$50:$AN$50,0))*-$AH81)</f>
        <v>476454</v>
      </c>
      <c r="AY81" s="55"/>
      <c r="AZ81" s="59">
        <f ca="1">SUMPRODUCT($CA81:$DI81,'General Inputs'!$F$32:$AN$32,'General Inputs'!$F$52:$AN$52)/(1-Loss_ElectricEnergy)</f>
        <v>546143.01797533641</v>
      </c>
      <c r="BA81" s="59">
        <f ca="1">SUMPRODUCT($DK81:$ES81,'General Inputs'!$F$33:$AN$33,'General Inputs'!$F$52:$AN$52)/(1-Loss_ElectricDemand)</f>
        <v>95166.555421774741</v>
      </c>
      <c r="BB81" s="59">
        <f ca="1">SUMPRODUCT($EU81:$GC81,'General Inputs'!$F$34:$AN$34,'General Inputs'!$F$52:$AN$52)/(1-Loss_GasEnergy)</f>
        <v>0</v>
      </c>
      <c r="BC81" s="59">
        <f ca="1">INDEX('General Inputs'!$F$52:$AN$52,MATCH($H81,'General Inputs'!$F$50:$AN$50,0))*$AI81</f>
        <v>238200</v>
      </c>
      <c r="BD81" s="59">
        <f ca="1">INDEX('General Inputs'!$F$52:$AN$52,MATCH($H81,'General Inputs'!$F$50:$AN$50,0))*$AM81</f>
        <v>0</v>
      </c>
      <c r="BE81" s="55"/>
      <c r="BF81" s="59">
        <f ca="1">SUMPRODUCT($CA81:$DI81,OFFSET('General Inputs'!$F$40:$AN$40,MATCH($D81&amp;" Electric ($/kWh)",'General Inputs'!$E$40:$E$46,0),),'General Inputs'!$F$54:$AN$54)</f>
        <v>0</v>
      </c>
      <c r="BG81" s="59">
        <f ca="1">SUMPRODUCT($EU81:$GC81,OFFSET('General Inputs'!$F$40:$AN$40,MATCH($D81&amp;" Natural Gas ($/therm)",'General Inputs'!$E$40:$E$46,0),),'General Inputs'!$F$54:$AN$54)</f>
        <v>0</v>
      </c>
      <c r="BH81" s="59">
        <f ca="1">INDEX('General Inputs'!$F$54:$AN$54,MATCH($H81,'General Inputs'!$F$50:$AN$50,0))*$AI81</f>
        <v>238200</v>
      </c>
      <c r="BI81" s="59">
        <f ca="1">SUM(INDEX('General Inputs'!$F$54:$AN$54,MATCH($H81,'General Inputs'!$F$50:$AN$50,0))*$AG81,INDEX('General Inputs'!$F$51:$AN$51,MATCH($H81+$AL81,'General Inputs'!$F$50:$AN$50,0))*-$AH81)</f>
        <v>476454</v>
      </c>
      <c r="BJ81" s="55"/>
      <c r="BK81" s="59">
        <f ca="1">SUMPRODUCT($CA81:$DI81,'General Inputs'!$F$32:$AN$32,'General Inputs'!$F$53:$AN$53)/(1-Loss_ElectricEnergy)</f>
        <v>546143.01797533641</v>
      </c>
      <c r="BL81" s="59">
        <f ca="1">SUMPRODUCT($DK81:$ES81,'General Inputs'!$F$33:$AN$33,'General Inputs'!$F$53:$AN$53)/(1-Loss_ElectricDemand)</f>
        <v>95166.555421774741</v>
      </c>
      <c r="BM81" s="59">
        <f ca="1">SUMPRODUCT($EU81:$GC81,'General Inputs'!$F$34:$AN$34,'General Inputs'!$F$53:$AN$53)/(1-Loss_GasEnergy)</f>
        <v>0</v>
      </c>
      <c r="BN81" s="59">
        <f ca="1">INDEX('General Inputs'!$F$53:$AN$53,MATCH($H81,'General Inputs'!$F$50:$AN$50,0))*$AJ81</f>
        <v>0</v>
      </c>
      <c r="BO81" s="59">
        <f ca="1">SUMPRODUCT($CA81:$DI81,'General Inputs'!$F$35:$AN$35,'General Inputs'!$F$53:$AN$53)/(1-Loss_ElectricEnergy)</f>
        <v>208322.92091673071</v>
      </c>
      <c r="BP81" s="59">
        <f ca="1">INDEX('General Inputs'!$F$51:$AN$51,MATCH($H81,'General Inputs'!$F$50:$AN$50,0))*$AM81</f>
        <v>0</v>
      </c>
      <c r="BQ81" s="59">
        <f ca="1">SUM(INDEX('General Inputs'!$F$53:$AN$53,MATCH($H81,'General Inputs'!$F$50:$AN$50,0))*$AG81,INDEX('General Inputs'!$F$53:$AN$53,MATCH($H81+$AL81,'General Inputs'!$F$50:$AN$50,0))*-$AH81)</f>
        <v>476454</v>
      </c>
      <c r="BR81" s="55"/>
      <c r="BS81" s="59">
        <f ca="1">SUMPRODUCT($CA81:$DI81,'General Inputs'!$F$32:$AN$32,'General Inputs'!$F$55:$AN$55)/(1-Loss_ElectricEnergy)</f>
        <v>546143.01797533641</v>
      </c>
      <c r="BT81" s="59">
        <f ca="1">SUMPRODUCT($DK81:$ES81,'General Inputs'!$F$33:$AN$33,'General Inputs'!$F$55:$AN$55)/(1-Loss_ElectricDemand)</f>
        <v>95166.555421774741</v>
      </c>
      <c r="BU81" s="59">
        <f ca="1">SUMPRODUCT($EU81:$GC81,'General Inputs'!$F$34:$AN$34,'General Inputs'!$F$55:$AN$55)/(1-Loss_GasEnergy)</f>
        <v>0</v>
      </c>
      <c r="BV81" s="59">
        <f ca="1">SUMPRODUCT($CA81:$DI81,OFFSET('General Inputs'!$F$40:$AN$40,MATCH($D81&amp;" Electric ($/kWh)",'General Inputs'!$E$40:$E$46,0),),'General Inputs'!$F$55:$AN$55)</f>
        <v>0</v>
      </c>
      <c r="BW81" s="59">
        <f ca="1">SUMPRODUCT($EU81:$GC81,OFFSET('General Inputs'!$F$40:$AN$40,MATCH($D81&amp;" Natural Gas ($/therm)",'General Inputs'!$E$40:$E$46,0),),'General Inputs'!$F$55:$AN$55)</f>
        <v>0</v>
      </c>
      <c r="BX81" s="59">
        <f ca="1">INDEX('General Inputs'!$F$55:$AN$55,MATCH($H81,'General Inputs'!$F$50:$AN$50,0))*$AI81</f>
        <v>238200</v>
      </c>
      <c r="BY81" s="59">
        <f ca="1">INDEX('General Inputs'!$F$51:$AN$51,MATCH($H81,'General Inputs'!$F$50:$AN$50,0))*$AM81</f>
        <v>0</v>
      </c>
      <c r="BZ81" s="55"/>
      <c r="CA81" s="88">
        <f t="shared" ca="1" si="278"/>
        <v>1966306.9021276594</v>
      </c>
      <c r="CB81" s="88">
        <f t="shared" ca="1" si="278"/>
        <v>1966306.9021276594</v>
      </c>
      <c r="CC81" s="88">
        <f t="shared" ca="1" si="278"/>
        <v>1966306.9021276594</v>
      </c>
      <c r="CD81" s="88">
        <f t="shared" ca="1" si="278"/>
        <v>1966306.9021276594</v>
      </c>
      <c r="CE81" s="88">
        <f t="shared" ca="1" si="278"/>
        <v>1966306.9021276594</v>
      </c>
      <c r="CF81" s="88">
        <f t="shared" ca="1" si="278"/>
        <v>1966306.9021276594</v>
      </c>
      <c r="CG81" s="88">
        <f t="shared" ca="1" si="278"/>
        <v>1966306.9021276594</v>
      </c>
      <c r="CH81" s="88">
        <f t="shared" ca="1" si="278"/>
        <v>1966306.9021276594</v>
      </c>
      <c r="CI81" s="88">
        <f t="shared" ca="1" si="278"/>
        <v>1966306.9021276594</v>
      </c>
      <c r="CJ81" s="88">
        <f t="shared" ca="1" si="278"/>
        <v>1966306.9021276594</v>
      </c>
      <c r="CK81" s="88">
        <f t="shared" ca="1" si="279"/>
        <v>1966306.9021276594</v>
      </c>
      <c r="CL81" s="88">
        <f t="shared" ca="1" si="279"/>
        <v>1966306.9021276594</v>
      </c>
      <c r="CM81" s="88">
        <f t="shared" ca="1" si="279"/>
        <v>1966306.9021276594</v>
      </c>
      <c r="CN81" s="88">
        <f t="shared" ca="1" si="279"/>
        <v>1966306.9021276594</v>
      </c>
      <c r="CO81" s="88">
        <f t="shared" ca="1" si="279"/>
        <v>1966306.9021276594</v>
      </c>
      <c r="CP81" s="88">
        <f t="shared" ca="1" si="279"/>
        <v>0</v>
      </c>
      <c r="CQ81" s="88">
        <f t="shared" ca="1" si="279"/>
        <v>0</v>
      </c>
      <c r="CR81" s="88">
        <f t="shared" ca="1" si="279"/>
        <v>0</v>
      </c>
      <c r="CS81" s="88">
        <f t="shared" ca="1" si="279"/>
        <v>0</v>
      </c>
      <c r="CT81" s="88">
        <f t="shared" ca="1" si="279"/>
        <v>0</v>
      </c>
      <c r="CU81" s="88">
        <f t="shared" ca="1" si="280"/>
        <v>0</v>
      </c>
      <c r="CV81" s="88">
        <f t="shared" ca="1" si="280"/>
        <v>0</v>
      </c>
      <c r="CW81" s="88">
        <f t="shared" ca="1" si="280"/>
        <v>0</v>
      </c>
      <c r="CX81" s="88">
        <f t="shared" ca="1" si="280"/>
        <v>0</v>
      </c>
      <c r="CY81" s="88">
        <f t="shared" ca="1" si="280"/>
        <v>0</v>
      </c>
      <c r="CZ81" s="88">
        <f t="shared" ca="1" si="280"/>
        <v>0</v>
      </c>
      <c r="DA81" s="88">
        <f t="shared" ca="1" si="280"/>
        <v>0</v>
      </c>
      <c r="DB81" s="88">
        <f t="shared" ca="1" si="280"/>
        <v>0</v>
      </c>
      <c r="DC81" s="88">
        <f t="shared" ca="1" si="280"/>
        <v>0</v>
      </c>
      <c r="DD81" s="88">
        <f t="shared" ca="1" si="280"/>
        <v>0</v>
      </c>
      <c r="DE81" s="88">
        <f t="shared" ca="1" si="280"/>
        <v>0</v>
      </c>
      <c r="DF81" s="88">
        <f t="shared" ca="1" si="280"/>
        <v>0</v>
      </c>
      <c r="DG81" s="88">
        <f t="shared" ca="1" si="280"/>
        <v>0</v>
      </c>
      <c r="DH81" s="88">
        <f t="shared" ca="1" si="280"/>
        <v>0</v>
      </c>
      <c r="DI81" s="88">
        <f t="shared" ca="1" si="280"/>
        <v>0</v>
      </c>
      <c r="DJ81" s="169"/>
      <c r="DK81" s="88">
        <f t="shared" ca="1" si="281"/>
        <v>476.36042553191493</v>
      </c>
      <c r="DL81" s="88">
        <f t="shared" ca="1" si="281"/>
        <v>476.36042553191493</v>
      </c>
      <c r="DM81" s="88">
        <f t="shared" ca="1" si="281"/>
        <v>476.36042553191493</v>
      </c>
      <c r="DN81" s="88">
        <f t="shared" ca="1" si="281"/>
        <v>476.36042553191493</v>
      </c>
      <c r="DO81" s="88">
        <f t="shared" ca="1" si="281"/>
        <v>476.36042553191493</v>
      </c>
      <c r="DP81" s="88">
        <f t="shared" ca="1" si="281"/>
        <v>476.36042553191493</v>
      </c>
      <c r="DQ81" s="88">
        <f t="shared" ca="1" si="281"/>
        <v>476.36042553191493</v>
      </c>
      <c r="DR81" s="88">
        <f t="shared" ca="1" si="281"/>
        <v>476.36042553191493</v>
      </c>
      <c r="DS81" s="88">
        <f t="shared" ca="1" si="281"/>
        <v>476.36042553191493</v>
      </c>
      <c r="DT81" s="88">
        <f t="shared" ca="1" si="281"/>
        <v>476.36042553191493</v>
      </c>
      <c r="DU81" s="88">
        <f t="shared" ca="1" si="282"/>
        <v>476.36042553191493</v>
      </c>
      <c r="DV81" s="88">
        <f t="shared" ca="1" si="282"/>
        <v>476.36042553191493</v>
      </c>
      <c r="DW81" s="88">
        <f t="shared" ca="1" si="282"/>
        <v>476.36042553191493</v>
      </c>
      <c r="DX81" s="88">
        <f t="shared" ca="1" si="282"/>
        <v>476.36042553191493</v>
      </c>
      <c r="DY81" s="88">
        <f t="shared" ca="1" si="282"/>
        <v>476.36042553191493</v>
      </c>
      <c r="DZ81" s="88">
        <f t="shared" ca="1" si="282"/>
        <v>0</v>
      </c>
      <c r="EA81" s="88">
        <f t="shared" ca="1" si="282"/>
        <v>0</v>
      </c>
      <c r="EB81" s="88">
        <f t="shared" ca="1" si="282"/>
        <v>0</v>
      </c>
      <c r="EC81" s="88">
        <f t="shared" ca="1" si="282"/>
        <v>0</v>
      </c>
      <c r="ED81" s="88">
        <f t="shared" ca="1" si="282"/>
        <v>0</v>
      </c>
      <c r="EE81" s="88">
        <f t="shared" ca="1" si="283"/>
        <v>0</v>
      </c>
      <c r="EF81" s="88">
        <f t="shared" ca="1" si="283"/>
        <v>0</v>
      </c>
      <c r="EG81" s="88">
        <f t="shared" ca="1" si="283"/>
        <v>0</v>
      </c>
      <c r="EH81" s="88">
        <f t="shared" ca="1" si="283"/>
        <v>0</v>
      </c>
      <c r="EI81" s="88">
        <f t="shared" ca="1" si="283"/>
        <v>0</v>
      </c>
      <c r="EJ81" s="88">
        <f t="shared" ca="1" si="283"/>
        <v>0</v>
      </c>
      <c r="EK81" s="88">
        <f t="shared" ca="1" si="283"/>
        <v>0</v>
      </c>
      <c r="EL81" s="88">
        <f t="shared" ca="1" si="283"/>
        <v>0</v>
      </c>
      <c r="EM81" s="88">
        <f t="shared" ca="1" si="283"/>
        <v>0</v>
      </c>
      <c r="EN81" s="88">
        <f t="shared" ca="1" si="283"/>
        <v>0</v>
      </c>
      <c r="EO81" s="88">
        <f t="shared" ca="1" si="283"/>
        <v>0</v>
      </c>
      <c r="EP81" s="88">
        <f t="shared" ca="1" si="283"/>
        <v>0</v>
      </c>
      <c r="EQ81" s="88">
        <f t="shared" ca="1" si="283"/>
        <v>0</v>
      </c>
      <c r="ER81" s="88">
        <f t="shared" ca="1" si="283"/>
        <v>0</v>
      </c>
      <c r="ES81" s="88">
        <f t="shared" ca="1" si="283"/>
        <v>0</v>
      </c>
      <c r="ET81" s="169"/>
      <c r="EU81" s="88">
        <f t="shared" ca="1" si="284"/>
        <v>0</v>
      </c>
      <c r="EV81" s="88">
        <f t="shared" ca="1" si="284"/>
        <v>0</v>
      </c>
      <c r="EW81" s="88">
        <f t="shared" ca="1" si="284"/>
        <v>0</v>
      </c>
      <c r="EX81" s="88">
        <f t="shared" ca="1" si="284"/>
        <v>0</v>
      </c>
      <c r="EY81" s="88">
        <f t="shared" ca="1" si="284"/>
        <v>0</v>
      </c>
      <c r="EZ81" s="88">
        <f t="shared" ca="1" si="284"/>
        <v>0</v>
      </c>
      <c r="FA81" s="88">
        <f t="shared" ca="1" si="284"/>
        <v>0</v>
      </c>
      <c r="FB81" s="88">
        <f t="shared" ca="1" si="284"/>
        <v>0</v>
      </c>
      <c r="FC81" s="88">
        <f t="shared" ca="1" si="284"/>
        <v>0</v>
      </c>
      <c r="FD81" s="88">
        <f t="shared" ca="1" si="284"/>
        <v>0</v>
      </c>
      <c r="FE81" s="88">
        <f t="shared" ca="1" si="285"/>
        <v>0</v>
      </c>
      <c r="FF81" s="88">
        <f t="shared" ca="1" si="285"/>
        <v>0</v>
      </c>
      <c r="FG81" s="88">
        <f t="shared" ca="1" si="285"/>
        <v>0</v>
      </c>
      <c r="FH81" s="88">
        <f t="shared" ca="1" si="285"/>
        <v>0</v>
      </c>
      <c r="FI81" s="88">
        <f t="shared" ca="1" si="285"/>
        <v>0</v>
      </c>
      <c r="FJ81" s="88">
        <f t="shared" ca="1" si="285"/>
        <v>0</v>
      </c>
      <c r="FK81" s="88">
        <f t="shared" ca="1" si="285"/>
        <v>0</v>
      </c>
      <c r="FL81" s="88">
        <f t="shared" ca="1" si="285"/>
        <v>0</v>
      </c>
      <c r="FM81" s="88">
        <f t="shared" ca="1" si="285"/>
        <v>0</v>
      </c>
      <c r="FN81" s="88">
        <f t="shared" ca="1" si="285"/>
        <v>0</v>
      </c>
      <c r="FO81" s="88">
        <f t="shared" ca="1" si="286"/>
        <v>0</v>
      </c>
      <c r="FP81" s="88">
        <f t="shared" ca="1" si="286"/>
        <v>0</v>
      </c>
      <c r="FQ81" s="88">
        <f t="shared" ca="1" si="286"/>
        <v>0</v>
      </c>
      <c r="FR81" s="88">
        <f t="shared" ca="1" si="286"/>
        <v>0</v>
      </c>
      <c r="FS81" s="88">
        <f t="shared" ca="1" si="286"/>
        <v>0</v>
      </c>
      <c r="FT81" s="88">
        <f t="shared" ca="1" si="286"/>
        <v>0</v>
      </c>
      <c r="FU81" s="88">
        <f t="shared" ca="1" si="286"/>
        <v>0</v>
      </c>
      <c r="FV81" s="88">
        <f t="shared" ca="1" si="286"/>
        <v>0</v>
      </c>
      <c r="FW81" s="88">
        <f t="shared" ca="1" si="286"/>
        <v>0</v>
      </c>
      <c r="FX81" s="88">
        <f t="shared" ca="1" si="286"/>
        <v>0</v>
      </c>
      <c r="FY81" s="88">
        <f t="shared" ca="1" si="286"/>
        <v>0</v>
      </c>
      <c r="FZ81" s="88">
        <f t="shared" ca="1" si="286"/>
        <v>0</v>
      </c>
      <c r="GA81" s="88">
        <f t="shared" ca="1" si="286"/>
        <v>0</v>
      </c>
      <c r="GB81" s="88">
        <f t="shared" ca="1" si="286"/>
        <v>0</v>
      </c>
      <c r="GC81" s="88">
        <f t="shared" ca="1" si="286"/>
        <v>0</v>
      </c>
      <c r="GD81" s="60"/>
    </row>
    <row r="82" spans="1:186" s="54" customFormat="1">
      <c r="A82" s="61"/>
      <c r="B82" s="100" t="str">
        <f t="shared" si="277"/>
        <v>C&amp;I_C&amp;I Prescriptive_0_High Bay Fluorescent Fixture w/ HE Electronic Ballast (T5 2-3 lamp)_2017</v>
      </c>
      <c r="C82" s="100">
        <f>INDEX('Measure Inputs'!$D:$D,MATCH($B82,'Measure Inputs'!$B:$B,0))</f>
        <v>34</v>
      </c>
      <c r="D82" s="101" t="s">
        <v>256</v>
      </c>
      <c r="E82" s="101" t="s">
        <v>255</v>
      </c>
      <c r="F82" s="101">
        <v>0</v>
      </c>
      <c r="G82" s="101" t="s">
        <v>353</v>
      </c>
      <c r="H82" s="101">
        <v>2017</v>
      </c>
      <c r="I82" s="55"/>
      <c r="J82" s="58">
        <f t="shared" ca="1" si="229"/>
        <v>1.5427975140369716</v>
      </c>
      <c r="K82" s="58">
        <f t="shared" ca="1" si="246"/>
        <v>2.8050863891581304</v>
      </c>
      <c r="L82" s="58">
        <f t="shared" ca="1" si="230"/>
        <v>0.55000000000000004</v>
      </c>
      <c r="M82" s="58">
        <f t="shared" ca="1" si="231"/>
        <v>2.0370311395695015</v>
      </c>
      <c r="N82" s="58">
        <f t="shared" ca="1" si="232"/>
        <v>2.8050863891581304</v>
      </c>
      <c r="O82" s="55"/>
      <c r="P82" s="175">
        <f ca="1">IFERROR(($AW82+AV82)/SUMPRODUCT($CA82:$DI82,'General Inputs'!$F$51:$AN$51),"n/a")</f>
        <v>1.331197062448535E-2</v>
      </c>
      <c r="Q82" s="175">
        <f t="shared" ca="1" si="233"/>
        <v>0.11790063724436972</v>
      </c>
      <c r="R82" s="56">
        <f t="shared" ca="1" si="260"/>
        <v>314.88379424999999</v>
      </c>
      <c r="S82" s="55"/>
      <c r="T82" s="56">
        <f ca="1">INDEX(OFFSET('Measure Inputs'!$L$7,,,InputRows),$C82)</f>
        <v>45</v>
      </c>
      <c r="U82" s="134">
        <f ca="1">INDEX(OFFSET('Measure Inputs'!$T$7,,,InputRows),$C82)</f>
        <v>1</v>
      </c>
      <c r="V82" s="134">
        <f ca="1">INDEX(OFFSET('Measure Inputs'!$U$7,,,InputRows),$C82)</f>
        <v>1</v>
      </c>
      <c r="W82" s="55"/>
      <c r="X82" s="96">
        <f ca="1">INDEX(OFFSET('Measure Inputs'!$V$7,,,InputRows),$C82)*$T82*$V82*$U82</f>
        <v>20992.252949999998</v>
      </c>
      <c r="Y82" s="96">
        <f ca="1">INDEX(OFFSET('Measure Inputs'!$W$7,,,InputRows),$C82)*$T82*$V82*$U82</f>
        <v>5.5660500000000006</v>
      </c>
      <c r="Z82" s="96">
        <f ca="1">INDEX(OFFSET('Measure Inputs'!$X$7,,,InputRows),$C82)*$T82*$V82*$U82</f>
        <v>0</v>
      </c>
      <c r="AA82" s="55"/>
      <c r="AB82" s="96">
        <f ca="1">INDEX(OFFSET('Measure Inputs'!$Z$7,,,InputRows),$C82)*$T82*$V82*$U82</f>
        <v>0</v>
      </c>
      <c r="AC82" s="96">
        <f ca="1">INDEX(OFFSET('Measure Inputs'!$AA$7,,,InputRows),$C82)*$T82*$V82*$U82</f>
        <v>0</v>
      </c>
      <c r="AD82" s="96">
        <f ca="1">INDEX(OFFSET('Measure Inputs'!$AB$7,,,InputRows),$C82)*$T82*$V82*$U82</f>
        <v>0</v>
      </c>
      <c r="AE82" s="55"/>
      <c r="AF82" s="57">
        <f ca="1">INDEX(OFFSET('Measure Inputs'!$Q$7,,,InputRows),$C82)*$T82</f>
        <v>0</v>
      </c>
      <c r="AG82" s="57">
        <f ca="1">INDEX(OFFSET('Measure Inputs'!$P$7,,,InputRows),$C82)*$T82*$V82</f>
        <v>4500</v>
      </c>
      <c r="AH82" s="57">
        <f ca="1">INDEX(OFFSET('Measure Inputs'!$R$7,,,InputRows),$C82)*$T82*$V82</f>
        <v>0</v>
      </c>
      <c r="AI82" s="57">
        <f ca="1">INDEX(OFFSET('Measure Inputs'!$O$7,,,InputRows),$C82)*$T82</f>
        <v>2475</v>
      </c>
      <c r="AJ82" s="57">
        <f ca="1">INDEX(OFFSET('Measure Inputs'!$S$7,,,InputRows),$C82)*$T82</f>
        <v>0</v>
      </c>
      <c r="AK82" s="63">
        <f ca="1">INDEX(OFFSET('Measure Inputs'!$M$7,,,InputRows),$C82)</f>
        <v>15</v>
      </c>
      <c r="AL82" s="88">
        <f ca="1">INDEX(OFFSET('Measure Inputs'!$N$7,,,InputRows),$C82)</f>
        <v>0</v>
      </c>
      <c r="AM82" s="57">
        <f ca="1">SUMIFS(OFFSET('Program Inputs'!$N$5,,,TotalPrograms),OFFSET('Program Inputs'!$B$5,,,TotalPrograms),SUBSTITUTE($B82,"All","*"))+AF82</f>
        <v>0</v>
      </c>
      <c r="AN82" s="57">
        <f t="shared" ca="1" si="261"/>
        <v>2475</v>
      </c>
      <c r="AO82" s="55"/>
      <c r="AP82" s="59">
        <f t="shared" ca="1" si="262"/>
        <v>6942.5888131663723</v>
      </c>
      <c r="AQ82" s="59">
        <f t="shared" ca="1" si="263"/>
        <v>4500</v>
      </c>
      <c r="AR82" s="59">
        <f ca="1">SUMPRODUCT($CA82:$DI82,'General Inputs'!$F$32:$AN$32,'General Inputs'!$F$51:$AN$51)/(1-Loss_ElectricEnergy)</f>
        <v>5830.6118784453738</v>
      </c>
      <c r="AS82" s="59">
        <f ca="1">SUMPRODUCT($DK82:$ES82,'General Inputs'!$F$33:$AN$33,'General Inputs'!$F$51:$AN$51)/(1-Loss_ElectricDemand)</f>
        <v>1111.9769347209988</v>
      </c>
      <c r="AT82" s="59">
        <f ca="1">SUMPRODUCT($EU82:$GC82,'General Inputs'!$F$34:$AN$34,'General Inputs'!$F$51:$AN$51)/(1-Loss_GasEnergy)</f>
        <v>0</v>
      </c>
      <c r="AU82" s="59">
        <f ca="1">INDEX('General Inputs'!$F$51:$AN$51,MATCH($H82,'General Inputs'!$F$50:$AN$50,0))*$AJ82</f>
        <v>0</v>
      </c>
      <c r="AV82" s="59">
        <f ca="1">INDEX('General Inputs'!$F$51:$AN$51,MATCH($H82,'General Inputs'!$F$50:$AN$50,0))*$AI82</f>
        <v>2475</v>
      </c>
      <c r="AW82" s="59">
        <f ca="1">INDEX('General Inputs'!$F$51:$AN$51,MATCH($H82,'General Inputs'!$F$50:$AN$50,0))*$AM82</f>
        <v>0</v>
      </c>
      <c r="AX82" s="59">
        <f ca="1">SUM(INDEX('General Inputs'!$F$51:$AN$51,MATCH($H82,'General Inputs'!$F$50:$AN$50,0))*$AG82,INDEX('General Inputs'!$F$51:$AN$51,MATCH($H82+$AL82,'General Inputs'!$F$50:$AN$50,0))*-$AH82)</f>
        <v>4500</v>
      </c>
      <c r="AY82" s="55"/>
      <c r="AZ82" s="59">
        <f ca="1">SUMPRODUCT($CA82:$DI82,'General Inputs'!$F$32:$AN$32,'General Inputs'!$F$52:$AN$52)/(1-Loss_ElectricEnergy)</f>
        <v>5830.6118784453738</v>
      </c>
      <c r="BA82" s="59">
        <f ca="1">SUMPRODUCT($DK82:$ES82,'General Inputs'!$F$33:$AN$33,'General Inputs'!$F$52:$AN$52)/(1-Loss_ElectricDemand)</f>
        <v>1111.9769347209988</v>
      </c>
      <c r="BB82" s="59">
        <f ca="1">SUMPRODUCT($EU82:$GC82,'General Inputs'!$F$34:$AN$34,'General Inputs'!$F$52:$AN$52)/(1-Loss_GasEnergy)</f>
        <v>0</v>
      </c>
      <c r="BC82" s="59">
        <f ca="1">INDEX('General Inputs'!$F$52:$AN$52,MATCH($H82,'General Inputs'!$F$50:$AN$50,0))*$AI82</f>
        <v>2475</v>
      </c>
      <c r="BD82" s="59">
        <f ca="1">INDEX('General Inputs'!$F$52:$AN$52,MATCH($H82,'General Inputs'!$F$50:$AN$50,0))*$AM82</f>
        <v>0</v>
      </c>
      <c r="BE82" s="55"/>
      <c r="BF82" s="59">
        <f ca="1">SUMPRODUCT($CA82:$DI82,OFFSET('General Inputs'!$F$40:$AN$40,MATCH($D82&amp;" Electric ($/kWh)",'General Inputs'!$E$40:$E$46,0),),'General Inputs'!$F$54:$AN$54)</f>
        <v>0</v>
      </c>
      <c r="BG82" s="59">
        <f ca="1">SUMPRODUCT($EU82:$GC82,OFFSET('General Inputs'!$F$40:$AN$40,MATCH($D82&amp;" Natural Gas ($/therm)",'General Inputs'!$E$40:$E$46,0),),'General Inputs'!$F$54:$AN$54)</f>
        <v>0</v>
      </c>
      <c r="BH82" s="59">
        <f ca="1">INDEX('General Inputs'!$F$54:$AN$54,MATCH($H82,'General Inputs'!$F$50:$AN$50,0))*$AI82</f>
        <v>2475</v>
      </c>
      <c r="BI82" s="59">
        <f ca="1">SUM(INDEX('General Inputs'!$F$54:$AN$54,MATCH($H82,'General Inputs'!$F$50:$AN$50,0))*$AG82,INDEX('General Inputs'!$F$51:$AN$51,MATCH($H82+$AL82,'General Inputs'!$F$50:$AN$50,0))*-$AH82)</f>
        <v>4500</v>
      </c>
      <c r="BJ82" s="55"/>
      <c r="BK82" s="59">
        <f ca="1">SUMPRODUCT($CA82:$DI82,'General Inputs'!$F$32:$AN$32,'General Inputs'!$F$53:$AN$53)/(1-Loss_ElectricEnergy)</f>
        <v>5830.6118784453738</v>
      </c>
      <c r="BL82" s="59">
        <f ca="1">SUMPRODUCT($DK82:$ES82,'General Inputs'!$F$33:$AN$33,'General Inputs'!$F$53:$AN$53)/(1-Loss_ElectricDemand)</f>
        <v>1111.9769347209988</v>
      </c>
      <c r="BM82" s="59">
        <f ca="1">SUMPRODUCT($EU82:$GC82,'General Inputs'!$F$34:$AN$34,'General Inputs'!$F$53:$AN$53)/(1-Loss_GasEnergy)</f>
        <v>0</v>
      </c>
      <c r="BN82" s="59">
        <f ca="1">INDEX('General Inputs'!$F$53:$AN$53,MATCH($H82,'General Inputs'!$F$50:$AN$50,0))*$AJ82</f>
        <v>0</v>
      </c>
      <c r="BO82" s="59">
        <f ca="1">SUMPRODUCT($CA82:$DI82,'General Inputs'!$F$35:$AN$35,'General Inputs'!$F$53:$AN$53)/(1-Loss_ElectricEnergy)</f>
        <v>2224.0513148963842</v>
      </c>
      <c r="BP82" s="59">
        <f ca="1">INDEX('General Inputs'!$F$51:$AN$51,MATCH($H82,'General Inputs'!$F$50:$AN$50,0))*$AM82</f>
        <v>0</v>
      </c>
      <c r="BQ82" s="59">
        <f ca="1">SUM(INDEX('General Inputs'!$F$53:$AN$53,MATCH($H82,'General Inputs'!$F$50:$AN$50,0))*$AG82,INDEX('General Inputs'!$F$53:$AN$53,MATCH($H82+$AL82,'General Inputs'!$F$50:$AN$50,0))*-$AH82)</f>
        <v>4500</v>
      </c>
      <c r="BR82" s="55"/>
      <c r="BS82" s="59">
        <f ca="1">SUMPRODUCT($CA82:$DI82,'General Inputs'!$F$32:$AN$32,'General Inputs'!$F$55:$AN$55)/(1-Loss_ElectricEnergy)</f>
        <v>5830.6118784453738</v>
      </c>
      <c r="BT82" s="59">
        <f ca="1">SUMPRODUCT($DK82:$ES82,'General Inputs'!$F$33:$AN$33,'General Inputs'!$F$55:$AN$55)/(1-Loss_ElectricDemand)</f>
        <v>1111.9769347209988</v>
      </c>
      <c r="BU82" s="59">
        <f ca="1">SUMPRODUCT($EU82:$GC82,'General Inputs'!$F$34:$AN$34,'General Inputs'!$F$55:$AN$55)/(1-Loss_GasEnergy)</f>
        <v>0</v>
      </c>
      <c r="BV82" s="59">
        <f ca="1">SUMPRODUCT($CA82:$DI82,OFFSET('General Inputs'!$F$40:$AN$40,MATCH($D82&amp;" Electric ($/kWh)",'General Inputs'!$E$40:$E$46,0),),'General Inputs'!$F$55:$AN$55)</f>
        <v>0</v>
      </c>
      <c r="BW82" s="59">
        <f ca="1">SUMPRODUCT($EU82:$GC82,OFFSET('General Inputs'!$F$40:$AN$40,MATCH($D82&amp;" Natural Gas ($/therm)",'General Inputs'!$E$40:$E$46,0),),'General Inputs'!$F$55:$AN$55)</f>
        <v>0</v>
      </c>
      <c r="BX82" s="59">
        <f ca="1">INDEX('General Inputs'!$F$55:$AN$55,MATCH($H82,'General Inputs'!$F$50:$AN$50,0))*$AI82</f>
        <v>2475</v>
      </c>
      <c r="BY82" s="59">
        <f ca="1">INDEX('General Inputs'!$F$51:$AN$51,MATCH($H82,'General Inputs'!$F$50:$AN$50,0))*$AM82</f>
        <v>0</v>
      </c>
      <c r="BZ82" s="55"/>
      <c r="CA82" s="88">
        <f t="shared" ca="1" si="278"/>
        <v>20992.252949999998</v>
      </c>
      <c r="CB82" s="88">
        <f t="shared" ca="1" si="278"/>
        <v>20992.252949999998</v>
      </c>
      <c r="CC82" s="88">
        <f t="shared" ca="1" si="278"/>
        <v>20992.252949999998</v>
      </c>
      <c r="CD82" s="88">
        <f t="shared" ca="1" si="278"/>
        <v>20992.252949999998</v>
      </c>
      <c r="CE82" s="88">
        <f t="shared" ca="1" si="278"/>
        <v>20992.252949999998</v>
      </c>
      <c r="CF82" s="88">
        <f t="shared" ca="1" si="278"/>
        <v>20992.252949999998</v>
      </c>
      <c r="CG82" s="88">
        <f t="shared" ca="1" si="278"/>
        <v>20992.252949999998</v>
      </c>
      <c r="CH82" s="88">
        <f t="shared" ca="1" si="278"/>
        <v>20992.252949999998</v>
      </c>
      <c r="CI82" s="88">
        <f t="shared" ca="1" si="278"/>
        <v>20992.252949999998</v>
      </c>
      <c r="CJ82" s="88">
        <f t="shared" ca="1" si="278"/>
        <v>20992.252949999998</v>
      </c>
      <c r="CK82" s="88">
        <f t="shared" ca="1" si="279"/>
        <v>20992.252949999998</v>
      </c>
      <c r="CL82" s="88">
        <f t="shared" ca="1" si="279"/>
        <v>20992.252949999998</v>
      </c>
      <c r="CM82" s="88">
        <f t="shared" ca="1" si="279"/>
        <v>20992.252949999998</v>
      </c>
      <c r="CN82" s="88">
        <f t="shared" ca="1" si="279"/>
        <v>20992.252949999998</v>
      </c>
      <c r="CO82" s="88">
        <f t="shared" ca="1" si="279"/>
        <v>20992.252949999998</v>
      </c>
      <c r="CP82" s="88">
        <f t="shared" ca="1" si="279"/>
        <v>0</v>
      </c>
      <c r="CQ82" s="88">
        <f t="shared" ca="1" si="279"/>
        <v>0</v>
      </c>
      <c r="CR82" s="88">
        <f t="shared" ca="1" si="279"/>
        <v>0</v>
      </c>
      <c r="CS82" s="88">
        <f t="shared" ca="1" si="279"/>
        <v>0</v>
      </c>
      <c r="CT82" s="88">
        <f t="shared" ca="1" si="279"/>
        <v>0</v>
      </c>
      <c r="CU82" s="88">
        <f t="shared" ca="1" si="280"/>
        <v>0</v>
      </c>
      <c r="CV82" s="88">
        <f t="shared" ca="1" si="280"/>
        <v>0</v>
      </c>
      <c r="CW82" s="88">
        <f t="shared" ca="1" si="280"/>
        <v>0</v>
      </c>
      <c r="CX82" s="88">
        <f t="shared" ca="1" si="280"/>
        <v>0</v>
      </c>
      <c r="CY82" s="88">
        <f t="shared" ca="1" si="280"/>
        <v>0</v>
      </c>
      <c r="CZ82" s="88">
        <f t="shared" ca="1" si="280"/>
        <v>0</v>
      </c>
      <c r="DA82" s="88">
        <f t="shared" ca="1" si="280"/>
        <v>0</v>
      </c>
      <c r="DB82" s="88">
        <f t="shared" ca="1" si="280"/>
        <v>0</v>
      </c>
      <c r="DC82" s="88">
        <f t="shared" ca="1" si="280"/>
        <v>0</v>
      </c>
      <c r="DD82" s="88">
        <f t="shared" ca="1" si="280"/>
        <v>0</v>
      </c>
      <c r="DE82" s="88">
        <f t="shared" ca="1" si="280"/>
        <v>0</v>
      </c>
      <c r="DF82" s="88">
        <f t="shared" ca="1" si="280"/>
        <v>0</v>
      </c>
      <c r="DG82" s="88">
        <f t="shared" ca="1" si="280"/>
        <v>0</v>
      </c>
      <c r="DH82" s="88">
        <f t="shared" ca="1" si="280"/>
        <v>0</v>
      </c>
      <c r="DI82" s="88">
        <f t="shared" ca="1" si="280"/>
        <v>0</v>
      </c>
      <c r="DJ82" s="169"/>
      <c r="DK82" s="88">
        <f t="shared" ca="1" si="281"/>
        <v>5.5660500000000006</v>
      </c>
      <c r="DL82" s="88">
        <f t="shared" ca="1" si="281"/>
        <v>5.5660500000000006</v>
      </c>
      <c r="DM82" s="88">
        <f t="shared" ca="1" si="281"/>
        <v>5.5660500000000006</v>
      </c>
      <c r="DN82" s="88">
        <f t="shared" ca="1" si="281"/>
        <v>5.5660500000000006</v>
      </c>
      <c r="DO82" s="88">
        <f t="shared" ca="1" si="281"/>
        <v>5.5660500000000006</v>
      </c>
      <c r="DP82" s="88">
        <f t="shared" ca="1" si="281"/>
        <v>5.5660500000000006</v>
      </c>
      <c r="DQ82" s="88">
        <f t="shared" ca="1" si="281"/>
        <v>5.5660500000000006</v>
      </c>
      <c r="DR82" s="88">
        <f t="shared" ca="1" si="281"/>
        <v>5.5660500000000006</v>
      </c>
      <c r="DS82" s="88">
        <f t="shared" ca="1" si="281"/>
        <v>5.5660500000000006</v>
      </c>
      <c r="DT82" s="88">
        <f t="shared" ca="1" si="281"/>
        <v>5.5660500000000006</v>
      </c>
      <c r="DU82" s="88">
        <f t="shared" ca="1" si="282"/>
        <v>5.5660500000000006</v>
      </c>
      <c r="DV82" s="88">
        <f t="shared" ca="1" si="282"/>
        <v>5.5660500000000006</v>
      </c>
      <c r="DW82" s="88">
        <f t="shared" ca="1" si="282"/>
        <v>5.5660500000000006</v>
      </c>
      <c r="DX82" s="88">
        <f t="shared" ca="1" si="282"/>
        <v>5.5660500000000006</v>
      </c>
      <c r="DY82" s="88">
        <f t="shared" ca="1" si="282"/>
        <v>5.5660500000000006</v>
      </c>
      <c r="DZ82" s="88">
        <f t="shared" ca="1" si="282"/>
        <v>0</v>
      </c>
      <c r="EA82" s="88">
        <f t="shared" ca="1" si="282"/>
        <v>0</v>
      </c>
      <c r="EB82" s="88">
        <f t="shared" ca="1" si="282"/>
        <v>0</v>
      </c>
      <c r="EC82" s="88">
        <f t="shared" ca="1" si="282"/>
        <v>0</v>
      </c>
      <c r="ED82" s="88">
        <f t="shared" ca="1" si="282"/>
        <v>0</v>
      </c>
      <c r="EE82" s="88">
        <f t="shared" ca="1" si="283"/>
        <v>0</v>
      </c>
      <c r="EF82" s="88">
        <f t="shared" ca="1" si="283"/>
        <v>0</v>
      </c>
      <c r="EG82" s="88">
        <f t="shared" ca="1" si="283"/>
        <v>0</v>
      </c>
      <c r="EH82" s="88">
        <f t="shared" ca="1" si="283"/>
        <v>0</v>
      </c>
      <c r="EI82" s="88">
        <f t="shared" ca="1" si="283"/>
        <v>0</v>
      </c>
      <c r="EJ82" s="88">
        <f t="shared" ca="1" si="283"/>
        <v>0</v>
      </c>
      <c r="EK82" s="88">
        <f t="shared" ca="1" si="283"/>
        <v>0</v>
      </c>
      <c r="EL82" s="88">
        <f t="shared" ca="1" si="283"/>
        <v>0</v>
      </c>
      <c r="EM82" s="88">
        <f t="shared" ca="1" si="283"/>
        <v>0</v>
      </c>
      <c r="EN82" s="88">
        <f t="shared" ca="1" si="283"/>
        <v>0</v>
      </c>
      <c r="EO82" s="88">
        <f t="shared" ca="1" si="283"/>
        <v>0</v>
      </c>
      <c r="EP82" s="88">
        <f t="shared" ca="1" si="283"/>
        <v>0</v>
      </c>
      <c r="EQ82" s="88">
        <f t="shared" ca="1" si="283"/>
        <v>0</v>
      </c>
      <c r="ER82" s="88">
        <f t="shared" ca="1" si="283"/>
        <v>0</v>
      </c>
      <c r="ES82" s="88">
        <f t="shared" ca="1" si="283"/>
        <v>0</v>
      </c>
      <c r="ET82" s="169"/>
      <c r="EU82" s="88">
        <f t="shared" ca="1" si="284"/>
        <v>0</v>
      </c>
      <c r="EV82" s="88">
        <f t="shared" ca="1" si="284"/>
        <v>0</v>
      </c>
      <c r="EW82" s="88">
        <f t="shared" ca="1" si="284"/>
        <v>0</v>
      </c>
      <c r="EX82" s="88">
        <f t="shared" ca="1" si="284"/>
        <v>0</v>
      </c>
      <c r="EY82" s="88">
        <f t="shared" ca="1" si="284"/>
        <v>0</v>
      </c>
      <c r="EZ82" s="88">
        <f t="shared" ca="1" si="284"/>
        <v>0</v>
      </c>
      <c r="FA82" s="88">
        <f t="shared" ca="1" si="284"/>
        <v>0</v>
      </c>
      <c r="FB82" s="88">
        <f t="shared" ca="1" si="284"/>
        <v>0</v>
      </c>
      <c r="FC82" s="88">
        <f t="shared" ca="1" si="284"/>
        <v>0</v>
      </c>
      <c r="FD82" s="88">
        <f t="shared" ca="1" si="284"/>
        <v>0</v>
      </c>
      <c r="FE82" s="88">
        <f t="shared" ca="1" si="285"/>
        <v>0</v>
      </c>
      <c r="FF82" s="88">
        <f t="shared" ca="1" si="285"/>
        <v>0</v>
      </c>
      <c r="FG82" s="88">
        <f t="shared" ca="1" si="285"/>
        <v>0</v>
      </c>
      <c r="FH82" s="88">
        <f t="shared" ca="1" si="285"/>
        <v>0</v>
      </c>
      <c r="FI82" s="88">
        <f t="shared" ca="1" si="285"/>
        <v>0</v>
      </c>
      <c r="FJ82" s="88">
        <f t="shared" ca="1" si="285"/>
        <v>0</v>
      </c>
      <c r="FK82" s="88">
        <f t="shared" ca="1" si="285"/>
        <v>0</v>
      </c>
      <c r="FL82" s="88">
        <f t="shared" ca="1" si="285"/>
        <v>0</v>
      </c>
      <c r="FM82" s="88">
        <f t="shared" ca="1" si="285"/>
        <v>0</v>
      </c>
      <c r="FN82" s="88">
        <f t="shared" ca="1" si="285"/>
        <v>0</v>
      </c>
      <c r="FO82" s="88">
        <f t="shared" ca="1" si="286"/>
        <v>0</v>
      </c>
      <c r="FP82" s="88">
        <f t="shared" ca="1" si="286"/>
        <v>0</v>
      </c>
      <c r="FQ82" s="88">
        <f t="shared" ca="1" si="286"/>
        <v>0</v>
      </c>
      <c r="FR82" s="88">
        <f t="shared" ca="1" si="286"/>
        <v>0</v>
      </c>
      <c r="FS82" s="88">
        <f t="shared" ca="1" si="286"/>
        <v>0</v>
      </c>
      <c r="FT82" s="88">
        <f t="shared" ca="1" si="286"/>
        <v>0</v>
      </c>
      <c r="FU82" s="88">
        <f t="shared" ca="1" si="286"/>
        <v>0</v>
      </c>
      <c r="FV82" s="88">
        <f t="shared" ca="1" si="286"/>
        <v>0</v>
      </c>
      <c r="FW82" s="88">
        <f t="shared" ca="1" si="286"/>
        <v>0</v>
      </c>
      <c r="FX82" s="88">
        <f t="shared" ca="1" si="286"/>
        <v>0</v>
      </c>
      <c r="FY82" s="88">
        <f t="shared" ca="1" si="286"/>
        <v>0</v>
      </c>
      <c r="FZ82" s="88">
        <f t="shared" ca="1" si="286"/>
        <v>0</v>
      </c>
      <c r="GA82" s="88">
        <f t="shared" ca="1" si="286"/>
        <v>0</v>
      </c>
      <c r="GB82" s="88">
        <f t="shared" ca="1" si="286"/>
        <v>0</v>
      </c>
      <c r="GC82" s="88">
        <f t="shared" ca="1" si="286"/>
        <v>0</v>
      </c>
      <c r="GD82" s="60"/>
    </row>
    <row r="83" spans="1:186" s="54" customFormat="1" ht="14.45" customHeight="1">
      <c r="A83" s="61"/>
      <c r="B83" s="100" t="str">
        <f t="shared" si="277"/>
        <v>C&amp;I_C&amp;I Prescriptive_0_High Bay Fluorescent Fixture w/ HE Electronic Ballast (T5 4-6 lamp)_2017</v>
      </c>
      <c r="C83" s="100">
        <f>INDEX('Measure Inputs'!$D:$D,MATCH($B83,'Measure Inputs'!$B:$B,0))</f>
        <v>35</v>
      </c>
      <c r="D83" s="101" t="s">
        <v>256</v>
      </c>
      <c r="E83" s="101" t="s">
        <v>255</v>
      </c>
      <c r="F83" s="101">
        <v>0</v>
      </c>
      <c r="G83" s="101" t="s">
        <v>272</v>
      </c>
      <c r="H83" s="101">
        <v>2017</v>
      </c>
      <c r="I83" s="55"/>
      <c r="J83" s="58">
        <f t="shared" ca="1" si="229"/>
        <v>2.1366916108383003</v>
      </c>
      <c r="K83" s="58">
        <f t="shared" ca="1" si="246"/>
        <v>3.5611526847305002</v>
      </c>
      <c r="L83" s="58">
        <f t="shared" ca="1" si="230"/>
        <v>0.6</v>
      </c>
      <c r="M83" s="58">
        <f t="shared" ca="1" si="231"/>
        <v>2.8211786105005561</v>
      </c>
      <c r="N83" s="58">
        <f t="shared" ca="1" si="232"/>
        <v>3.5611526847305002</v>
      </c>
      <c r="O83" s="55"/>
      <c r="P83" s="175">
        <f ca="1">IFERROR(($AW83+AV83)/SUMPRODUCT($CA83:$DI83,'General Inputs'!$F$51:$AN$51),"n/a")</f>
        <v>1.048571373300794E-2</v>
      </c>
      <c r="Q83" s="175">
        <f t="shared" ca="1" si="233"/>
        <v>9.2869220189664467E-2</v>
      </c>
      <c r="R83" s="56">
        <f t="shared" ca="1" si="260"/>
        <v>545.12140724999995</v>
      </c>
      <c r="S83" s="55"/>
      <c r="T83" s="56">
        <f ca="1">INDEX(OFFSET('Measure Inputs'!$L$7,,,InputRows),$C83)</f>
        <v>45</v>
      </c>
      <c r="U83" s="134">
        <f ca="1">INDEX(OFFSET('Measure Inputs'!$T$7,,,InputRows),$C83)</f>
        <v>1</v>
      </c>
      <c r="V83" s="134">
        <f ca="1">INDEX(OFFSET('Measure Inputs'!$U$7,,,InputRows),$C83)</f>
        <v>1</v>
      </c>
      <c r="W83" s="55"/>
      <c r="X83" s="96">
        <f ca="1">INDEX(OFFSET('Measure Inputs'!$V$7,,,InputRows),$C83)*$T83*$V83*$U83</f>
        <v>36341.427149999996</v>
      </c>
      <c r="Y83" s="96">
        <f ca="1">INDEX(OFFSET('Measure Inputs'!$W$7,,,InputRows),$C83)*$T83*$V83*$U83</f>
        <v>9.6358500000000014</v>
      </c>
      <c r="Z83" s="96">
        <f ca="1">INDEX(OFFSET('Measure Inputs'!$X$7,,,InputRows),$C83)*$T83*$V83*$U83</f>
        <v>0</v>
      </c>
      <c r="AA83" s="55"/>
      <c r="AB83" s="96">
        <f ca="1">INDEX(OFFSET('Measure Inputs'!$Z$7,,,InputRows),$C83)*$T83*$V83*$U83</f>
        <v>0</v>
      </c>
      <c r="AC83" s="96">
        <f ca="1">INDEX(OFFSET('Measure Inputs'!$AA$7,,,InputRows),$C83)*$T83*$V83*$U83</f>
        <v>0</v>
      </c>
      <c r="AD83" s="96">
        <f ca="1">INDEX(OFFSET('Measure Inputs'!$AB$7,,,InputRows),$C83)*$T83*$V83*$U83</f>
        <v>0</v>
      </c>
      <c r="AE83" s="55"/>
      <c r="AF83" s="57">
        <f ca="1">INDEX(OFFSET('Measure Inputs'!$Q$7,,,InputRows),$C83)*$T83</f>
        <v>0</v>
      </c>
      <c r="AG83" s="57">
        <f ca="1">INDEX(OFFSET('Measure Inputs'!$P$7,,,InputRows),$C83)*$T83*$V83</f>
        <v>5625</v>
      </c>
      <c r="AH83" s="57">
        <f ca="1">INDEX(OFFSET('Measure Inputs'!$R$7,,,InputRows),$C83)*$T83*$V83</f>
        <v>0</v>
      </c>
      <c r="AI83" s="57">
        <f ca="1">INDEX(OFFSET('Measure Inputs'!$O$7,,,InputRows),$C83)*$T83</f>
        <v>3375</v>
      </c>
      <c r="AJ83" s="57">
        <f ca="1">INDEX(OFFSET('Measure Inputs'!$S$7,,,InputRows),$C83)*$T83</f>
        <v>0</v>
      </c>
      <c r="AK83" s="63">
        <f ca="1">INDEX(OFFSET('Measure Inputs'!$M$7,,,InputRows),$C83)</f>
        <v>15</v>
      </c>
      <c r="AL83" s="88">
        <f ca="1">INDEX(OFFSET('Measure Inputs'!$N$7,,,InputRows),$C83)</f>
        <v>0</v>
      </c>
      <c r="AM83" s="57">
        <f ca="1">SUMIFS(OFFSET('Program Inputs'!$N$5,,,TotalPrograms),OFFSET('Program Inputs'!$B$5,,,TotalPrograms),SUBSTITUTE($B83,"All","*"))+AF83</f>
        <v>0</v>
      </c>
      <c r="AN83" s="57">
        <f t="shared" ca="1" si="261"/>
        <v>3375</v>
      </c>
      <c r="AO83" s="55"/>
      <c r="AP83" s="59">
        <f t="shared" ca="1" si="262"/>
        <v>12018.890310965438</v>
      </c>
      <c r="AQ83" s="59">
        <f t="shared" ca="1" si="263"/>
        <v>5625</v>
      </c>
      <c r="AR83" s="59">
        <f ca="1">SUMPRODUCT($CA83:$DI83,'General Inputs'!$F$32:$AN$32,'General Inputs'!$F$51:$AN$51)/(1-Loss_ElectricEnergy)</f>
        <v>10093.85497236242</v>
      </c>
      <c r="AS83" s="59">
        <f ca="1">SUMPRODUCT($DK83:$ES83,'General Inputs'!$F$33:$AN$33,'General Inputs'!$F$51:$AN$51)/(1-Loss_ElectricDemand)</f>
        <v>1925.035338603019</v>
      </c>
      <c r="AT83" s="59">
        <f ca="1">SUMPRODUCT($EU83:$GC83,'General Inputs'!$F$34:$AN$34,'General Inputs'!$F$51:$AN$51)/(1-Loss_GasEnergy)</f>
        <v>0</v>
      </c>
      <c r="AU83" s="59">
        <f ca="1">INDEX('General Inputs'!$F$51:$AN$51,MATCH($H83,'General Inputs'!$F$50:$AN$50,0))*$AJ83</f>
        <v>0</v>
      </c>
      <c r="AV83" s="59">
        <f ca="1">INDEX('General Inputs'!$F$51:$AN$51,MATCH($H83,'General Inputs'!$F$50:$AN$50,0))*$AI83</f>
        <v>3375</v>
      </c>
      <c r="AW83" s="59">
        <f ca="1">INDEX('General Inputs'!$F$51:$AN$51,MATCH($H83,'General Inputs'!$F$50:$AN$50,0))*$AM83</f>
        <v>0</v>
      </c>
      <c r="AX83" s="59">
        <f ca="1">SUM(INDEX('General Inputs'!$F$51:$AN$51,MATCH($H83,'General Inputs'!$F$50:$AN$50,0))*$AG83,INDEX('General Inputs'!$F$51:$AN$51,MATCH($H83+$AL83,'General Inputs'!$F$50:$AN$50,0))*-$AH83)</f>
        <v>5625</v>
      </c>
      <c r="AY83" s="55"/>
      <c r="AZ83" s="59">
        <f ca="1">SUMPRODUCT($CA83:$DI83,'General Inputs'!$F$32:$AN$32,'General Inputs'!$F$52:$AN$52)/(1-Loss_ElectricEnergy)</f>
        <v>10093.85497236242</v>
      </c>
      <c r="BA83" s="59">
        <f ca="1">SUMPRODUCT($DK83:$ES83,'General Inputs'!$F$33:$AN$33,'General Inputs'!$F$52:$AN$52)/(1-Loss_ElectricDemand)</f>
        <v>1925.035338603019</v>
      </c>
      <c r="BB83" s="59">
        <f ca="1">SUMPRODUCT($EU83:$GC83,'General Inputs'!$F$34:$AN$34,'General Inputs'!$F$52:$AN$52)/(1-Loss_GasEnergy)</f>
        <v>0</v>
      </c>
      <c r="BC83" s="59">
        <f ca="1">INDEX('General Inputs'!$F$52:$AN$52,MATCH($H83,'General Inputs'!$F$50:$AN$50,0))*$AI83</f>
        <v>3375</v>
      </c>
      <c r="BD83" s="59">
        <f ca="1">INDEX('General Inputs'!$F$52:$AN$52,MATCH($H83,'General Inputs'!$F$50:$AN$50,0))*$AM83</f>
        <v>0</v>
      </c>
      <c r="BE83" s="55"/>
      <c r="BF83" s="59">
        <f ca="1">SUMPRODUCT($CA83:$DI83,OFFSET('General Inputs'!$F$40:$AN$40,MATCH($D83&amp;" Electric ($/kWh)",'General Inputs'!$E$40:$E$46,0),),'General Inputs'!$F$54:$AN$54)</f>
        <v>0</v>
      </c>
      <c r="BG83" s="59">
        <f ca="1">SUMPRODUCT($EU83:$GC83,OFFSET('General Inputs'!$F$40:$AN$40,MATCH($D83&amp;" Natural Gas ($/therm)",'General Inputs'!$E$40:$E$46,0),),'General Inputs'!$F$54:$AN$54)</f>
        <v>0</v>
      </c>
      <c r="BH83" s="59">
        <f ca="1">INDEX('General Inputs'!$F$54:$AN$54,MATCH($H83,'General Inputs'!$F$50:$AN$50,0))*$AI83</f>
        <v>3375</v>
      </c>
      <c r="BI83" s="59">
        <f ca="1">SUM(INDEX('General Inputs'!$F$54:$AN$54,MATCH($H83,'General Inputs'!$F$50:$AN$50,0))*$AG83,INDEX('General Inputs'!$F$51:$AN$51,MATCH($H83+$AL83,'General Inputs'!$F$50:$AN$50,0))*-$AH83)</f>
        <v>5625</v>
      </c>
      <c r="BJ83" s="55"/>
      <c r="BK83" s="59">
        <f ca="1">SUMPRODUCT($CA83:$DI83,'General Inputs'!$F$32:$AN$32,'General Inputs'!$F$53:$AN$53)/(1-Loss_ElectricEnergy)</f>
        <v>10093.85497236242</v>
      </c>
      <c r="BL83" s="59">
        <f ca="1">SUMPRODUCT($DK83:$ES83,'General Inputs'!$F$33:$AN$33,'General Inputs'!$F$53:$AN$53)/(1-Loss_ElectricDemand)</f>
        <v>1925.035338603019</v>
      </c>
      <c r="BM83" s="59">
        <f ca="1">SUMPRODUCT($EU83:$GC83,'General Inputs'!$F$34:$AN$34,'General Inputs'!$F$53:$AN$53)/(1-Loss_GasEnergy)</f>
        <v>0</v>
      </c>
      <c r="BN83" s="59">
        <f ca="1">INDEX('General Inputs'!$F$53:$AN$53,MATCH($H83,'General Inputs'!$F$50:$AN$50,0))*$AJ83</f>
        <v>0</v>
      </c>
      <c r="BO83" s="59">
        <f ca="1">SUMPRODUCT($CA83:$DI83,'General Inputs'!$F$35:$AN$35,'General Inputs'!$F$53:$AN$53)/(1-Loss_ElectricEnergy)</f>
        <v>3850.2393731001912</v>
      </c>
      <c r="BP83" s="59">
        <f ca="1">INDEX('General Inputs'!$F$51:$AN$51,MATCH($H83,'General Inputs'!$F$50:$AN$50,0))*$AM83</f>
        <v>0</v>
      </c>
      <c r="BQ83" s="59">
        <f ca="1">SUM(INDEX('General Inputs'!$F$53:$AN$53,MATCH($H83,'General Inputs'!$F$50:$AN$50,0))*$AG83,INDEX('General Inputs'!$F$53:$AN$53,MATCH($H83+$AL83,'General Inputs'!$F$50:$AN$50,0))*-$AH83)</f>
        <v>5625</v>
      </c>
      <c r="BR83" s="55"/>
      <c r="BS83" s="59">
        <f ca="1">SUMPRODUCT($CA83:$DI83,'General Inputs'!$F$32:$AN$32,'General Inputs'!$F$55:$AN$55)/(1-Loss_ElectricEnergy)</f>
        <v>10093.85497236242</v>
      </c>
      <c r="BT83" s="59">
        <f ca="1">SUMPRODUCT($DK83:$ES83,'General Inputs'!$F$33:$AN$33,'General Inputs'!$F$55:$AN$55)/(1-Loss_ElectricDemand)</f>
        <v>1925.035338603019</v>
      </c>
      <c r="BU83" s="59">
        <f ca="1">SUMPRODUCT($EU83:$GC83,'General Inputs'!$F$34:$AN$34,'General Inputs'!$F$55:$AN$55)/(1-Loss_GasEnergy)</f>
        <v>0</v>
      </c>
      <c r="BV83" s="59">
        <f ca="1">SUMPRODUCT($CA83:$DI83,OFFSET('General Inputs'!$F$40:$AN$40,MATCH($D83&amp;" Electric ($/kWh)",'General Inputs'!$E$40:$E$46,0),),'General Inputs'!$F$55:$AN$55)</f>
        <v>0</v>
      </c>
      <c r="BW83" s="59">
        <f ca="1">SUMPRODUCT($EU83:$GC83,OFFSET('General Inputs'!$F$40:$AN$40,MATCH($D83&amp;" Natural Gas ($/therm)",'General Inputs'!$E$40:$E$46,0),),'General Inputs'!$F$55:$AN$55)</f>
        <v>0</v>
      </c>
      <c r="BX83" s="59">
        <f ca="1">INDEX('General Inputs'!$F$55:$AN$55,MATCH($H83,'General Inputs'!$F$50:$AN$50,0))*$AI83</f>
        <v>3375</v>
      </c>
      <c r="BY83" s="59">
        <f ca="1">INDEX('General Inputs'!$F$51:$AN$51,MATCH($H83,'General Inputs'!$F$50:$AN$50,0))*$AM83</f>
        <v>0</v>
      </c>
      <c r="BZ83" s="55"/>
      <c r="CA83" s="88">
        <f t="shared" ca="1" si="278"/>
        <v>36341.427149999996</v>
      </c>
      <c r="CB83" s="88">
        <f t="shared" ca="1" si="278"/>
        <v>36341.427149999996</v>
      </c>
      <c r="CC83" s="88">
        <f t="shared" ca="1" si="278"/>
        <v>36341.427149999996</v>
      </c>
      <c r="CD83" s="88">
        <f t="shared" ca="1" si="278"/>
        <v>36341.427149999996</v>
      </c>
      <c r="CE83" s="88">
        <f t="shared" ca="1" si="278"/>
        <v>36341.427149999996</v>
      </c>
      <c r="CF83" s="88">
        <f t="shared" ca="1" si="278"/>
        <v>36341.427149999996</v>
      </c>
      <c r="CG83" s="88">
        <f t="shared" ca="1" si="278"/>
        <v>36341.427149999996</v>
      </c>
      <c r="CH83" s="88">
        <f t="shared" ca="1" si="278"/>
        <v>36341.427149999996</v>
      </c>
      <c r="CI83" s="88">
        <f t="shared" ca="1" si="278"/>
        <v>36341.427149999996</v>
      </c>
      <c r="CJ83" s="88">
        <f t="shared" ca="1" si="278"/>
        <v>36341.427149999996</v>
      </c>
      <c r="CK83" s="88">
        <f t="shared" ca="1" si="279"/>
        <v>36341.427149999996</v>
      </c>
      <c r="CL83" s="88">
        <f t="shared" ca="1" si="279"/>
        <v>36341.427149999996</v>
      </c>
      <c r="CM83" s="88">
        <f t="shared" ca="1" si="279"/>
        <v>36341.427149999996</v>
      </c>
      <c r="CN83" s="88">
        <f t="shared" ca="1" si="279"/>
        <v>36341.427149999996</v>
      </c>
      <c r="CO83" s="88">
        <f t="shared" ca="1" si="279"/>
        <v>36341.427149999996</v>
      </c>
      <c r="CP83" s="88">
        <f t="shared" ca="1" si="279"/>
        <v>0</v>
      </c>
      <c r="CQ83" s="88">
        <f t="shared" ca="1" si="279"/>
        <v>0</v>
      </c>
      <c r="CR83" s="88">
        <f t="shared" ca="1" si="279"/>
        <v>0</v>
      </c>
      <c r="CS83" s="88">
        <f t="shared" ca="1" si="279"/>
        <v>0</v>
      </c>
      <c r="CT83" s="88">
        <f t="shared" ca="1" si="279"/>
        <v>0</v>
      </c>
      <c r="CU83" s="88">
        <f t="shared" ca="1" si="280"/>
        <v>0</v>
      </c>
      <c r="CV83" s="88">
        <f t="shared" ca="1" si="280"/>
        <v>0</v>
      </c>
      <c r="CW83" s="88">
        <f t="shared" ca="1" si="280"/>
        <v>0</v>
      </c>
      <c r="CX83" s="88">
        <f t="shared" ca="1" si="280"/>
        <v>0</v>
      </c>
      <c r="CY83" s="88">
        <f t="shared" ca="1" si="280"/>
        <v>0</v>
      </c>
      <c r="CZ83" s="88">
        <f t="shared" ca="1" si="280"/>
        <v>0</v>
      </c>
      <c r="DA83" s="88">
        <f t="shared" ca="1" si="280"/>
        <v>0</v>
      </c>
      <c r="DB83" s="88">
        <f t="shared" ca="1" si="280"/>
        <v>0</v>
      </c>
      <c r="DC83" s="88">
        <f t="shared" ca="1" si="280"/>
        <v>0</v>
      </c>
      <c r="DD83" s="88">
        <f t="shared" ca="1" si="280"/>
        <v>0</v>
      </c>
      <c r="DE83" s="88">
        <f t="shared" ca="1" si="280"/>
        <v>0</v>
      </c>
      <c r="DF83" s="88">
        <f t="shared" ca="1" si="280"/>
        <v>0</v>
      </c>
      <c r="DG83" s="88">
        <f t="shared" ca="1" si="280"/>
        <v>0</v>
      </c>
      <c r="DH83" s="88">
        <f t="shared" ca="1" si="280"/>
        <v>0</v>
      </c>
      <c r="DI83" s="88">
        <f t="shared" ca="1" si="280"/>
        <v>0</v>
      </c>
      <c r="DJ83" s="169"/>
      <c r="DK83" s="88">
        <f t="shared" ca="1" si="281"/>
        <v>9.6358500000000014</v>
      </c>
      <c r="DL83" s="88">
        <f t="shared" ca="1" si="281"/>
        <v>9.6358500000000014</v>
      </c>
      <c r="DM83" s="88">
        <f t="shared" ca="1" si="281"/>
        <v>9.6358500000000014</v>
      </c>
      <c r="DN83" s="88">
        <f t="shared" ca="1" si="281"/>
        <v>9.6358500000000014</v>
      </c>
      <c r="DO83" s="88">
        <f t="shared" ca="1" si="281"/>
        <v>9.6358500000000014</v>
      </c>
      <c r="DP83" s="88">
        <f t="shared" ca="1" si="281"/>
        <v>9.6358500000000014</v>
      </c>
      <c r="DQ83" s="88">
        <f t="shared" ca="1" si="281"/>
        <v>9.6358500000000014</v>
      </c>
      <c r="DR83" s="88">
        <f t="shared" ca="1" si="281"/>
        <v>9.6358500000000014</v>
      </c>
      <c r="DS83" s="88">
        <f t="shared" ca="1" si="281"/>
        <v>9.6358500000000014</v>
      </c>
      <c r="DT83" s="88">
        <f t="shared" ca="1" si="281"/>
        <v>9.6358500000000014</v>
      </c>
      <c r="DU83" s="88">
        <f t="shared" ca="1" si="282"/>
        <v>9.6358500000000014</v>
      </c>
      <c r="DV83" s="88">
        <f t="shared" ca="1" si="282"/>
        <v>9.6358500000000014</v>
      </c>
      <c r="DW83" s="88">
        <f t="shared" ca="1" si="282"/>
        <v>9.6358500000000014</v>
      </c>
      <c r="DX83" s="88">
        <f t="shared" ca="1" si="282"/>
        <v>9.6358500000000014</v>
      </c>
      <c r="DY83" s="88">
        <f t="shared" ca="1" si="282"/>
        <v>9.6358500000000014</v>
      </c>
      <c r="DZ83" s="88">
        <f t="shared" ca="1" si="282"/>
        <v>0</v>
      </c>
      <c r="EA83" s="88">
        <f t="shared" ca="1" si="282"/>
        <v>0</v>
      </c>
      <c r="EB83" s="88">
        <f t="shared" ca="1" si="282"/>
        <v>0</v>
      </c>
      <c r="EC83" s="88">
        <f t="shared" ca="1" si="282"/>
        <v>0</v>
      </c>
      <c r="ED83" s="88">
        <f t="shared" ca="1" si="282"/>
        <v>0</v>
      </c>
      <c r="EE83" s="88">
        <f t="shared" ca="1" si="283"/>
        <v>0</v>
      </c>
      <c r="EF83" s="88">
        <f t="shared" ca="1" si="283"/>
        <v>0</v>
      </c>
      <c r="EG83" s="88">
        <f t="shared" ca="1" si="283"/>
        <v>0</v>
      </c>
      <c r="EH83" s="88">
        <f t="shared" ca="1" si="283"/>
        <v>0</v>
      </c>
      <c r="EI83" s="88">
        <f t="shared" ca="1" si="283"/>
        <v>0</v>
      </c>
      <c r="EJ83" s="88">
        <f t="shared" ca="1" si="283"/>
        <v>0</v>
      </c>
      <c r="EK83" s="88">
        <f t="shared" ca="1" si="283"/>
        <v>0</v>
      </c>
      <c r="EL83" s="88">
        <f t="shared" ca="1" si="283"/>
        <v>0</v>
      </c>
      <c r="EM83" s="88">
        <f t="shared" ca="1" si="283"/>
        <v>0</v>
      </c>
      <c r="EN83" s="88">
        <f t="shared" ca="1" si="283"/>
        <v>0</v>
      </c>
      <c r="EO83" s="88">
        <f t="shared" ca="1" si="283"/>
        <v>0</v>
      </c>
      <c r="EP83" s="88">
        <f t="shared" ca="1" si="283"/>
        <v>0</v>
      </c>
      <c r="EQ83" s="88">
        <f t="shared" ca="1" si="283"/>
        <v>0</v>
      </c>
      <c r="ER83" s="88">
        <f t="shared" ca="1" si="283"/>
        <v>0</v>
      </c>
      <c r="ES83" s="88">
        <f t="shared" ca="1" si="283"/>
        <v>0</v>
      </c>
      <c r="ET83" s="169"/>
      <c r="EU83" s="88">
        <f t="shared" ca="1" si="284"/>
        <v>0</v>
      </c>
      <c r="EV83" s="88">
        <f t="shared" ca="1" si="284"/>
        <v>0</v>
      </c>
      <c r="EW83" s="88">
        <f t="shared" ca="1" si="284"/>
        <v>0</v>
      </c>
      <c r="EX83" s="88">
        <f t="shared" ca="1" si="284"/>
        <v>0</v>
      </c>
      <c r="EY83" s="88">
        <f t="shared" ca="1" si="284"/>
        <v>0</v>
      </c>
      <c r="EZ83" s="88">
        <f t="shared" ca="1" si="284"/>
        <v>0</v>
      </c>
      <c r="FA83" s="88">
        <f t="shared" ca="1" si="284"/>
        <v>0</v>
      </c>
      <c r="FB83" s="88">
        <f t="shared" ca="1" si="284"/>
        <v>0</v>
      </c>
      <c r="FC83" s="88">
        <f t="shared" ca="1" si="284"/>
        <v>0</v>
      </c>
      <c r="FD83" s="88">
        <f t="shared" ca="1" si="284"/>
        <v>0</v>
      </c>
      <c r="FE83" s="88">
        <f t="shared" ca="1" si="285"/>
        <v>0</v>
      </c>
      <c r="FF83" s="88">
        <f t="shared" ca="1" si="285"/>
        <v>0</v>
      </c>
      <c r="FG83" s="88">
        <f t="shared" ca="1" si="285"/>
        <v>0</v>
      </c>
      <c r="FH83" s="88">
        <f t="shared" ca="1" si="285"/>
        <v>0</v>
      </c>
      <c r="FI83" s="88">
        <f t="shared" ca="1" si="285"/>
        <v>0</v>
      </c>
      <c r="FJ83" s="88">
        <f t="shared" ca="1" si="285"/>
        <v>0</v>
      </c>
      <c r="FK83" s="88">
        <f t="shared" ca="1" si="285"/>
        <v>0</v>
      </c>
      <c r="FL83" s="88">
        <f t="shared" ca="1" si="285"/>
        <v>0</v>
      </c>
      <c r="FM83" s="88">
        <f t="shared" ca="1" si="285"/>
        <v>0</v>
      </c>
      <c r="FN83" s="88">
        <f t="shared" ca="1" si="285"/>
        <v>0</v>
      </c>
      <c r="FO83" s="88">
        <f t="shared" ca="1" si="286"/>
        <v>0</v>
      </c>
      <c r="FP83" s="88">
        <f t="shared" ca="1" si="286"/>
        <v>0</v>
      </c>
      <c r="FQ83" s="88">
        <f t="shared" ca="1" si="286"/>
        <v>0</v>
      </c>
      <c r="FR83" s="88">
        <f t="shared" ca="1" si="286"/>
        <v>0</v>
      </c>
      <c r="FS83" s="88">
        <f t="shared" ca="1" si="286"/>
        <v>0</v>
      </c>
      <c r="FT83" s="88">
        <f t="shared" ca="1" si="286"/>
        <v>0</v>
      </c>
      <c r="FU83" s="88">
        <f t="shared" ca="1" si="286"/>
        <v>0</v>
      </c>
      <c r="FV83" s="88">
        <f t="shared" ca="1" si="286"/>
        <v>0</v>
      </c>
      <c r="FW83" s="88">
        <f t="shared" ca="1" si="286"/>
        <v>0</v>
      </c>
      <c r="FX83" s="88">
        <f t="shared" ca="1" si="286"/>
        <v>0</v>
      </c>
      <c r="FY83" s="88">
        <f t="shared" ca="1" si="286"/>
        <v>0</v>
      </c>
      <c r="FZ83" s="88">
        <f t="shared" ca="1" si="286"/>
        <v>0</v>
      </c>
      <c r="GA83" s="88">
        <f t="shared" ca="1" si="286"/>
        <v>0</v>
      </c>
      <c r="GB83" s="88">
        <f t="shared" ca="1" si="286"/>
        <v>0</v>
      </c>
      <c r="GC83" s="88">
        <f t="shared" ca="1" si="286"/>
        <v>0</v>
      </c>
      <c r="GD83" s="60"/>
    </row>
    <row r="84" spans="1:186" s="54" customFormat="1" ht="14.45" customHeight="1">
      <c r="A84" s="61"/>
      <c r="B84" s="100" t="str">
        <f t="shared" si="277"/>
        <v>C&amp;I_C&amp;I Prescriptive_0_High Bay Fluorescent Fixture w/ HE Electronic Ballast (T5 8-lamp)_2017</v>
      </c>
      <c r="C84" s="100">
        <f>INDEX('Measure Inputs'!$D:$D,MATCH($B84,'Measure Inputs'!$B:$B,0))</f>
        <v>36</v>
      </c>
      <c r="D84" s="101" t="s">
        <v>256</v>
      </c>
      <c r="E84" s="101" t="s">
        <v>255</v>
      </c>
      <c r="F84" s="101">
        <v>0</v>
      </c>
      <c r="G84" s="101" t="s">
        <v>273</v>
      </c>
      <c r="H84" s="101">
        <v>2017</v>
      </c>
      <c r="I84" s="55"/>
      <c r="J84" s="58">
        <f t="shared" ca="1" si="229"/>
        <v>5.0696658095666507</v>
      </c>
      <c r="K84" s="58">
        <f t="shared" ca="1" si="246"/>
        <v>7.4553908964215454</v>
      </c>
      <c r="L84" s="58">
        <f t="shared" ca="1" si="230"/>
        <v>0.68</v>
      </c>
      <c r="M84" s="58">
        <f t="shared" ca="1" si="231"/>
        <v>6.6937281317466626</v>
      </c>
      <c r="N84" s="58">
        <f t="shared" ca="1" si="232"/>
        <v>7.4553908964215454</v>
      </c>
      <c r="O84" s="55"/>
      <c r="P84" s="175">
        <f ca="1">IFERROR(($AW84+AV84)/SUMPRODUCT($CA84:$DI84,'General Inputs'!$F$51:$AN$51),"n/a")</f>
        <v>5.0086210274420135E-3</v>
      </c>
      <c r="Q84" s="175">
        <f t="shared" ca="1" si="233"/>
        <v>4.4360044617646012E-2</v>
      </c>
      <c r="R84" s="56">
        <f t="shared" ca="1" si="260"/>
        <v>1293.3936494999998</v>
      </c>
      <c r="S84" s="55"/>
      <c r="T84" s="56">
        <f ca="1">INDEX(OFFSET('Measure Inputs'!$L$7,,,InputRows),$C84)</f>
        <v>45</v>
      </c>
      <c r="U84" s="134">
        <f ca="1">INDEX(OFFSET('Measure Inputs'!$T$7,,,InputRows),$C84)</f>
        <v>1</v>
      </c>
      <c r="V84" s="134">
        <f ca="1">INDEX(OFFSET('Measure Inputs'!$U$7,,,InputRows),$C84)</f>
        <v>1</v>
      </c>
      <c r="W84" s="55"/>
      <c r="X84" s="96">
        <f ca="1">INDEX(OFFSET('Measure Inputs'!$V$7,,,InputRows),$C84)*$T84*$V84*$U84</f>
        <v>86226.243299999987</v>
      </c>
      <c r="Y84" s="96">
        <f ca="1">INDEX(OFFSET('Measure Inputs'!$W$7,,,InputRows),$C84)*$T84*$V84*$U84</f>
        <v>22.862700000000004</v>
      </c>
      <c r="Z84" s="96">
        <f ca="1">INDEX(OFFSET('Measure Inputs'!$X$7,,,InputRows),$C84)*$T84*$V84*$U84</f>
        <v>0</v>
      </c>
      <c r="AA84" s="55"/>
      <c r="AB84" s="96">
        <f ca="1">INDEX(OFFSET('Measure Inputs'!$Z$7,,,InputRows),$C84)*$T84*$V84*$U84</f>
        <v>0</v>
      </c>
      <c r="AC84" s="96">
        <f ca="1">INDEX(OFFSET('Measure Inputs'!$AA$7,,,InputRows),$C84)*$T84*$V84*$U84</f>
        <v>0</v>
      </c>
      <c r="AD84" s="96">
        <f ca="1">INDEX(OFFSET('Measure Inputs'!$AB$7,,,InputRows),$C84)*$T84*$V84*$U84</f>
        <v>0</v>
      </c>
      <c r="AE84" s="55"/>
      <c r="AF84" s="57">
        <f ca="1">INDEX(OFFSET('Measure Inputs'!$Q$7,,,InputRows),$C84)*$T84</f>
        <v>0</v>
      </c>
      <c r="AG84" s="57">
        <f ca="1">INDEX(OFFSET('Measure Inputs'!$P$7,,,InputRows),$C84)*$T84*$V84</f>
        <v>5625</v>
      </c>
      <c r="AH84" s="57">
        <f ca="1">INDEX(OFFSET('Measure Inputs'!$R$7,,,InputRows),$C84)*$T84*$V84</f>
        <v>0</v>
      </c>
      <c r="AI84" s="57">
        <f ca="1">INDEX(OFFSET('Measure Inputs'!$O$7,,,InputRows),$C84)*$T84</f>
        <v>3825</v>
      </c>
      <c r="AJ84" s="57">
        <f ca="1">INDEX(OFFSET('Measure Inputs'!$S$7,,,InputRows),$C84)*$T84</f>
        <v>0</v>
      </c>
      <c r="AK84" s="63">
        <f ca="1">INDEX(OFFSET('Measure Inputs'!$M$7,,,InputRows),$C84)</f>
        <v>15</v>
      </c>
      <c r="AL84" s="88">
        <f ca="1">INDEX(OFFSET('Measure Inputs'!$N$7,,,InputRows),$C84)</f>
        <v>0</v>
      </c>
      <c r="AM84" s="57">
        <f ca="1">SUMIFS(OFFSET('Program Inputs'!$N$5,,,TotalPrograms),OFFSET('Program Inputs'!$B$5,,,TotalPrograms),SUBSTITUTE($B84,"All","*"))+AF84</f>
        <v>0</v>
      </c>
      <c r="AN84" s="57">
        <f t="shared" ca="1" si="261"/>
        <v>3825</v>
      </c>
      <c r="AO84" s="55"/>
      <c r="AP84" s="59">
        <f t="shared" ca="1" si="262"/>
        <v>28516.870178812413</v>
      </c>
      <c r="AQ84" s="59">
        <f t="shared" ca="1" si="263"/>
        <v>5625</v>
      </c>
      <c r="AR84" s="59">
        <f ca="1">SUMPRODUCT($CA84:$DI84,'General Inputs'!$F$32:$AN$32,'General Inputs'!$F$51:$AN$51)/(1-Loss_ElectricEnergy)</f>
        <v>23949.395027592825</v>
      </c>
      <c r="AS84" s="59">
        <f ca="1">SUMPRODUCT($DK84:$ES84,'General Inputs'!$F$33:$AN$33,'General Inputs'!$F$51:$AN$51)/(1-Loss_ElectricDemand)</f>
        <v>4567.4751512195862</v>
      </c>
      <c r="AT84" s="59">
        <f ca="1">SUMPRODUCT($EU84:$GC84,'General Inputs'!$F$34:$AN$34,'General Inputs'!$F$51:$AN$51)/(1-Loss_GasEnergy)</f>
        <v>0</v>
      </c>
      <c r="AU84" s="59">
        <f ca="1">INDEX('General Inputs'!$F$51:$AN$51,MATCH($H84,'General Inputs'!$F$50:$AN$50,0))*$AJ84</f>
        <v>0</v>
      </c>
      <c r="AV84" s="59">
        <f ca="1">INDEX('General Inputs'!$F$51:$AN$51,MATCH($H84,'General Inputs'!$F$50:$AN$50,0))*$AI84</f>
        <v>3825</v>
      </c>
      <c r="AW84" s="59">
        <f ca="1">INDEX('General Inputs'!$F$51:$AN$51,MATCH($H84,'General Inputs'!$F$50:$AN$50,0))*$AM84</f>
        <v>0</v>
      </c>
      <c r="AX84" s="59">
        <f ca="1">SUM(INDEX('General Inputs'!$F$51:$AN$51,MATCH($H84,'General Inputs'!$F$50:$AN$50,0))*$AG84,INDEX('General Inputs'!$F$51:$AN$51,MATCH($H84+$AL84,'General Inputs'!$F$50:$AN$50,0))*-$AH84)</f>
        <v>5625</v>
      </c>
      <c r="AY84" s="55"/>
      <c r="AZ84" s="59">
        <f ca="1">SUMPRODUCT($CA84:$DI84,'General Inputs'!$F$32:$AN$32,'General Inputs'!$F$52:$AN$52)/(1-Loss_ElectricEnergy)</f>
        <v>23949.395027592825</v>
      </c>
      <c r="BA84" s="59">
        <f ca="1">SUMPRODUCT($DK84:$ES84,'General Inputs'!$F$33:$AN$33,'General Inputs'!$F$52:$AN$52)/(1-Loss_ElectricDemand)</f>
        <v>4567.4751512195862</v>
      </c>
      <c r="BB84" s="59">
        <f ca="1">SUMPRODUCT($EU84:$GC84,'General Inputs'!$F$34:$AN$34,'General Inputs'!$F$52:$AN$52)/(1-Loss_GasEnergy)</f>
        <v>0</v>
      </c>
      <c r="BC84" s="59">
        <f ca="1">INDEX('General Inputs'!$F$52:$AN$52,MATCH($H84,'General Inputs'!$F$50:$AN$50,0))*$AI84</f>
        <v>3825</v>
      </c>
      <c r="BD84" s="59">
        <f ca="1">INDEX('General Inputs'!$F$52:$AN$52,MATCH($H84,'General Inputs'!$F$50:$AN$50,0))*$AM84</f>
        <v>0</v>
      </c>
      <c r="BE84" s="55"/>
      <c r="BF84" s="59">
        <f ca="1">SUMPRODUCT($CA84:$DI84,OFFSET('General Inputs'!$F$40:$AN$40,MATCH($D84&amp;" Electric ($/kWh)",'General Inputs'!$E$40:$E$46,0),),'General Inputs'!$F$54:$AN$54)</f>
        <v>0</v>
      </c>
      <c r="BG84" s="59">
        <f ca="1">SUMPRODUCT($EU84:$GC84,OFFSET('General Inputs'!$F$40:$AN$40,MATCH($D84&amp;" Natural Gas ($/therm)",'General Inputs'!$E$40:$E$46,0),),'General Inputs'!$F$54:$AN$54)</f>
        <v>0</v>
      </c>
      <c r="BH84" s="59">
        <f ca="1">INDEX('General Inputs'!$F$54:$AN$54,MATCH($H84,'General Inputs'!$F$50:$AN$50,0))*$AI84</f>
        <v>3825</v>
      </c>
      <c r="BI84" s="59">
        <f ca="1">SUM(INDEX('General Inputs'!$F$54:$AN$54,MATCH($H84,'General Inputs'!$F$50:$AN$50,0))*$AG84,INDEX('General Inputs'!$F$51:$AN$51,MATCH($H84+$AL84,'General Inputs'!$F$50:$AN$50,0))*-$AH84)</f>
        <v>5625</v>
      </c>
      <c r="BJ84" s="55"/>
      <c r="BK84" s="59">
        <f ca="1">SUMPRODUCT($CA84:$DI84,'General Inputs'!$F$32:$AN$32,'General Inputs'!$F$53:$AN$53)/(1-Loss_ElectricEnergy)</f>
        <v>23949.395027592825</v>
      </c>
      <c r="BL84" s="59">
        <f ca="1">SUMPRODUCT($DK84:$ES84,'General Inputs'!$F$33:$AN$33,'General Inputs'!$F$53:$AN$53)/(1-Loss_ElectricDemand)</f>
        <v>4567.4751512195862</v>
      </c>
      <c r="BM84" s="59">
        <f ca="1">SUMPRODUCT($EU84:$GC84,'General Inputs'!$F$34:$AN$34,'General Inputs'!$F$53:$AN$53)/(1-Loss_GasEnergy)</f>
        <v>0</v>
      </c>
      <c r="BN84" s="59">
        <f ca="1">INDEX('General Inputs'!$F$53:$AN$53,MATCH($H84,'General Inputs'!$F$50:$AN$50,0))*$AJ84</f>
        <v>0</v>
      </c>
      <c r="BO84" s="59">
        <f ca="1">SUMPRODUCT($CA84:$DI84,'General Inputs'!$F$35:$AN$35,'General Inputs'!$F$53:$AN$53)/(1-Loss_ElectricEnergy)</f>
        <v>9135.3505622625653</v>
      </c>
      <c r="BP84" s="59">
        <f ca="1">INDEX('General Inputs'!$F$51:$AN$51,MATCH($H84,'General Inputs'!$F$50:$AN$50,0))*$AM84</f>
        <v>0</v>
      </c>
      <c r="BQ84" s="59">
        <f ca="1">SUM(INDEX('General Inputs'!$F$53:$AN$53,MATCH($H84,'General Inputs'!$F$50:$AN$50,0))*$AG84,INDEX('General Inputs'!$F$53:$AN$53,MATCH($H84+$AL84,'General Inputs'!$F$50:$AN$50,0))*-$AH84)</f>
        <v>5625</v>
      </c>
      <c r="BR84" s="55"/>
      <c r="BS84" s="59">
        <f ca="1">SUMPRODUCT($CA84:$DI84,'General Inputs'!$F$32:$AN$32,'General Inputs'!$F$55:$AN$55)/(1-Loss_ElectricEnergy)</f>
        <v>23949.395027592825</v>
      </c>
      <c r="BT84" s="59">
        <f ca="1">SUMPRODUCT($DK84:$ES84,'General Inputs'!$F$33:$AN$33,'General Inputs'!$F$55:$AN$55)/(1-Loss_ElectricDemand)</f>
        <v>4567.4751512195862</v>
      </c>
      <c r="BU84" s="59">
        <f ca="1">SUMPRODUCT($EU84:$GC84,'General Inputs'!$F$34:$AN$34,'General Inputs'!$F$55:$AN$55)/(1-Loss_GasEnergy)</f>
        <v>0</v>
      </c>
      <c r="BV84" s="59">
        <f ca="1">SUMPRODUCT($CA84:$DI84,OFFSET('General Inputs'!$F$40:$AN$40,MATCH($D84&amp;" Electric ($/kWh)",'General Inputs'!$E$40:$E$46,0),),'General Inputs'!$F$55:$AN$55)</f>
        <v>0</v>
      </c>
      <c r="BW84" s="59">
        <f ca="1">SUMPRODUCT($EU84:$GC84,OFFSET('General Inputs'!$F$40:$AN$40,MATCH($D84&amp;" Natural Gas ($/therm)",'General Inputs'!$E$40:$E$46,0),),'General Inputs'!$F$55:$AN$55)</f>
        <v>0</v>
      </c>
      <c r="BX84" s="59">
        <f ca="1">INDEX('General Inputs'!$F$55:$AN$55,MATCH($H84,'General Inputs'!$F$50:$AN$50,0))*$AI84</f>
        <v>3825</v>
      </c>
      <c r="BY84" s="59">
        <f ca="1">INDEX('General Inputs'!$F$51:$AN$51,MATCH($H84,'General Inputs'!$F$50:$AN$50,0))*$AM84</f>
        <v>0</v>
      </c>
      <c r="BZ84" s="55"/>
      <c r="CA84" s="88">
        <f t="shared" ca="1" si="278"/>
        <v>86226.243299999987</v>
      </c>
      <c r="CB84" s="88">
        <f t="shared" ca="1" si="278"/>
        <v>86226.243299999987</v>
      </c>
      <c r="CC84" s="88">
        <f t="shared" ca="1" si="278"/>
        <v>86226.243299999987</v>
      </c>
      <c r="CD84" s="88">
        <f t="shared" ca="1" si="278"/>
        <v>86226.243299999987</v>
      </c>
      <c r="CE84" s="88">
        <f t="shared" ca="1" si="278"/>
        <v>86226.243299999987</v>
      </c>
      <c r="CF84" s="88">
        <f t="shared" ca="1" si="278"/>
        <v>86226.243299999987</v>
      </c>
      <c r="CG84" s="88">
        <f t="shared" ca="1" si="278"/>
        <v>86226.243299999987</v>
      </c>
      <c r="CH84" s="88">
        <f t="shared" ca="1" si="278"/>
        <v>86226.243299999987</v>
      </c>
      <c r="CI84" s="88">
        <f t="shared" ca="1" si="278"/>
        <v>86226.243299999987</v>
      </c>
      <c r="CJ84" s="88">
        <f t="shared" ca="1" si="278"/>
        <v>86226.243299999987</v>
      </c>
      <c r="CK84" s="88">
        <f t="shared" ca="1" si="279"/>
        <v>86226.243299999987</v>
      </c>
      <c r="CL84" s="88">
        <f t="shared" ca="1" si="279"/>
        <v>86226.243299999987</v>
      </c>
      <c r="CM84" s="88">
        <f t="shared" ca="1" si="279"/>
        <v>86226.243299999987</v>
      </c>
      <c r="CN84" s="88">
        <f t="shared" ca="1" si="279"/>
        <v>86226.243299999987</v>
      </c>
      <c r="CO84" s="88">
        <f t="shared" ca="1" si="279"/>
        <v>86226.243299999987</v>
      </c>
      <c r="CP84" s="88">
        <f t="shared" ca="1" si="279"/>
        <v>0</v>
      </c>
      <c r="CQ84" s="88">
        <f t="shared" ca="1" si="279"/>
        <v>0</v>
      </c>
      <c r="CR84" s="88">
        <f t="shared" ca="1" si="279"/>
        <v>0</v>
      </c>
      <c r="CS84" s="88">
        <f t="shared" ca="1" si="279"/>
        <v>0</v>
      </c>
      <c r="CT84" s="88">
        <f t="shared" ca="1" si="279"/>
        <v>0</v>
      </c>
      <c r="CU84" s="88">
        <f t="shared" ca="1" si="280"/>
        <v>0</v>
      </c>
      <c r="CV84" s="88">
        <f t="shared" ca="1" si="280"/>
        <v>0</v>
      </c>
      <c r="CW84" s="88">
        <f t="shared" ca="1" si="280"/>
        <v>0</v>
      </c>
      <c r="CX84" s="88">
        <f t="shared" ca="1" si="280"/>
        <v>0</v>
      </c>
      <c r="CY84" s="88">
        <f t="shared" ca="1" si="280"/>
        <v>0</v>
      </c>
      <c r="CZ84" s="88">
        <f t="shared" ca="1" si="280"/>
        <v>0</v>
      </c>
      <c r="DA84" s="88">
        <f t="shared" ca="1" si="280"/>
        <v>0</v>
      </c>
      <c r="DB84" s="88">
        <f t="shared" ca="1" si="280"/>
        <v>0</v>
      </c>
      <c r="DC84" s="88">
        <f t="shared" ca="1" si="280"/>
        <v>0</v>
      </c>
      <c r="DD84" s="88">
        <f t="shared" ca="1" si="280"/>
        <v>0</v>
      </c>
      <c r="DE84" s="88">
        <f t="shared" ca="1" si="280"/>
        <v>0</v>
      </c>
      <c r="DF84" s="88">
        <f t="shared" ca="1" si="280"/>
        <v>0</v>
      </c>
      <c r="DG84" s="88">
        <f t="shared" ca="1" si="280"/>
        <v>0</v>
      </c>
      <c r="DH84" s="88">
        <f t="shared" ca="1" si="280"/>
        <v>0</v>
      </c>
      <c r="DI84" s="88">
        <f t="shared" ca="1" si="280"/>
        <v>0</v>
      </c>
      <c r="DJ84" s="169"/>
      <c r="DK84" s="88">
        <f t="shared" ca="1" si="281"/>
        <v>22.862700000000004</v>
      </c>
      <c r="DL84" s="88">
        <f t="shared" ca="1" si="281"/>
        <v>22.862700000000004</v>
      </c>
      <c r="DM84" s="88">
        <f t="shared" ca="1" si="281"/>
        <v>22.862700000000004</v>
      </c>
      <c r="DN84" s="88">
        <f t="shared" ca="1" si="281"/>
        <v>22.862700000000004</v>
      </c>
      <c r="DO84" s="88">
        <f t="shared" ca="1" si="281"/>
        <v>22.862700000000004</v>
      </c>
      <c r="DP84" s="88">
        <f t="shared" ca="1" si="281"/>
        <v>22.862700000000004</v>
      </c>
      <c r="DQ84" s="88">
        <f t="shared" ca="1" si="281"/>
        <v>22.862700000000004</v>
      </c>
      <c r="DR84" s="88">
        <f t="shared" ca="1" si="281"/>
        <v>22.862700000000004</v>
      </c>
      <c r="DS84" s="88">
        <f t="shared" ca="1" si="281"/>
        <v>22.862700000000004</v>
      </c>
      <c r="DT84" s="88">
        <f t="shared" ca="1" si="281"/>
        <v>22.862700000000004</v>
      </c>
      <c r="DU84" s="88">
        <f t="shared" ca="1" si="282"/>
        <v>22.862700000000004</v>
      </c>
      <c r="DV84" s="88">
        <f t="shared" ca="1" si="282"/>
        <v>22.862700000000004</v>
      </c>
      <c r="DW84" s="88">
        <f t="shared" ca="1" si="282"/>
        <v>22.862700000000004</v>
      </c>
      <c r="DX84" s="88">
        <f t="shared" ca="1" si="282"/>
        <v>22.862700000000004</v>
      </c>
      <c r="DY84" s="88">
        <f t="shared" ca="1" si="282"/>
        <v>22.862700000000004</v>
      </c>
      <c r="DZ84" s="88">
        <f t="shared" ca="1" si="282"/>
        <v>0</v>
      </c>
      <c r="EA84" s="88">
        <f t="shared" ca="1" si="282"/>
        <v>0</v>
      </c>
      <c r="EB84" s="88">
        <f t="shared" ca="1" si="282"/>
        <v>0</v>
      </c>
      <c r="EC84" s="88">
        <f t="shared" ca="1" si="282"/>
        <v>0</v>
      </c>
      <c r="ED84" s="88">
        <f t="shared" ca="1" si="282"/>
        <v>0</v>
      </c>
      <c r="EE84" s="88">
        <f t="shared" ca="1" si="283"/>
        <v>0</v>
      </c>
      <c r="EF84" s="88">
        <f t="shared" ca="1" si="283"/>
        <v>0</v>
      </c>
      <c r="EG84" s="88">
        <f t="shared" ca="1" si="283"/>
        <v>0</v>
      </c>
      <c r="EH84" s="88">
        <f t="shared" ca="1" si="283"/>
        <v>0</v>
      </c>
      <c r="EI84" s="88">
        <f t="shared" ca="1" si="283"/>
        <v>0</v>
      </c>
      <c r="EJ84" s="88">
        <f t="shared" ca="1" si="283"/>
        <v>0</v>
      </c>
      <c r="EK84" s="88">
        <f t="shared" ca="1" si="283"/>
        <v>0</v>
      </c>
      <c r="EL84" s="88">
        <f t="shared" ca="1" si="283"/>
        <v>0</v>
      </c>
      <c r="EM84" s="88">
        <f t="shared" ca="1" si="283"/>
        <v>0</v>
      </c>
      <c r="EN84" s="88">
        <f t="shared" ca="1" si="283"/>
        <v>0</v>
      </c>
      <c r="EO84" s="88">
        <f t="shared" ca="1" si="283"/>
        <v>0</v>
      </c>
      <c r="EP84" s="88">
        <f t="shared" ca="1" si="283"/>
        <v>0</v>
      </c>
      <c r="EQ84" s="88">
        <f t="shared" ca="1" si="283"/>
        <v>0</v>
      </c>
      <c r="ER84" s="88">
        <f t="shared" ca="1" si="283"/>
        <v>0</v>
      </c>
      <c r="ES84" s="88">
        <f t="shared" ca="1" si="283"/>
        <v>0</v>
      </c>
      <c r="ET84" s="169"/>
      <c r="EU84" s="88">
        <f t="shared" ca="1" si="284"/>
        <v>0</v>
      </c>
      <c r="EV84" s="88">
        <f t="shared" ca="1" si="284"/>
        <v>0</v>
      </c>
      <c r="EW84" s="88">
        <f t="shared" ca="1" si="284"/>
        <v>0</v>
      </c>
      <c r="EX84" s="88">
        <f t="shared" ca="1" si="284"/>
        <v>0</v>
      </c>
      <c r="EY84" s="88">
        <f t="shared" ca="1" si="284"/>
        <v>0</v>
      </c>
      <c r="EZ84" s="88">
        <f t="shared" ca="1" si="284"/>
        <v>0</v>
      </c>
      <c r="FA84" s="88">
        <f t="shared" ca="1" si="284"/>
        <v>0</v>
      </c>
      <c r="FB84" s="88">
        <f t="shared" ca="1" si="284"/>
        <v>0</v>
      </c>
      <c r="FC84" s="88">
        <f t="shared" ca="1" si="284"/>
        <v>0</v>
      </c>
      <c r="FD84" s="88">
        <f t="shared" ca="1" si="284"/>
        <v>0</v>
      </c>
      <c r="FE84" s="88">
        <f t="shared" ca="1" si="285"/>
        <v>0</v>
      </c>
      <c r="FF84" s="88">
        <f t="shared" ca="1" si="285"/>
        <v>0</v>
      </c>
      <c r="FG84" s="88">
        <f t="shared" ca="1" si="285"/>
        <v>0</v>
      </c>
      <c r="FH84" s="88">
        <f t="shared" ca="1" si="285"/>
        <v>0</v>
      </c>
      <c r="FI84" s="88">
        <f t="shared" ca="1" si="285"/>
        <v>0</v>
      </c>
      <c r="FJ84" s="88">
        <f t="shared" ca="1" si="285"/>
        <v>0</v>
      </c>
      <c r="FK84" s="88">
        <f t="shared" ca="1" si="285"/>
        <v>0</v>
      </c>
      <c r="FL84" s="88">
        <f t="shared" ca="1" si="285"/>
        <v>0</v>
      </c>
      <c r="FM84" s="88">
        <f t="shared" ca="1" si="285"/>
        <v>0</v>
      </c>
      <c r="FN84" s="88">
        <f t="shared" ca="1" si="285"/>
        <v>0</v>
      </c>
      <c r="FO84" s="88">
        <f t="shared" ca="1" si="286"/>
        <v>0</v>
      </c>
      <c r="FP84" s="88">
        <f t="shared" ca="1" si="286"/>
        <v>0</v>
      </c>
      <c r="FQ84" s="88">
        <f t="shared" ca="1" si="286"/>
        <v>0</v>
      </c>
      <c r="FR84" s="88">
        <f t="shared" ca="1" si="286"/>
        <v>0</v>
      </c>
      <c r="FS84" s="88">
        <f t="shared" ca="1" si="286"/>
        <v>0</v>
      </c>
      <c r="FT84" s="88">
        <f t="shared" ca="1" si="286"/>
        <v>0</v>
      </c>
      <c r="FU84" s="88">
        <f t="shared" ca="1" si="286"/>
        <v>0</v>
      </c>
      <c r="FV84" s="88">
        <f t="shared" ca="1" si="286"/>
        <v>0</v>
      </c>
      <c r="FW84" s="88">
        <f t="shared" ca="1" si="286"/>
        <v>0</v>
      </c>
      <c r="FX84" s="88">
        <f t="shared" ca="1" si="286"/>
        <v>0</v>
      </c>
      <c r="FY84" s="88">
        <f t="shared" ca="1" si="286"/>
        <v>0</v>
      </c>
      <c r="FZ84" s="88">
        <f t="shared" ca="1" si="286"/>
        <v>0</v>
      </c>
      <c r="GA84" s="88">
        <f t="shared" ca="1" si="286"/>
        <v>0</v>
      </c>
      <c r="GB84" s="88">
        <f t="shared" ca="1" si="286"/>
        <v>0</v>
      </c>
      <c r="GC84" s="88">
        <f t="shared" ca="1" si="286"/>
        <v>0</v>
      </c>
      <c r="GD84" s="60"/>
    </row>
    <row r="85" spans="1:186" s="54" customFormat="1" ht="14.45" customHeight="1">
      <c r="A85" s="61"/>
      <c r="B85" s="100" t="str">
        <f t="shared" si="277"/>
        <v>C&amp;I_C&amp;I Prescriptive_0_High Bay Fluorescent Fixture w/ HE Electronic Ballast (T5 10-lamp)_2017</v>
      </c>
      <c r="C85" s="100">
        <f>INDEX('Measure Inputs'!$D:$D,MATCH($B85,'Measure Inputs'!$B:$B,0))</f>
        <v>37</v>
      </c>
      <c r="D85" s="101" t="s">
        <v>256</v>
      </c>
      <c r="E85" s="101" t="s">
        <v>255</v>
      </c>
      <c r="F85" s="101">
        <v>0</v>
      </c>
      <c r="G85" s="101" t="s">
        <v>274</v>
      </c>
      <c r="H85" s="101">
        <v>2017</v>
      </c>
      <c r="I85" s="55"/>
      <c r="J85" s="58">
        <f t="shared" ca="1" si="229"/>
        <v>5.4744427917440932</v>
      </c>
      <c r="K85" s="58">
        <f t="shared" ca="1" si="246"/>
        <v>8.643857039595936</v>
      </c>
      <c r="L85" s="58">
        <f t="shared" ca="1" si="230"/>
        <v>0.6333333333333333</v>
      </c>
      <c r="M85" s="58">
        <f t="shared" ca="1" si="231"/>
        <v>7.2281750113756509</v>
      </c>
      <c r="N85" s="58">
        <f t="shared" ca="1" si="232"/>
        <v>8.643857039595936</v>
      </c>
      <c r="O85" s="55"/>
      <c r="P85" s="175">
        <f ca="1">IFERROR(($AW85+AV85)/SUMPRODUCT($CA85:$DI85,'General Inputs'!$F$51:$AN$51),"n/a")</f>
        <v>4.3199728362654935E-3</v>
      </c>
      <c r="Q85" s="175">
        <f t="shared" ca="1" si="233"/>
        <v>3.8260867954233481E-2</v>
      </c>
      <c r="R85" s="56">
        <f t="shared" ca="1" si="260"/>
        <v>1675.9943887500001</v>
      </c>
      <c r="S85" s="55"/>
      <c r="T85" s="56">
        <f ca="1">INDEX(OFFSET('Measure Inputs'!$L$7,,,InputRows),$C85)</f>
        <v>45</v>
      </c>
      <c r="U85" s="134">
        <f ca="1">INDEX(OFFSET('Measure Inputs'!$T$7,,,InputRows),$C85)</f>
        <v>1</v>
      </c>
      <c r="V85" s="134">
        <f ca="1">INDEX(OFFSET('Measure Inputs'!$U$7,,,InputRows),$C85)</f>
        <v>1</v>
      </c>
      <c r="W85" s="55"/>
      <c r="X85" s="96">
        <f ca="1">INDEX(OFFSET('Measure Inputs'!$V$7,,,InputRows),$C85)*$T85*$V85*$U85</f>
        <v>111732.95924999999</v>
      </c>
      <c r="Y85" s="96">
        <f ca="1">INDEX(OFFSET('Measure Inputs'!$W$7,,,InputRows),$C85)*$T85*$V85*$U85</f>
        <v>29.62575</v>
      </c>
      <c r="Z85" s="96">
        <f ca="1">INDEX(OFFSET('Measure Inputs'!$X$7,,,InputRows),$C85)*$T85*$V85*$U85</f>
        <v>0</v>
      </c>
      <c r="AA85" s="55"/>
      <c r="AB85" s="96">
        <f ca="1">INDEX(OFFSET('Measure Inputs'!$Z$7,,,InputRows),$C85)*$T85*$V85*$U85</f>
        <v>0</v>
      </c>
      <c r="AC85" s="96">
        <f ca="1">INDEX(OFFSET('Measure Inputs'!$AA$7,,,InputRows),$C85)*$T85*$V85*$U85</f>
        <v>0</v>
      </c>
      <c r="AD85" s="96">
        <f ca="1">INDEX(OFFSET('Measure Inputs'!$AB$7,,,InputRows),$C85)*$T85*$V85*$U85</f>
        <v>0</v>
      </c>
      <c r="AE85" s="55"/>
      <c r="AF85" s="57">
        <f ca="1">INDEX(OFFSET('Measure Inputs'!$Q$7,,,InputRows),$C85)*$T85</f>
        <v>0</v>
      </c>
      <c r="AG85" s="57">
        <f ca="1">INDEX(OFFSET('Measure Inputs'!$P$7,,,InputRows),$C85)*$T85*$V85</f>
        <v>6750</v>
      </c>
      <c r="AH85" s="57">
        <f ca="1">INDEX(OFFSET('Measure Inputs'!$R$7,,,InputRows),$C85)*$T85*$V85</f>
        <v>0</v>
      </c>
      <c r="AI85" s="57">
        <f ca="1">INDEX(OFFSET('Measure Inputs'!$O$7,,,InputRows),$C85)*$T85</f>
        <v>4275</v>
      </c>
      <c r="AJ85" s="57">
        <f ca="1">INDEX(OFFSET('Measure Inputs'!$S$7,,,InputRows),$C85)*$T85</f>
        <v>0</v>
      </c>
      <c r="AK85" s="63">
        <f ca="1">INDEX(OFFSET('Measure Inputs'!$M$7,,,InputRows),$C85)</f>
        <v>15</v>
      </c>
      <c r="AL85" s="88">
        <f ca="1">INDEX(OFFSET('Measure Inputs'!$N$7,,,InputRows),$C85)</f>
        <v>0</v>
      </c>
      <c r="AM85" s="57">
        <f ca="1">SUMIFS(OFFSET('Program Inputs'!$N$5,,,TotalPrograms),OFFSET('Program Inputs'!$B$5,,,TotalPrograms),SUBSTITUTE($B85,"All","*"))+AF85</f>
        <v>0</v>
      </c>
      <c r="AN85" s="57">
        <f t="shared" ca="1" si="261"/>
        <v>4275</v>
      </c>
      <c r="AO85" s="55"/>
      <c r="AP85" s="59">
        <f t="shared" ca="1" si="262"/>
        <v>36952.48884427263</v>
      </c>
      <c r="AQ85" s="59">
        <f t="shared" ca="1" si="263"/>
        <v>6750</v>
      </c>
      <c r="AR85" s="59">
        <f ca="1">SUMPRODUCT($CA85:$DI85,'General Inputs'!$F$32:$AN$32,'General Inputs'!$F$51:$AN$51)/(1-Loss_ElectricEnergy)</f>
        <v>31033.901933660862</v>
      </c>
      <c r="AS85" s="59">
        <f ca="1">SUMPRODUCT($DK85:$ES85,'General Inputs'!$F$33:$AN$33,'General Inputs'!$F$51:$AN$51)/(1-Loss_ElectricDemand)</f>
        <v>5918.5869106117661</v>
      </c>
      <c r="AT85" s="59">
        <f ca="1">SUMPRODUCT($EU85:$GC85,'General Inputs'!$F$34:$AN$34,'General Inputs'!$F$51:$AN$51)/(1-Loss_GasEnergy)</f>
        <v>0</v>
      </c>
      <c r="AU85" s="59">
        <f ca="1">INDEX('General Inputs'!$F$51:$AN$51,MATCH($H85,'General Inputs'!$F$50:$AN$50,0))*$AJ85</f>
        <v>0</v>
      </c>
      <c r="AV85" s="59">
        <f ca="1">INDEX('General Inputs'!$F$51:$AN$51,MATCH($H85,'General Inputs'!$F$50:$AN$50,0))*$AI85</f>
        <v>4275</v>
      </c>
      <c r="AW85" s="59">
        <f ca="1">INDEX('General Inputs'!$F$51:$AN$51,MATCH($H85,'General Inputs'!$F$50:$AN$50,0))*$AM85</f>
        <v>0</v>
      </c>
      <c r="AX85" s="59">
        <f ca="1">SUM(INDEX('General Inputs'!$F$51:$AN$51,MATCH($H85,'General Inputs'!$F$50:$AN$50,0))*$AG85,INDEX('General Inputs'!$F$51:$AN$51,MATCH($H85+$AL85,'General Inputs'!$F$50:$AN$50,0))*-$AH85)</f>
        <v>6750</v>
      </c>
      <c r="AY85" s="55"/>
      <c r="AZ85" s="59">
        <f ca="1">SUMPRODUCT($CA85:$DI85,'General Inputs'!$F$32:$AN$32,'General Inputs'!$F$52:$AN$52)/(1-Loss_ElectricEnergy)</f>
        <v>31033.901933660862</v>
      </c>
      <c r="BA85" s="59">
        <f ca="1">SUMPRODUCT($DK85:$ES85,'General Inputs'!$F$33:$AN$33,'General Inputs'!$F$52:$AN$52)/(1-Loss_ElectricDemand)</f>
        <v>5918.5869106117661</v>
      </c>
      <c r="BB85" s="59">
        <f ca="1">SUMPRODUCT($EU85:$GC85,'General Inputs'!$F$34:$AN$34,'General Inputs'!$F$52:$AN$52)/(1-Loss_GasEnergy)</f>
        <v>0</v>
      </c>
      <c r="BC85" s="59">
        <f ca="1">INDEX('General Inputs'!$F$52:$AN$52,MATCH($H85,'General Inputs'!$F$50:$AN$50,0))*$AI85</f>
        <v>4275</v>
      </c>
      <c r="BD85" s="59">
        <f ca="1">INDEX('General Inputs'!$F$52:$AN$52,MATCH($H85,'General Inputs'!$F$50:$AN$50,0))*$AM85</f>
        <v>0</v>
      </c>
      <c r="BE85" s="55"/>
      <c r="BF85" s="59">
        <f ca="1">SUMPRODUCT($CA85:$DI85,OFFSET('General Inputs'!$F$40:$AN$40,MATCH($D85&amp;" Electric ($/kWh)",'General Inputs'!$E$40:$E$46,0),),'General Inputs'!$F$54:$AN$54)</f>
        <v>0</v>
      </c>
      <c r="BG85" s="59">
        <f ca="1">SUMPRODUCT($EU85:$GC85,OFFSET('General Inputs'!$F$40:$AN$40,MATCH($D85&amp;" Natural Gas ($/therm)",'General Inputs'!$E$40:$E$46,0),),'General Inputs'!$F$54:$AN$54)</f>
        <v>0</v>
      </c>
      <c r="BH85" s="59">
        <f ca="1">INDEX('General Inputs'!$F$54:$AN$54,MATCH($H85,'General Inputs'!$F$50:$AN$50,0))*$AI85</f>
        <v>4275</v>
      </c>
      <c r="BI85" s="59">
        <f ca="1">SUM(INDEX('General Inputs'!$F$54:$AN$54,MATCH($H85,'General Inputs'!$F$50:$AN$50,0))*$AG85,INDEX('General Inputs'!$F$51:$AN$51,MATCH($H85+$AL85,'General Inputs'!$F$50:$AN$50,0))*-$AH85)</f>
        <v>6750</v>
      </c>
      <c r="BJ85" s="55"/>
      <c r="BK85" s="59">
        <f ca="1">SUMPRODUCT($CA85:$DI85,'General Inputs'!$F$32:$AN$32,'General Inputs'!$F$53:$AN$53)/(1-Loss_ElectricEnergy)</f>
        <v>31033.901933660862</v>
      </c>
      <c r="BL85" s="59">
        <f ca="1">SUMPRODUCT($DK85:$ES85,'General Inputs'!$F$33:$AN$33,'General Inputs'!$F$53:$AN$53)/(1-Loss_ElectricDemand)</f>
        <v>5918.5869106117661</v>
      </c>
      <c r="BM85" s="59">
        <f ca="1">SUMPRODUCT($EU85:$GC85,'General Inputs'!$F$34:$AN$34,'General Inputs'!$F$53:$AN$53)/(1-Loss_GasEnergy)</f>
        <v>0</v>
      </c>
      <c r="BN85" s="59">
        <f ca="1">INDEX('General Inputs'!$F$53:$AN$53,MATCH($H85,'General Inputs'!$F$50:$AN$50,0))*$AJ85</f>
        <v>0</v>
      </c>
      <c r="BO85" s="59">
        <f ca="1">SUMPRODUCT($CA85:$DI85,'General Inputs'!$F$35:$AN$35,'General Inputs'!$F$53:$AN$53)/(1-Loss_ElectricEnergy)</f>
        <v>11837.692482513012</v>
      </c>
      <c r="BP85" s="59">
        <f ca="1">INDEX('General Inputs'!$F$51:$AN$51,MATCH($H85,'General Inputs'!$F$50:$AN$50,0))*$AM85</f>
        <v>0</v>
      </c>
      <c r="BQ85" s="59">
        <f ca="1">SUM(INDEX('General Inputs'!$F$53:$AN$53,MATCH($H85,'General Inputs'!$F$50:$AN$50,0))*$AG85,INDEX('General Inputs'!$F$53:$AN$53,MATCH($H85+$AL85,'General Inputs'!$F$50:$AN$50,0))*-$AH85)</f>
        <v>6750</v>
      </c>
      <c r="BR85" s="55"/>
      <c r="BS85" s="59">
        <f ca="1">SUMPRODUCT($CA85:$DI85,'General Inputs'!$F$32:$AN$32,'General Inputs'!$F$55:$AN$55)/(1-Loss_ElectricEnergy)</f>
        <v>31033.901933660862</v>
      </c>
      <c r="BT85" s="59">
        <f ca="1">SUMPRODUCT($DK85:$ES85,'General Inputs'!$F$33:$AN$33,'General Inputs'!$F$55:$AN$55)/(1-Loss_ElectricDemand)</f>
        <v>5918.5869106117661</v>
      </c>
      <c r="BU85" s="59">
        <f ca="1">SUMPRODUCT($EU85:$GC85,'General Inputs'!$F$34:$AN$34,'General Inputs'!$F$55:$AN$55)/(1-Loss_GasEnergy)</f>
        <v>0</v>
      </c>
      <c r="BV85" s="59">
        <f ca="1">SUMPRODUCT($CA85:$DI85,OFFSET('General Inputs'!$F$40:$AN$40,MATCH($D85&amp;" Electric ($/kWh)",'General Inputs'!$E$40:$E$46,0),),'General Inputs'!$F$55:$AN$55)</f>
        <v>0</v>
      </c>
      <c r="BW85" s="59">
        <f ca="1">SUMPRODUCT($EU85:$GC85,OFFSET('General Inputs'!$F$40:$AN$40,MATCH($D85&amp;" Natural Gas ($/therm)",'General Inputs'!$E$40:$E$46,0),),'General Inputs'!$F$55:$AN$55)</f>
        <v>0</v>
      </c>
      <c r="BX85" s="59">
        <f ca="1">INDEX('General Inputs'!$F$55:$AN$55,MATCH($H85,'General Inputs'!$F$50:$AN$50,0))*$AI85</f>
        <v>4275</v>
      </c>
      <c r="BY85" s="59">
        <f ca="1">INDEX('General Inputs'!$F$51:$AN$51,MATCH($H85,'General Inputs'!$F$50:$AN$50,0))*$AM85</f>
        <v>0</v>
      </c>
      <c r="BZ85" s="55"/>
      <c r="CA85" s="88">
        <f t="shared" ca="1" si="278"/>
        <v>111732.95924999999</v>
      </c>
      <c r="CB85" s="88">
        <f t="shared" ca="1" si="278"/>
        <v>111732.95924999999</v>
      </c>
      <c r="CC85" s="88">
        <f t="shared" ca="1" si="278"/>
        <v>111732.95924999999</v>
      </c>
      <c r="CD85" s="88">
        <f t="shared" ca="1" si="278"/>
        <v>111732.95924999999</v>
      </c>
      <c r="CE85" s="88">
        <f t="shared" ca="1" si="278"/>
        <v>111732.95924999999</v>
      </c>
      <c r="CF85" s="88">
        <f t="shared" ca="1" si="278"/>
        <v>111732.95924999999</v>
      </c>
      <c r="CG85" s="88">
        <f t="shared" ca="1" si="278"/>
        <v>111732.95924999999</v>
      </c>
      <c r="CH85" s="88">
        <f t="shared" ca="1" si="278"/>
        <v>111732.95924999999</v>
      </c>
      <c r="CI85" s="88">
        <f t="shared" ca="1" si="278"/>
        <v>111732.95924999999</v>
      </c>
      <c r="CJ85" s="88">
        <f t="shared" ca="1" si="278"/>
        <v>111732.95924999999</v>
      </c>
      <c r="CK85" s="88">
        <f t="shared" ca="1" si="279"/>
        <v>111732.95924999999</v>
      </c>
      <c r="CL85" s="88">
        <f t="shared" ca="1" si="279"/>
        <v>111732.95924999999</v>
      </c>
      <c r="CM85" s="88">
        <f t="shared" ca="1" si="279"/>
        <v>111732.95924999999</v>
      </c>
      <c r="CN85" s="88">
        <f t="shared" ca="1" si="279"/>
        <v>111732.95924999999</v>
      </c>
      <c r="CO85" s="88">
        <f t="shared" ca="1" si="279"/>
        <v>111732.95924999999</v>
      </c>
      <c r="CP85" s="88">
        <f t="shared" ca="1" si="279"/>
        <v>0</v>
      </c>
      <c r="CQ85" s="88">
        <f t="shared" ca="1" si="279"/>
        <v>0</v>
      </c>
      <c r="CR85" s="88">
        <f t="shared" ca="1" si="279"/>
        <v>0</v>
      </c>
      <c r="CS85" s="88">
        <f t="shared" ca="1" si="279"/>
        <v>0</v>
      </c>
      <c r="CT85" s="88">
        <f t="shared" ca="1" si="279"/>
        <v>0</v>
      </c>
      <c r="CU85" s="88">
        <f t="shared" ca="1" si="280"/>
        <v>0</v>
      </c>
      <c r="CV85" s="88">
        <f t="shared" ca="1" si="280"/>
        <v>0</v>
      </c>
      <c r="CW85" s="88">
        <f t="shared" ca="1" si="280"/>
        <v>0</v>
      </c>
      <c r="CX85" s="88">
        <f t="shared" ca="1" si="280"/>
        <v>0</v>
      </c>
      <c r="CY85" s="88">
        <f t="shared" ca="1" si="280"/>
        <v>0</v>
      </c>
      <c r="CZ85" s="88">
        <f t="shared" ca="1" si="280"/>
        <v>0</v>
      </c>
      <c r="DA85" s="88">
        <f t="shared" ca="1" si="280"/>
        <v>0</v>
      </c>
      <c r="DB85" s="88">
        <f t="shared" ca="1" si="280"/>
        <v>0</v>
      </c>
      <c r="DC85" s="88">
        <f t="shared" ca="1" si="280"/>
        <v>0</v>
      </c>
      <c r="DD85" s="88">
        <f t="shared" ca="1" si="280"/>
        <v>0</v>
      </c>
      <c r="DE85" s="88">
        <f t="shared" ca="1" si="280"/>
        <v>0</v>
      </c>
      <c r="DF85" s="88">
        <f t="shared" ca="1" si="280"/>
        <v>0</v>
      </c>
      <c r="DG85" s="88">
        <f t="shared" ca="1" si="280"/>
        <v>0</v>
      </c>
      <c r="DH85" s="88">
        <f t="shared" ca="1" si="280"/>
        <v>0</v>
      </c>
      <c r="DI85" s="88">
        <f t="shared" ca="1" si="280"/>
        <v>0</v>
      </c>
      <c r="DJ85" s="169"/>
      <c r="DK85" s="88">
        <f t="shared" ca="1" si="281"/>
        <v>29.62575</v>
      </c>
      <c r="DL85" s="88">
        <f t="shared" ca="1" si="281"/>
        <v>29.62575</v>
      </c>
      <c r="DM85" s="88">
        <f t="shared" ca="1" si="281"/>
        <v>29.62575</v>
      </c>
      <c r="DN85" s="88">
        <f t="shared" ca="1" si="281"/>
        <v>29.62575</v>
      </c>
      <c r="DO85" s="88">
        <f t="shared" ca="1" si="281"/>
        <v>29.62575</v>
      </c>
      <c r="DP85" s="88">
        <f t="shared" ca="1" si="281"/>
        <v>29.62575</v>
      </c>
      <c r="DQ85" s="88">
        <f t="shared" ca="1" si="281"/>
        <v>29.62575</v>
      </c>
      <c r="DR85" s="88">
        <f t="shared" ca="1" si="281"/>
        <v>29.62575</v>
      </c>
      <c r="DS85" s="88">
        <f t="shared" ca="1" si="281"/>
        <v>29.62575</v>
      </c>
      <c r="DT85" s="88">
        <f t="shared" ca="1" si="281"/>
        <v>29.62575</v>
      </c>
      <c r="DU85" s="88">
        <f t="shared" ca="1" si="282"/>
        <v>29.62575</v>
      </c>
      <c r="DV85" s="88">
        <f t="shared" ca="1" si="282"/>
        <v>29.62575</v>
      </c>
      <c r="DW85" s="88">
        <f t="shared" ca="1" si="282"/>
        <v>29.62575</v>
      </c>
      <c r="DX85" s="88">
        <f t="shared" ca="1" si="282"/>
        <v>29.62575</v>
      </c>
      <c r="DY85" s="88">
        <f t="shared" ca="1" si="282"/>
        <v>29.62575</v>
      </c>
      <c r="DZ85" s="88">
        <f t="shared" ca="1" si="282"/>
        <v>0</v>
      </c>
      <c r="EA85" s="88">
        <f t="shared" ca="1" si="282"/>
        <v>0</v>
      </c>
      <c r="EB85" s="88">
        <f t="shared" ca="1" si="282"/>
        <v>0</v>
      </c>
      <c r="EC85" s="88">
        <f t="shared" ca="1" si="282"/>
        <v>0</v>
      </c>
      <c r="ED85" s="88">
        <f t="shared" ca="1" si="282"/>
        <v>0</v>
      </c>
      <c r="EE85" s="88">
        <f t="shared" ca="1" si="283"/>
        <v>0</v>
      </c>
      <c r="EF85" s="88">
        <f t="shared" ca="1" si="283"/>
        <v>0</v>
      </c>
      <c r="EG85" s="88">
        <f t="shared" ca="1" si="283"/>
        <v>0</v>
      </c>
      <c r="EH85" s="88">
        <f t="shared" ca="1" si="283"/>
        <v>0</v>
      </c>
      <c r="EI85" s="88">
        <f t="shared" ca="1" si="283"/>
        <v>0</v>
      </c>
      <c r="EJ85" s="88">
        <f t="shared" ca="1" si="283"/>
        <v>0</v>
      </c>
      <c r="EK85" s="88">
        <f t="shared" ca="1" si="283"/>
        <v>0</v>
      </c>
      <c r="EL85" s="88">
        <f t="shared" ca="1" si="283"/>
        <v>0</v>
      </c>
      <c r="EM85" s="88">
        <f t="shared" ca="1" si="283"/>
        <v>0</v>
      </c>
      <c r="EN85" s="88">
        <f t="shared" ca="1" si="283"/>
        <v>0</v>
      </c>
      <c r="EO85" s="88">
        <f t="shared" ca="1" si="283"/>
        <v>0</v>
      </c>
      <c r="EP85" s="88">
        <f t="shared" ca="1" si="283"/>
        <v>0</v>
      </c>
      <c r="EQ85" s="88">
        <f t="shared" ca="1" si="283"/>
        <v>0</v>
      </c>
      <c r="ER85" s="88">
        <f t="shared" ca="1" si="283"/>
        <v>0</v>
      </c>
      <c r="ES85" s="88">
        <f t="shared" ca="1" si="283"/>
        <v>0</v>
      </c>
      <c r="ET85" s="169"/>
      <c r="EU85" s="88">
        <f t="shared" ca="1" si="284"/>
        <v>0</v>
      </c>
      <c r="EV85" s="88">
        <f t="shared" ca="1" si="284"/>
        <v>0</v>
      </c>
      <c r="EW85" s="88">
        <f t="shared" ca="1" si="284"/>
        <v>0</v>
      </c>
      <c r="EX85" s="88">
        <f t="shared" ca="1" si="284"/>
        <v>0</v>
      </c>
      <c r="EY85" s="88">
        <f t="shared" ca="1" si="284"/>
        <v>0</v>
      </c>
      <c r="EZ85" s="88">
        <f t="shared" ca="1" si="284"/>
        <v>0</v>
      </c>
      <c r="FA85" s="88">
        <f t="shared" ca="1" si="284"/>
        <v>0</v>
      </c>
      <c r="FB85" s="88">
        <f t="shared" ca="1" si="284"/>
        <v>0</v>
      </c>
      <c r="FC85" s="88">
        <f t="shared" ca="1" si="284"/>
        <v>0</v>
      </c>
      <c r="FD85" s="88">
        <f t="shared" ca="1" si="284"/>
        <v>0</v>
      </c>
      <c r="FE85" s="88">
        <f t="shared" ca="1" si="285"/>
        <v>0</v>
      </c>
      <c r="FF85" s="88">
        <f t="shared" ca="1" si="285"/>
        <v>0</v>
      </c>
      <c r="FG85" s="88">
        <f t="shared" ca="1" si="285"/>
        <v>0</v>
      </c>
      <c r="FH85" s="88">
        <f t="shared" ca="1" si="285"/>
        <v>0</v>
      </c>
      <c r="FI85" s="88">
        <f t="shared" ca="1" si="285"/>
        <v>0</v>
      </c>
      <c r="FJ85" s="88">
        <f t="shared" ca="1" si="285"/>
        <v>0</v>
      </c>
      <c r="FK85" s="88">
        <f t="shared" ca="1" si="285"/>
        <v>0</v>
      </c>
      <c r="FL85" s="88">
        <f t="shared" ca="1" si="285"/>
        <v>0</v>
      </c>
      <c r="FM85" s="88">
        <f t="shared" ca="1" si="285"/>
        <v>0</v>
      </c>
      <c r="FN85" s="88">
        <f t="shared" ca="1" si="285"/>
        <v>0</v>
      </c>
      <c r="FO85" s="88">
        <f t="shared" ca="1" si="286"/>
        <v>0</v>
      </c>
      <c r="FP85" s="88">
        <f t="shared" ca="1" si="286"/>
        <v>0</v>
      </c>
      <c r="FQ85" s="88">
        <f t="shared" ca="1" si="286"/>
        <v>0</v>
      </c>
      <c r="FR85" s="88">
        <f t="shared" ca="1" si="286"/>
        <v>0</v>
      </c>
      <c r="FS85" s="88">
        <f t="shared" ca="1" si="286"/>
        <v>0</v>
      </c>
      <c r="FT85" s="88">
        <f t="shared" ca="1" si="286"/>
        <v>0</v>
      </c>
      <c r="FU85" s="88">
        <f t="shared" ca="1" si="286"/>
        <v>0</v>
      </c>
      <c r="FV85" s="88">
        <f t="shared" ca="1" si="286"/>
        <v>0</v>
      </c>
      <c r="FW85" s="88">
        <f t="shared" ca="1" si="286"/>
        <v>0</v>
      </c>
      <c r="FX85" s="88">
        <f t="shared" ca="1" si="286"/>
        <v>0</v>
      </c>
      <c r="FY85" s="88">
        <f t="shared" ca="1" si="286"/>
        <v>0</v>
      </c>
      <c r="FZ85" s="88">
        <f t="shared" ca="1" si="286"/>
        <v>0</v>
      </c>
      <c r="GA85" s="88">
        <f t="shared" ca="1" si="286"/>
        <v>0</v>
      </c>
      <c r="GB85" s="88">
        <f t="shared" ca="1" si="286"/>
        <v>0</v>
      </c>
      <c r="GC85" s="88">
        <f t="shared" ca="1" si="286"/>
        <v>0</v>
      </c>
      <c r="GD85" s="60"/>
    </row>
    <row r="86" spans="1:186" s="54" customFormat="1" ht="14.45" customHeight="1">
      <c r="A86" s="61"/>
      <c r="B86" s="100" t="str">
        <f t="shared" si="277"/>
        <v>C&amp;I_C&amp;I Prescriptive_0_High Bay Fluorescent Fixture w/ HE Electronic Ballast (T8 4 lamp)_2017</v>
      </c>
      <c r="C86" s="100">
        <f>INDEX('Measure Inputs'!$D:$D,MATCH($B86,'Measure Inputs'!$B:$B,0))</f>
        <v>38</v>
      </c>
      <c r="D86" s="101" t="s">
        <v>256</v>
      </c>
      <c r="E86" s="101" t="s">
        <v>255</v>
      </c>
      <c r="F86" s="101">
        <v>0</v>
      </c>
      <c r="G86" s="101" t="s">
        <v>354</v>
      </c>
      <c r="H86" s="101">
        <v>2017</v>
      </c>
      <c r="I86" s="55"/>
      <c r="J86" s="58">
        <f t="shared" ca="1" si="229"/>
        <v>0.80756325788515915</v>
      </c>
      <c r="K86" s="58">
        <f t="shared" ca="1" si="246"/>
        <v>2.9365936650369422</v>
      </c>
      <c r="L86" s="58">
        <f t="shared" ca="1" si="230"/>
        <v>0.27500000000000002</v>
      </c>
      <c r="M86" s="58">
        <f t="shared" ca="1" si="231"/>
        <v>1.0662653319811113</v>
      </c>
      <c r="N86" s="58">
        <f t="shared" ca="1" si="232"/>
        <v>2.9365936650369422</v>
      </c>
      <c r="O86" s="55"/>
      <c r="P86" s="175">
        <f ca="1">IFERROR(($AW86+AV86)/SUMPRODUCT($CA86:$DI86,'General Inputs'!$F$51:$AN$51),"n/a")</f>
        <v>1.271583060884488E-2</v>
      </c>
      <c r="Q86" s="175">
        <f t="shared" ca="1" si="233"/>
        <v>0.11262078126259636</v>
      </c>
      <c r="R86" s="56">
        <f t="shared" ca="1" si="260"/>
        <v>586.03749023999978</v>
      </c>
      <c r="S86" s="55"/>
      <c r="T86" s="56">
        <f ca="1">INDEX(OFFSET('Measure Inputs'!$L$7,,,InputRows),$C86)</f>
        <v>80</v>
      </c>
      <c r="U86" s="134">
        <f ca="1">INDEX(OFFSET('Measure Inputs'!$T$7,,,InputRows),$C86)</f>
        <v>1</v>
      </c>
      <c r="V86" s="134">
        <f ca="1">INDEX(OFFSET('Measure Inputs'!$U$7,,,InputRows),$C86)</f>
        <v>1</v>
      </c>
      <c r="W86" s="55"/>
      <c r="X86" s="96">
        <f ca="1">INDEX(OFFSET('Measure Inputs'!$V$7,,,InputRows),$C86)*$T86*$V86*$U86</f>
        <v>39069.166016000003</v>
      </c>
      <c r="Y86" s="96">
        <f ca="1">INDEX(OFFSET('Measure Inputs'!$W$7,,,InputRows),$C86)*$T86*$V86*$U86</f>
        <v>10.359104000000002</v>
      </c>
      <c r="Z86" s="96">
        <f ca="1">INDEX(OFFSET('Measure Inputs'!$X$7,,,InputRows),$C86)*$T86*$V86*$U86</f>
        <v>0</v>
      </c>
      <c r="AA86" s="55"/>
      <c r="AB86" s="96">
        <f ca="1">INDEX(OFFSET('Measure Inputs'!$Z$7,,,InputRows),$C86)*$T86*$V86*$U86</f>
        <v>0</v>
      </c>
      <c r="AC86" s="96">
        <f ca="1">INDEX(OFFSET('Measure Inputs'!$AA$7,,,InputRows),$C86)*$T86*$V86*$U86</f>
        <v>0</v>
      </c>
      <c r="AD86" s="96">
        <f ca="1">INDEX(OFFSET('Measure Inputs'!$AB$7,,,InputRows),$C86)*$T86*$V86*$U86</f>
        <v>0</v>
      </c>
      <c r="AE86" s="55"/>
      <c r="AF86" s="57">
        <f ca="1">INDEX(OFFSET('Measure Inputs'!$Q$7,,,InputRows),$C86)*$T86</f>
        <v>0</v>
      </c>
      <c r="AG86" s="57">
        <f ca="1">INDEX(OFFSET('Measure Inputs'!$P$7,,,InputRows),$C86)*$T86*$V86</f>
        <v>16000</v>
      </c>
      <c r="AH86" s="57">
        <f ca="1">INDEX(OFFSET('Measure Inputs'!$R$7,,,InputRows),$C86)*$T86*$V86</f>
        <v>0</v>
      </c>
      <c r="AI86" s="57">
        <f ca="1">INDEX(OFFSET('Measure Inputs'!$O$7,,,InputRows),$C86)*$T86</f>
        <v>4400</v>
      </c>
      <c r="AJ86" s="57">
        <f ca="1">INDEX(OFFSET('Measure Inputs'!$S$7,,,InputRows),$C86)*$T86</f>
        <v>0</v>
      </c>
      <c r="AK86" s="63">
        <f ca="1">INDEX(OFFSET('Measure Inputs'!$M$7,,,InputRows),$C86)</f>
        <v>15</v>
      </c>
      <c r="AL86" s="88">
        <f ca="1">INDEX(OFFSET('Measure Inputs'!$N$7,,,InputRows),$C86)</f>
        <v>0</v>
      </c>
      <c r="AM86" s="57">
        <f ca="1">SUMIFS(OFFSET('Program Inputs'!$N$5,,,TotalPrograms),OFFSET('Program Inputs'!$B$5,,,TotalPrograms),SUBSTITUTE($B86,"All","*"))+AF86</f>
        <v>0</v>
      </c>
      <c r="AN86" s="57">
        <f t="shared" ca="1" si="261"/>
        <v>4400</v>
      </c>
      <c r="AO86" s="55"/>
      <c r="AP86" s="59">
        <f t="shared" ca="1" si="262"/>
        <v>12921.012126162546</v>
      </c>
      <c r="AQ86" s="59">
        <f t="shared" ca="1" si="263"/>
        <v>16000</v>
      </c>
      <c r="AR86" s="59">
        <f ca="1">SUMPRODUCT($CA86:$DI86,'General Inputs'!$F$32:$AN$32,'General Inputs'!$F$51:$AN$51)/(1-Loss_ElectricEnergy)</f>
        <v>10851.486212385984</v>
      </c>
      <c r="AS86" s="59">
        <f ca="1">SUMPRODUCT($DK86:$ES86,'General Inputs'!$F$33:$AN$33,'General Inputs'!$F$51:$AN$51)/(1-Loss_ElectricDemand)</f>
        <v>2069.5259137765629</v>
      </c>
      <c r="AT86" s="59">
        <f ca="1">SUMPRODUCT($EU86:$GC86,'General Inputs'!$F$34:$AN$34,'General Inputs'!$F$51:$AN$51)/(1-Loss_GasEnergy)</f>
        <v>0</v>
      </c>
      <c r="AU86" s="59">
        <f ca="1">INDEX('General Inputs'!$F$51:$AN$51,MATCH($H86,'General Inputs'!$F$50:$AN$50,0))*$AJ86</f>
        <v>0</v>
      </c>
      <c r="AV86" s="59">
        <f ca="1">INDEX('General Inputs'!$F$51:$AN$51,MATCH($H86,'General Inputs'!$F$50:$AN$50,0))*$AI86</f>
        <v>4400</v>
      </c>
      <c r="AW86" s="59">
        <f ca="1">INDEX('General Inputs'!$F$51:$AN$51,MATCH($H86,'General Inputs'!$F$50:$AN$50,0))*$AM86</f>
        <v>0</v>
      </c>
      <c r="AX86" s="59">
        <f ca="1">SUM(INDEX('General Inputs'!$F$51:$AN$51,MATCH($H86,'General Inputs'!$F$50:$AN$50,0))*$AG86,INDEX('General Inputs'!$F$51:$AN$51,MATCH($H86+$AL86,'General Inputs'!$F$50:$AN$50,0))*-$AH86)</f>
        <v>16000</v>
      </c>
      <c r="AY86" s="55"/>
      <c r="AZ86" s="59">
        <f ca="1">SUMPRODUCT($CA86:$DI86,'General Inputs'!$F$32:$AN$32,'General Inputs'!$F$52:$AN$52)/(1-Loss_ElectricEnergy)</f>
        <v>10851.486212385984</v>
      </c>
      <c r="BA86" s="59">
        <f ca="1">SUMPRODUCT($DK86:$ES86,'General Inputs'!$F$33:$AN$33,'General Inputs'!$F$52:$AN$52)/(1-Loss_ElectricDemand)</f>
        <v>2069.5259137765629</v>
      </c>
      <c r="BB86" s="59">
        <f ca="1">SUMPRODUCT($EU86:$GC86,'General Inputs'!$F$34:$AN$34,'General Inputs'!$F$52:$AN$52)/(1-Loss_GasEnergy)</f>
        <v>0</v>
      </c>
      <c r="BC86" s="59">
        <f ca="1">INDEX('General Inputs'!$F$52:$AN$52,MATCH($H86,'General Inputs'!$F$50:$AN$50,0))*$AI86</f>
        <v>4400</v>
      </c>
      <c r="BD86" s="59">
        <f ca="1">INDEX('General Inputs'!$F$52:$AN$52,MATCH($H86,'General Inputs'!$F$50:$AN$50,0))*$AM86</f>
        <v>0</v>
      </c>
      <c r="BE86" s="55"/>
      <c r="BF86" s="59">
        <f ca="1">SUMPRODUCT($CA86:$DI86,OFFSET('General Inputs'!$F$40:$AN$40,MATCH($D86&amp;" Electric ($/kWh)",'General Inputs'!$E$40:$E$46,0),),'General Inputs'!$F$54:$AN$54)</f>
        <v>0</v>
      </c>
      <c r="BG86" s="59">
        <f ca="1">SUMPRODUCT($EU86:$GC86,OFFSET('General Inputs'!$F$40:$AN$40,MATCH($D86&amp;" Natural Gas ($/therm)",'General Inputs'!$E$40:$E$46,0),),'General Inputs'!$F$54:$AN$54)</f>
        <v>0</v>
      </c>
      <c r="BH86" s="59">
        <f ca="1">INDEX('General Inputs'!$F$54:$AN$54,MATCH($H86,'General Inputs'!$F$50:$AN$50,0))*$AI86</f>
        <v>4400</v>
      </c>
      <c r="BI86" s="59">
        <f ca="1">SUM(INDEX('General Inputs'!$F$54:$AN$54,MATCH($H86,'General Inputs'!$F$50:$AN$50,0))*$AG86,INDEX('General Inputs'!$F$51:$AN$51,MATCH($H86+$AL86,'General Inputs'!$F$50:$AN$50,0))*-$AH86)</f>
        <v>16000</v>
      </c>
      <c r="BJ86" s="55"/>
      <c r="BK86" s="59">
        <f ca="1">SUMPRODUCT($CA86:$DI86,'General Inputs'!$F$32:$AN$32,'General Inputs'!$F$53:$AN$53)/(1-Loss_ElectricEnergy)</f>
        <v>10851.486212385984</v>
      </c>
      <c r="BL86" s="59">
        <f ca="1">SUMPRODUCT($DK86:$ES86,'General Inputs'!$F$33:$AN$33,'General Inputs'!$F$53:$AN$53)/(1-Loss_ElectricDemand)</f>
        <v>2069.5259137765629</v>
      </c>
      <c r="BM86" s="59">
        <f ca="1">SUMPRODUCT($EU86:$GC86,'General Inputs'!$F$34:$AN$34,'General Inputs'!$F$53:$AN$53)/(1-Loss_GasEnergy)</f>
        <v>0</v>
      </c>
      <c r="BN86" s="59">
        <f ca="1">INDEX('General Inputs'!$F$53:$AN$53,MATCH($H86,'General Inputs'!$F$50:$AN$50,0))*$AJ86</f>
        <v>0</v>
      </c>
      <c r="BO86" s="59">
        <f ca="1">SUMPRODUCT($CA86:$DI86,'General Inputs'!$F$35:$AN$35,'General Inputs'!$F$53:$AN$53)/(1-Loss_ElectricEnergy)</f>
        <v>4139.233185535235</v>
      </c>
      <c r="BP86" s="59">
        <f ca="1">INDEX('General Inputs'!$F$51:$AN$51,MATCH($H86,'General Inputs'!$F$50:$AN$50,0))*$AM86</f>
        <v>0</v>
      </c>
      <c r="BQ86" s="59">
        <f ca="1">SUM(INDEX('General Inputs'!$F$53:$AN$53,MATCH($H86,'General Inputs'!$F$50:$AN$50,0))*$AG86,INDEX('General Inputs'!$F$53:$AN$53,MATCH($H86+$AL86,'General Inputs'!$F$50:$AN$50,0))*-$AH86)</f>
        <v>16000</v>
      </c>
      <c r="BR86" s="55"/>
      <c r="BS86" s="59">
        <f ca="1">SUMPRODUCT($CA86:$DI86,'General Inputs'!$F$32:$AN$32,'General Inputs'!$F$55:$AN$55)/(1-Loss_ElectricEnergy)</f>
        <v>10851.486212385984</v>
      </c>
      <c r="BT86" s="59">
        <f ca="1">SUMPRODUCT($DK86:$ES86,'General Inputs'!$F$33:$AN$33,'General Inputs'!$F$55:$AN$55)/(1-Loss_ElectricDemand)</f>
        <v>2069.5259137765629</v>
      </c>
      <c r="BU86" s="59">
        <f ca="1">SUMPRODUCT($EU86:$GC86,'General Inputs'!$F$34:$AN$34,'General Inputs'!$F$55:$AN$55)/(1-Loss_GasEnergy)</f>
        <v>0</v>
      </c>
      <c r="BV86" s="59">
        <f ca="1">SUMPRODUCT($CA86:$DI86,OFFSET('General Inputs'!$F$40:$AN$40,MATCH($D86&amp;" Electric ($/kWh)",'General Inputs'!$E$40:$E$46,0),),'General Inputs'!$F$55:$AN$55)</f>
        <v>0</v>
      </c>
      <c r="BW86" s="59">
        <f ca="1">SUMPRODUCT($EU86:$GC86,OFFSET('General Inputs'!$F$40:$AN$40,MATCH($D86&amp;" Natural Gas ($/therm)",'General Inputs'!$E$40:$E$46,0),),'General Inputs'!$F$55:$AN$55)</f>
        <v>0</v>
      </c>
      <c r="BX86" s="59">
        <f ca="1">INDEX('General Inputs'!$F$55:$AN$55,MATCH($H86,'General Inputs'!$F$50:$AN$50,0))*$AI86</f>
        <v>4400</v>
      </c>
      <c r="BY86" s="59">
        <f ca="1">INDEX('General Inputs'!$F$51:$AN$51,MATCH($H86,'General Inputs'!$F$50:$AN$50,0))*$AM86</f>
        <v>0</v>
      </c>
      <c r="BZ86" s="55"/>
      <c r="CA86" s="88">
        <f t="shared" ca="1" si="278"/>
        <v>39069.166016000003</v>
      </c>
      <c r="CB86" s="88">
        <f t="shared" ca="1" si="278"/>
        <v>39069.166016000003</v>
      </c>
      <c r="CC86" s="88">
        <f t="shared" ca="1" si="278"/>
        <v>39069.166016000003</v>
      </c>
      <c r="CD86" s="88">
        <f t="shared" ca="1" si="278"/>
        <v>39069.166016000003</v>
      </c>
      <c r="CE86" s="88">
        <f t="shared" ca="1" si="278"/>
        <v>39069.166016000003</v>
      </c>
      <c r="CF86" s="88">
        <f t="shared" ca="1" si="278"/>
        <v>39069.166016000003</v>
      </c>
      <c r="CG86" s="88">
        <f t="shared" ca="1" si="278"/>
        <v>39069.166016000003</v>
      </c>
      <c r="CH86" s="88">
        <f t="shared" ca="1" si="278"/>
        <v>39069.166016000003</v>
      </c>
      <c r="CI86" s="88">
        <f t="shared" ca="1" si="278"/>
        <v>39069.166016000003</v>
      </c>
      <c r="CJ86" s="88">
        <f t="shared" ca="1" si="278"/>
        <v>39069.166016000003</v>
      </c>
      <c r="CK86" s="88">
        <f t="shared" ca="1" si="279"/>
        <v>39069.166016000003</v>
      </c>
      <c r="CL86" s="88">
        <f t="shared" ca="1" si="279"/>
        <v>39069.166016000003</v>
      </c>
      <c r="CM86" s="88">
        <f t="shared" ca="1" si="279"/>
        <v>39069.166016000003</v>
      </c>
      <c r="CN86" s="88">
        <f t="shared" ca="1" si="279"/>
        <v>39069.166016000003</v>
      </c>
      <c r="CO86" s="88">
        <f t="shared" ca="1" si="279"/>
        <v>39069.166016000003</v>
      </c>
      <c r="CP86" s="88">
        <f t="shared" ca="1" si="279"/>
        <v>0</v>
      </c>
      <c r="CQ86" s="88">
        <f t="shared" ca="1" si="279"/>
        <v>0</v>
      </c>
      <c r="CR86" s="88">
        <f t="shared" ca="1" si="279"/>
        <v>0</v>
      </c>
      <c r="CS86" s="88">
        <f t="shared" ca="1" si="279"/>
        <v>0</v>
      </c>
      <c r="CT86" s="88">
        <f t="shared" ca="1" si="279"/>
        <v>0</v>
      </c>
      <c r="CU86" s="88">
        <f t="shared" ca="1" si="280"/>
        <v>0</v>
      </c>
      <c r="CV86" s="88">
        <f t="shared" ca="1" si="280"/>
        <v>0</v>
      </c>
      <c r="CW86" s="88">
        <f t="shared" ca="1" si="280"/>
        <v>0</v>
      </c>
      <c r="CX86" s="88">
        <f t="shared" ca="1" si="280"/>
        <v>0</v>
      </c>
      <c r="CY86" s="88">
        <f t="shared" ca="1" si="280"/>
        <v>0</v>
      </c>
      <c r="CZ86" s="88">
        <f t="shared" ca="1" si="280"/>
        <v>0</v>
      </c>
      <c r="DA86" s="88">
        <f t="shared" ca="1" si="280"/>
        <v>0</v>
      </c>
      <c r="DB86" s="88">
        <f t="shared" ca="1" si="280"/>
        <v>0</v>
      </c>
      <c r="DC86" s="88">
        <f t="shared" ca="1" si="280"/>
        <v>0</v>
      </c>
      <c r="DD86" s="88">
        <f t="shared" ca="1" si="280"/>
        <v>0</v>
      </c>
      <c r="DE86" s="88">
        <f t="shared" ca="1" si="280"/>
        <v>0</v>
      </c>
      <c r="DF86" s="88">
        <f t="shared" ca="1" si="280"/>
        <v>0</v>
      </c>
      <c r="DG86" s="88">
        <f t="shared" ca="1" si="280"/>
        <v>0</v>
      </c>
      <c r="DH86" s="88">
        <f t="shared" ca="1" si="280"/>
        <v>0</v>
      </c>
      <c r="DI86" s="88">
        <f t="shared" ca="1" si="280"/>
        <v>0</v>
      </c>
      <c r="DJ86" s="169"/>
      <c r="DK86" s="88">
        <f t="shared" ca="1" si="281"/>
        <v>10.359104000000002</v>
      </c>
      <c r="DL86" s="88">
        <f t="shared" ca="1" si="281"/>
        <v>10.359104000000002</v>
      </c>
      <c r="DM86" s="88">
        <f t="shared" ca="1" si="281"/>
        <v>10.359104000000002</v>
      </c>
      <c r="DN86" s="88">
        <f t="shared" ca="1" si="281"/>
        <v>10.359104000000002</v>
      </c>
      <c r="DO86" s="88">
        <f t="shared" ca="1" si="281"/>
        <v>10.359104000000002</v>
      </c>
      <c r="DP86" s="88">
        <f t="shared" ca="1" si="281"/>
        <v>10.359104000000002</v>
      </c>
      <c r="DQ86" s="88">
        <f t="shared" ca="1" si="281"/>
        <v>10.359104000000002</v>
      </c>
      <c r="DR86" s="88">
        <f t="shared" ca="1" si="281"/>
        <v>10.359104000000002</v>
      </c>
      <c r="DS86" s="88">
        <f t="shared" ca="1" si="281"/>
        <v>10.359104000000002</v>
      </c>
      <c r="DT86" s="88">
        <f t="shared" ca="1" si="281"/>
        <v>10.359104000000002</v>
      </c>
      <c r="DU86" s="88">
        <f t="shared" ca="1" si="282"/>
        <v>10.359104000000002</v>
      </c>
      <c r="DV86" s="88">
        <f t="shared" ca="1" si="282"/>
        <v>10.359104000000002</v>
      </c>
      <c r="DW86" s="88">
        <f t="shared" ca="1" si="282"/>
        <v>10.359104000000002</v>
      </c>
      <c r="DX86" s="88">
        <f t="shared" ca="1" si="282"/>
        <v>10.359104000000002</v>
      </c>
      <c r="DY86" s="88">
        <f t="shared" ca="1" si="282"/>
        <v>10.359104000000002</v>
      </c>
      <c r="DZ86" s="88">
        <f t="shared" ca="1" si="282"/>
        <v>0</v>
      </c>
      <c r="EA86" s="88">
        <f t="shared" ca="1" si="282"/>
        <v>0</v>
      </c>
      <c r="EB86" s="88">
        <f t="shared" ca="1" si="282"/>
        <v>0</v>
      </c>
      <c r="EC86" s="88">
        <f t="shared" ca="1" si="282"/>
        <v>0</v>
      </c>
      <c r="ED86" s="88">
        <f t="shared" ca="1" si="282"/>
        <v>0</v>
      </c>
      <c r="EE86" s="88">
        <f t="shared" ca="1" si="283"/>
        <v>0</v>
      </c>
      <c r="EF86" s="88">
        <f t="shared" ca="1" si="283"/>
        <v>0</v>
      </c>
      <c r="EG86" s="88">
        <f t="shared" ca="1" si="283"/>
        <v>0</v>
      </c>
      <c r="EH86" s="88">
        <f t="shared" ca="1" si="283"/>
        <v>0</v>
      </c>
      <c r="EI86" s="88">
        <f t="shared" ca="1" si="283"/>
        <v>0</v>
      </c>
      <c r="EJ86" s="88">
        <f t="shared" ca="1" si="283"/>
        <v>0</v>
      </c>
      <c r="EK86" s="88">
        <f t="shared" ca="1" si="283"/>
        <v>0</v>
      </c>
      <c r="EL86" s="88">
        <f t="shared" ca="1" si="283"/>
        <v>0</v>
      </c>
      <c r="EM86" s="88">
        <f t="shared" ca="1" si="283"/>
        <v>0</v>
      </c>
      <c r="EN86" s="88">
        <f t="shared" ca="1" si="283"/>
        <v>0</v>
      </c>
      <c r="EO86" s="88">
        <f t="shared" ca="1" si="283"/>
        <v>0</v>
      </c>
      <c r="EP86" s="88">
        <f t="shared" ca="1" si="283"/>
        <v>0</v>
      </c>
      <c r="EQ86" s="88">
        <f t="shared" ca="1" si="283"/>
        <v>0</v>
      </c>
      <c r="ER86" s="88">
        <f t="shared" ca="1" si="283"/>
        <v>0</v>
      </c>
      <c r="ES86" s="88">
        <f t="shared" ca="1" si="283"/>
        <v>0</v>
      </c>
      <c r="ET86" s="169"/>
      <c r="EU86" s="88">
        <f t="shared" ca="1" si="284"/>
        <v>0</v>
      </c>
      <c r="EV86" s="88">
        <f t="shared" ca="1" si="284"/>
        <v>0</v>
      </c>
      <c r="EW86" s="88">
        <f t="shared" ca="1" si="284"/>
        <v>0</v>
      </c>
      <c r="EX86" s="88">
        <f t="shared" ca="1" si="284"/>
        <v>0</v>
      </c>
      <c r="EY86" s="88">
        <f t="shared" ca="1" si="284"/>
        <v>0</v>
      </c>
      <c r="EZ86" s="88">
        <f t="shared" ca="1" si="284"/>
        <v>0</v>
      </c>
      <c r="FA86" s="88">
        <f t="shared" ca="1" si="284"/>
        <v>0</v>
      </c>
      <c r="FB86" s="88">
        <f t="shared" ca="1" si="284"/>
        <v>0</v>
      </c>
      <c r="FC86" s="88">
        <f t="shared" ca="1" si="284"/>
        <v>0</v>
      </c>
      <c r="FD86" s="88">
        <f t="shared" ca="1" si="284"/>
        <v>0</v>
      </c>
      <c r="FE86" s="88">
        <f t="shared" ca="1" si="285"/>
        <v>0</v>
      </c>
      <c r="FF86" s="88">
        <f t="shared" ca="1" si="285"/>
        <v>0</v>
      </c>
      <c r="FG86" s="88">
        <f t="shared" ca="1" si="285"/>
        <v>0</v>
      </c>
      <c r="FH86" s="88">
        <f t="shared" ca="1" si="285"/>
        <v>0</v>
      </c>
      <c r="FI86" s="88">
        <f t="shared" ca="1" si="285"/>
        <v>0</v>
      </c>
      <c r="FJ86" s="88">
        <f t="shared" ca="1" si="285"/>
        <v>0</v>
      </c>
      <c r="FK86" s="88">
        <f t="shared" ca="1" si="285"/>
        <v>0</v>
      </c>
      <c r="FL86" s="88">
        <f t="shared" ca="1" si="285"/>
        <v>0</v>
      </c>
      <c r="FM86" s="88">
        <f t="shared" ca="1" si="285"/>
        <v>0</v>
      </c>
      <c r="FN86" s="88">
        <f t="shared" ca="1" si="285"/>
        <v>0</v>
      </c>
      <c r="FO86" s="88">
        <f t="shared" ca="1" si="286"/>
        <v>0</v>
      </c>
      <c r="FP86" s="88">
        <f t="shared" ca="1" si="286"/>
        <v>0</v>
      </c>
      <c r="FQ86" s="88">
        <f t="shared" ca="1" si="286"/>
        <v>0</v>
      </c>
      <c r="FR86" s="88">
        <f t="shared" ca="1" si="286"/>
        <v>0</v>
      </c>
      <c r="FS86" s="88">
        <f t="shared" ca="1" si="286"/>
        <v>0</v>
      </c>
      <c r="FT86" s="88">
        <f t="shared" ca="1" si="286"/>
        <v>0</v>
      </c>
      <c r="FU86" s="88">
        <f t="shared" ca="1" si="286"/>
        <v>0</v>
      </c>
      <c r="FV86" s="88">
        <f t="shared" ca="1" si="286"/>
        <v>0</v>
      </c>
      <c r="FW86" s="88">
        <f t="shared" ca="1" si="286"/>
        <v>0</v>
      </c>
      <c r="FX86" s="88">
        <f t="shared" ca="1" si="286"/>
        <v>0</v>
      </c>
      <c r="FY86" s="88">
        <f t="shared" ca="1" si="286"/>
        <v>0</v>
      </c>
      <c r="FZ86" s="88">
        <f t="shared" ca="1" si="286"/>
        <v>0</v>
      </c>
      <c r="GA86" s="88">
        <f t="shared" ca="1" si="286"/>
        <v>0</v>
      </c>
      <c r="GB86" s="88">
        <f t="shared" ca="1" si="286"/>
        <v>0</v>
      </c>
      <c r="GC86" s="88">
        <f t="shared" ca="1" si="286"/>
        <v>0</v>
      </c>
      <c r="GD86" s="60"/>
    </row>
    <row r="87" spans="1:186" s="54" customFormat="1" ht="14.45" customHeight="1">
      <c r="A87" s="61"/>
      <c r="B87" s="100" t="str">
        <f t="shared" si="277"/>
        <v>C&amp;I_C&amp;I Prescriptive_0_High Bay Fluorescent Fixture w/ HE Electronic Ballast (T8 6-8 lamp)_2017</v>
      </c>
      <c r="C87" s="100">
        <f>INDEX('Measure Inputs'!$D:$D,MATCH($B87,'Measure Inputs'!$B:$B,0))</f>
        <v>39</v>
      </c>
      <c r="D87" s="101" t="s">
        <v>256</v>
      </c>
      <c r="E87" s="101" t="s">
        <v>255</v>
      </c>
      <c r="F87" s="101">
        <v>0</v>
      </c>
      <c r="G87" s="101" t="s">
        <v>275</v>
      </c>
      <c r="H87" s="101">
        <v>2017</v>
      </c>
      <c r="I87" s="55"/>
      <c r="J87" s="58">
        <f t="shared" ca="1" si="229"/>
        <v>2.1163421669255542</v>
      </c>
      <c r="K87" s="58">
        <f t="shared" ca="1" si="246"/>
        <v>6.3490265007766622</v>
      </c>
      <c r="L87" s="58">
        <f t="shared" ca="1" si="230"/>
        <v>0.33333333333333331</v>
      </c>
      <c r="M87" s="58">
        <f t="shared" ca="1" si="231"/>
        <v>2.7943102427815028</v>
      </c>
      <c r="N87" s="58">
        <f t="shared" ca="1" si="232"/>
        <v>6.3490265007766622</v>
      </c>
      <c r="O87" s="55"/>
      <c r="P87" s="175">
        <f ca="1">IFERROR(($AW87+AV87)/SUMPRODUCT($CA87:$DI87,'General Inputs'!$F$51:$AN$51),"n/a")</f>
        <v>5.8814099463986866E-3</v>
      </c>
      <c r="Q87" s="175">
        <f t="shared" ca="1" si="233"/>
        <v>5.2090107478177196E-2</v>
      </c>
      <c r="R87" s="56">
        <f t="shared" ca="1" si="260"/>
        <v>1727.77527936</v>
      </c>
      <c r="S87" s="55"/>
      <c r="T87" s="56">
        <f ca="1">INDEX(OFFSET('Measure Inputs'!$L$7,,,InputRows),$C87)</f>
        <v>80</v>
      </c>
      <c r="U87" s="134">
        <f ca="1">INDEX(OFFSET('Measure Inputs'!$T$7,,,InputRows),$C87)</f>
        <v>1</v>
      </c>
      <c r="V87" s="134">
        <f ca="1">INDEX(OFFSET('Measure Inputs'!$U$7,,,InputRows),$C87)</f>
        <v>1</v>
      </c>
      <c r="W87" s="55"/>
      <c r="X87" s="96">
        <f ca="1">INDEX(OFFSET('Measure Inputs'!$V$7,,,InputRows),$C87)*$T87*$V87*$U87</f>
        <v>115185.01862399996</v>
      </c>
      <c r="Y87" s="96">
        <f ca="1">INDEX(OFFSET('Measure Inputs'!$W$7,,,InputRows),$C87)*$T87*$V87*$U87</f>
        <v>30.541055999999998</v>
      </c>
      <c r="Z87" s="96">
        <f ca="1">INDEX(OFFSET('Measure Inputs'!$X$7,,,InputRows),$C87)*$T87*$V87*$U87</f>
        <v>0</v>
      </c>
      <c r="AA87" s="55"/>
      <c r="AB87" s="96">
        <f ca="1">INDEX(OFFSET('Measure Inputs'!$Z$7,,,InputRows),$C87)*$T87*$V87*$U87</f>
        <v>0</v>
      </c>
      <c r="AC87" s="96">
        <f ca="1">INDEX(OFFSET('Measure Inputs'!$AA$7,,,InputRows),$C87)*$T87*$V87*$U87</f>
        <v>0</v>
      </c>
      <c r="AD87" s="96">
        <f ca="1">INDEX(OFFSET('Measure Inputs'!$AB$7,,,InputRows),$C87)*$T87*$V87*$U87</f>
        <v>0</v>
      </c>
      <c r="AE87" s="55"/>
      <c r="AF87" s="57">
        <f ca="1">INDEX(OFFSET('Measure Inputs'!$Q$7,,,InputRows),$C87)*$T87</f>
        <v>0</v>
      </c>
      <c r="AG87" s="57">
        <f ca="1">INDEX(OFFSET('Measure Inputs'!$P$7,,,InputRows),$C87)*$T87*$V87</f>
        <v>18000</v>
      </c>
      <c r="AH87" s="57">
        <f ca="1">INDEX(OFFSET('Measure Inputs'!$R$7,,,InputRows),$C87)*$T87*$V87</f>
        <v>0</v>
      </c>
      <c r="AI87" s="57">
        <f ca="1">INDEX(OFFSET('Measure Inputs'!$O$7,,,InputRows),$C87)*$T87</f>
        <v>6000</v>
      </c>
      <c r="AJ87" s="57">
        <f ca="1">INDEX(OFFSET('Measure Inputs'!$S$7,,,InputRows),$C87)*$T87</f>
        <v>0</v>
      </c>
      <c r="AK87" s="63">
        <f ca="1">INDEX(OFFSET('Measure Inputs'!$M$7,,,InputRows),$C87)</f>
        <v>15</v>
      </c>
      <c r="AL87" s="88">
        <f ca="1">INDEX(OFFSET('Measure Inputs'!$N$7,,,InputRows),$C87)</f>
        <v>0</v>
      </c>
      <c r="AM87" s="57">
        <f ca="1">SUMIFS(OFFSET('Program Inputs'!$N$5,,,TotalPrograms),OFFSET('Program Inputs'!$B$5,,,TotalPrograms),SUBSTITUTE($B87,"All","*"))+AF87</f>
        <v>0</v>
      </c>
      <c r="AN87" s="57">
        <f t="shared" ca="1" si="261"/>
        <v>6000</v>
      </c>
      <c r="AO87" s="55"/>
      <c r="AP87" s="59">
        <f t="shared" ca="1" si="262"/>
        <v>38094.159004659974</v>
      </c>
      <c r="AQ87" s="59">
        <f t="shared" ca="1" si="263"/>
        <v>18000</v>
      </c>
      <c r="AR87" s="59">
        <f ca="1">SUMPRODUCT($CA87:$DI87,'General Inputs'!$F$32:$AN$32,'General Inputs'!$F$51:$AN$51)/(1-Loss_ElectricEnergy)</f>
        <v>31992.713664782979</v>
      </c>
      <c r="AS87" s="59">
        <f ca="1">SUMPRODUCT($DK87:$ES87,'General Inputs'!$F$33:$AN$33,'General Inputs'!$F$51:$AN$51)/(1-Loss_ElectricDemand)</f>
        <v>6101.4453398769974</v>
      </c>
      <c r="AT87" s="59">
        <f ca="1">SUMPRODUCT($EU87:$GC87,'General Inputs'!$F$34:$AN$34,'General Inputs'!$F$51:$AN$51)/(1-Loss_GasEnergy)</f>
        <v>0</v>
      </c>
      <c r="AU87" s="59">
        <f ca="1">INDEX('General Inputs'!$F$51:$AN$51,MATCH($H87,'General Inputs'!$F$50:$AN$50,0))*$AJ87</f>
        <v>0</v>
      </c>
      <c r="AV87" s="59">
        <f ca="1">INDEX('General Inputs'!$F$51:$AN$51,MATCH($H87,'General Inputs'!$F$50:$AN$50,0))*$AI87</f>
        <v>6000</v>
      </c>
      <c r="AW87" s="59">
        <f ca="1">INDEX('General Inputs'!$F$51:$AN$51,MATCH($H87,'General Inputs'!$F$50:$AN$50,0))*$AM87</f>
        <v>0</v>
      </c>
      <c r="AX87" s="59">
        <f ca="1">SUM(INDEX('General Inputs'!$F$51:$AN$51,MATCH($H87,'General Inputs'!$F$50:$AN$50,0))*$AG87,INDEX('General Inputs'!$F$51:$AN$51,MATCH($H87+$AL87,'General Inputs'!$F$50:$AN$50,0))*-$AH87)</f>
        <v>18000</v>
      </c>
      <c r="AY87" s="55"/>
      <c r="AZ87" s="59">
        <f ca="1">SUMPRODUCT($CA87:$DI87,'General Inputs'!$F$32:$AN$32,'General Inputs'!$F$52:$AN$52)/(1-Loss_ElectricEnergy)</f>
        <v>31992.713664782979</v>
      </c>
      <c r="BA87" s="59">
        <f ca="1">SUMPRODUCT($DK87:$ES87,'General Inputs'!$F$33:$AN$33,'General Inputs'!$F$52:$AN$52)/(1-Loss_ElectricDemand)</f>
        <v>6101.4453398769974</v>
      </c>
      <c r="BB87" s="59">
        <f ca="1">SUMPRODUCT($EU87:$GC87,'General Inputs'!$F$34:$AN$34,'General Inputs'!$F$52:$AN$52)/(1-Loss_GasEnergy)</f>
        <v>0</v>
      </c>
      <c r="BC87" s="59">
        <f ca="1">INDEX('General Inputs'!$F$52:$AN$52,MATCH($H87,'General Inputs'!$F$50:$AN$50,0))*$AI87</f>
        <v>6000</v>
      </c>
      <c r="BD87" s="59">
        <f ca="1">INDEX('General Inputs'!$F$52:$AN$52,MATCH($H87,'General Inputs'!$F$50:$AN$50,0))*$AM87</f>
        <v>0</v>
      </c>
      <c r="BE87" s="55"/>
      <c r="BF87" s="59">
        <f ca="1">SUMPRODUCT($CA87:$DI87,OFFSET('General Inputs'!$F$40:$AN$40,MATCH($D87&amp;" Electric ($/kWh)",'General Inputs'!$E$40:$E$46,0),),'General Inputs'!$F$54:$AN$54)</f>
        <v>0</v>
      </c>
      <c r="BG87" s="59">
        <f ca="1">SUMPRODUCT($EU87:$GC87,OFFSET('General Inputs'!$F$40:$AN$40,MATCH($D87&amp;" Natural Gas ($/therm)",'General Inputs'!$E$40:$E$46,0),),'General Inputs'!$F$54:$AN$54)</f>
        <v>0</v>
      </c>
      <c r="BH87" s="59">
        <f ca="1">INDEX('General Inputs'!$F$54:$AN$54,MATCH($H87,'General Inputs'!$F$50:$AN$50,0))*$AI87</f>
        <v>6000</v>
      </c>
      <c r="BI87" s="59">
        <f ca="1">SUM(INDEX('General Inputs'!$F$54:$AN$54,MATCH($H87,'General Inputs'!$F$50:$AN$50,0))*$AG87,INDEX('General Inputs'!$F$51:$AN$51,MATCH($H87+$AL87,'General Inputs'!$F$50:$AN$50,0))*-$AH87)</f>
        <v>18000</v>
      </c>
      <c r="BJ87" s="55"/>
      <c r="BK87" s="59">
        <f ca="1">SUMPRODUCT($CA87:$DI87,'General Inputs'!$F$32:$AN$32,'General Inputs'!$F$53:$AN$53)/(1-Loss_ElectricEnergy)</f>
        <v>31992.713664782979</v>
      </c>
      <c r="BL87" s="59">
        <f ca="1">SUMPRODUCT($DK87:$ES87,'General Inputs'!$F$33:$AN$33,'General Inputs'!$F$53:$AN$53)/(1-Loss_ElectricDemand)</f>
        <v>6101.4453398769974</v>
      </c>
      <c r="BM87" s="59">
        <f ca="1">SUMPRODUCT($EU87:$GC87,'General Inputs'!$F$34:$AN$34,'General Inputs'!$F$53:$AN$53)/(1-Loss_GasEnergy)</f>
        <v>0</v>
      </c>
      <c r="BN87" s="59">
        <f ca="1">INDEX('General Inputs'!$F$53:$AN$53,MATCH($H87,'General Inputs'!$F$50:$AN$50,0))*$AJ87</f>
        <v>0</v>
      </c>
      <c r="BO87" s="59">
        <f ca="1">SUMPRODUCT($CA87:$DI87,'General Inputs'!$F$35:$AN$35,'General Inputs'!$F$53:$AN$53)/(1-Loss_ElectricEnergy)</f>
        <v>12203.425365407082</v>
      </c>
      <c r="BP87" s="59">
        <f ca="1">INDEX('General Inputs'!$F$51:$AN$51,MATCH($H87,'General Inputs'!$F$50:$AN$50,0))*$AM87</f>
        <v>0</v>
      </c>
      <c r="BQ87" s="59">
        <f ca="1">SUM(INDEX('General Inputs'!$F$53:$AN$53,MATCH($H87,'General Inputs'!$F$50:$AN$50,0))*$AG87,INDEX('General Inputs'!$F$53:$AN$53,MATCH($H87+$AL87,'General Inputs'!$F$50:$AN$50,0))*-$AH87)</f>
        <v>18000</v>
      </c>
      <c r="BR87" s="55"/>
      <c r="BS87" s="59">
        <f ca="1">SUMPRODUCT($CA87:$DI87,'General Inputs'!$F$32:$AN$32,'General Inputs'!$F$55:$AN$55)/(1-Loss_ElectricEnergy)</f>
        <v>31992.713664782979</v>
      </c>
      <c r="BT87" s="59">
        <f ca="1">SUMPRODUCT($DK87:$ES87,'General Inputs'!$F$33:$AN$33,'General Inputs'!$F$55:$AN$55)/(1-Loss_ElectricDemand)</f>
        <v>6101.4453398769974</v>
      </c>
      <c r="BU87" s="59">
        <f ca="1">SUMPRODUCT($EU87:$GC87,'General Inputs'!$F$34:$AN$34,'General Inputs'!$F$55:$AN$55)/(1-Loss_GasEnergy)</f>
        <v>0</v>
      </c>
      <c r="BV87" s="59">
        <f ca="1">SUMPRODUCT($CA87:$DI87,OFFSET('General Inputs'!$F$40:$AN$40,MATCH($D87&amp;" Electric ($/kWh)",'General Inputs'!$E$40:$E$46,0),),'General Inputs'!$F$55:$AN$55)</f>
        <v>0</v>
      </c>
      <c r="BW87" s="59">
        <f ca="1">SUMPRODUCT($EU87:$GC87,OFFSET('General Inputs'!$F$40:$AN$40,MATCH($D87&amp;" Natural Gas ($/therm)",'General Inputs'!$E$40:$E$46,0),),'General Inputs'!$F$55:$AN$55)</f>
        <v>0</v>
      </c>
      <c r="BX87" s="59">
        <f ca="1">INDEX('General Inputs'!$F$55:$AN$55,MATCH($H87,'General Inputs'!$F$50:$AN$50,0))*$AI87</f>
        <v>6000</v>
      </c>
      <c r="BY87" s="59">
        <f ca="1">INDEX('General Inputs'!$F$51:$AN$51,MATCH($H87,'General Inputs'!$F$50:$AN$50,0))*$AM87</f>
        <v>0</v>
      </c>
      <c r="BZ87" s="55"/>
      <c r="CA87" s="88">
        <f t="shared" ca="1" si="278"/>
        <v>115185.01862399996</v>
      </c>
      <c r="CB87" s="88">
        <f t="shared" ca="1" si="278"/>
        <v>115185.01862399996</v>
      </c>
      <c r="CC87" s="88">
        <f t="shared" ca="1" si="278"/>
        <v>115185.01862399996</v>
      </c>
      <c r="CD87" s="88">
        <f t="shared" ca="1" si="278"/>
        <v>115185.01862399996</v>
      </c>
      <c r="CE87" s="88">
        <f t="shared" ca="1" si="278"/>
        <v>115185.01862399996</v>
      </c>
      <c r="CF87" s="88">
        <f t="shared" ca="1" si="278"/>
        <v>115185.01862399996</v>
      </c>
      <c r="CG87" s="88">
        <f t="shared" ca="1" si="278"/>
        <v>115185.01862399996</v>
      </c>
      <c r="CH87" s="88">
        <f t="shared" ca="1" si="278"/>
        <v>115185.01862399996</v>
      </c>
      <c r="CI87" s="88">
        <f t="shared" ca="1" si="278"/>
        <v>115185.01862399996</v>
      </c>
      <c r="CJ87" s="88">
        <f t="shared" ca="1" si="278"/>
        <v>115185.01862399996</v>
      </c>
      <c r="CK87" s="88">
        <f t="shared" ca="1" si="279"/>
        <v>115185.01862399996</v>
      </c>
      <c r="CL87" s="88">
        <f t="shared" ca="1" si="279"/>
        <v>115185.01862399996</v>
      </c>
      <c r="CM87" s="88">
        <f t="shared" ca="1" si="279"/>
        <v>115185.01862399996</v>
      </c>
      <c r="CN87" s="88">
        <f t="shared" ca="1" si="279"/>
        <v>115185.01862399996</v>
      </c>
      <c r="CO87" s="88">
        <f t="shared" ca="1" si="279"/>
        <v>115185.01862399996</v>
      </c>
      <c r="CP87" s="88">
        <f t="shared" ca="1" si="279"/>
        <v>0</v>
      </c>
      <c r="CQ87" s="88">
        <f t="shared" ca="1" si="279"/>
        <v>0</v>
      </c>
      <c r="CR87" s="88">
        <f t="shared" ca="1" si="279"/>
        <v>0</v>
      </c>
      <c r="CS87" s="88">
        <f t="shared" ca="1" si="279"/>
        <v>0</v>
      </c>
      <c r="CT87" s="88">
        <f t="shared" ca="1" si="279"/>
        <v>0</v>
      </c>
      <c r="CU87" s="88">
        <f t="shared" ca="1" si="280"/>
        <v>0</v>
      </c>
      <c r="CV87" s="88">
        <f t="shared" ca="1" si="280"/>
        <v>0</v>
      </c>
      <c r="CW87" s="88">
        <f t="shared" ca="1" si="280"/>
        <v>0</v>
      </c>
      <c r="CX87" s="88">
        <f t="shared" ca="1" si="280"/>
        <v>0</v>
      </c>
      <c r="CY87" s="88">
        <f t="shared" ca="1" si="280"/>
        <v>0</v>
      </c>
      <c r="CZ87" s="88">
        <f t="shared" ca="1" si="280"/>
        <v>0</v>
      </c>
      <c r="DA87" s="88">
        <f t="shared" ca="1" si="280"/>
        <v>0</v>
      </c>
      <c r="DB87" s="88">
        <f t="shared" ca="1" si="280"/>
        <v>0</v>
      </c>
      <c r="DC87" s="88">
        <f t="shared" ca="1" si="280"/>
        <v>0</v>
      </c>
      <c r="DD87" s="88">
        <f t="shared" ca="1" si="280"/>
        <v>0</v>
      </c>
      <c r="DE87" s="88">
        <f t="shared" ca="1" si="280"/>
        <v>0</v>
      </c>
      <c r="DF87" s="88">
        <f t="shared" ca="1" si="280"/>
        <v>0</v>
      </c>
      <c r="DG87" s="88">
        <f t="shared" ca="1" si="280"/>
        <v>0</v>
      </c>
      <c r="DH87" s="88">
        <f t="shared" ca="1" si="280"/>
        <v>0</v>
      </c>
      <c r="DI87" s="88">
        <f t="shared" ca="1" si="280"/>
        <v>0</v>
      </c>
      <c r="DJ87" s="169"/>
      <c r="DK87" s="88">
        <f t="shared" ca="1" si="281"/>
        <v>30.541055999999998</v>
      </c>
      <c r="DL87" s="88">
        <f t="shared" ca="1" si="281"/>
        <v>30.541055999999998</v>
      </c>
      <c r="DM87" s="88">
        <f t="shared" ca="1" si="281"/>
        <v>30.541055999999998</v>
      </c>
      <c r="DN87" s="88">
        <f t="shared" ca="1" si="281"/>
        <v>30.541055999999998</v>
      </c>
      <c r="DO87" s="88">
        <f t="shared" ca="1" si="281"/>
        <v>30.541055999999998</v>
      </c>
      <c r="DP87" s="88">
        <f t="shared" ca="1" si="281"/>
        <v>30.541055999999998</v>
      </c>
      <c r="DQ87" s="88">
        <f t="shared" ca="1" si="281"/>
        <v>30.541055999999998</v>
      </c>
      <c r="DR87" s="88">
        <f t="shared" ca="1" si="281"/>
        <v>30.541055999999998</v>
      </c>
      <c r="DS87" s="88">
        <f t="shared" ca="1" si="281"/>
        <v>30.541055999999998</v>
      </c>
      <c r="DT87" s="88">
        <f t="shared" ca="1" si="281"/>
        <v>30.541055999999998</v>
      </c>
      <c r="DU87" s="88">
        <f t="shared" ca="1" si="282"/>
        <v>30.541055999999998</v>
      </c>
      <c r="DV87" s="88">
        <f t="shared" ca="1" si="282"/>
        <v>30.541055999999998</v>
      </c>
      <c r="DW87" s="88">
        <f t="shared" ca="1" si="282"/>
        <v>30.541055999999998</v>
      </c>
      <c r="DX87" s="88">
        <f t="shared" ca="1" si="282"/>
        <v>30.541055999999998</v>
      </c>
      <c r="DY87" s="88">
        <f t="shared" ca="1" si="282"/>
        <v>30.541055999999998</v>
      </c>
      <c r="DZ87" s="88">
        <f t="shared" ca="1" si="282"/>
        <v>0</v>
      </c>
      <c r="EA87" s="88">
        <f t="shared" ca="1" si="282"/>
        <v>0</v>
      </c>
      <c r="EB87" s="88">
        <f t="shared" ca="1" si="282"/>
        <v>0</v>
      </c>
      <c r="EC87" s="88">
        <f t="shared" ca="1" si="282"/>
        <v>0</v>
      </c>
      <c r="ED87" s="88">
        <f t="shared" ca="1" si="282"/>
        <v>0</v>
      </c>
      <c r="EE87" s="88">
        <f t="shared" ca="1" si="283"/>
        <v>0</v>
      </c>
      <c r="EF87" s="88">
        <f t="shared" ca="1" si="283"/>
        <v>0</v>
      </c>
      <c r="EG87" s="88">
        <f t="shared" ca="1" si="283"/>
        <v>0</v>
      </c>
      <c r="EH87" s="88">
        <f t="shared" ca="1" si="283"/>
        <v>0</v>
      </c>
      <c r="EI87" s="88">
        <f t="shared" ca="1" si="283"/>
        <v>0</v>
      </c>
      <c r="EJ87" s="88">
        <f t="shared" ca="1" si="283"/>
        <v>0</v>
      </c>
      <c r="EK87" s="88">
        <f t="shared" ca="1" si="283"/>
        <v>0</v>
      </c>
      <c r="EL87" s="88">
        <f t="shared" ca="1" si="283"/>
        <v>0</v>
      </c>
      <c r="EM87" s="88">
        <f t="shared" ca="1" si="283"/>
        <v>0</v>
      </c>
      <c r="EN87" s="88">
        <f t="shared" ca="1" si="283"/>
        <v>0</v>
      </c>
      <c r="EO87" s="88">
        <f t="shared" ca="1" si="283"/>
        <v>0</v>
      </c>
      <c r="EP87" s="88">
        <f t="shared" ca="1" si="283"/>
        <v>0</v>
      </c>
      <c r="EQ87" s="88">
        <f t="shared" ca="1" si="283"/>
        <v>0</v>
      </c>
      <c r="ER87" s="88">
        <f t="shared" ca="1" si="283"/>
        <v>0</v>
      </c>
      <c r="ES87" s="88">
        <f t="shared" ca="1" si="283"/>
        <v>0</v>
      </c>
      <c r="ET87" s="169"/>
      <c r="EU87" s="88">
        <f t="shared" ca="1" si="284"/>
        <v>0</v>
      </c>
      <c r="EV87" s="88">
        <f t="shared" ca="1" si="284"/>
        <v>0</v>
      </c>
      <c r="EW87" s="88">
        <f t="shared" ca="1" si="284"/>
        <v>0</v>
      </c>
      <c r="EX87" s="88">
        <f t="shared" ca="1" si="284"/>
        <v>0</v>
      </c>
      <c r="EY87" s="88">
        <f t="shared" ca="1" si="284"/>
        <v>0</v>
      </c>
      <c r="EZ87" s="88">
        <f t="shared" ca="1" si="284"/>
        <v>0</v>
      </c>
      <c r="FA87" s="88">
        <f t="shared" ca="1" si="284"/>
        <v>0</v>
      </c>
      <c r="FB87" s="88">
        <f t="shared" ca="1" si="284"/>
        <v>0</v>
      </c>
      <c r="FC87" s="88">
        <f t="shared" ca="1" si="284"/>
        <v>0</v>
      </c>
      <c r="FD87" s="88">
        <f t="shared" ca="1" si="284"/>
        <v>0</v>
      </c>
      <c r="FE87" s="88">
        <f t="shared" ca="1" si="285"/>
        <v>0</v>
      </c>
      <c r="FF87" s="88">
        <f t="shared" ca="1" si="285"/>
        <v>0</v>
      </c>
      <c r="FG87" s="88">
        <f t="shared" ca="1" si="285"/>
        <v>0</v>
      </c>
      <c r="FH87" s="88">
        <f t="shared" ca="1" si="285"/>
        <v>0</v>
      </c>
      <c r="FI87" s="88">
        <f t="shared" ca="1" si="285"/>
        <v>0</v>
      </c>
      <c r="FJ87" s="88">
        <f t="shared" ca="1" si="285"/>
        <v>0</v>
      </c>
      <c r="FK87" s="88">
        <f t="shared" ca="1" si="285"/>
        <v>0</v>
      </c>
      <c r="FL87" s="88">
        <f t="shared" ca="1" si="285"/>
        <v>0</v>
      </c>
      <c r="FM87" s="88">
        <f t="shared" ca="1" si="285"/>
        <v>0</v>
      </c>
      <c r="FN87" s="88">
        <f t="shared" ca="1" si="285"/>
        <v>0</v>
      </c>
      <c r="FO87" s="88">
        <f t="shared" ca="1" si="286"/>
        <v>0</v>
      </c>
      <c r="FP87" s="88">
        <f t="shared" ca="1" si="286"/>
        <v>0</v>
      </c>
      <c r="FQ87" s="88">
        <f t="shared" ca="1" si="286"/>
        <v>0</v>
      </c>
      <c r="FR87" s="88">
        <f t="shared" ca="1" si="286"/>
        <v>0</v>
      </c>
      <c r="FS87" s="88">
        <f t="shared" ca="1" si="286"/>
        <v>0</v>
      </c>
      <c r="FT87" s="88">
        <f t="shared" ca="1" si="286"/>
        <v>0</v>
      </c>
      <c r="FU87" s="88">
        <f t="shared" ca="1" si="286"/>
        <v>0</v>
      </c>
      <c r="FV87" s="88">
        <f t="shared" ca="1" si="286"/>
        <v>0</v>
      </c>
      <c r="FW87" s="88">
        <f t="shared" ca="1" si="286"/>
        <v>0</v>
      </c>
      <c r="FX87" s="88">
        <f t="shared" ca="1" si="286"/>
        <v>0</v>
      </c>
      <c r="FY87" s="88">
        <f t="shared" ca="1" si="286"/>
        <v>0</v>
      </c>
      <c r="FZ87" s="88">
        <f t="shared" ca="1" si="286"/>
        <v>0</v>
      </c>
      <c r="GA87" s="88">
        <f t="shared" ca="1" si="286"/>
        <v>0</v>
      </c>
      <c r="GB87" s="88">
        <f t="shared" ca="1" si="286"/>
        <v>0</v>
      </c>
      <c r="GC87" s="88">
        <f t="shared" ca="1" si="286"/>
        <v>0</v>
      </c>
      <c r="GD87" s="60"/>
    </row>
    <row r="88" spans="1:186" s="54" customFormat="1" ht="14.45" customHeight="1">
      <c r="A88" s="61"/>
      <c r="B88" s="100" t="str">
        <f t="shared" si="277"/>
        <v>C&amp;I_C&amp;I Prescriptive_0_High Bay Fluorescent Fixture w/ HE Electronic Ballast (T8 12-16 lamp)_2017</v>
      </c>
      <c r="C88" s="100">
        <f>INDEX('Measure Inputs'!$D:$D,MATCH($B88,'Measure Inputs'!$B:$B,0))</f>
        <v>40</v>
      </c>
      <c r="D88" s="101" t="s">
        <v>256</v>
      </c>
      <c r="E88" s="101" t="s">
        <v>255</v>
      </c>
      <c r="F88" s="101">
        <v>0</v>
      </c>
      <c r="G88" s="101" t="s">
        <v>276</v>
      </c>
      <c r="H88" s="101">
        <v>2017</v>
      </c>
      <c r="I88" s="55"/>
      <c r="J88" s="58">
        <f t="shared" ca="1" si="229"/>
        <v>3.0242812688064102</v>
      </c>
      <c r="K88" s="58">
        <f t="shared" ca="1" si="246"/>
        <v>8.8949449082541481</v>
      </c>
      <c r="L88" s="58">
        <f t="shared" ca="1" si="230"/>
        <v>0.34</v>
      </c>
      <c r="M88" s="58">
        <f t="shared" ca="1" si="231"/>
        <v>3.9931067190115965</v>
      </c>
      <c r="N88" s="58">
        <f t="shared" ca="1" si="232"/>
        <v>8.8949449082541481</v>
      </c>
      <c r="O88" s="55"/>
      <c r="P88" s="175">
        <f ca="1">IFERROR(($AW88+AV88)/SUMPRODUCT($CA88:$DI88,'General Inputs'!$F$51:$AN$51),"n/a")</f>
        <v>4.1980279806978433E-3</v>
      </c>
      <c r="Q88" s="175">
        <f t="shared" ca="1" si="233"/>
        <v>3.7180834307400323E-2</v>
      </c>
      <c r="R88" s="56">
        <f t="shared" ca="1" si="260"/>
        <v>2743.3488758400013</v>
      </c>
      <c r="S88" s="55"/>
      <c r="T88" s="56">
        <f ca="1">INDEX(OFFSET('Measure Inputs'!$L$7,,,InputRows),$C88)</f>
        <v>80</v>
      </c>
      <c r="U88" s="134">
        <f ca="1">INDEX(OFFSET('Measure Inputs'!$T$7,,,InputRows),$C88)</f>
        <v>1</v>
      </c>
      <c r="V88" s="134">
        <f ca="1">INDEX(OFFSET('Measure Inputs'!$U$7,,,InputRows),$C88)</f>
        <v>1</v>
      </c>
      <c r="W88" s="55"/>
      <c r="X88" s="96">
        <f ca="1">INDEX(OFFSET('Measure Inputs'!$V$7,,,InputRows),$C88)*$T88*$V88*$U88</f>
        <v>182889.92505600004</v>
      </c>
      <c r="Y88" s="96">
        <f ca="1">INDEX(OFFSET('Measure Inputs'!$W$7,,,InputRows),$C88)*$T88*$V88*$U88</f>
        <v>48.492864000000004</v>
      </c>
      <c r="Z88" s="96">
        <f ca="1">INDEX(OFFSET('Measure Inputs'!$X$7,,,InputRows),$C88)*$T88*$V88*$U88</f>
        <v>0</v>
      </c>
      <c r="AA88" s="55"/>
      <c r="AB88" s="96">
        <f ca="1">INDEX(OFFSET('Measure Inputs'!$Z$7,,,InputRows),$C88)*$T88*$V88*$U88</f>
        <v>0</v>
      </c>
      <c r="AC88" s="96">
        <f ca="1">INDEX(OFFSET('Measure Inputs'!$AA$7,,,InputRows),$C88)*$T88*$V88*$U88</f>
        <v>0</v>
      </c>
      <c r="AD88" s="96">
        <f ca="1">INDEX(OFFSET('Measure Inputs'!$AB$7,,,InputRows),$C88)*$T88*$V88*$U88</f>
        <v>0</v>
      </c>
      <c r="AE88" s="55"/>
      <c r="AF88" s="57">
        <f ca="1">INDEX(OFFSET('Measure Inputs'!$Q$7,,,InputRows),$C88)*$T88</f>
        <v>0</v>
      </c>
      <c r="AG88" s="57">
        <f ca="1">INDEX(OFFSET('Measure Inputs'!$P$7,,,InputRows),$C88)*$T88*$V88</f>
        <v>20000</v>
      </c>
      <c r="AH88" s="57">
        <f ca="1">INDEX(OFFSET('Measure Inputs'!$R$7,,,InputRows),$C88)*$T88*$V88</f>
        <v>0</v>
      </c>
      <c r="AI88" s="57">
        <f ca="1">INDEX(OFFSET('Measure Inputs'!$O$7,,,InputRows),$C88)*$T88</f>
        <v>6800</v>
      </c>
      <c r="AJ88" s="57">
        <f ca="1">INDEX(OFFSET('Measure Inputs'!$S$7,,,InputRows),$C88)*$T88</f>
        <v>0</v>
      </c>
      <c r="AK88" s="63">
        <f ca="1">INDEX(OFFSET('Measure Inputs'!$M$7,,,InputRows),$C88)</f>
        <v>15</v>
      </c>
      <c r="AL88" s="88">
        <f ca="1">INDEX(OFFSET('Measure Inputs'!$N$7,,,InputRows),$C88)</f>
        <v>0</v>
      </c>
      <c r="AM88" s="57">
        <f ca="1">SUMIFS(OFFSET('Program Inputs'!$N$5,,,TotalPrograms),OFFSET('Program Inputs'!$B$5,,,TotalPrograms),SUBSTITUTE($B88,"All","*"))+AF88</f>
        <v>0</v>
      </c>
      <c r="AN88" s="57">
        <f t="shared" ca="1" si="261"/>
        <v>6800</v>
      </c>
      <c r="AO88" s="55"/>
      <c r="AP88" s="59">
        <f t="shared" ca="1" si="262"/>
        <v>60485.625376128206</v>
      </c>
      <c r="AQ88" s="59">
        <f t="shared" ca="1" si="263"/>
        <v>20000</v>
      </c>
      <c r="AR88" s="59">
        <f ca="1">SUMPRODUCT($CA88:$DI88,'General Inputs'!$F$32:$AN$32,'General Inputs'!$F$51:$AN$51)/(1-Loss_ElectricEnergy)</f>
        <v>50797.795359049262</v>
      </c>
      <c r="AS88" s="59">
        <f ca="1">SUMPRODUCT($DK88:$ES88,'General Inputs'!$F$33:$AN$33,'General Inputs'!$F$51:$AN$51)/(1-Loss_ElectricDemand)</f>
        <v>9687.8300170789462</v>
      </c>
      <c r="AT88" s="59">
        <f ca="1">SUMPRODUCT($EU88:$GC88,'General Inputs'!$F$34:$AN$34,'General Inputs'!$F$51:$AN$51)/(1-Loss_GasEnergy)</f>
        <v>0</v>
      </c>
      <c r="AU88" s="59">
        <f ca="1">INDEX('General Inputs'!$F$51:$AN$51,MATCH($H88,'General Inputs'!$F$50:$AN$50,0))*$AJ88</f>
        <v>0</v>
      </c>
      <c r="AV88" s="59">
        <f ca="1">INDEX('General Inputs'!$F$51:$AN$51,MATCH($H88,'General Inputs'!$F$50:$AN$50,0))*$AI88</f>
        <v>6800</v>
      </c>
      <c r="AW88" s="59">
        <f ca="1">INDEX('General Inputs'!$F$51:$AN$51,MATCH($H88,'General Inputs'!$F$50:$AN$50,0))*$AM88</f>
        <v>0</v>
      </c>
      <c r="AX88" s="59">
        <f ca="1">SUM(INDEX('General Inputs'!$F$51:$AN$51,MATCH($H88,'General Inputs'!$F$50:$AN$50,0))*$AG88,INDEX('General Inputs'!$F$51:$AN$51,MATCH($H88+$AL88,'General Inputs'!$F$50:$AN$50,0))*-$AH88)</f>
        <v>20000</v>
      </c>
      <c r="AY88" s="55"/>
      <c r="AZ88" s="59">
        <f ca="1">SUMPRODUCT($CA88:$DI88,'General Inputs'!$F$32:$AN$32,'General Inputs'!$F$52:$AN$52)/(1-Loss_ElectricEnergy)</f>
        <v>50797.795359049262</v>
      </c>
      <c r="BA88" s="59">
        <f ca="1">SUMPRODUCT($DK88:$ES88,'General Inputs'!$F$33:$AN$33,'General Inputs'!$F$52:$AN$52)/(1-Loss_ElectricDemand)</f>
        <v>9687.8300170789462</v>
      </c>
      <c r="BB88" s="59">
        <f ca="1">SUMPRODUCT($EU88:$GC88,'General Inputs'!$F$34:$AN$34,'General Inputs'!$F$52:$AN$52)/(1-Loss_GasEnergy)</f>
        <v>0</v>
      </c>
      <c r="BC88" s="59">
        <f ca="1">INDEX('General Inputs'!$F$52:$AN$52,MATCH($H88,'General Inputs'!$F$50:$AN$50,0))*$AI88</f>
        <v>6800</v>
      </c>
      <c r="BD88" s="59">
        <f ca="1">INDEX('General Inputs'!$F$52:$AN$52,MATCH($H88,'General Inputs'!$F$50:$AN$50,0))*$AM88</f>
        <v>0</v>
      </c>
      <c r="BE88" s="55"/>
      <c r="BF88" s="59">
        <f ca="1">SUMPRODUCT($CA88:$DI88,OFFSET('General Inputs'!$F$40:$AN$40,MATCH($D88&amp;" Electric ($/kWh)",'General Inputs'!$E$40:$E$46,0),),'General Inputs'!$F$54:$AN$54)</f>
        <v>0</v>
      </c>
      <c r="BG88" s="59">
        <f ca="1">SUMPRODUCT($EU88:$GC88,OFFSET('General Inputs'!$F$40:$AN$40,MATCH($D88&amp;" Natural Gas ($/therm)",'General Inputs'!$E$40:$E$46,0),),'General Inputs'!$F$54:$AN$54)</f>
        <v>0</v>
      </c>
      <c r="BH88" s="59">
        <f ca="1">INDEX('General Inputs'!$F$54:$AN$54,MATCH($H88,'General Inputs'!$F$50:$AN$50,0))*$AI88</f>
        <v>6800</v>
      </c>
      <c r="BI88" s="59">
        <f ca="1">SUM(INDEX('General Inputs'!$F$54:$AN$54,MATCH($H88,'General Inputs'!$F$50:$AN$50,0))*$AG88,INDEX('General Inputs'!$F$51:$AN$51,MATCH($H88+$AL88,'General Inputs'!$F$50:$AN$50,0))*-$AH88)</f>
        <v>20000</v>
      </c>
      <c r="BJ88" s="55"/>
      <c r="BK88" s="59">
        <f ca="1">SUMPRODUCT($CA88:$DI88,'General Inputs'!$F$32:$AN$32,'General Inputs'!$F$53:$AN$53)/(1-Loss_ElectricEnergy)</f>
        <v>50797.795359049262</v>
      </c>
      <c r="BL88" s="59">
        <f ca="1">SUMPRODUCT($DK88:$ES88,'General Inputs'!$F$33:$AN$33,'General Inputs'!$F$53:$AN$53)/(1-Loss_ElectricDemand)</f>
        <v>9687.8300170789462</v>
      </c>
      <c r="BM88" s="59">
        <f ca="1">SUMPRODUCT($EU88:$GC88,'General Inputs'!$F$34:$AN$34,'General Inputs'!$F$53:$AN$53)/(1-Loss_GasEnergy)</f>
        <v>0</v>
      </c>
      <c r="BN88" s="59">
        <f ca="1">INDEX('General Inputs'!$F$53:$AN$53,MATCH($H88,'General Inputs'!$F$50:$AN$50,0))*$AJ88</f>
        <v>0</v>
      </c>
      <c r="BO88" s="59">
        <f ca="1">SUMPRODUCT($CA88:$DI88,'General Inputs'!$F$35:$AN$35,'General Inputs'!$F$53:$AN$53)/(1-Loss_ElectricEnergy)</f>
        <v>19376.509004103729</v>
      </c>
      <c r="BP88" s="59">
        <f ca="1">INDEX('General Inputs'!$F$51:$AN$51,MATCH($H88,'General Inputs'!$F$50:$AN$50,0))*$AM88</f>
        <v>0</v>
      </c>
      <c r="BQ88" s="59">
        <f ca="1">SUM(INDEX('General Inputs'!$F$53:$AN$53,MATCH($H88,'General Inputs'!$F$50:$AN$50,0))*$AG88,INDEX('General Inputs'!$F$53:$AN$53,MATCH($H88+$AL88,'General Inputs'!$F$50:$AN$50,0))*-$AH88)</f>
        <v>20000</v>
      </c>
      <c r="BR88" s="55"/>
      <c r="BS88" s="59">
        <f ca="1">SUMPRODUCT($CA88:$DI88,'General Inputs'!$F$32:$AN$32,'General Inputs'!$F$55:$AN$55)/(1-Loss_ElectricEnergy)</f>
        <v>50797.795359049262</v>
      </c>
      <c r="BT88" s="59">
        <f ca="1">SUMPRODUCT($DK88:$ES88,'General Inputs'!$F$33:$AN$33,'General Inputs'!$F$55:$AN$55)/(1-Loss_ElectricDemand)</f>
        <v>9687.8300170789462</v>
      </c>
      <c r="BU88" s="59">
        <f ca="1">SUMPRODUCT($EU88:$GC88,'General Inputs'!$F$34:$AN$34,'General Inputs'!$F$55:$AN$55)/(1-Loss_GasEnergy)</f>
        <v>0</v>
      </c>
      <c r="BV88" s="59">
        <f ca="1">SUMPRODUCT($CA88:$DI88,OFFSET('General Inputs'!$F$40:$AN$40,MATCH($D88&amp;" Electric ($/kWh)",'General Inputs'!$E$40:$E$46,0),),'General Inputs'!$F$55:$AN$55)</f>
        <v>0</v>
      </c>
      <c r="BW88" s="59">
        <f ca="1">SUMPRODUCT($EU88:$GC88,OFFSET('General Inputs'!$F$40:$AN$40,MATCH($D88&amp;" Natural Gas ($/therm)",'General Inputs'!$E$40:$E$46,0),),'General Inputs'!$F$55:$AN$55)</f>
        <v>0</v>
      </c>
      <c r="BX88" s="59">
        <f ca="1">INDEX('General Inputs'!$F$55:$AN$55,MATCH($H88,'General Inputs'!$F$50:$AN$50,0))*$AI88</f>
        <v>6800</v>
      </c>
      <c r="BY88" s="59">
        <f ca="1">INDEX('General Inputs'!$F$51:$AN$51,MATCH($H88,'General Inputs'!$F$50:$AN$50,0))*$AM88</f>
        <v>0</v>
      </c>
      <c r="BZ88" s="55"/>
      <c r="CA88" s="88">
        <f t="shared" ca="1" si="278"/>
        <v>182889.92505600004</v>
      </c>
      <c r="CB88" s="88">
        <f t="shared" ca="1" si="278"/>
        <v>182889.92505600004</v>
      </c>
      <c r="CC88" s="88">
        <f t="shared" ca="1" si="278"/>
        <v>182889.92505600004</v>
      </c>
      <c r="CD88" s="88">
        <f t="shared" ca="1" si="278"/>
        <v>182889.92505600004</v>
      </c>
      <c r="CE88" s="88">
        <f t="shared" ca="1" si="278"/>
        <v>182889.92505600004</v>
      </c>
      <c r="CF88" s="88">
        <f t="shared" ca="1" si="278"/>
        <v>182889.92505600004</v>
      </c>
      <c r="CG88" s="88">
        <f t="shared" ca="1" si="278"/>
        <v>182889.92505600004</v>
      </c>
      <c r="CH88" s="88">
        <f t="shared" ca="1" si="278"/>
        <v>182889.92505600004</v>
      </c>
      <c r="CI88" s="88">
        <f t="shared" ca="1" si="278"/>
        <v>182889.92505600004</v>
      </c>
      <c r="CJ88" s="88">
        <f t="shared" ca="1" si="278"/>
        <v>182889.92505600004</v>
      </c>
      <c r="CK88" s="88">
        <f t="shared" ca="1" si="279"/>
        <v>182889.92505600004</v>
      </c>
      <c r="CL88" s="88">
        <f t="shared" ca="1" si="279"/>
        <v>182889.92505600004</v>
      </c>
      <c r="CM88" s="88">
        <f t="shared" ca="1" si="279"/>
        <v>182889.92505600004</v>
      </c>
      <c r="CN88" s="88">
        <f t="shared" ca="1" si="279"/>
        <v>182889.92505600004</v>
      </c>
      <c r="CO88" s="88">
        <f t="shared" ca="1" si="279"/>
        <v>182889.92505600004</v>
      </c>
      <c r="CP88" s="88">
        <f t="shared" ca="1" si="279"/>
        <v>0</v>
      </c>
      <c r="CQ88" s="88">
        <f t="shared" ca="1" si="279"/>
        <v>0</v>
      </c>
      <c r="CR88" s="88">
        <f t="shared" ca="1" si="279"/>
        <v>0</v>
      </c>
      <c r="CS88" s="88">
        <f t="shared" ca="1" si="279"/>
        <v>0</v>
      </c>
      <c r="CT88" s="88">
        <f t="shared" ca="1" si="279"/>
        <v>0</v>
      </c>
      <c r="CU88" s="88">
        <f t="shared" ca="1" si="280"/>
        <v>0</v>
      </c>
      <c r="CV88" s="88">
        <f t="shared" ca="1" si="280"/>
        <v>0</v>
      </c>
      <c r="CW88" s="88">
        <f t="shared" ca="1" si="280"/>
        <v>0</v>
      </c>
      <c r="CX88" s="88">
        <f t="shared" ca="1" si="280"/>
        <v>0</v>
      </c>
      <c r="CY88" s="88">
        <f t="shared" ca="1" si="280"/>
        <v>0</v>
      </c>
      <c r="CZ88" s="88">
        <f t="shared" ca="1" si="280"/>
        <v>0</v>
      </c>
      <c r="DA88" s="88">
        <f t="shared" ca="1" si="280"/>
        <v>0</v>
      </c>
      <c r="DB88" s="88">
        <f t="shared" ca="1" si="280"/>
        <v>0</v>
      </c>
      <c r="DC88" s="88">
        <f t="shared" ca="1" si="280"/>
        <v>0</v>
      </c>
      <c r="DD88" s="88">
        <f t="shared" ca="1" si="280"/>
        <v>0</v>
      </c>
      <c r="DE88" s="88">
        <f t="shared" ca="1" si="280"/>
        <v>0</v>
      </c>
      <c r="DF88" s="88">
        <f t="shared" ca="1" si="280"/>
        <v>0</v>
      </c>
      <c r="DG88" s="88">
        <f t="shared" ca="1" si="280"/>
        <v>0</v>
      </c>
      <c r="DH88" s="88">
        <f t="shared" ca="1" si="280"/>
        <v>0</v>
      </c>
      <c r="DI88" s="88">
        <f t="shared" ca="1" si="280"/>
        <v>0</v>
      </c>
      <c r="DJ88" s="169"/>
      <c r="DK88" s="88">
        <f t="shared" ca="1" si="281"/>
        <v>48.492864000000004</v>
      </c>
      <c r="DL88" s="88">
        <f t="shared" ca="1" si="281"/>
        <v>48.492864000000004</v>
      </c>
      <c r="DM88" s="88">
        <f t="shared" ca="1" si="281"/>
        <v>48.492864000000004</v>
      </c>
      <c r="DN88" s="88">
        <f t="shared" ca="1" si="281"/>
        <v>48.492864000000004</v>
      </c>
      <c r="DO88" s="88">
        <f t="shared" ca="1" si="281"/>
        <v>48.492864000000004</v>
      </c>
      <c r="DP88" s="88">
        <f t="shared" ca="1" si="281"/>
        <v>48.492864000000004</v>
      </c>
      <c r="DQ88" s="88">
        <f t="shared" ca="1" si="281"/>
        <v>48.492864000000004</v>
      </c>
      <c r="DR88" s="88">
        <f t="shared" ca="1" si="281"/>
        <v>48.492864000000004</v>
      </c>
      <c r="DS88" s="88">
        <f t="shared" ca="1" si="281"/>
        <v>48.492864000000004</v>
      </c>
      <c r="DT88" s="88">
        <f t="shared" ca="1" si="281"/>
        <v>48.492864000000004</v>
      </c>
      <c r="DU88" s="88">
        <f t="shared" ca="1" si="282"/>
        <v>48.492864000000004</v>
      </c>
      <c r="DV88" s="88">
        <f t="shared" ca="1" si="282"/>
        <v>48.492864000000004</v>
      </c>
      <c r="DW88" s="88">
        <f t="shared" ca="1" si="282"/>
        <v>48.492864000000004</v>
      </c>
      <c r="DX88" s="88">
        <f t="shared" ca="1" si="282"/>
        <v>48.492864000000004</v>
      </c>
      <c r="DY88" s="88">
        <f t="shared" ca="1" si="282"/>
        <v>48.492864000000004</v>
      </c>
      <c r="DZ88" s="88">
        <f t="shared" ca="1" si="282"/>
        <v>0</v>
      </c>
      <c r="EA88" s="88">
        <f t="shared" ca="1" si="282"/>
        <v>0</v>
      </c>
      <c r="EB88" s="88">
        <f t="shared" ca="1" si="282"/>
        <v>0</v>
      </c>
      <c r="EC88" s="88">
        <f t="shared" ca="1" si="282"/>
        <v>0</v>
      </c>
      <c r="ED88" s="88">
        <f t="shared" ca="1" si="282"/>
        <v>0</v>
      </c>
      <c r="EE88" s="88">
        <f t="shared" ca="1" si="283"/>
        <v>0</v>
      </c>
      <c r="EF88" s="88">
        <f t="shared" ca="1" si="283"/>
        <v>0</v>
      </c>
      <c r="EG88" s="88">
        <f t="shared" ca="1" si="283"/>
        <v>0</v>
      </c>
      <c r="EH88" s="88">
        <f t="shared" ca="1" si="283"/>
        <v>0</v>
      </c>
      <c r="EI88" s="88">
        <f t="shared" ca="1" si="283"/>
        <v>0</v>
      </c>
      <c r="EJ88" s="88">
        <f t="shared" ca="1" si="283"/>
        <v>0</v>
      </c>
      <c r="EK88" s="88">
        <f t="shared" ca="1" si="283"/>
        <v>0</v>
      </c>
      <c r="EL88" s="88">
        <f t="shared" ca="1" si="283"/>
        <v>0</v>
      </c>
      <c r="EM88" s="88">
        <f t="shared" ca="1" si="283"/>
        <v>0</v>
      </c>
      <c r="EN88" s="88">
        <f t="shared" ca="1" si="283"/>
        <v>0</v>
      </c>
      <c r="EO88" s="88">
        <f t="shared" ca="1" si="283"/>
        <v>0</v>
      </c>
      <c r="EP88" s="88">
        <f t="shared" ca="1" si="283"/>
        <v>0</v>
      </c>
      <c r="EQ88" s="88">
        <f t="shared" ca="1" si="283"/>
        <v>0</v>
      </c>
      <c r="ER88" s="88">
        <f t="shared" ca="1" si="283"/>
        <v>0</v>
      </c>
      <c r="ES88" s="88">
        <f t="shared" ca="1" si="283"/>
        <v>0</v>
      </c>
      <c r="ET88" s="169"/>
      <c r="EU88" s="88">
        <f t="shared" ca="1" si="284"/>
        <v>0</v>
      </c>
      <c r="EV88" s="88">
        <f t="shared" ca="1" si="284"/>
        <v>0</v>
      </c>
      <c r="EW88" s="88">
        <f t="shared" ca="1" si="284"/>
        <v>0</v>
      </c>
      <c r="EX88" s="88">
        <f t="shared" ca="1" si="284"/>
        <v>0</v>
      </c>
      <c r="EY88" s="88">
        <f t="shared" ca="1" si="284"/>
        <v>0</v>
      </c>
      <c r="EZ88" s="88">
        <f t="shared" ca="1" si="284"/>
        <v>0</v>
      </c>
      <c r="FA88" s="88">
        <f t="shared" ca="1" si="284"/>
        <v>0</v>
      </c>
      <c r="FB88" s="88">
        <f t="shared" ca="1" si="284"/>
        <v>0</v>
      </c>
      <c r="FC88" s="88">
        <f t="shared" ca="1" si="284"/>
        <v>0</v>
      </c>
      <c r="FD88" s="88">
        <f t="shared" ca="1" si="284"/>
        <v>0</v>
      </c>
      <c r="FE88" s="88">
        <f t="shared" ca="1" si="285"/>
        <v>0</v>
      </c>
      <c r="FF88" s="88">
        <f t="shared" ca="1" si="285"/>
        <v>0</v>
      </c>
      <c r="FG88" s="88">
        <f t="shared" ca="1" si="285"/>
        <v>0</v>
      </c>
      <c r="FH88" s="88">
        <f t="shared" ca="1" si="285"/>
        <v>0</v>
      </c>
      <c r="FI88" s="88">
        <f t="shared" ca="1" si="285"/>
        <v>0</v>
      </c>
      <c r="FJ88" s="88">
        <f t="shared" ca="1" si="285"/>
        <v>0</v>
      </c>
      <c r="FK88" s="88">
        <f t="shared" ca="1" si="285"/>
        <v>0</v>
      </c>
      <c r="FL88" s="88">
        <f t="shared" ca="1" si="285"/>
        <v>0</v>
      </c>
      <c r="FM88" s="88">
        <f t="shared" ca="1" si="285"/>
        <v>0</v>
      </c>
      <c r="FN88" s="88">
        <f t="shared" ca="1" si="285"/>
        <v>0</v>
      </c>
      <c r="FO88" s="88">
        <f t="shared" ca="1" si="286"/>
        <v>0</v>
      </c>
      <c r="FP88" s="88">
        <f t="shared" ca="1" si="286"/>
        <v>0</v>
      </c>
      <c r="FQ88" s="88">
        <f t="shared" ca="1" si="286"/>
        <v>0</v>
      </c>
      <c r="FR88" s="88">
        <f t="shared" ca="1" si="286"/>
        <v>0</v>
      </c>
      <c r="FS88" s="88">
        <f t="shared" ca="1" si="286"/>
        <v>0</v>
      </c>
      <c r="FT88" s="88">
        <f t="shared" ca="1" si="286"/>
        <v>0</v>
      </c>
      <c r="FU88" s="88">
        <f t="shared" ca="1" si="286"/>
        <v>0</v>
      </c>
      <c r="FV88" s="88">
        <f t="shared" ca="1" si="286"/>
        <v>0</v>
      </c>
      <c r="FW88" s="88">
        <f t="shared" ca="1" si="286"/>
        <v>0</v>
      </c>
      <c r="FX88" s="88">
        <f t="shared" ca="1" si="286"/>
        <v>0</v>
      </c>
      <c r="FY88" s="88">
        <f t="shared" ca="1" si="286"/>
        <v>0</v>
      </c>
      <c r="FZ88" s="88">
        <f t="shared" ca="1" si="286"/>
        <v>0</v>
      </c>
      <c r="GA88" s="88">
        <f t="shared" ca="1" si="286"/>
        <v>0</v>
      </c>
      <c r="GB88" s="88">
        <f t="shared" ca="1" si="286"/>
        <v>0</v>
      </c>
      <c r="GC88" s="88">
        <f t="shared" ca="1" si="286"/>
        <v>0</v>
      </c>
      <c r="GD88" s="60"/>
    </row>
    <row r="89" spans="1:186" s="54" customFormat="1" ht="14.45" customHeight="1">
      <c r="A89" s="61"/>
      <c r="B89" s="100" t="str">
        <f t="shared" si="277"/>
        <v>C&amp;I_C&amp;I Prescriptive_0_High Bay Fluorescent Fixture w/ HE Electronic Ballast (T8 18-20 lamp)_2017</v>
      </c>
      <c r="C89" s="100">
        <f>INDEX('Measure Inputs'!$D:$D,MATCH($B89,'Measure Inputs'!$B:$B,0))</f>
        <v>41</v>
      </c>
      <c r="D89" s="101" t="s">
        <v>256</v>
      </c>
      <c r="E89" s="101" t="s">
        <v>255</v>
      </c>
      <c r="F89" s="101">
        <v>0</v>
      </c>
      <c r="G89" s="101" t="s">
        <v>355</v>
      </c>
      <c r="H89" s="101">
        <v>2017</v>
      </c>
      <c r="I89" s="55"/>
      <c r="J89" s="58">
        <f t="shared" ca="1" si="229"/>
        <v>3.8030456397628774</v>
      </c>
      <c r="K89" s="58">
        <f t="shared" ca="1" si="246"/>
        <v>10.008014841481257</v>
      </c>
      <c r="L89" s="58">
        <f t="shared" ca="1" si="230"/>
        <v>0.38</v>
      </c>
      <c r="M89" s="58">
        <f t="shared" ca="1" si="231"/>
        <v>5.0213474697207419</v>
      </c>
      <c r="N89" s="58">
        <f t="shared" ca="1" si="232"/>
        <v>10.008014841481257</v>
      </c>
      <c r="O89" s="55"/>
      <c r="P89" s="175">
        <f ca="1">IFERROR(($AW89+AV89)/SUMPRODUCT($CA89:$DI89,'General Inputs'!$F$51:$AN$51),"n/a")</f>
        <v>3.7311323177544316E-3</v>
      </c>
      <c r="Q89" s="175">
        <f t="shared" ca="1" si="233"/>
        <v>3.3045661706702915E-2</v>
      </c>
      <c r="R89" s="56">
        <f t="shared" ca="1" si="260"/>
        <v>3449.7720460799992</v>
      </c>
      <c r="S89" s="55"/>
      <c r="T89" s="56">
        <f ca="1">INDEX(OFFSET('Measure Inputs'!$L$7,,,InputRows),$C89)</f>
        <v>80</v>
      </c>
      <c r="U89" s="134">
        <f ca="1">INDEX(OFFSET('Measure Inputs'!$T$7,,,InputRows),$C89)</f>
        <v>1</v>
      </c>
      <c r="V89" s="134">
        <f ca="1">INDEX(OFFSET('Measure Inputs'!$U$7,,,InputRows),$C89)</f>
        <v>1</v>
      </c>
      <c r="W89" s="55"/>
      <c r="X89" s="96">
        <f ca="1">INDEX(OFFSET('Measure Inputs'!$V$7,,,InputRows),$C89)*$T89*$V89*$U89</f>
        <v>229984.80307199995</v>
      </c>
      <c r="Y89" s="96">
        <f ca="1">INDEX(OFFSET('Measure Inputs'!$W$7,,,InputRows),$C89)*$T89*$V89*$U89</f>
        <v>60.979968</v>
      </c>
      <c r="Z89" s="96">
        <f ca="1">INDEX(OFFSET('Measure Inputs'!$X$7,,,InputRows),$C89)*$T89*$V89*$U89</f>
        <v>0</v>
      </c>
      <c r="AA89" s="55"/>
      <c r="AB89" s="96">
        <f ca="1">INDEX(OFFSET('Measure Inputs'!$Z$7,,,InputRows),$C89)*$T89*$V89*$U89</f>
        <v>0</v>
      </c>
      <c r="AC89" s="96">
        <f ca="1">INDEX(OFFSET('Measure Inputs'!$AA$7,,,InputRows),$C89)*$T89*$V89*$U89</f>
        <v>0</v>
      </c>
      <c r="AD89" s="96">
        <f ca="1">INDEX(OFFSET('Measure Inputs'!$AB$7,,,InputRows),$C89)*$T89*$V89*$U89</f>
        <v>0</v>
      </c>
      <c r="AE89" s="55"/>
      <c r="AF89" s="57">
        <f ca="1">INDEX(OFFSET('Measure Inputs'!$Q$7,,,InputRows),$C89)*$T89</f>
        <v>0</v>
      </c>
      <c r="AG89" s="57">
        <f ca="1">INDEX(OFFSET('Measure Inputs'!$P$7,,,InputRows),$C89)*$T89*$V89</f>
        <v>20000</v>
      </c>
      <c r="AH89" s="57">
        <f ca="1">INDEX(OFFSET('Measure Inputs'!$R$7,,,InputRows),$C89)*$T89*$V89</f>
        <v>0</v>
      </c>
      <c r="AI89" s="57">
        <f ca="1">INDEX(OFFSET('Measure Inputs'!$O$7,,,InputRows),$C89)*$T89</f>
        <v>7600</v>
      </c>
      <c r="AJ89" s="57">
        <f ca="1">INDEX(OFFSET('Measure Inputs'!$S$7,,,InputRows),$C89)*$T89</f>
        <v>0</v>
      </c>
      <c r="AK89" s="63">
        <f ca="1">INDEX(OFFSET('Measure Inputs'!$M$7,,,InputRows),$C89)</f>
        <v>15</v>
      </c>
      <c r="AL89" s="88">
        <f ca="1">INDEX(OFFSET('Measure Inputs'!$N$7,,,InputRows),$C89)</f>
        <v>0</v>
      </c>
      <c r="AM89" s="57">
        <f ca="1">SUMIFS(OFFSET('Program Inputs'!$N$5,,,TotalPrograms),OFFSET('Program Inputs'!$B$5,,,TotalPrograms),SUBSTITUTE($B89,"All","*"))+AF89</f>
        <v>0</v>
      </c>
      <c r="AN89" s="57">
        <f t="shared" ca="1" si="261"/>
        <v>7600</v>
      </c>
      <c r="AO89" s="55"/>
      <c r="AP89" s="59">
        <f t="shared" ca="1" si="262"/>
        <v>76060.912795257551</v>
      </c>
      <c r="AQ89" s="59">
        <f t="shared" ca="1" si="263"/>
        <v>20000</v>
      </c>
      <c r="AR89" s="59">
        <f ca="1">SUMPRODUCT($CA89:$DI89,'General Inputs'!$F$32:$AN$32,'General Inputs'!$F$51:$AN$51)/(1-Loss_ElectricEnergy)</f>
        <v>63878.428287208837</v>
      </c>
      <c r="AS89" s="59">
        <f ca="1">SUMPRODUCT($DK89:$ES89,'General Inputs'!$F$33:$AN$33,'General Inputs'!$F$51:$AN$51)/(1-Loss_ElectricDemand)</f>
        <v>12182.484508048718</v>
      </c>
      <c r="AT89" s="59">
        <f ca="1">SUMPRODUCT($EU89:$GC89,'General Inputs'!$F$34:$AN$34,'General Inputs'!$F$51:$AN$51)/(1-Loss_GasEnergy)</f>
        <v>0</v>
      </c>
      <c r="AU89" s="59">
        <f ca="1">INDEX('General Inputs'!$F$51:$AN$51,MATCH($H89,'General Inputs'!$F$50:$AN$50,0))*$AJ89</f>
        <v>0</v>
      </c>
      <c r="AV89" s="59">
        <f ca="1">INDEX('General Inputs'!$F$51:$AN$51,MATCH($H89,'General Inputs'!$F$50:$AN$50,0))*$AI89</f>
        <v>7600</v>
      </c>
      <c r="AW89" s="59">
        <f ca="1">INDEX('General Inputs'!$F$51:$AN$51,MATCH($H89,'General Inputs'!$F$50:$AN$50,0))*$AM89</f>
        <v>0</v>
      </c>
      <c r="AX89" s="59">
        <f ca="1">SUM(INDEX('General Inputs'!$F$51:$AN$51,MATCH($H89,'General Inputs'!$F$50:$AN$50,0))*$AG89,INDEX('General Inputs'!$F$51:$AN$51,MATCH($H89+$AL89,'General Inputs'!$F$50:$AN$50,0))*-$AH89)</f>
        <v>20000</v>
      </c>
      <c r="AY89" s="55"/>
      <c r="AZ89" s="59">
        <f ca="1">SUMPRODUCT($CA89:$DI89,'General Inputs'!$F$32:$AN$32,'General Inputs'!$F$52:$AN$52)/(1-Loss_ElectricEnergy)</f>
        <v>63878.428287208837</v>
      </c>
      <c r="BA89" s="59">
        <f ca="1">SUMPRODUCT($DK89:$ES89,'General Inputs'!$F$33:$AN$33,'General Inputs'!$F$52:$AN$52)/(1-Loss_ElectricDemand)</f>
        <v>12182.484508048718</v>
      </c>
      <c r="BB89" s="59">
        <f ca="1">SUMPRODUCT($EU89:$GC89,'General Inputs'!$F$34:$AN$34,'General Inputs'!$F$52:$AN$52)/(1-Loss_GasEnergy)</f>
        <v>0</v>
      </c>
      <c r="BC89" s="59">
        <f ca="1">INDEX('General Inputs'!$F$52:$AN$52,MATCH($H89,'General Inputs'!$F$50:$AN$50,0))*$AI89</f>
        <v>7600</v>
      </c>
      <c r="BD89" s="59">
        <f ca="1">INDEX('General Inputs'!$F$52:$AN$52,MATCH($H89,'General Inputs'!$F$50:$AN$50,0))*$AM89</f>
        <v>0</v>
      </c>
      <c r="BE89" s="55"/>
      <c r="BF89" s="59">
        <f ca="1">SUMPRODUCT($CA89:$DI89,OFFSET('General Inputs'!$F$40:$AN$40,MATCH($D89&amp;" Electric ($/kWh)",'General Inputs'!$E$40:$E$46,0),),'General Inputs'!$F$54:$AN$54)</f>
        <v>0</v>
      </c>
      <c r="BG89" s="59">
        <f ca="1">SUMPRODUCT($EU89:$GC89,OFFSET('General Inputs'!$F$40:$AN$40,MATCH($D89&amp;" Natural Gas ($/therm)",'General Inputs'!$E$40:$E$46,0),),'General Inputs'!$F$54:$AN$54)</f>
        <v>0</v>
      </c>
      <c r="BH89" s="59">
        <f ca="1">INDEX('General Inputs'!$F$54:$AN$54,MATCH($H89,'General Inputs'!$F$50:$AN$50,0))*$AI89</f>
        <v>7600</v>
      </c>
      <c r="BI89" s="59">
        <f ca="1">SUM(INDEX('General Inputs'!$F$54:$AN$54,MATCH($H89,'General Inputs'!$F$50:$AN$50,0))*$AG89,INDEX('General Inputs'!$F$51:$AN$51,MATCH($H89+$AL89,'General Inputs'!$F$50:$AN$50,0))*-$AH89)</f>
        <v>20000</v>
      </c>
      <c r="BJ89" s="55"/>
      <c r="BK89" s="59">
        <f ca="1">SUMPRODUCT($CA89:$DI89,'General Inputs'!$F$32:$AN$32,'General Inputs'!$F$53:$AN$53)/(1-Loss_ElectricEnergy)</f>
        <v>63878.428287208837</v>
      </c>
      <c r="BL89" s="59">
        <f ca="1">SUMPRODUCT($DK89:$ES89,'General Inputs'!$F$33:$AN$33,'General Inputs'!$F$53:$AN$53)/(1-Loss_ElectricDemand)</f>
        <v>12182.484508048718</v>
      </c>
      <c r="BM89" s="59">
        <f ca="1">SUMPRODUCT($EU89:$GC89,'General Inputs'!$F$34:$AN$34,'General Inputs'!$F$53:$AN$53)/(1-Loss_GasEnergy)</f>
        <v>0</v>
      </c>
      <c r="BN89" s="59">
        <f ca="1">INDEX('General Inputs'!$F$53:$AN$53,MATCH($H89,'General Inputs'!$F$50:$AN$50,0))*$AJ89</f>
        <v>0</v>
      </c>
      <c r="BO89" s="59">
        <f ca="1">SUMPRODUCT($CA89:$DI89,'General Inputs'!$F$35:$AN$35,'General Inputs'!$F$53:$AN$53)/(1-Loss_ElectricEnergy)</f>
        <v>24366.036599157283</v>
      </c>
      <c r="BP89" s="59">
        <f ca="1">INDEX('General Inputs'!$F$51:$AN$51,MATCH($H89,'General Inputs'!$F$50:$AN$50,0))*$AM89</f>
        <v>0</v>
      </c>
      <c r="BQ89" s="59">
        <f ca="1">SUM(INDEX('General Inputs'!$F$53:$AN$53,MATCH($H89,'General Inputs'!$F$50:$AN$50,0))*$AG89,INDEX('General Inputs'!$F$53:$AN$53,MATCH($H89+$AL89,'General Inputs'!$F$50:$AN$50,0))*-$AH89)</f>
        <v>20000</v>
      </c>
      <c r="BR89" s="55"/>
      <c r="BS89" s="59">
        <f ca="1">SUMPRODUCT($CA89:$DI89,'General Inputs'!$F$32:$AN$32,'General Inputs'!$F$55:$AN$55)/(1-Loss_ElectricEnergy)</f>
        <v>63878.428287208837</v>
      </c>
      <c r="BT89" s="59">
        <f ca="1">SUMPRODUCT($DK89:$ES89,'General Inputs'!$F$33:$AN$33,'General Inputs'!$F$55:$AN$55)/(1-Loss_ElectricDemand)</f>
        <v>12182.484508048718</v>
      </c>
      <c r="BU89" s="59">
        <f ca="1">SUMPRODUCT($EU89:$GC89,'General Inputs'!$F$34:$AN$34,'General Inputs'!$F$55:$AN$55)/(1-Loss_GasEnergy)</f>
        <v>0</v>
      </c>
      <c r="BV89" s="59">
        <f ca="1">SUMPRODUCT($CA89:$DI89,OFFSET('General Inputs'!$F$40:$AN$40,MATCH($D89&amp;" Electric ($/kWh)",'General Inputs'!$E$40:$E$46,0),),'General Inputs'!$F$55:$AN$55)</f>
        <v>0</v>
      </c>
      <c r="BW89" s="59">
        <f ca="1">SUMPRODUCT($EU89:$GC89,OFFSET('General Inputs'!$F$40:$AN$40,MATCH($D89&amp;" Natural Gas ($/therm)",'General Inputs'!$E$40:$E$46,0),),'General Inputs'!$F$55:$AN$55)</f>
        <v>0</v>
      </c>
      <c r="BX89" s="59">
        <f ca="1">INDEX('General Inputs'!$F$55:$AN$55,MATCH($H89,'General Inputs'!$F$50:$AN$50,0))*$AI89</f>
        <v>7600</v>
      </c>
      <c r="BY89" s="59">
        <f ca="1">INDEX('General Inputs'!$F$51:$AN$51,MATCH($H89,'General Inputs'!$F$50:$AN$50,0))*$AM89</f>
        <v>0</v>
      </c>
      <c r="BZ89" s="55"/>
      <c r="CA89" s="88">
        <f t="shared" ref="CA89:CJ98" ca="1" si="287">IF(AND($H89&lt;=CA$8,$H89+$AK89&gt;CA$8),IF(AND($H89+$AL89&lt;=CA$8,$AL89&gt;0),$AB89,$X89),0)</f>
        <v>229984.80307199995</v>
      </c>
      <c r="CB89" s="88">
        <f t="shared" ca="1" si="287"/>
        <v>229984.80307199995</v>
      </c>
      <c r="CC89" s="88">
        <f t="shared" ca="1" si="287"/>
        <v>229984.80307199995</v>
      </c>
      <c r="CD89" s="88">
        <f t="shared" ca="1" si="287"/>
        <v>229984.80307199995</v>
      </c>
      <c r="CE89" s="88">
        <f t="shared" ca="1" si="287"/>
        <v>229984.80307199995</v>
      </c>
      <c r="CF89" s="88">
        <f t="shared" ca="1" si="287"/>
        <v>229984.80307199995</v>
      </c>
      <c r="CG89" s="88">
        <f t="shared" ca="1" si="287"/>
        <v>229984.80307199995</v>
      </c>
      <c r="CH89" s="88">
        <f t="shared" ca="1" si="287"/>
        <v>229984.80307199995</v>
      </c>
      <c r="CI89" s="88">
        <f t="shared" ca="1" si="287"/>
        <v>229984.80307199995</v>
      </c>
      <c r="CJ89" s="88">
        <f t="shared" ca="1" si="287"/>
        <v>229984.80307199995</v>
      </c>
      <c r="CK89" s="88">
        <f t="shared" ref="CK89:CT98" ca="1" si="288">IF(AND($H89&lt;=CK$8,$H89+$AK89&gt;CK$8),IF(AND($H89+$AL89&lt;=CK$8,$AL89&gt;0),$AB89,$X89),0)</f>
        <v>229984.80307199995</v>
      </c>
      <c r="CL89" s="88">
        <f t="shared" ca="1" si="288"/>
        <v>229984.80307199995</v>
      </c>
      <c r="CM89" s="88">
        <f t="shared" ca="1" si="288"/>
        <v>229984.80307199995</v>
      </c>
      <c r="CN89" s="88">
        <f t="shared" ca="1" si="288"/>
        <v>229984.80307199995</v>
      </c>
      <c r="CO89" s="88">
        <f t="shared" ca="1" si="288"/>
        <v>229984.80307199995</v>
      </c>
      <c r="CP89" s="88">
        <f t="shared" ca="1" si="288"/>
        <v>0</v>
      </c>
      <c r="CQ89" s="88">
        <f t="shared" ca="1" si="288"/>
        <v>0</v>
      </c>
      <c r="CR89" s="88">
        <f t="shared" ca="1" si="288"/>
        <v>0</v>
      </c>
      <c r="CS89" s="88">
        <f t="shared" ca="1" si="288"/>
        <v>0</v>
      </c>
      <c r="CT89" s="88">
        <f t="shared" ca="1" si="288"/>
        <v>0</v>
      </c>
      <c r="CU89" s="88">
        <f t="shared" ref="CU89:DI98" ca="1" si="289">IF(AND($H89&lt;=CU$8,$H89+$AK89&gt;CU$8),IF(AND($H89+$AL89&lt;=CU$8,$AL89&gt;0),$AB89,$X89),0)</f>
        <v>0</v>
      </c>
      <c r="CV89" s="88">
        <f t="shared" ca="1" si="289"/>
        <v>0</v>
      </c>
      <c r="CW89" s="88">
        <f t="shared" ca="1" si="289"/>
        <v>0</v>
      </c>
      <c r="CX89" s="88">
        <f t="shared" ca="1" si="289"/>
        <v>0</v>
      </c>
      <c r="CY89" s="88">
        <f t="shared" ca="1" si="289"/>
        <v>0</v>
      </c>
      <c r="CZ89" s="88">
        <f t="shared" ca="1" si="289"/>
        <v>0</v>
      </c>
      <c r="DA89" s="88">
        <f t="shared" ca="1" si="289"/>
        <v>0</v>
      </c>
      <c r="DB89" s="88">
        <f t="shared" ca="1" si="289"/>
        <v>0</v>
      </c>
      <c r="DC89" s="88">
        <f t="shared" ca="1" si="289"/>
        <v>0</v>
      </c>
      <c r="DD89" s="88">
        <f t="shared" ca="1" si="289"/>
        <v>0</v>
      </c>
      <c r="DE89" s="88">
        <f t="shared" ca="1" si="289"/>
        <v>0</v>
      </c>
      <c r="DF89" s="88">
        <f t="shared" ca="1" si="289"/>
        <v>0</v>
      </c>
      <c r="DG89" s="88">
        <f t="shared" ca="1" si="289"/>
        <v>0</v>
      </c>
      <c r="DH89" s="88">
        <f t="shared" ca="1" si="289"/>
        <v>0</v>
      </c>
      <c r="DI89" s="88">
        <f t="shared" ca="1" si="289"/>
        <v>0</v>
      </c>
      <c r="DJ89" s="169"/>
      <c r="DK89" s="88">
        <f t="shared" ref="DK89:DT98" ca="1" si="290">IF(AND($H89&lt;=DK$8,$H89+$AK89&gt;DK$8),IF(AND($H89+$AL89&lt;=DK$8,$AL89&gt;0),$AC89,$Y89),0)</f>
        <v>60.979968</v>
      </c>
      <c r="DL89" s="88">
        <f t="shared" ca="1" si="290"/>
        <v>60.979968</v>
      </c>
      <c r="DM89" s="88">
        <f t="shared" ca="1" si="290"/>
        <v>60.979968</v>
      </c>
      <c r="DN89" s="88">
        <f t="shared" ca="1" si="290"/>
        <v>60.979968</v>
      </c>
      <c r="DO89" s="88">
        <f t="shared" ca="1" si="290"/>
        <v>60.979968</v>
      </c>
      <c r="DP89" s="88">
        <f t="shared" ca="1" si="290"/>
        <v>60.979968</v>
      </c>
      <c r="DQ89" s="88">
        <f t="shared" ca="1" si="290"/>
        <v>60.979968</v>
      </c>
      <c r="DR89" s="88">
        <f t="shared" ca="1" si="290"/>
        <v>60.979968</v>
      </c>
      <c r="DS89" s="88">
        <f t="shared" ca="1" si="290"/>
        <v>60.979968</v>
      </c>
      <c r="DT89" s="88">
        <f t="shared" ca="1" si="290"/>
        <v>60.979968</v>
      </c>
      <c r="DU89" s="88">
        <f t="shared" ref="DU89:ED98" ca="1" si="291">IF(AND($H89&lt;=DU$8,$H89+$AK89&gt;DU$8),IF(AND($H89+$AL89&lt;=DU$8,$AL89&gt;0),$AC89,$Y89),0)</f>
        <v>60.979968</v>
      </c>
      <c r="DV89" s="88">
        <f t="shared" ca="1" si="291"/>
        <v>60.979968</v>
      </c>
      <c r="DW89" s="88">
        <f t="shared" ca="1" si="291"/>
        <v>60.979968</v>
      </c>
      <c r="DX89" s="88">
        <f t="shared" ca="1" si="291"/>
        <v>60.979968</v>
      </c>
      <c r="DY89" s="88">
        <f t="shared" ca="1" si="291"/>
        <v>60.979968</v>
      </c>
      <c r="DZ89" s="88">
        <f t="shared" ca="1" si="291"/>
        <v>0</v>
      </c>
      <c r="EA89" s="88">
        <f t="shared" ca="1" si="291"/>
        <v>0</v>
      </c>
      <c r="EB89" s="88">
        <f t="shared" ca="1" si="291"/>
        <v>0</v>
      </c>
      <c r="EC89" s="88">
        <f t="shared" ca="1" si="291"/>
        <v>0</v>
      </c>
      <c r="ED89" s="88">
        <f t="shared" ca="1" si="291"/>
        <v>0</v>
      </c>
      <c r="EE89" s="88">
        <f t="shared" ref="EE89:ES98" ca="1" si="292">IF(AND($H89&lt;=EE$8,$H89+$AK89&gt;EE$8),IF(AND($H89+$AL89&lt;=EE$8,$AL89&gt;0),$AC89,$Y89),0)</f>
        <v>0</v>
      </c>
      <c r="EF89" s="88">
        <f t="shared" ca="1" si="292"/>
        <v>0</v>
      </c>
      <c r="EG89" s="88">
        <f t="shared" ca="1" si="292"/>
        <v>0</v>
      </c>
      <c r="EH89" s="88">
        <f t="shared" ca="1" si="292"/>
        <v>0</v>
      </c>
      <c r="EI89" s="88">
        <f t="shared" ca="1" si="292"/>
        <v>0</v>
      </c>
      <c r="EJ89" s="88">
        <f t="shared" ca="1" si="292"/>
        <v>0</v>
      </c>
      <c r="EK89" s="88">
        <f t="shared" ca="1" si="292"/>
        <v>0</v>
      </c>
      <c r="EL89" s="88">
        <f t="shared" ca="1" si="292"/>
        <v>0</v>
      </c>
      <c r="EM89" s="88">
        <f t="shared" ca="1" si="292"/>
        <v>0</v>
      </c>
      <c r="EN89" s="88">
        <f t="shared" ca="1" si="292"/>
        <v>0</v>
      </c>
      <c r="EO89" s="88">
        <f t="shared" ca="1" si="292"/>
        <v>0</v>
      </c>
      <c r="EP89" s="88">
        <f t="shared" ca="1" si="292"/>
        <v>0</v>
      </c>
      <c r="EQ89" s="88">
        <f t="shared" ca="1" si="292"/>
        <v>0</v>
      </c>
      <c r="ER89" s="88">
        <f t="shared" ca="1" si="292"/>
        <v>0</v>
      </c>
      <c r="ES89" s="88">
        <f t="shared" ca="1" si="292"/>
        <v>0</v>
      </c>
      <c r="ET89" s="169"/>
      <c r="EU89" s="88">
        <f t="shared" ref="EU89:FD98" ca="1" si="293">IF(AND($H89&lt;=EU$8,$H89+$AK89&gt;EU$8),IF(AND($H89+$AL89&lt;=EU$8,$AL89&gt;0),$AD89,$Z89),0)</f>
        <v>0</v>
      </c>
      <c r="EV89" s="88">
        <f t="shared" ca="1" si="293"/>
        <v>0</v>
      </c>
      <c r="EW89" s="88">
        <f t="shared" ca="1" si="293"/>
        <v>0</v>
      </c>
      <c r="EX89" s="88">
        <f t="shared" ca="1" si="293"/>
        <v>0</v>
      </c>
      <c r="EY89" s="88">
        <f t="shared" ca="1" si="293"/>
        <v>0</v>
      </c>
      <c r="EZ89" s="88">
        <f t="shared" ca="1" si="293"/>
        <v>0</v>
      </c>
      <c r="FA89" s="88">
        <f t="shared" ca="1" si="293"/>
        <v>0</v>
      </c>
      <c r="FB89" s="88">
        <f t="shared" ca="1" si="293"/>
        <v>0</v>
      </c>
      <c r="FC89" s="88">
        <f t="shared" ca="1" si="293"/>
        <v>0</v>
      </c>
      <c r="FD89" s="88">
        <f t="shared" ca="1" si="293"/>
        <v>0</v>
      </c>
      <c r="FE89" s="88">
        <f t="shared" ref="FE89:FN98" ca="1" si="294">IF(AND($H89&lt;=FE$8,$H89+$AK89&gt;FE$8),IF(AND($H89+$AL89&lt;=FE$8,$AL89&gt;0),$AD89,$Z89),0)</f>
        <v>0</v>
      </c>
      <c r="FF89" s="88">
        <f t="shared" ca="1" si="294"/>
        <v>0</v>
      </c>
      <c r="FG89" s="88">
        <f t="shared" ca="1" si="294"/>
        <v>0</v>
      </c>
      <c r="FH89" s="88">
        <f t="shared" ca="1" si="294"/>
        <v>0</v>
      </c>
      <c r="FI89" s="88">
        <f t="shared" ca="1" si="294"/>
        <v>0</v>
      </c>
      <c r="FJ89" s="88">
        <f t="shared" ca="1" si="294"/>
        <v>0</v>
      </c>
      <c r="FK89" s="88">
        <f t="shared" ca="1" si="294"/>
        <v>0</v>
      </c>
      <c r="FL89" s="88">
        <f t="shared" ca="1" si="294"/>
        <v>0</v>
      </c>
      <c r="FM89" s="88">
        <f t="shared" ca="1" si="294"/>
        <v>0</v>
      </c>
      <c r="FN89" s="88">
        <f t="shared" ca="1" si="294"/>
        <v>0</v>
      </c>
      <c r="FO89" s="88">
        <f t="shared" ref="FO89:GC98" ca="1" si="295">IF(AND($H89&lt;=FO$8,$H89+$AK89&gt;FO$8),IF(AND($H89+$AL89&lt;=FO$8,$AL89&gt;0),$AD89,$Z89),0)</f>
        <v>0</v>
      </c>
      <c r="FP89" s="88">
        <f t="shared" ca="1" si="295"/>
        <v>0</v>
      </c>
      <c r="FQ89" s="88">
        <f t="shared" ca="1" si="295"/>
        <v>0</v>
      </c>
      <c r="FR89" s="88">
        <f t="shared" ca="1" si="295"/>
        <v>0</v>
      </c>
      <c r="FS89" s="88">
        <f t="shared" ca="1" si="295"/>
        <v>0</v>
      </c>
      <c r="FT89" s="88">
        <f t="shared" ca="1" si="295"/>
        <v>0</v>
      </c>
      <c r="FU89" s="88">
        <f t="shared" ca="1" si="295"/>
        <v>0</v>
      </c>
      <c r="FV89" s="88">
        <f t="shared" ca="1" si="295"/>
        <v>0</v>
      </c>
      <c r="FW89" s="88">
        <f t="shared" ca="1" si="295"/>
        <v>0</v>
      </c>
      <c r="FX89" s="88">
        <f t="shared" ca="1" si="295"/>
        <v>0</v>
      </c>
      <c r="FY89" s="88">
        <f t="shared" ca="1" si="295"/>
        <v>0</v>
      </c>
      <c r="FZ89" s="88">
        <f t="shared" ca="1" si="295"/>
        <v>0</v>
      </c>
      <c r="GA89" s="88">
        <f t="shared" ca="1" si="295"/>
        <v>0</v>
      </c>
      <c r="GB89" s="88">
        <f t="shared" ca="1" si="295"/>
        <v>0</v>
      </c>
      <c r="GC89" s="88">
        <f t="shared" ca="1" si="295"/>
        <v>0</v>
      </c>
      <c r="GD89" s="60"/>
    </row>
    <row r="90" spans="1:186" s="54" customFormat="1" ht="14.45" customHeight="1">
      <c r="A90" s="61"/>
      <c r="B90" s="100" t="str">
        <f t="shared" si="277"/>
        <v>C&amp;I_C&amp;I Prescriptive_0_Low-Wattage T8 _2017</v>
      </c>
      <c r="C90" s="100">
        <f>INDEX('Measure Inputs'!$D:$D,MATCH($B90,'Measure Inputs'!$B:$B,0))</f>
        <v>42</v>
      </c>
      <c r="D90" s="101" t="s">
        <v>256</v>
      </c>
      <c r="E90" s="101" t="s">
        <v>255</v>
      </c>
      <c r="F90" s="101">
        <v>0</v>
      </c>
      <c r="G90" s="101" t="s">
        <v>280</v>
      </c>
      <c r="H90" s="101">
        <v>2017</v>
      </c>
      <c r="I90" s="55"/>
      <c r="J90" s="58">
        <f t="shared" ca="1" si="229"/>
        <v>3.2812253159145888</v>
      </c>
      <c r="K90" s="58">
        <f t="shared" ca="1" si="246"/>
        <v>13.124901263658355</v>
      </c>
      <c r="L90" s="58">
        <f t="shared" ca="1" si="230"/>
        <v>0.25</v>
      </c>
      <c r="M90" s="58">
        <f t="shared" ca="1" si="231"/>
        <v>4.3721020095980787</v>
      </c>
      <c r="N90" s="58">
        <f t="shared" ca="1" si="232"/>
        <v>13.124901263658355</v>
      </c>
      <c r="O90" s="55"/>
      <c r="P90" s="175">
        <f ca="1">IFERROR(($AW90+AV90)/SUMPRODUCT($CA90:$DI90,'General Inputs'!$F$51:$AN$51),"n/a")</f>
        <v>2.7414245403043292E-3</v>
      </c>
      <c r="Q90" s="175">
        <f t="shared" ca="1" si="233"/>
        <v>1.6613271611706643E-2</v>
      </c>
      <c r="R90" s="56">
        <f t="shared" ca="1" si="260"/>
        <v>204.65565599999999</v>
      </c>
      <c r="S90" s="55"/>
      <c r="T90" s="56">
        <f ca="1">INDEX(OFFSET('Measure Inputs'!$L$7,,,InputRows),$C90)</f>
        <v>850</v>
      </c>
      <c r="U90" s="134">
        <f ca="1">INDEX(OFFSET('Measure Inputs'!$T$7,,,InputRows),$C90)</f>
        <v>1</v>
      </c>
      <c r="V90" s="134">
        <f ca="1">INDEX(OFFSET('Measure Inputs'!$U$7,,,InputRows),$C90)</f>
        <v>1</v>
      </c>
      <c r="W90" s="55"/>
      <c r="X90" s="96">
        <f ca="1">INDEX(OFFSET('Measure Inputs'!$V$7,,,InputRows),$C90)*$T90*$V90*$U90</f>
        <v>25581.956999999999</v>
      </c>
      <c r="Y90" s="96">
        <f ca="1">INDEX(OFFSET('Measure Inputs'!$W$7,,,InputRows),$C90)*$T90*$V90*$U90</f>
        <v>6.7830000000000013</v>
      </c>
      <c r="Z90" s="96">
        <f ca="1">INDEX(OFFSET('Measure Inputs'!$X$7,,,InputRows),$C90)*$T90*$V90*$U90</f>
        <v>0</v>
      </c>
      <c r="AA90" s="55"/>
      <c r="AB90" s="96">
        <f ca="1">INDEX(OFFSET('Measure Inputs'!$Z$7,,,InputRows),$C90)*$T90*$V90*$U90</f>
        <v>0</v>
      </c>
      <c r="AC90" s="96">
        <f ca="1">INDEX(OFFSET('Measure Inputs'!$AA$7,,,InputRows),$C90)*$T90*$V90*$U90</f>
        <v>0</v>
      </c>
      <c r="AD90" s="96">
        <f ca="1">INDEX(OFFSET('Measure Inputs'!$AB$7,,,InputRows),$C90)*$T90*$V90*$U90</f>
        <v>0</v>
      </c>
      <c r="AE90" s="55"/>
      <c r="AF90" s="57">
        <f ca="1">INDEX(OFFSET('Measure Inputs'!$Q$7,,,InputRows),$C90)*$T90</f>
        <v>0</v>
      </c>
      <c r="AG90" s="57">
        <f ca="1">INDEX(OFFSET('Measure Inputs'!$P$7,,,InputRows),$C90)*$T90*$V90</f>
        <v>1700</v>
      </c>
      <c r="AH90" s="57">
        <f ca="1">INDEX(OFFSET('Measure Inputs'!$R$7,,,InputRows),$C90)*$T90*$V90</f>
        <v>0</v>
      </c>
      <c r="AI90" s="57">
        <f ca="1">INDEX(OFFSET('Measure Inputs'!$O$7,,,InputRows),$C90)*$T90</f>
        <v>425</v>
      </c>
      <c r="AJ90" s="57">
        <f ca="1">INDEX(OFFSET('Measure Inputs'!$S$7,,,InputRows),$C90)*$T90</f>
        <v>0</v>
      </c>
      <c r="AK90" s="63">
        <f ca="1">INDEX(OFFSET('Measure Inputs'!$M$7,,,InputRows),$C90)</f>
        <v>8</v>
      </c>
      <c r="AL90" s="88">
        <f ca="1">INDEX(OFFSET('Measure Inputs'!$N$7,,,InputRows),$C90)</f>
        <v>0</v>
      </c>
      <c r="AM90" s="57">
        <f ca="1">SUMIFS(OFFSET('Program Inputs'!$N$5,,,TotalPrograms),OFFSET('Program Inputs'!$B$5,,,TotalPrograms),SUBSTITUTE($B90,"All","*"))+AF90</f>
        <v>0</v>
      </c>
      <c r="AN90" s="57">
        <f t="shared" ca="1" si="261"/>
        <v>425</v>
      </c>
      <c r="AO90" s="55"/>
      <c r="AP90" s="59">
        <f t="shared" ca="1" si="262"/>
        <v>5578.083037054801</v>
      </c>
      <c r="AQ90" s="59">
        <f t="shared" ca="1" si="263"/>
        <v>1700</v>
      </c>
      <c r="AR90" s="59">
        <f ca="1">SUMPRODUCT($CA90:$DI90,'General Inputs'!$F$32:$AN$32,'General Inputs'!$F$51:$AN$51)/(1-Loss_ElectricEnergy)</f>
        <v>4684.6555499767537</v>
      </c>
      <c r="AS90" s="59">
        <f ca="1">SUMPRODUCT($DK90:$ES90,'General Inputs'!$F$33:$AN$33,'General Inputs'!$F$51:$AN$51)/(1-Loss_ElectricDemand)</f>
        <v>893.42748707804719</v>
      </c>
      <c r="AT90" s="59">
        <f ca="1">SUMPRODUCT($EU90:$GC90,'General Inputs'!$F$34:$AN$34,'General Inputs'!$F$51:$AN$51)/(1-Loss_GasEnergy)</f>
        <v>0</v>
      </c>
      <c r="AU90" s="59">
        <f ca="1">INDEX('General Inputs'!$F$51:$AN$51,MATCH($H90,'General Inputs'!$F$50:$AN$50,0))*$AJ90</f>
        <v>0</v>
      </c>
      <c r="AV90" s="59">
        <f ca="1">INDEX('General Inputs'!$F$51:$AN$51,MATCH($H90,'General Inputs'!$F$50:$AN$50,0))*$AI90</f>
        <v>425</v>
      </c>
      <c r="AW90" s="59">
        <f ca="1">INDEX('General Inputs'!$F$51:$AN$51,MATCH($H90,'General Inputs'!$F$50:$AN$50,0))*$AM90</f>
        <v>0</v>
      </c>
      <c r="AX90" s="59">
        <f ca="1">SUM(INDEX('General Inputs'!$F$51:$AN$51,MATCH($H90,'General Inputs'!$F$50:$AN$50,0))*$AG90,INDEX('General Inputs'!$F$51:$AN$51,MATCH($H90+$AL90,'General Inputs'!$F$50:$AN$50,0))*-$AH90)</f>
        <v>1700</v>
      </c>
      <c r="AY90" s="55"/>
      <c r="AZ90" s="59">
        <f ca="1">SUMPRODUCT($CA90:$DI90,'General Inputs'!$F$32:$AN$32,'General Inputs'!$F$52:$AN$52)/(1-Loss_ElectricEnergy)</f>
        <v>4684.6555499767537</v>
      </c>
      <c r="BA90" s="59">
        <f ca="1">SUMPRODUCT($DK90:$ES90,'General Inputs'!$F$33:$AN$33,'General Inputs'!$F$52:$AN$52)/(1-Loss_ElectricDemand)</f>
        <v>893.42748707804719</v>
      </c>
      <c r="BB90" s="59">
        <f ca="1">SUMPRODUCT($EU90:$GC90,'General Inputs'!$F$34:$AN$34,'General Inputs'!$F$52:$AN$52)/(1-Loss_GasEnergy)</f>
        <v>0</v>
      </c>
      <c r="BC90" s="59">
        <f ca="1">INDEX('General Inputs'!$F$52:$AN$52,MATCH($H90,'General Inputs'!$F$50:$AN$50,0))*$AI90</f>
        <v>425</v>
      </c>
      <c r="BD90" s="59">
        <f ca="1">INDEX('General Inputs'!$F$52:$AN$52,MATCH($H90,'General Inputs'!$F$50:$AN$50,0))*$AM90</f>
        <v>0</v>
      </c>
      <c r="BE90" s="55"/>
      <c r="BF90" s="59">
        <f ca="1">SUMPRODUCT($CA90:$DI90,OFFSET('General Inputs'!$F$40:$AN$40,MATCH($D90&amp;" Electric ($/kWh)",'General Inputs'!$E$40:$E$46,0),),'General Inputs'!$F$54:$AN$54)</f>
        <v>0</v>
      </c>
      <c r="BG90" s="59">
        <f ca="1">SUMPRODUCT($EU90:$GC90,OFFSET('General Inputs'!$F$40:$AN$40,MATCH($D90&amp;" Natural Gas ($/therm)",'General Inputs'!$E$40:$E$46,0),),'General Inputs'!$F$54:$AN$54)</f>
        <v>0</v>
      </c>
      <c r="BH90" s="59">
        <f ca="1">INDEX('General Inputs'!$F$54:$AN$54,MATCH($H90,'General Inputs'!$F$50:$AN$50,0))*$AI90</f>
        <v>425</v>
      </c>
      <c r="BI90" s="59">
        <f ca="1">SUM(INDEX('General Inputs'!$F$54:$AN$54,MATCH($H90,'General Inputs'!$F$50:$AN$50,0))*$AG90,INDEX('General Inputs'!$F$51:$AN$51,MATCH($H90+$AL90,'General Inputs'!$F$50:$AN$50,0))*-$AH90)</f>
        <v>1700</v>
      </c>
      <c r="BJ90" s="55"/>
      <c r="BK90" s="59">
        <f ca="1">SUMPRODUCT($CA90:$DI90,'General Inputs'!$F$32:$AN$32,'General Inputs'!$F$53:$AN$53)/(1-Loss_ElectricEnergy)</f>
        <v>4684.6555499767537</v>
      </c>
      <c r="BL90" s="59">
        <f ca="1">SUMPRODUCT($DK90:$ES90,'General Inputs'!$F$33:$AN$33,'General Inputs'!$F$53:$AN$53)/(1-Loss_ElectricDemand)</f>
        <v>893.42748707804719</v>
      </c>
      <c r="BM90" s="59">
        <f ca="1">SUMPRODUCT($EU90:$GC90,'General Inputs'!$F$34:$AN$34,'General Inputs'!$F$53:$AN$53)/(1-Loss_GasEnergy)</f>
        <v>0</v>
      </c>
      <c r="BN90" s="59">
        <f ca="1">INDEX('General Inputs'!$F$53:$AN$53,MATCH($H90,'General Inputs'!$F$50:$AN$50,0))*$AJ90</f>
        <v>0</v>
      </c>
      <c r="BO90" s="59">
        <f ca="1">SUMPRODUCT($CA90:$DI90,'General Inputs'!$F$35:$AN$35,'General Inputs'!$F$53:$AN$53)/(1-Loss_ElectricEnergy)</f>
        <v>1854.4903792619334</v>
      </c>
      <c r="BP90" s="59">
        <f ca="1">INDEX('General Inputs'!$F$51:$AN$51,MATCH($H90,'General Inputs'!$F$50:$AN$50,0))*$AM90</f>
        <v>0</v>
      </c>
      <c r="BQ90" s="59">
        <f ca="1">SUM(INDEX('General Inputs'!$F$53:$AN$53,MATCH($H90,'General Inputs'!$F$50:$AN$50,0))*$AG90,INDEX('General Inputs'!$F$53:$AN$53,MATCH($H90+$AL90,'General Inputs'!$F$50:$AN$50,0))*-$AH90)</f>
        <v>1700</v>
      </c>
      <c r="BR90" s="55"/>
      <c r="BS90" s="59">
        <f ca="1">SUMPRODUCT($CA90:$DI90,'General Inputs'!$F$32:$AN$32,'General Inputs'!$F$55:$AN$55)/(1-Loss_ElectricEnergy)</f>
        <v>4684.6555499767537</v>
      </c>
      <c r="BT90" s="59">
        <f ca="1">SUMPRODUCT($DK90:$ES90,'General Inputs'!$F$33:$AN$33,'General Inputs'!$F$55:$AN$55)/(1-Loss_ElectricDemand)</f>
        <v>893.42748707804719</v>
      </c>
      <c r="BU90" s="59">
        <f ca="1">SUMPRODUCT($EU90:$GC90,'General Inputs'!$F$34:$AN$34,'General Inputs'!$F$55:$AN$55)/(1-Loss_GasEnergy)</f>
        <v>0</v>
      </c>
      <c r="BV90" s="59">
        <f ca="1">SUMPRODUCT($CA90:$DI90,OFFSET('General Inputs'!$F$40:$AN$40,MATCH($D90&amp;" Electric ($/kWh)",'General Inputs'!$E$40:$E$46,0),),'General Inputs'!$F$55:$AN$55)</f>
        <v>0</v>
      </c>
      <c r="BW90" s="59">
        <f ca="1">SUMPRODUCT($EU90:$GC90,OFFSET('General Inputs'!$F$40:$AN$40,MATCH($D90&amp;" Natural Gas ($/therm)",'General Inputs'!$E$40:$E$46,0),),'General Inputs'!$F$55:$AN$55)</f>
        <v>0</v>
      </c>
      <c r="BX90" s="59">
        <f ca="1">INDEX('General Inputs'!$F$55:$AN$55,MATCH($H90,'General Inputs'!$F$50:$AN$50,0))*$AI90</f>
        <v>425</v>
      </c>
      <c r="BY90" s="59">
        <f ca="1">INDEX('General Inputs'!$F$51:$AN$51,MATCH($H90,'General Inputs'!$F$50:$AN$50,0))*$AM90</f>
        <v>0</v>
      </c>
      <c r="BZ90" s="55"/>
      <c r="CA90" s="88">
        <f t="shared" ca="1" si="287"/>
        <v>25581.956999999999</v>
      </c>
      <c r="CB90" s="88">
        <f t="shared" ca="1" si="287"/>
        <v>25581.956999999999</v>
      </c>
      <c r="CC90" s="88">
        <f t="shared" ca="1" si="287"/>
        <v>25581.956999999999</v>
      </c>
      <c r="CD90" s="88">
        <f t="shared" ca="1" si="287"/>
        <v>25581.956999999999</v>
      </c>
      <c r="CE90" s="88">
        <f t="shared" ca="1" si="287"/>
        <v>25581.956999999999</v>
      </c>
      <c r="CF90" s="88">
        <f t="shared" ca="1" si="287"/>
        <v>25581.956999999999</v>
      </c>
      <c r="CG90" s="88">
        <f t="shared" ca="1" si="287"/>
        <v>25581.956999999999</v>
      </c>
      <c r="CH90" s="88">
        <f t="shared" ca="1" si="287"/>
        <v>25581.956999999999</v>
      </c>
      <c r="CI90" s="88">
        <f t="shared" ca="1" si="287"/>
        <v>0</v>
      </c>
      <c r="CJ90" s="88">
        <f t="shared" ca="1" si="287"/>
        <v>0</v>
      </c>
      <c r="CK90" s="88">
        <f t="shared" ca="1" si="288"/>
        <v>0</v>
      </c>
      <c r="CL90" s="88">
        <f t="shared" ca="1" si="288"/>
        <v>0</v>
      </c>
      <c r="CM90" s="88">
        <f t="shared" ca="1" si="288"/>
        <v>0</v>
      </c>
      <c r="CN90" s="88">
        <f t="shared" ca="1" si="288"/>
        <v>0</v>
      </c>
      <c r="CO90" s="88">
        <f t="shared" ca="1" si="288"/>
        <v>0</v>
      </c>
      <c r="CP90" s="88">
        <f t="shared" ca="1" si="288"/>
        <v>0</v>
      </c>
      <c r="CQ90" s="88">
        <f t="shared" ca="1" si="288"/>
        <v>0</v>
      </c>
      <c r="CR90" s="88">
        <f t="shared" ca="1" si="288"/>
        <v>0</v>
      </c>
      <c r="CS90" s="88">
        <f t="shared" ca="1" si="288"/>
        <v>0</v>
      </c>
      <c r="CT90" s="88">
        <f t="shared" ca="1" si="288"/>
        <v>0</v>
      </c>
      <c r="CU90" s="88">
        <f t="shared" ca="1" si="289"/>
        <v>0</v>
      </c>
      <c r="CV90" s="88">
        <f t="shared" ca="1" si="289"/>
        <v>0</v>
      </c>
      <c r="CW90" s="88">
        <f t="shared" ca="1" si="289"/>
        <v>0</v>
      </c>
      <c r="CX90" s="88">
        <f t="shared" ca="1" si="289"/>
        <v>0</v>
      </c>
      <c r="CY90" s="88">
        <f t="shared" ca="1" si="289"/>
        <v>0</v>
      </c>
      <c r="CZ90" s="88">
        <f t="shared" ca="1" si="289"/>
        <v>0</v>
      </c>
      <c r="DA90" s="88">
        <f t="shared" ca="1" si="289"/>
        <v>0</v>
      </c>
      <c r="DB90" s="88">
        <f t="shared" ca="1" si="289"/>
        <v>0</v>
      </c>
      <c r="DC90" s="88">
        <f t="shared" ca="1" si="289"/>
        <v>0</v>
      </c>
      <c r="DD90" s="88">
        <f t="shared" ca="1" si="289"/>
        <v>0</v>
      </c>
      <c r="DE90" s="88">
        <f t="shared" ca="1" si="289"/>
        <v>0</v>
      </c>
      <c r="DF90" s="88">
        <f t="shared" ca="1" si="289"/>
        <v>0</v>
      </c>
      <c r="DG90" s="88">
        <f t="shared" ca="1" si="289"/>
        <v>0</v>
      </c>
      <c r="DH90" s="88">
        <f t="shared" ca="1" si="289"/>
        <v>0</v>
      </c>
      <c r="DI90" s="88">
        <f t="shared" ca="1" si="289"/>
        <v>0</v>
      </c>
      <c r="DJ90" s="169"/>
      <c r="DK90" s="88">
        <f t="shared" ca="1" si="290"/>
        <v>6.7830000000000013</v>
      </c>
      <c r="DL90" s="88">
        <f t="shared" ca="1" si="290"/>
        <v>6.7830000000000013</v>
      </c>
      <c r="DM90" s="88">
        <f t="shared" ca="1" si="290"/>
        <v>6.7830000000000013</v>
      </c>
      <c r="DN90" s="88">
        <f t="shared" ca="1" si="290"/>
        <v>6.7830000000000013</v>
      </c>
      <c r="DO90" s="88">
        <f t="shared" ca="1" si="290"/>
        <v>6.7830000000000013</v>
      </c>
      <c r="DP90" s="88">
        <f t="shared" ca="1" si="290"/>
        <v>6.7830000000000013</v>
      </c>
      <c r="DQ90" s="88">
        <f t="shared" ca="1" si="290"/>
        <v>6.7830000000000013</v>
      </c>
      <c r="DR90" s="88">
        <f t="shared" ca="1" si="290"/>
        <v>6.7830000000000013</v>
      </c>
      <c r="DS90" s="88">
        <f t="shared" ca="1" si="290"/>
        <v>0</v>
      </c>
      <c r="DT90" s="88">
        <f t="shared" ca="1" si="290"/>
        <v>0</v>
      </c>
      <c r="DU90" s="88">
        <f t="shared" ca="1" si="291"/>
        <v>0</v>
      </c>
      <c r="DV90" s="88">
        <f t="shared" ca="1" si="291"/>
        <v>0</v>
      </c>
      <c r="DW90" s="88">
        <f t="shared" ca="1" si="291"/>
        <v>0</v>
      </c>
      <c r="DX90" s="88">
        <f t="shared" ca="1" si="291"/>
        <v>0</v>
      </c>
      <c r="DY90" s="88">
        <f t="shared" ca="1" si="291"/>
        <v>0</v>
      </c>
      <c r="DZ90" s="88">
        <f t="shared" ca="1" si="291"/>
        <v>0</v>
      </c>
      <c r="EA90" s="88">
        <f t="shared" ca="1" si="291"/>
        <v>0</v>
      </c>
      <c r="EB90" s="88">
        <f t="shared" ca="1" si="291"/>
        <v>0</v>
      </c>
      <c r="EC90" s="88">
        <f t="shared" ca="1" si="291"/>
        <v>0</v>
      </c>
      <c r="ED90" s="88">
        <f t="shared" ca="1" si="291"/>
        <v>0</v>
      </c>
      <c r="EE90" s="88">
        <f t="shared" ca="1" si="292"/>
        <v>0</v>
      </c>
      <c r="EF90" s="88">
        <f t="shared" ca="1" si="292"/>
        <v>0</v>
      </c>
      <c r="EG90" s="88">
        <f t="shared" ca="1" si="292"/>
        <v>0</v>
      </c>
      <c r="EH90" s="88">
        <f t="shared" ca="1" si="292"/>
        <v>0</v>
      </c>
      <c r="EI90" s="88">
        <f t="shared" ca="1" si="292"/>
        <v>0</v>
      </c>
      <c r="EJ90" s="88">
        <f t="shared" ca="1" si="292"/>
        <v>0</v>
      </c>
      <c r="EK90" s="88">
        <f t="shared" ca="1" si="292"/>
        <v>0</v>
      </c>
      <c r="EL90" s="88">
        <f t="shared" ca="1" si="292"/>
        <v>0</v>
      </c>
      <c r="EM90" s="88">
        <f t="shared" ca="1" si="292"/>
        <v>0</v>
      </c>
      <c r="EN90" s="88">
        <f t="shared" ca="1" si="292"/>
        <v>0</v>
      </c>
      <c r="EO90" s="88">
        <f t="shared" ca="1" si="292"/>
        <v>0</v>
      </c>
      <c r="EP90" s="88">
        <f t="shared" ca="1" si="292"/>
        <v>0</v>
      </c>
      <c r="EQ90" s="88">
        <f t="shared" ca="1" si="292"/>
        <v>0</v>
      </c>
      <c r="ER90" s="88">
        <f t="shared" ca="1" si="292"/>
        <v>0</v>
      </c>
      <c r="ES90" s="88">
        <f t="shared" ca="1" si="292"/>
        <v>0</v>
      </c>
      <c r="ET90" s="169"/>
      <c r="EU90" s="88">
        <f t="shared" ca="1" si="293"/>
        <v>0</v>
      </c>
      <c r="EV90" s="88">
        <f t="shared" ca="1" si="293"/>
        <v>0</v>
      </c>
      <c r="EW90" s="88">
        <f t="shared" ca="1" si="293"/>
        <v>0</v>
      </c>
      <c r="EX90" s="88">
        <f t="shared" ca="1" si="293"/>
        <v>0</v>
      </c>
      <c r="EY90" s="88">
        <f t="shared" ca="1" si="293"/>
        <v>0</v>
      </c>
      <c r="EZ90" s="88">
        <f t="shared" ca="1" si="293"/>
        <v>0</v>
      </c>
      <c r="FA90" s="88">
        <f t="shared" ca="1" si="293"/>
        <v>0</v>
      </c>
      <c r="FB90" s="88">
        <f t="shared" ca="1" si="293"/>
        <v>0</v>
      </c>
      <c r="FC90" s="88">
        <f t="shared" ca="1" si="293"/>
        <v>0</v>
      </c>
      <c r="FD90" s="88">
        <f t="shared" ca="1" si="293"/>
        <v>0</v>
      </c>
      <c r="FE90" s="88">
        <f t="shared" ca="1" si="294"/>
        <v>0</v>
      </c>
      <c r="FF90" s="88">
        <f t="shared" ca="1" si="294"/>
        <v>0</v>
      </c>
      <c r="FG90" s="88">
        <f t="shared" ca="1" si="294"/>
        <v>0</v>
      </c>
      <c r="FH90" s="88">
        <f t="shared" ca="1" si="294"/>
        <v>0</v>
      </c>
      <c r="FI90" s="88">
        <f t="shared" ca="1" si="294"/>
        <v>0</v>
      </c>
      <c r="FJ90" s="88">
        <f t="shared" ca="1" si="294"/>
        <v>0</v>
      </c>
      <c r="FK90" s="88">
        <f t="shared" ca="1" si="294"/>
        <v>0</v>
      </c>
      <c r="FL90" s="88">
        <f t="shared" ca="1" si="294"/>
        <v>0</v>
      </c>
      <c r="FM90" s="88">
        <f t="shared" ca="1" si="294"/>
        <v>0</v>
      </c>
      <c r="FN90" s="88">
        <f t="shared" ca="1" si="294"/>
        <v>0</v>
      </c>
      <c r="FO90" s="88">
        <f t="shared" ca="1" si="295"/>
        <v>0</v>
      </c>
      <c r="FP90" s="88">
        <f t="shared" ca="1" si="295"/>
        <v>0</v>
      </c>
      <c r="FQ90" s="88">
        <f t="shared" ca="1" si="295"/>
        <v>0</v>
      </c>
      <c r="FR90" s="88">
        <f t="shared" ca="1" si="295"/>
        <v>0</v>
      </c>
      <c r="FS90" s="88">
        <f t="shared" ca="1" si="295"/>
        <v>0</v>
      </c>
      <c r="FT90" s="88">
        <f t="shared" ca="1" si="295"/>
        <v>0</v>
      </c>
      <c r="FU90" s="88">
        <f t="shared" ca="1" si="295"/>
        <v>0</v>
      </c>
      <c r="FV90" s="88">
        <f t="shared" ca="1" si="295"/>
        <v>0</v>
      </c>
      <c r="FW90" s="88">
        <f t="shared" ca="1" si="295"/>
        <v>0</v>
      </c>
      <c r="FX90" s="88">
        <f t="shared" ca="1" si="295"/>
        <v>0</v>
      </c>
      <c r="FY90" s="88">
        <f t="shared" ca="1" si="295"/>
        <v>0</v>
      </c>
      <c r="FZ90" s="88">
        <f t="shared" ca="1" si="295"/>
        <v>0</v>
      </c>
      <c r="GA90" s="88">
        <f t="shared" ca="1" si="295"/>
        <v>0</v>
      </c>
      <c r="GB90" s="88">
        <f t="shared" ca="1" si="295"/>
        <v>0</v>
      </c>
      <c r="GC90" s="88">
        <f t="shared" ca="1" si="295"/>
        <v>0</v>
      </c>
      <c r="GD90" s="60"/>
    </row>
    <row r="91" spans="1:186" s="54" customFormat="1" ht="14.45" customHeight="1">
      <c r="A91" s="61"/>
      <c r="B91" s="100" t="str">
        <f t="shared" si="277"/>
        <v>C&amp;I_C&amp;I Prescriptive_0_Energy Star LED Lamp (≤5W)_2017</v>
      </c>
      <c r="C91" s="100">
        <f>INDEX('Measure Inputs'!$D:$D,MATCH($B91,'Measure Inputs'!$B:$B,0))</f>
        <v>43</v>
      </c>
      <c r="D91" s="101" t="s">
        <v>256</v>
      </c>
      <c r="E91" s="101" t="s">
        <v>255</v>
      </c>
      <c r="F91" s="101">
        <v>0</v>
      </c>
      <c r="G91" s="101" t="s">
        <v>288</v>
      </c>
      <c r="H91" s="101">
        <v>2017</v>
      </c>
      <c r="I91" s="55"/>
      <c r="J91" s="58">
        <f t="shared" ca="1" si="229"/>
        <v>1.9444298168382741</v>
      </c>
      <c r="K91" s="58">
        <f t="shared" ca="1" si="246"/>
        <v>3.4999736703088935</v>
      </c>
      <c r="L91" s="58">
        <f t="shared" ca="1" si="230"/>
        <v>0.55555555555555558</v>
      </c>
      <c r="M91" s="58">
        <f t="shared" ca="1" si="231"/>
        <v>2.5908752649470088</v>
      </c>
      <c r="N91" s="58">
        <f t="shared" ca="1" si="232"/>
        <v>3.4999736703088935</v>
      </c>
      <c r="O91" s="55"/>
      <c r="P91" s="175">
        <f ca="1">IFERROR(($AW91+AV91)/SUMPRODUCT($CA91:$DI91,'General Inputs'!$F$51:$AN$51),"n/a")</f>
        <v>1.0280342026141235E-2</v>
      </c>
      <c r="Q91" s="175">
        <f t="shared" ca="1" si="233"/>
        <v>6.229976854389991E-2</v>
      </c>
      <c r="R91" s="56">
        <f t="shared" ca="1" si="260"/>
        <v>96.308543999999998</v>
      </c>
      <c r="S91" s="55"/>
      <c r="T91" s="56">
        <f ca="1">INDEX(OFFSET('Measure Inputs'!$L$7,,,InputRows),$C91)</f>
        <v>150</v>
      </c>
      <c r="U91" s="134">
        <f ca="1">INDEX(OFFSET('Measure Inputs'!$T$7,,,InputRows),$C91)</f>
        <v>1</v>
      </c>
      <c r="V91" s="134">
        <f ca="1">INDEX(OFFSET('Measure Inputs'!$U$7,,,InputRows),$C91)</f>
        <v>1</v>
      </c>
      <c r="W91" s="55"/>
      <c r="X91" s="96">
        <f ca="1">INDEX(OFFSET('Measure Inputs'!$V$7,,,InputRows),$C91)*$T91*$V91*$U91</f>
        <v>12038.567999999999</v>
      </c>
      <c r="Y91" s="96">
        <f ca="1">INDEX(OFFSET('Measure Inputs'!$W$7,,,InputRows),$C91)*$T91*$V91*$U91</f>
        <v>3.1920000000000002</v>
      </c>
      <c r="Z91" s="96">
        <f ca="1">INDEX(OFFSET('Measure Inputs'!$X$7,,,InputRows),$C91)*$T91*$V91*$U91</f>
        <v>0</v>
      </c>
      <c r="AA91" s="55"/>
      <c r="AB91" s="96">
        <f ca="1">INDEX(OFFSET('Measure Inputs'!$Z$7,,,InputRows),$C91)*$T91*$V91*$U91</f>
        <v>0</v>
      </c>
      <c r="AC91" s="96">
        <f ca="1">INDEX(OFFSET('Measure Inputs'!$AA$7,,,InputRows),$C91)*$T91*$V91*$U91</f>
        <v>0</v>
      </c>
      <c r="AD91" s="96">
        <f ca="1">INDEX(OFFSET('Measure Inputs'!$AB$7,,,InputRows),$C91)*$T91*$V91*$U91</f>
        <v>0</v>
      </c>
      <c r="AE91" s="55"/>
      <c r="AF91" s="57">
        <f ca="1">INDEX(OFFSET('Measure Inputs'!$Q$7,,,InputRows),$C91)*$T91</f>
        <v>0</v>
      </c>
      <c r="AG91" s="57">
        <f ca="1">INDEX(OFFSET('Measure Inputs'!$P$7,,,InputRows),$C91)*$T91*$V91</f>
        <v>1350</v>
      </c>
      <c r="AH91" s="57">
        <f ca="1">INDEX(OFFSET('Measure Inputs'!$R$7,,,InputRows),$C91)*$T91*$V91</f>
        <v>0</v>
      </c>
      <c r="AI91" s="57">
        <f ca="1">INDEX(OFFSET('Measure Inputs'!$O$7,,,InputRows),$C91)*$T91</f>
        <v>750</v>
      </c>
      <c r="AJ91" s="57">
        <f ca="1">INDEX(OFFSET('Measure Inputs'!$S$7,,,InputRows),$C91)*$T91</f>
        <v>0</v>
      </c>
      <c r="AK91" s="63">
        <f ca="1">INDEX(OFFSET('Measure Inputs'!$M$7,,,InputRows),$C91)</f>
        <v>8</v>
      </c>
      <c r="AL91" s="88">
        <f ca="1">INDEX(OFFSET('Measure Inputs'!$N$7,,,InputRows),$C91)</f>
        <v>0</v>
      </c>
      <c r="AM91" s="57">
        <f ca="1">SUMIFS(OFFSET('Program Inputs'!$N$5,,,TotalPrograms),OFFSET('Program Inputs'!$B$5,,,TotalPrograms),SUBSTITUTE($B91,"All","*"))+AF91</f>
        <v>0</v>
      </c>
      <c r="AN91" s="57">
        <f t="shared" ca="1" si="261"/>
        <v>750</v>
      </c>
      <c r="AO91" s="55"/>
      <c r="AP91" s="59">
        <f t="shared" ca="1" si="262"/>
        <v>2624.9802527316701</v>
      </c>
      <c r="AQ91" s="59">
        <f t="shared" ca="1" si="263"/>
        <v>1350</v>
      </c>
      <c r="AR91" s="59">
        <f ca="1">SUMPRODUCT($CA91:$DI91,'General Inputs'!$F$32:$AN$32,'General Inputs'!$F$51:$AN$51)/(1-Loss_ElectricEnergy)</f>
        <v>2204.5437882243536</v>
      </c>
      <c r="AS91" s="59">
        <f ca="1">SUMPRODUCT($DK91:$ES91,'General Inputs'!$F$33:$AN$33,'General Inputs'!$F$51:$AN$51)/(1-Loss_ElectricDemand)</f>
        <v>420.43646450731637</v>
      </c>
      <c r="AT91" s="59">
        <f ca="1">SUMPRODUCT($EU91:$GC91,'General Inputs'!$F$34:$AN$34,'General Inputs'!$F$51:$AN$51)/(1-Loss_GasEnergy)</f>
        <v>0</v>
      </c>
      <c r="AU91" s="59">
        <f ca="1">INDEX('General Inputs'!$F$51:$AN$51,MATCH($H91,'General Inputs'!$F$50:$AN$50,0))*$AJ91</f>
        <v>0</v>
      </c>
      <c r="AV91" s="59">
        <f ca="1">INDEX('General Inputs'!$F$51:$AN$51,MATCH($H91,'General Inputs'!$F$50:$AN$50,0))*$AI91</f>
        <v>750</v>
      </c>
      <c r="AW91" s="59">
        <f ca="1">INDEX('General Inputs'!$F$51:$AN$51,MATCH($H91,'General Inputs'!$F$50:$AN$50,0))*$AM91</f>
        <v>0</v>
      </c>
      <c r="AX91" s="59">
        <f ca="1">SUM(INDEX('General Inputs'!$F$51:$AN$51,MATCH($H91,'General Inputs'!$F$50:$AN$50,0))*$AG91,INDEX('General Inputs'!$F$51:$AN$51,MATCH($H91+$AL91,'General Inputs'!$F$50:$AN$50,0))*-$AH91)</f>
        <v>1350</v>
      </c>
      <c r="AY91" s="55"/>
      <c r="AZ91" s="59">
        <f ca="1">SUMPRODUCT($CA91:$DI91,'General Inputs'!$F$32:$AN$32,'General Inputs'!$F$52:$AN$52)/(1-Loss_ElectricEnergy)</f>
        <v>2204.5437882243536</v>
      </c>
      <c r="BA91" s="59">
        <f ca="1">SUMPRODUCT($DK91:$ES91,'General Inputs'!$F$33:$AN$33,'General Inputs'!$F$52:$AN$52)/(1-Loss_ElectricDemand)</f>
        <v>420.43646450731637</v>
      </c>
      <c r="BB91" s="59">
        <f ca="1">SUMPRODUCT($EU91:$GC91,'General Inputs'!$F$34:$AN$34,'General Inputs'!$F$52:$AN$52)/(1-Loss_GasEnergy)</f>
        <v>0</v>
      </c>
      <c r="BC91" s="59">
        <f ca="1">INDEX('General Inputs'!$F$52:$AN$52,MATCH($H91,'General Inputs'!$F$50:$AN$50,0))*$AI91</f>
        <v>750</v>
      </c>
      <c r="BD91" s="59">
        <f ca="1">INDEX('General Inputs'!$F$52:$AN$52,MATCH($H91,'General Inputs'!$F$50:$AN$50,0))*$AM91</f>
        <v>0</v>
      </c>
      <c r="BE91" s="55"/>
      <c r="BF91" s="59">
        <f ca="1">SUMPRODUCT($CA91:$DI91,OFFSET('General Inputs'!$F$40:$AN$40,MATCH($D91&amp;" Electric ($/kWh)",'General Inputs'!$E$40:$E$46,0),),'General Inputs'!$F$54:$AN$54)</f>
        <v>0</v>
      </c>
      <c r="BG91" s="59">
        <f ca="1">SUMPRODUCT($EU91:$GC91,OFFSET('General Inputs'!$F$40:$AN$40,MATCH($D91&amp;" Natural Gas ($/therm)",'General Inputs'!$E$40:$E$46,0),),'General Inputs'!$F$54:$AN$54)</f>
        <v>0</v>
      </c>
      <c r="BH91" s="59">
        <f ca="1">INDEX('General Inputs'!$F$54:$AN$54,MATCH($H91,'General Inputs'!$F$50:$AN$50,0))*$AI91</f>
        <v>750</v>
      </c>
      <c r="BI91" s="59">
        <f ca="1">SUM(INDEX('General Inputs'!$F$54:$AN$54,MATCH($H91,'General Inputs'!$F$50:$AN$50,0))*$AG91,INDEX('General Inputs'!$F$51:$AN$51,MATCH($H91+$AL91,'General Inputs'!$F$50:$AN$50,0))*-$AH91)</f>
        <v>1350</v>
      </c>
      <c r="BJ91" s="55"/>
      <c r="BK91" s="59">
        <f ca="1">SUMPRODUCT($CA91:$DI91,'General Inputs'!$F$32:$AN$32,'General Inputs'!$F$53:$AN$53)/(1-Loss_ElectricEnergy)</f>
        <v>2204.5437882243536</v>
      </c>
      <c r="BL91" s="59">
        <f ca="1">SUMPRODUCT($DK91:$ES91,'General Inputs'!$F$33:$AN$33,'General Inputs'!$F$53:$AN$53)/(1-Loss_ElectricDemand)</f>
        <v>420.43646450731637</v>
      </c>
      <c r="BM91" s="59">
        <f ca="1">SUMPRODUCT($EU91:$GC91,'General Inputs'!$F$34:$AN$34,'General Inputs'!$F$53:$AN$53)/(1-Loss_GasEnergy)</f>
        <v>0</v>
      </c>
      <c r="BN91" s="59">
        <f ca="1">INDEX('General Inputs'!$F$53:$AN$53,MATCH($H91,'General Inputs'!$F$50:$AN$50,0))*$AJ91</f>
        <v>0</v>
      </c>
      <c r="BO91" s="59">
        <f ca="1">SUMPRODUCT($CA91:$DI91,'General Inputs'!$F$35:$AN$35,'General Inputs'!$F$53:$AN$53)/(1-Loss_ElectricEnergy)</f>
        <v>872.70135494679209</v>
      </c>
      <c r="BP91" s="59">
        <f ca="1">INDEX('General Inputs'!$F$51:$AN$51,MATCH($H91,'General Inputs'!$F$50:$AN$50,0))*$AM91</f>
        <v>0</v>
      </c>
      <c r="BQ91" s="59">
        <f ca="1">SUM(INDEX('General Inputs'!$F$53:$AN$53,MATCH($H91,'General Inputs'!$F$50:$AN$50,0))*$AG91,INDEX('General Inputs'!$F$53:$AN$53,MATCH($H91+$AL91,'General Inputs'!$F$50:$AN$50,0))*-$AH91)</f>
        <v>1350</v>
      </c>
      <c r="BR91" s="55"/>
      <c r="BS91" s="59">
        <f ca="1">SUMPRODUCT($CA91:$DI91,'General Inputs'!$F$32:$AN$32,'General Inputs'!$F$55:$AN$55)/(1-Loss_ElectricEnergy)</f>
        <v>2204.5437882243536</v>
      </c>
      <c r="BT91" s="59">
        <f ca="1">SUMPRODUCT($DK91:$ES91,'General Inputs'!$F$33:$AN$33,'General Inputs'!$F$55:$AN$55)/(1-Loss_ElectricDemand)</f>
        <v>420.43646450731637</v>
      </c>
      <c r="BU91" s="59">
        <f ca="1">SUMPRODUCT($EU91:$GC91,'General Inputs'!$F$34:$AN$34,'General Inputs'!$F$55:$AN$55)/(1-Loss_GasEnergy)</f>
        <v>0</v>
      </c>
      <c r="BV91" s="59">
        <f ca="1">SUMPRODUCT($CA91:$DI91,OFFSET('General Inputs'!$F$40:$AN$40,MATCH($D91&amp;" Electric ($/kWh)",'General Inputs'!$E$40:$E$46,0),),'General Inputs'!$F$55:$AN$55)</f>
        <v>0</v>
      </c>
      <c r="BW91" s="59">
        <f ca="1">SUMPRODUCT($EU91:$GC91,OFFSET('General Inputs'!$F$40:$AN$40,MATCH($D91&amp;" Natural Gas ($/therm)",'General Inputs'!$E$40:$E$46,0),),'General Inputs'!$F$55:$AN$55)</f>
        <v>0</v>
      </c>
      <c r="BX91" s="59">
        <f ca="1">INDEX('General Inputs'!$F$55:$AN$55,MATCH($H91,'General Inputs'!$F$50:$AN$50,0))*$AI91</f>
        <v>750</v>
      </c>
      <c r="BY91" s="59">
        <f ca="1">INDEX('General Inputs'!$F$51:$AN$51,MATCH($H91,'General Inputs'!$F$50:$AN$50,0))*$AM91</f>
        <v>0</v>
      </c>
      <c r="BZ91" s="55"/>
      <c r="CA91" s="88">
        <f t="shared" ca="1" si="287"/>
        <v>12038.567999999999</v>
      </c>
      <c r="CB91" s="88">
        <f t="shared" ca="1" si="287"/>
        <v>12038.567999999999</v>
      </c>
      <c r="CC91" s="88">
        <f t="shared" ca="1" si="287"/>
        <v>12038.567999999999</v>
      </c>
      <c r="CD91" s="88">
        <f t="shared" ca="1" si="287"/>
        <v>12038.567999999999</v>
      </c>
      <c r="CE91" s="88">
        <f t="shared" ca="1" si="287"/>
        <v>12038.567999999999</v>
      </c>
      <c r="CF91" s="88">
        <f t="shared" ca="1" si="287"/>
        <v>12038.567999999999</v>
      </c>
      <c r="CG91" s="88">
        <f t="shared" ca="1" si="287"/>
        <v>12038.567999999999</v>
      </c>
      <c r="CH91" s="88">
        <f t="shared" ca="1" si="287"/>
        <v>12038.567999999999</v>
      </c>
      <c r="CI91" s="88">
        <f t="shared" ca="1" si="287"/>
        <v>0</v>
      </c>
      <c r="CJ91" s="88">
        <f t="shared" ca="1" si="287"/>
        <v>0</v>
      </c>
      <c r="CK91" s="88">
        <f t="shared" ca="1" si="288"/>
        <v>0</v>
      </c>
      <c r="CL91" s="88">
        <f t="shared" ca="1" si="288"/>
        <v>0</v>
      </c>
      <c r="CM91" s="88">
        <f t="shared" ca="1" si="288"/>
        <v>0</v>
      </c>
      <c r="CN91" s="88">
        <f t="shared" ca="1" si="288"/>
        <v>0</v>
      </c>
      <c r="CO91" s="88">
        <f t="shared" ca="1" si="288"/>
        <v>0</v>
      </c>
      <c r="CP91" s="88">
        <f t="shared" ca="1" si="288"/>
        <v>0</v>
      </c>
      <c r="CQ91" s="88">
        <f t="shared" ca="1" si="288"/>
        <v>0</v>
      </c>
      <c r="CR91" s="88">
        <f t="shared" ca="1" si="288"/>
        <v>0</v>
      </c>
      <c r="CS91" s="88">
        <f t="shared" ca="1" si="288"/>
        <v>0</v>
      </c>
      <c r="CT91" s="88">
        <f t="shared" ca="1" si="288"/>
        <v>0</v>
      </c>
      <c r="CU91" s="88">
        <f t="shared" ca="1" si="289"/>
        <v>0</v>
      </c>
      <c r="CV91" s="88">
        <f t="shared" ca="1" si="289"/>
        <v>0</v>
      </c>
      <c r="CW91" s="88">
        <f t="shared" ca="1" si="289"/>
        <v>0</v>
      </c>
      <c r="CX91" s="88">
        <f t="shared" ca="1" si="289"/>
        <v>0</v>
      </c>
      <c r="CY91" s="88">
        <f t="shared" ca="1" si="289"/>
        <v>0</v>
      </c>
      <c r="CZ91" s="88">
        <f t="shared" ca="1" si="289"/>
        <v>0</v>
      </c>
      <c r="DA91" s="88">
        <f t="shared" ca="1" si="289"/>
        <v>0</v>
      </c>
      <c r="DB91" s="88">
        <f t="shared" ca="1" si="289"/>
        <v>0</v>
      </c>
      <c r="DC91" s="88">
        <f t="shared" ca="1" si="289"/>
        <v>0</v>
      </c>
      <c r="DD91" s="88">
        <f t="shared" ca="1" si="289"/>
        <v>0</v>
      </c>
      <c r="DE91" s="88">
        <f t="shared" ca="1" si="289"/>
        <v>0</v>
      </c>
      <c r="DF91" s="88">
        <f t="shared" ca="1" si="289"/>
        <v>0</v>
      </c>
      <c r="DG91" s="88">
        <f t="shared" ca="1" si="289"/>
        <v>0</v>
      </c>
      <c r="DH91" s="88">
        <f t="shared" ca="1" si="289"/>
        <v>0</v>
      </c>
      <c r="DI91" s="88">
        <f t="shared" ca="1" si="289"/>
        <v>0</v>
      </c>
      <c r="DJ91" s="169"/>
      <c r="DK91" s="88">
        <f t="shared" ca="1" si="290"/>
        <v>3.1920000000000002</v>
      </c>
      <c r="DL91" s="88">
        <f t="shared" ca="1" si="290"/>
        <v>3.1920000000000002</v>
      </c>
      <c r="DM91" s="88">
        <f t="shared" ca="1" si="290"/>
        <v>3.1920000000000002</v>
      </c>
      <c r="DN91" s="88">
        <f t="shared" ca="1" si="290"/>
        <v>3.1920000000000002</v>
      </c>
      <c r="DO91" s="88">
        <f t="shared" ca="1" si="290"/>
        <v>3.1920000000000002</v>
      </c>
      <c r="DP91" s="88">
        <f t="shared" ca="1" si="290"/>
        <v>3.1920000000000002</v>
      </c>
      <c r="DQ91" s="88">
        <f t="shared" ca="1" si="290"/>
        <v>3.1920000000000002</v>
      </c>
      <c r="DR91" s="88">
        <f t="shared" ca="1" si="290"/>
        <v>3.1920000000000002</v>
      </c>
      <c r="DS91" s="88">
        <f t="shared" ca="1" si="290"/>
        <v>0</v>
      </c>
      <c r="DT91" s="88">
        <f t="shared" ca="1" si="290"/>
        <v>0</v>
      </c>
      <c r="DU91" s="88">
        <f t="shared" ca="1" si="291"/>
        <v>0</v>
      </c>
      <c r="DV91" s="88">
        <f t="shared" ca="1" si="291"/>
        <v>0</v>
      </c>
      <c r="DW91" s="88">
        <f t="shared" ca="1" si="291"/>
        <v>0</v>
      </c>
      <c r="DX91" s="88">
        <f t="shared" ca="1" si="291"/>
        <v>0</v>
      </c>
      <c r="DY91" s="88">
        <f t="shared" ca="1" si="291"/>
        <v>0</v>
      </c>
      <c r="DZ91" s="88">
        <f t="shared" ca="1" si="291"/>
        <v>0</v>
      </c>
      <c r="EA91" s="88">
        <f t="shared" ca="1" si="291"/>
        <v>0</v>
      </c>
      <c r="EB91" s="88">
        <f t="shared" ca="1" si="291"/>
        <v>0</v>
      </c>
      <c r="EC91" s="88">
        <f t="shared" ca="1" si="291"/>
        <v>0</v>
      </c>
      <c r="ED91" s="88">
        <f t="shared" ca="1" si="291"/>
        <v>0</v>
      </c>
      <c r="EE91" s="88">
        <f t="shared" ca="1" si="292"/>
        <v>0</v>
      </c>
      <c r="EF91" s="88">
        <f t="shared" ca="1" si="292"/>
        <v>0</v>
      </c>
      <c r="EG91" s="88">
        <f t="shared" ca="1" si="292"/>
        <v>0</v>
      </c>
      <c r="EH91" s="88">
        <f t="shared" ca="1" si="292"/>
        <v>0</v>
      </c>
      <c r="EI91" s="88">
        <f t="shared" ca="1" si="292"/>
        <v>0</v>
      </c>
      <c r="EJ91" s="88">
        <f t="shared" ca="1" si="292"/>
        <v>0</v>
      </c>
      <c r="EK91" s="88">
        <f t="shared" ca="1" si="292"/>
        <v>0</v>
      </c>
      <c r="EL91" s="88">
        <f t="shared" ca="1" si="292"/>
        <v>0</v>
      </c>
      <c r="EM91" s="88">
        <f t="shared" ca="1" si="292"/>
        <v>0</v>
      </c>
      <c r="EN91" s="88">
        <f t="shared" ca="1" si="292"/>
        <v>0</v>
      </c>
      <c r="EO91" s="88">
        <f t="shared" ca="1" si="292"/>
        <v>0</v>
      </c>
      <c r="EP91" s="88">
        <f t="shared" ca="1" si="292"/>
        <v>0</v>
      </c>
      <c r="EQ91" s="88">
        <f t="shared" ca="1" si="292"/>
        <v>0</v>
      </c>
      <c r="ER91" s="88">
        <f t="shared" ca="1" si="292"/>
        <v>0</v>
      </c>
      <c r="ES91" s="88">
        <f t="shared" ca="1" si="292"/>
        <v>0</v>
      </c>
      <c r="ET91" s="169"/>
      <c r="EU91" s="88">
        <f t="shared" ca="1" si="293"/>
        <v>0</v>
      </c>
      <c r="EV91" s="88">
        <f t="shared" ca="1" si="293"/>
        <v>0</v>
      </c>
      <c r="EW91" s="88">
        <f t="shared" ca="1" si="293"/>
        <v>0</v>
      </c>
      <c r="EX91" s="88">
        <f t="shared" ca="1" si="293"/>
        <v>0</v>
      </c>
      <c r="EY91" s="88">
        <f t="shared" ca="1" si="293"/>
        <v>0</v>
      </c>
      <c r="EZ91" s="88">
        <f t="shared" ca="1" si="293"/>
        <v>0</v>
      </c>
      <c r="FA91" s="88">
        <f t="shared" ca="1" si="293"/>
        <v>0</v>
      </c>
      <c r="FB91" s="88">
        <f t="shared" ca="1" si="293"/>
        <v>0</v>
      </c>
      <c r="FC91" s="88">
        <f t="shared" ca="1" si="293"/>
        <v>0</v>
      </c>
      <c r="FD91" s="88">
        <f t="shared" ca="1" si="293"/>
        <v>0</v>
      </c>
      <c r="FE91" s="88">
        <f t="shared" ca="1" si="294"/>
        <v>0</v>
      </c>
      <c r="FF91" s="88">
        <f t="shared" ca="1" si="294"/>
        <v>0</v>
      </c>
      <c r="FG91" s="88">
        <f t="shared" ca="1" si="294"/>
        <v>0</v>
      </c>
      <c r="FH91" s="88">
        <f t="shared" ca="1" si="294"/>
        <v>0</v>
      </c>
      <c r="FI91" s="88">
        <f t="shared" ca="1" si="294"/>
        <v>0</v>
      </c>
      <c r="FJ91" s="88">
        <f t="shared" ca="1" si="294"/>
        <v>0</v>
      </c>
      <c r="FK91" s="88">
        <f t="shared" ca="1" si="294"/>
        <v>0</v>
      </c>
      <c r="FL91" s="88">
        <f t="shared" ca="1" si="294"/>
        <v>0</v>
      </c>
      <c r="FM91" s="88">
        <f t="shared" ca="1" si="294"/>
        <v>0</v>
      </c>
      <c r="FN91" s="88">
        <f t="shared" ca="1" si="294"/>
        <v>0</v>
      </c>
      <c r="FO91" s="88">
        <f t="shared" ca="1" si="295"/>
        <v>0</v>
      </c>
      <c r="FP91" s="88">
        <f t="shared" ca="1" si="295"/>
        <v>0</v>
      </c>
      <c r="FQ91" s="88">
        <f t="shared" ca="1" si="295"/>
        <v>0</v>
      </c>
      <c r="FR91" s="88">
        <f t="shared" ca="1" si="295"/>
        <v>0</v>
      </c>
      <c r="FS91" s="88">
        <f t="shared" ca="1" si="295"/>
        <v>0</v>
      </c>
      <c r="FT91" s="88">
        <f t="shared" ca="1" si="295"/>
        <v>0</v>
      </c>
      <c r="FU91" s="88">
        <f t="shared" ca="1" si="295"/>
        <v>0</v>
      </c>
      <c r="FV91" s="88">
        <f t="shared" ca="1" si="295"/>
        <v>0</v>
      </c>
      <c r="FW91" s="88">
        <f t="shared" ca="1" si="295"/>
        <v>0</v>
      </c>
      <c r="FX91" s="88">
        <f t="shared" ca="1" si="295"/>
        <v>0</v>
      </c>
      <c r="FY91" s="88">
        <f t="shared" ca="1" si="295"/>
        <v>0</v>
      </c>
      <c r="FZ91" s="88">
        <f t="shared" ca="1" si="295"/>
        <v>0</v>
      </c>
      <c r="GA91" s="88">
        <f t="shared" ca="1" si="295"/>
        <v>0</v>
      </c>
      <c r="GB91" s="88">
        <f t="shared" ca="1" si="295"/>
        <v>0</v>
      </c>
      <c r="GC91" s="88">
        <f t="shared" ca="1" si="295"/>
        <v>0</v>
      </c>
      <c r="GD91" s="60"/>
    </row>
    <row r="92" spans="1:186" s="54" customFormat="1" ht="14.45" customHeight="1">
      <c r="A92" s="61"/>
      <c r="B92" s="100" t="str">
        <f t="shared" si="277"/>
        <v>C&amp;I_C&amp;I Prescriptive_0_Energy Star LED Lamp (6-10W)_2017</v>
      </c>
      <c r="C92" s="100">
        <f>INDEX('Measure Inputs'!$D:$D,MATCH($B92,'Measure Inputs'!$B:$B,0))</f>
        <v>44</v>
      </c>
      <c r="D92" s="101" t="s">
        <v>256</v>
      </c>
      <c r="E92" s="101" t="s">
        <v>255</v>
      </c>
      <c r="F92" s="101">
        <v>0</v>
      </c>
      <c r="G92" s="101" t="s">
        <v>358</v>
      </c>
      <c r="H92" s="101">
        <v>2017</v>
      </c>
      <c r="I92" s="55"/>
      <c r="J92" s="58">
        <f t="shared" ca="1" si="229"/>
        <v>2.9166447252574113</v>
      </c>
      <c r="K92" s="58">
        <f t="shared" ca="1" si="246"/>
        <v>3.0882120620372588</v>
      </c>
      <c r="L92" s="58">
        <f t="shared" ca="1" si="230"/>
        <v>0.94444444444444442</v>
      </c>
      <c r="M92" s="58">
        <f t="shared" ca="1" si="231"/>
        <v>3.8863128974205137</v>
      </c>
      <c r="N92" s="58">
        <f t="shared" ca="1" si="232"/>
        <v>3.0882120620372588</v>
      </c>
      <c r="O92" s="55"/>
      <c r="P92" s="175">
        <f ca="1">IFERROR(($AW92+AV92)/SUMPRODUCT($CA92:$DI92,'General Inputs'!$F$51:$AN$51),"n/a")</f>
        <v>1.1651054296293401E-2</v>
      </c>
      <c r="Q92" s="175">
        <f t="shared" ca="1" si="233"/>
        <v>7.0606404349753224E-2</v>
      </c>
      <c r="R92" s="56">
        <f t="shared" ca="1" si="260"/>
        <v>192.617088</v>
      </c>
      <c r="S92" s="55"/>
      <c r="T92" s="56">
        <f ca="1">INDEX(OFFSET('Measure Inputs'!$L$7,,,InputRows),$C92)</f>
        <v>200</v>
      </c>
      <c r="U92" s="134">
        <f ca="1">INDEX(OFFSET('Measure Inputs'!$T$7,,,InputRows),$C92)</f>
        <v>1</v>
      </c>
      <c r="V92" s="134">
        <f ca="1">INDEX(OFFSET('Measure Inputs'!$U$7,,,InputRows),$C92)</f>
        <v>1</v>
      </c>
      <c r="W92" s="55"/>
      <c r="X92" s="96">
        <f ca="1">INDEX(OFFSET('Measure Inputs'!$V$7,,,InputRows),$C92)*$T92*$V92*$U92</f>
        <v>24077.135999999999</v>
      </c>
      <c r="Y92" s="96">
        <f ca="1">INDEX(OFFSET('Measure Inputs'!$W$7,,,InputRows),$C92)*$T92*$V92*$U92</f>
        <v>6.3840000000000003</v>
      </c>
      <c r="Z92" s="96">
        <f ca="1">INDEX(OFFSET('Measure Inputs'!$X$7,,,InputRows),$C92)*$T92*$V92*$U92</f>
        <v>0</v>
      </c>
      <c r="AA92" s="55"/>
      <c r="AB92" s="96">
        <f ca="1">INDEX(OFFSET('Measure Inputs'!$Z$7,,,InputRows),$C92)*$T92*$V92*$U92</f>
        <v>0</v>
      </c>
      <c r="AC92" s="96">
        <f ca="1">INDEX(OFFSET('Measure Inputs'!$AA$7,,,InputRows),$C92)*$T92*$V92*$U92</f>
        <v>0</v>
      </c>
      <c r="AD92" s="96">
        <f ca="1">INDEX(OFFSET('Measure Inputs'!$AB$7,,,InputRows),$C92)*$T92*$V92*$U92</f>
        <v>0</v>
      </c>
      <c r="AE92" s="55"/>
      <c r="AF92" s="57">
        <f ca="1">INDEX(OFFSET('Measure Inputs'!$Q$7,,,InputRows),$C92)*$T92</f>
        <v>0</v>
      </c>
      <c r="AG92" s="57">
        <f ca="1">INDEX(OFFSET('Measure Inputs'!$P$7,,,InputRows),$C92)*$T92*$V92</f>
        <v>1800</v>
      </c>
      <c r="AH92" s="57">
        <f ca="1">INDEX(OFFSET('Measure Inputs'!$R$7,,,InputRows),$C92)*$T92*$V92</f>
        <v>0</v>
      </c>
      <c r="AI92" s="57">
        <f ca="1">INDEX(OFFSET('Measure Inputs'!$O$7,,,InputRows),$C92)*$T92</f>
        <v>1700</v>
      </c>
      <c r="AJ92" s="57">
        <f ca="1">INDEX(OFFSET('Measure Inputs'!$S$7,,,InputRows),$C92)*$T92</f>
        <v>0</v>
      </c>
      <c r="AK92" s="63">
        <f ca="1">INDEX(OFFSET('Measure Inputs'!$M$7,,,InputRows),$C92)</f>
        <v>8</v>
      </c>
      <c r="AL92" s="88">
        <f ca="1">INDEX(OFFSET('Measure Inputs'!$N$7,,,InputRows),$C92)</f>
        <v>0</v>
      </c>
      <c r="AM92" s="57">
        <f ca="1">SUMIFS(OFFSET('Program Inputs'!$N$5,,,TotalPrograms),OFFSET('Program Inputs'!$B$5,,,TotalPrograms),SUBSTITUTE($B92,"All","*"))+AF92</f>
        <v>0</v>
      </c>
      <c r="AN92" s="57">
        <f t="shared" ca="1" si="261"/>
        <v>1700</v>
      </c>
      <c r="AO92" s="55"/>
      <c r="AP92" s="59">
        <f t="shared" ca="1" si="262"/>
        <v>5249.9605054633403</v>
      </c>
      <c r="AQ92" s="59">
        <f t="shared" ca="1" si="263"/>
        <v>1800</v>
      </c>
      <c r="AR92" s="59">
        <f ca="1">SUMPRODUCT($CA92:$DI92,'General Inputs'!$F$32:$AN$32,'General Inputs'!$F$51:$AN$51)/(1-Loss_ElectricEnergy)</f>
        <v>4409.0875764487073</v>
      </c>
      <c r="AS92" s="59">
        <f ca="1">SUMPRODUCT($DK92:$ES92,'General Inputs'!$F$33:$AN$33,'General Inputs'!$F$51:$AN$51)/(1-Loss_ElectricDemand)</f>
        <v>840.87292901463275</v>
      </c>
      <c r="AT92" s="59">
        <f ca="1">SUMPRODUCT($EU92:$GC92,'General Inputs'!$F$34:$AN$34,'General Inputs'!$F$51:$AN$51)/(1-Loss_GasEnergy)</f>
        <v>0</v>
      </c>
      <c r="AU92" s="59">
        <f ca="1">INDEX('General Inputs'!$F$51:$AN$51,MATCH($H92,'General Inputs'!$F$50:$AN$50,0))*$AJ92</f>
        <v>0</v>
      </c>
      <c r="AV92" s="59">
        <f ca="1">INDEX('General Inputs'!$F$51:$AN$51,MATCH($H92,'General Inputs'!$F$50:$AN$50,0))*$AI92</f>
        <v>1700</v>
      </c>
      <c r="AW92" s="59">
        <f ca="1">INDEX('General Inputs'!$F$51:$AN$51,MATCH($H92,'General Inputs'!$F$50:$AN$50,0))*$AM92</f>
        <v>0</v>
      </c>
      <c r="AX92" s="59">
        <f ca="1">SUM(INDEX('General Inputs'!$F$51:$AN$51,MATCH($H92,'General Inputs'!$F$50:$AN$50,0))*$AG92,INDEX('General Inputs'!$F$51:$AN$51,MATCH($H92+$AL92,'General Inputs'!$F$50:$AN$50,0))*-$AH92)</f>
        <v>1800</v>
      </c>
      <c r="AY92" s="55"/>
      <c r="AZ92" s="59">
        <f ca="1">SUMPRODUCT($CA92:$DI92,'General Inputs'!$F$32:$AN$32,'General Inputs'!$F$52:$AN$52)/(1-Loss_ElectricEnergy)</f>
        <v>4409.0875764487073</v>
      </c>
      <c r="BA92" s="59">
        <f ca="1">SUMPRODUCT($DK92:$ES92,'General Inputs'!$F$33:$AN$33,'General Inputs'!$F$52:$AN$52)/(1-Loss_ElectricDemand)</f>
        <v>840.87292901463275</v>
      </c>
      <c r="BB92" s="59">
        <f ca="1">SUMPRODUCT($EU92:$GC92,'General Inputs'!$F$34:$AN$34,'General Inputs'!$F$52:$AN$52)/(1-Loss_GasEnergy)</f>
        <v>0</v>
      </c>
      <c r="BC92" s="59">
        <f ca="1">INDEX('General Inputs'!$F$52:$AN$52,MATCH($H92,'General Inputs'!$F$50:$AN$50,0))*$AI92</f>
        <v>1700</v>
      </c>
      <c r="BD92" s="59">
        <f ca="1">INDEX('General Inputs'!$F$52:$AN$52,MATCH($H92,'General Inputs'!$F$50:$AN$50,0))*$AM92</f>
        <v>0</v>
      </c>
      <c r="BE92" s="55"/>
      <c r="BF92" s="59">
        <f ca="1">SUMPRODUCT($CA92:$DI92,OFFSET('General Inputs'!$F$40:$AN$40,MATCH($D92&amp;" Electric ($/kWh)",'General Inputs'!$E$40:$E$46,0),),'General Inputs'!$F$54:$AN$54)</f>
        <v>0</v>
      </c>
      <c r="BG92" s="59">
        <f ca="1">SUMPRODUCT($EU92:$GC92,OFFSET('General Inputs'!$F$40:$AN$40,MATCH($D92&amp;" Natural Gas ($/therm)",'General Inputs'!$E$40:$E$46,0),),'General Inputs'!$F$54:$AN$54)</f>
        <v>0</v>
      </c>
      <c r="BH92" s="59">
        <f ca="1">INDEX('General Inputs'!$F$54:$AN$54,MATCH($H92,'General Inputs'!$F$50:$AN$50,0))*$AI92</f>
        <v>1700</v>
      </c>
      <c r="BI92" s="59">
        <f ca="1">SUM(INDEX('General Inputs'!$F$54:$AN$54,MATCH($H92,'General Inputs'!$F$50:$AN$50,0))*$AG92,INDEX('General Inputs'!$F$51:$AN$51,MATCH($H92+$AL92,'General Inputs'!$F$50:$AN$50,0))*-$AH92)</f>
        <v>1800</v>
      </c>
      <c r="BJ92" s="55"/>
      <c r="BK92" s="59">
        <f ca="1">SUMPRODUCT($CA92:$DI92,'General Inputs'!$F$32:$AN$32,'General Inputs'!$F$53:$AN$53)/(1-Loss_ElectricEnergy)</f>
        <v>4409.0875764487073</v>
      </c>
      <c r="BL92" s="59">
        <f ca="1">SUMPRODUCT($DK92:$ES92,'General Inputs'!$F$33:$AN$33,'General Inputs'!$F$53:$AN$53)/(1-Loss_ElectricDemand)</f>
        <v>840.87292901463275</v>
      </c>
      <c r="BM92" s="59">
        <f ca="1">SUMPRODUCT($EU92:$GC92,'General Inputs'!$F$34:$AN$34,'General Inputs'!$F$53:$AN$53)/(1-Loss_GasEnergy)</f>
        <v>0</v>
      </c>
      <c r="BN92" s="59">
        <f ca="1">INDEX('General Inputs'!$F$53:$AN$53,MATCH($H92,'General Inputs'!$F$50:$AN$50,0))*$AJ92</f>
        <v>0</v>
      </c>
      <c r="BO92" s="59">
        <f ca="1">SUMPRODUCT($CA92:$DI92,'General Inputs'!$F$35:$AN$35,'General Inputs'!$F$53:$AN$53)/(1-Loss_ElectricEnergy)</f>
        <v>1745.4027098935842</v>
      </c>
      <c r="BP92" s="59">
        <f ca="1">INDEX('General Inputs'!$F$51:$AN$51,MATCH($H92,'General Inputs'!$F$50:$AN$50,0))*$AM92</f>
        <v>0</v>
      </c>
      <c r="BQ92" s="59">
        <f ca="1">SUM(INDEX('General Inputs'!$F$53:$AN$53,MATCH($H92,'General Inputs'!$F$50:$AN$50,0))*$AG92,INDEX('General Inputs'!$F$53:$AN$53,MATCH($H92+$AL92,'General Inputs'!$F$50:$AN$50,0))*-$AH92)</f>
        <v>1800</v>
      </c>
      <c r="BR92" s="55"/>
      <c r="BS92" s="59">
        <f ca="1">SUMPRODUCT($CA92:$DI92,'General Inputs'!$F$32:$AN$32,'General Inputs'!$F$55:$AN$55)/(1-Loss_ElectricEnergy)</f>
        <v>4409.0875764487073</v>
      </c>
      <c r="BT92" s="59">
        <f ca="1">SUMPRODUCT($DK92:$ES92,'General Inputs'!$F$33:$AN$33,'General Inputs'!$F$55:$AN$55)/(1-Loss_ElectricDemand)</f>
        <v>840.87292901463275</v>
      </c>
      <c r="BU92" s="59">
        <f ca="1">SUMPRODUCT($EU92:$GC92,'General Inputs'!$F$34:$AN$34,'General Inputs'!$F$55:$AN$55)/(1-Loss_GasEnergy)</f>
        <v>0</v>
      </c>
      <c r="BV92" s="59">
        <f ca="1">SUMPRODUCT($CA92:$DI92,OFFSET('General Inputs'!$F$40:$AN$40,MATCH($D92&amp;" Electric ($/kWh)",'General Inputs'!$E$40:$E$46,0),),'General Inputs'!$F$55:$AN$55)</f>
        <v>0</v>
      </c>
      <c r="BW92" s="59">
        <f ca="1">SUMPRODUCT($EU92:$GC92,OFFSET('General Inputs'!$F$40:$AN$40,MATCH($D92&amp;" Natural Gas ($/therm)",'General Inputs'!$E$40:$E$46,0),),'General Inputs'!$F$55:$AN$55)</f>
        <v>0</v>
      </c>
      <c r="BX92" s="59">
        <f ca="1">INDEX('General Inputs'!$F$55:$AN$55,MATCH($H92,'General Inputs'!$F$50:$AN$50,0))*$AI92</f>
        <v>1700</v>
      </c>
      <c r="BY92" s="59">
        <f ca="1">INDEX('General Inputs'!$F$51:$AN$51,MATCH($H92,'General Inputs'!$F$50:$AN$50,0))*$AM92</f>
        <v>0</v>
      </c>
      <c r="BZ92" s="55"/>
      <c r="CA92" s="88">
        <f t="shared" ca="1" si="287"/>
        <v>24077.135999999999</v>
      </c>
      <c r="CB92" s="88">
        <f t="shared" ca="1" si="287"/>
        <v>24077.135999999999</v>
      </c>
      <c r="CC92" s="88">
        <f t="shared" ca="1" si="287"/>
        <v>24077.135999999999</v>
      </c>
      <c r="CD92" s="88">
        <f t="shared" ca="1" si="287"/>
        <v>24077.135999999999</v>
      </c>
      <c r="CE92" s="88">
        <f t="shared" ca="1" si="287"/>
        <v>24077.135999999999</v>
      </c>
      <c r="CF92" s="88">
        <f t="shared" ca="1" si="287"/>
        <v>24077.135999999999</v>
      </c>
      <c r="CG92" s="88">
        <f t="shared" ca="1" si="287"/>
        <v>24077.135999999999</v>
      </c>
      <c r="CH92" s="88">
        <f t="shared" ca="1" si="287"/>
        <v>24077.135999999999</v>
      </c>
      <c r="CI92" s="88">
        <f t="shared" ca="1" si="287"/>
        <v>0</v>
      </c>
      <c r="CJ92" s="88">
        <f t="shared" ca="1" si="287"/>
        <v>0</v>
      </c>
      <c r="CK92" s="88">
        <f t="shared" ca="1" si="288"/>
        <v>0</v>
      </c>
      <c r="CL92" s="88">
        <f t="shared" ca="1" si="288"/>
        <v>0</v>
      </c>
      <c r="CM92" s="88">
        <f t="shared" ca="1" si="288"/>
        <v>0</v>
      </c>
      <c r="CN92" s="88">
        <f t="shared" ca="1" si="288"/>
        <v>0</v>
      </c>
      <c r="CO92" s="88">
        <f t="shared" ca="1" si="288"/>
        <v>0</v>
      </c>
      <c r="CP92" s="88">
        <f t="shared" ca="1" si="288"/>
        <v>0</v>
      </c>
      <c r="CQ92" s="88">
        <f t="shared" ca="1" si="288"/>
        <v>0</v>
      </c>
      <c r="CR92" s="88">
        <f t="shared" ca="1" si="288"/>
        <v>0</v>
      </c>
      <c r="CS92" s="88">
        <f t="shared" ca="1" si="288"/>
        <v>0</v>
      </c>
      <c r="CT92" s="88">
        <f t="shared" ca="1" si="288"/>
        <v>0</v>
      </c>
      <c r="CU92" s="88">
        <f t="shared" ca="1" si="289"/>
        <v>0</v>
      </c>
      <c r="CV92" s="88">
        <f t="shared" ca="1" si="289"/>
        <v>0</v>
      </c>
      <c r="CW92" s="88">
        <f t="shared" ca="1" si="289"/>
        <v>0</v>
      </c>
      <c r="CX92" s="88">
        <f t="shared" ca="1" si="289"/>
        <v>0</v>
      </c>
      <c r="CY92" s="88">
        <f t="shared" ca="1" si="289"/>
        <v>0</v>
      </c>
      <c r="CZ92" s="88">
        <f t="shared" ca="1" si="289"/>
        <v>0</v>
      </c>
      <c r="DA92" s="88">
        <f t="shared" ca="1" si="289"/>
        <v>0</v>
      </c>
      <c r="DB92" s="88">
        <f t="shared" ca="1" si="289"/>
        <v>0</v>
      </c>
      <c r="DC92" s="88">
        <f t="shared" ca="1" si="289"/>
        <v>0</v>
      </c>
      <c r="DD92" s="88">
        <f t="shared" ca="1" si="289"/>
        <v>0</v>
      </c>
      <c r="DE92" s="88">
        <f t="shared" ca="1" si="289"/>
        <v>0</v>
      </c>
      <c r="DF92" s="88">
        <f t="shared" ca="1" si="289"/>
        <v>0</v>
      </c>
      <c r="DG92" s="88">
        <f t="shared" ca="1" si="289"/>
        <v>0</v>
      </c>
      <c r="DH92" s="88">
        <f t="shared" ca="1" si="289"/>
        <v>0</v>
      </c>
      <c r="DI92" s="88">
        <f t="shared" ca="1" si="289"/>
        <v>0</v>
      </c>
      <c r="DJ92" s="169"/>
      <c r="DK92" s="88">
        <f t="shared" ca="1" si="290"/>
        <v>6.3840000000000003</v>
      </c>
      <c r="DL92" s="88">
        <f t="shared" ca="1" si="290"/>
        <v>6.3840000000000003</v>
      </c>
      <c r="DM92" s="88">
        <f t="shared" ca="1" si="290"/>
        <v>6.3840000000000003</v>
      </c>
      <c r="DN92" s="88">
        <f t="shared" ca="1" si="290"/>
        <v>6.3840000000000003</v>
      </c>
      <c r="DO92" s="88">
        <f t="shared" ca="1" si="290"/>
        <v>6.3840000000000003</v>
      </c>
      <c r="DP92" s="88">
        <f t="shared" ca="1" si="290"/>
        <v>6.3840000000000003</v>
      </c>
      <c r="DQ92" s="88">
        <f t="shared" ca="1" si="290"/>
        <v>6.3840000000000003</v>
      </c>
      <c r="DR92" s="88">
        <f t="shared" ca="1" si="290"/>
        <v>6.3840000000000003</v>
      </c>
      <c r="DS92" s="88">
        <f t="shared" ca="1" si="290"/>
        <v>0</v>
      </c>
      <c r="DT92" s="88">
        <f t="shared" ca="1" si="290"/>
        <v>0</v>
      </c>
      <c r="DU92" s="88">
        <f t="shared" ca="1" si="291"/>
        <v>0</v>
      </c>
      <c r="DV92" s="88">
        <f t="shared" ca="1" si="291"/>
        <v>0</v>
      </c>
      <c r="DW92" s="88">
        <f t="shared" ca="1" si="291"/>
        <v>0</v>
      </c>
      <c r="DX92" s="88">
        <f t="shared" ca="1" si="291"/>
        <v>0</v>
      </c>
      <c r="DY92" s="88">
        <f t="shared" ca="1" si="291"/>
        <v>0</v>
      </c>
      <c r="DZ92" s="88">
        <f t="shared" ca="1" si="291"/>
        <v>0</v>
      </c>
      <c r="EA92" s="88">
        <f t="shared" ca="1" si="291"/>
        <v>0</v>
      </c>
      <c r="EB92" s="88">
        <f t="shared" ca="1" si="291"/>
        <v>0</v>
      </c>
      <c r="EC92" s="88">
        <f t="shared" ca="1" si="291"/>
        <v>0</v>
      </c>
      <c r="ED92" s="88">
        <f t="shared" ca="1" si="291"/>
        <v>0</v>
      </c>
      <c r="EE92" s="88">
        <f t="shared" ca="1" si="292"/>
        <v>0</v>
      </c>
      <c r="EF92" s="88">
        <f t="shared" ca="1" si="292"/>
        <v>0</v>
      </c>
      <c r="EG92" s="88">
        <f t="shared" ca="1" si="292"/>
        <v>0</v>
      </c>
      <c r="EH92" s="88">
        <f t="shared" ca="1" si="292"/>
        <v>0</v>
      </c>
      <c r="EI92" s="88">
        <f t="shared" ca="1" si="292"/>
        <v>0</v>
      </c>
      <c r="EJ92" s="88">
        <f t="shared" ca="1" si="292"/>
        <v>0</v>
      </c>
      <c r="EK92" s="88">
        <f t="shared" ca="1" si="292"/>
        <v>0</v>
      </c>
      <c r="EL92" s="88">
        <f t="shared" ca="1" si="292"/>
        <v>0</v>
      </c>
      <c r="EM92" s="88">
        <f t="shared" ca="1" si="292"/>
        <v>0</v>
      </c>
      <c r="EN92" s="88">
        <f t="shared" ca="1" si="292"/>
        <v>0</v>
      </c>
      <c r="EO92" s="88">
        <f t="shared" ca="1" si="292"/>
        <v>0</v>
      </c>
      <c r="EP92" s="88">
        <f t="shared" ca="1" si="292"/>
        <v>0</v>
      </c>
      <c r="EQ92" s="88">
        <f t="shared" ca="1" si="292"/>
        <v>0</v>
      </c>
      <c r="ER92" s="88">
        <f t="shared" ca="1" si="292"/>
        <v>0</v>
      </c>
      <c r="ES92" s="88">
        <f t="shared" ca="1" si="292"/>
        <v>0</v>
      </c>
      <c r="ET92" s="169"/>
      <c r="EU92" s="88">
        <f t="shared" ca="1" si="293"/>
        <v>0</v>
      </c>
      <c r="EV92" s="88">
        <f t="shared" ca="1" si="293"/>
        <v>0</v>
      </c>
      <c r="EW92" s="88">
        <f t="shared" ca="1" si="293"/>
        <v>0</v>
      </c>
      <c r="EX92" s="88">
        <f t="shared" ca="1" si="293"/>
        <v>0</v>
      </c>
      <c r="EY92" s="88">
        <f t="shared" ca="1" si="293"/>
        <v>0</v>
      </c>
      <c r="EZ92" s="88">
        <f t="shared" ca="1" si="293"/>
        <v>0</v>
      </c>
      <c r="FA92" s="88">
        <f t="shared" ca="1" si="293"/>
        <v>0</v>
      </c>
      <c r="FB92" s="88">
        <f t="shared" ca="1" si="293"/>
        <v>0</v>
      </c>
      <c r="FC92" s="88">
        <f t="shared" ca="1" si="293"/>
        <v>0</v>
      </c>
      <c r="FD92" s="88">
        <f t="shared" ca="1" si="293"/>
        <v>0</v>
      </c>
      <c r="FE92" s="88">
        <f t="shared" ca="1" si="294"/>
        <v>0</v>
      </c>
      <c r="FF92" s="88">
        <f t="shared" ca="1" si="294"/>
        <v>0</v>
      </c>
      <c r="FG92" s="88">
        <f t="shared" ca="1" si="294"/>
        <v>0</v>
      </c>
      <c r="FH92" s="88">
        <f t="shared" ca="1" si="294"/>
        <v>0</v>
      </c>
      <c r="FI92" s="88">
        <f t="shared" ca="1" si="294"/>
        <v>0</v>
      </c>
      <c r="FJ92" s="88">
        <f t="shared" ca="1" si="294"/>
        <v>0</v>
      </c>
      <c r="FK92" s="88">
        <f t="shared" ca="1" si="294"/>
        <v>0</v>
      </c>
      <c r="FL92" s="88">
        <f t="shared" ca="1" si="294"/>
        <v>0</v>
      </c>
      <c r="FM92" s="88">
        <f t="shared" ca="1" si="294"/>
        <v>0</v>
      </c>
      <c r="FN92" s="88">
        <f t="shared" ca="1" si="294"/>
        <v>0</v>
      </c>
      <c r="FO92" s="88">
        <f t="shared" ca="1" si="295"/>
        <v>0</v>
      </c>
      <c r="FP92" s="88">
        <f t="shared" ca="1" si="295"/>
        <v>0</v>
      </c>
      <c r="FQ92" s="88">
        <f t="shared" ca="1" si="295"/>
        <v>0</v>
      </c>
      <c r="FR92" s="88">
        <f t="shared" ca="1" si="295"/>
        <v>0</v>
      </c>
      <c r="FS92" s="88">
        <f t="shared" ca="1" si="295"/>
        <v>0</v>
      </c>
      <c r="FT92" s="88">
        <f t="shared" ca="1" si="295"/>
        <v>0</v>
      </c>
      <c r="FU92" s="88">
        <f t="shared" ca="1" si="295"/>
        <v>0</v>
      </c>
      <c r="FV92" s="88">
        <f t="shared" ca="1" si="295"/>
        <v>0</v>
      </c>
      <c r="FW92" s="88">
        <f t="shared" ca="1" si="295"/>
        <v>0</v>
      </c>
      <c r="FX92" s="88">
        <f t="shared" ca="1" si="295"/>
        <v>0</v>
      </c>
      <c r="FY92" s="88">
        <f t="shared" ca="1" si="295"/>
        <v>0</v>
      </c>
      <c r="FZ92" s="88">
        <f t="shared" ca="1" si="295"/>
        <v>0</v>
      </c>
      <c r="GA92" s="88">
        <f t="shared" ca="1" si="295"/>
        <v>0</v>
      </c>
      <c r="GB92" s="88">
        <f t="shared" ca="1" si="295"/>
        <v>0</v>
      </c>
      <c r="GC92" s="88">
        <f t="shared" ca="1" si="295"/>
        <v>0</v>
      </c>
      <c r="GD92" s="60"/>
    </row>
    <row r="93" spans="1:186" s="54" customFormat="1" ht="14.45" customHeight="1">
      <c r="A93" s="61"/>
      <c r="B93" s="100" t="str">
        <f t="shared" si="277"/>
        <v>C&amp;I_C&amp;I Prescriptive_0_Energy Star LED Lamp (11 to 20W)_2017</v>
      </c>
      <c r="C93" s="100">
        <f>INDEX('Measure Inputs'!$D:$D,MATCH($B93,'Measure Inputs'!$B:$B,0))</f>
        <v>45</v>
      </c>
      <c r="D93" s="101" t="s">
        <v>256</v>
      </c>
      <c r="E93" s="101" t="s">
        <v>255</v>
      </c>
      <c r="F93" s="101">
        <v>0</v>
      </c>
      <c r="G93" s="101" t="s">
        <v>357</v>
      </c>
      <c r="H93" s="101">
        <v>2017</v>
      </c>
      <c r="I93" s="55"/>
      <c r="J93" s="58">
        <f t="shared" ca="1" si="229"/>
        <v>2.5976367084323817</v>
      </c>
      <c r="K93" s="58">
        <f t="shared" ca="1" si="246"/>
        <v>3.3249749867934488</v>
      </c>
      <c r="L93" s="58">
        <f t="shared" ca="1" si="230"/>
        <v>0.78125</v>
      </c>
      <c r="M93" s="58">
        <f t="shared" ca="1" si="231"/>
        <v>3.4612474242651445</v>
      </c>
      <c r="N93" s="58">
        <f t="shared" ca="1" si="232"/>
        <v>3.3249749867934488</v>
      </c>
      <c r="O93" s="55"/>
      <c r="P93" s="175">
        <f ca="1">IFERROR(($AW93+AV93)/SUMPRODUCT($CA93:$DI93,'General Inputs'!$F$51:$AN$51),"n/a")</f>
        <v>1.0821412659096037E-2</v>
      </c>
      <c r="Q93" s="175">
        <f t="shared" ca="1" si="233"/>
        <v>6.5578703730420976E-2</v>
      </c>
      <c r="R93" s="56">
        <f t="shared" ca="1" si="260"/>
        <v>152.48852799999997</v>
      </c>
      <c r="S93" s="55"/>
      <c r="T93" s="56">
        <f ca="1">INDEX(OFFSET('Measure Inputs'!$L$7,,,InputRows),$C93)</f>
        <v>100</v>
      </c>
      <c r="U93" s="134">
        <f ca="1">INDEX(OFFSET('Measure Inputs'!$T$7,,,InputRows),$C93)</f>
        <v>1</v>
      </c>
      <c r="V93" s="134">
        <f ca="1">INDEX(OFFSET('Measure Inputs'!$U$7,,,InputRows),$C93)</f>
        <v>1</v>
      </c>
      <c r="W93" s="55"/>
      <c r="X93" s="96">
        <f ca="1">INDEX(OFFSET('Measure Inputs'!$V$7,,,InputRows),$C93)*$T93*$V93*$U93</f>
        <v>19061.065999999995</v>
      </c>
      <c r="Y93" s="96">
        <f ca="1">INDEX(OFFSET('Measure Inputs'!$W$7,,,InputRows),$C93)*$T93*$V93*$U93</f>
        <v>5.0540000000000003</v>
      </c>
      <c r="Z93" s="96">
        <f ca="1">INDEX(OFFSET('Measure Inputs'!$X$7,,,InputRows),$C93)*$T93*$V93*$U93</f>
        <v>0</v>
      </c>
      <c r="AA93" s="55"/>
      <c r="AB93" s="96">
        <f ca="1">INDEX(OFFSET('Measure Inputs'!$Z$7,,,InputRows),$C93)*$T93*$V93*$U93</f>
        <v>0</v>
      </c>
      <c r="AC93" s="96">
        <f ca="1">INDEX(OFFSET('Measure Inputs'!$AA$7,,,InputRows),$C93)*$T93*$V93*$U93</f>
        <v>0</v>
      </c>
      <c r="AD93" s="96">
        <f ca="1">INDEX(OFFSET('Measure Inputs'!$AB$7,,,InputRows),$C93)*$T93*$V93*$U93</f>
        <v>0</v>
      </c>
      <c r="AE93" s="55"/>
      <c r="AF93" s="57">
        <f ca="1">INDEX(OFFSET('Measure Inputs'!$Q$7,,,InputRows),$C93)*$T93</f>
        <v>0</v>
      </c>
      <c r="AG93" s="57">
        <f ca="1">INDEX(OFFSET('Measure Inputs'!$P$7,,,InputRows),$C93)*$T93*$V93</f>
        <v>1600</v>
      </c>
      <c r="AH93" s="57">
        <f ca="1">INDEX(OFFSET('Measure Inputs'!$R$7,,,InputRows),$C93)*$T93*$V93</f>
        <v>0</v>
      </c>
      <c r="AI93" s="57">
        <f ca="1">INDEX(OFFSET('Measure Inputs'!$O$7,,,InputRows),$C93)*$T93</f>
        <v>1250</v>
      </c>
      <c r="AJ93" s="57">
        <f ca="1">INDEX(OFFSET('Measure Inputs'!$S$7,,,InputRows),$C93)*$T93</f>
        <v>0</v>
      </c>
      <c r="AK93" s="63">
        <f ca="1">INDEX(OFFSET('Measure Inputs'!$M$7,,,InputRows),$C93)</f>
        <v>8</v>
      </c>
      <c r="AL93" s="88">
        <f ca="1">INDEX(OFFSET('Measure Inputs'!$N$7,,,InputRows),$C93)</f>
        <v>0</v>
      </c>
      <c r="AM93" s="57">
        <f ca="1">SUMIFS(OFFSET('Program Inputs'!$N$5,,,TotalPrograms),OFFSET('Program Inputs'!$B$5,,,TotalPrograms),SUBSTITUTE($B93,"All","*"))+AF93</f>
        <v>0</v>
      </c>
      <c r="AN93" s="57">
        <f t="shared" ca="1" si="261"/>
        <v>1250</v>
      </c>
      <c r="AO93" s="55"/>
      <c r="AP93" s="59">
        <f t="shared" ca="1" si="262"/>
        <v>4156.2187334918108</v>
      </c>
      <c r="AQ93" s="59">
        <f t="shared" ca="1" si="263"/>
        <v>1600</v>
      </c>
      <c r="AR93" s="59">
        <f ca="1">SUMPRODUCT($CA93:$DI93,'General Inputs'!$F$32:$AN$32,'General Inputs'!$F$51:$AN$51)/(1-Loss_ElectricEnergy)</f>
        <v>3490.5276646885604</v>
      </c>
      <c r="AS93" s="59">
        <f ca="1">SUMPRODUCT($DK93:$ES93,'General Inputs'!$F$33:$AN$33,'General Inputs'!$F$51:$AN$51)/(1-Loss_ElectricDemand)</f>
        <v>665.69106880325069</v>
      </c>
      <c r="AT93" s="59">
        <f ca="1">SUMPRODUCT($EU93:$GC93,'General Inputs'!$F$34:$AN$34,'General Inputs'!$F$51:$AN$51)/(1-Loss_GasEnergy)</f>
        <v>0</v>
      </c>
      <c r="AU93" s="59">
        <f ca="1">INDEX('General Inputs'!$F$51:$AN$51,MATCH($H93,'General Inputs'!$F$50:$AN$50,0))*$AJ93</f>
        <v>0</v>
      </c>
      <c r="AV93" s="59">
        <f ca="1">INDEX('General Inputs'!$F$51:$AN$51,MATCH($H93,'General Inputs'!$F$50:$AN$50,0))*$AI93</f>
        <v>1250</v>
      </c>
      <c r="AW93" s="59">
        <f ca="1">INDEX('General Inputs'!$F$51:$AN$51,MATCH($H93,'General Inputs'!$F$50:$AN$50,0))*$AM93</f>
        <v>0</v>
      </c>
      <c r="AX93" s="59">
        <f ca="1">SUM(INDEX('General Inputs'!$F$51:$AN$51,MATCH($H93,'General Inputs'!$F$50:$AN$50,0))*$AG93,INDEX('General Inputs'!$F$51:$AN$51,MATCH($H93+$AL93,'General Inputs'!$F$50:$AN$50,0))*-$AH93)</f>
        <v>1600</v>
      </c>
      <c r="AY93" s="55"/>
      <c r="AZ93" s="59">
        <f ca="1">SUMPRODUCT($CA93:$DI93,'General Inputs'!$F$32:$AN$32,'General Inputs'!$F$52:$AN$52)/(1-Loss_ElectricEnergy)</f>
        <v>3490.5276646885604</v>
      </c>
      <c r="BA93" s="59">
        <f ca="1">SUMPRODUCT($DK93:$ES93,'General Inputs'!$F$33:$AN$33,'General Inputs'!$F$52:$AN$52)/(1-Loss_ElectricDemand)</f>
        <v>665.69106880325069</v>
      </c>
      <c r="BB93" s="59">
        <f ca="1">SUMPRODUCT($EU93:$GC93,'General Inputs'!$F$34:$AN$34,'General Inputs'!$F$52:$AN$52)/(1-Loss_GasEnergy)</f>
        <v>0</v>
      </c>
      <c r="BC93" s="59">
        <f ca="1">INDEX('General Inputs'!$F$52:$AN$52,MATCH($H93,'General Inputs'!$F$50:$AN$50,0))*$AI93</f>
        <v>1250</v>
      </c>
      <c r="BD93" s="59">
        <f ca="1">INDEX('General Inputs'!$F$52:$AN$52,MATCH($H93,'General Inputs'!$F$50:$AN$50,0))*$AM93</f>
        <v>0</v>
      </c>
      <c r="BE93" s="55"/>
      <c r="BF93" s="59">
        <f ca="1">SUMPRODUCT($CA93:$DI93,OFFSET('General Inputs'!$F$40:$AN$40,MATCH($D93&amp;" Electric ($/kWh)",'General Inputs'!$E$40:$E$46,0),),'General Inputs'!$F$54:$AN$54)</f>
        <v>0</v>
      </c>
      <c r="BG93" s="59">
        <f ca="1">SUMPRODUCT($EU93:$GC93,OFFSET('General Inputs'!$F$40:$AN$40,MATCH($D93&amp;" Natural Gas ($/therm)",'General Inputs'!$E$40:$E$46,0),),'General Inputs'!$F$54:$AN$54)</f>
        <v>0</v>
      </c>
      <c r="BH93" s="59">
        <f ca="1">INDEX('General Inputs'!$F$54:$AN$54,MATCH($H93,'General Inputs'!$F$50:$AN$50,0))*$AI93</f>
        <v>1250</v>
      </c>
      <c r="BI93" s="59">
        <f ca="1">SUM(INDEX('General Inputs'!$F$54:$AN$54,MATCH($H93,'General Inputs'!$F$50:$AN$50,0))*$AG93,INDEX('General Inputs'!$F$51:$AN$51,MATCH($H93+$AL93,'General Inputs'!$F$50:$AN$50,0))*-$AH93)</f>
        <v>1600</v>
      </c>
      <c r="BJ93" s="55"/>
      <c r="BK93" s="59">
        <f ca="1">SUMPRODUCT($CA93:$DI93,'General Inputs'!$F$32:$AN$32,'General Inputs'!$F$53:$AN$53)/(1-Loss_ElectricEnergy)</f>
        <v>3490.5276646885604</v>
      </c>
      <c r="BL93" s="59">
        <f ca="1">SUMPRODUCT($DK93:$ES93,'General Inputs'!$F$33:$AN$33,'General Inputs'!$F$53:$AN$53)/(1-Loss_ElectricDemand)</f>
        <v>665.69106880325069</v>
      </c>
      <c r="BM93" s="59">
        <f ca="1">SUMPRODUCT($EU93:$GC93,'General Inputs'!$F$34:$AN$34,'General Inputs'!$F$53:$AN$53)/(1-Loss_GasEnergy)</f>
        <v>0</v>
      </c>
      <c r="BN93" s="59">
        <f ca="1">INDEX('General Inputs'!$F$53:$AN$53,MATCH($H93,'General Inputs'!$F$50:$AN$50,0))*$AJ93</f>
        <v>0</v>
      </c>
      <c r="BO93" s="59">
        <f ca="1">SUMPRODUCT($CA93:$DI93,'General Inputs'!$F$35:$AN$35,'General Inputs'!$F$53:$AN$53)/(1-Loss_ElectricEnergy)</f>
        <v>1381.7771453324203</v>
      </c>
      <c r="BP93" s="59">
        <f ca="1">INDEX('General Inputs'!$F$51:$AN$51,MATCH($H93,'General Inputs'!$F$50:$AN$50,0))*$AM93</f>
        <v>0</v>
      </c>
      <c r="BQ93" s="59">
        <f ca="1">SUM(INDEX('General Inputs'!$F$53:$AN$53,MATCH($H93,'General Inputs'!$F$50:$AN$50,0))*$AG93,INDEX('General Inputs'!$F$53:$AN$53,MATCH($H93+$AL93,'General Inputs'!$F$50:$AN$50,0))*-$AH93)</f>
        <v>1600</v>
      </c>
      <c r="BR93" s="55"/>
      <c r="BS93" s="59">
        <f ca="1">SUMPRODUCT($CA93:$DI93,'General Inputs'!$F$32:$AN$32,'General Inputs'!$F$55:$AN$55)/(1-Loss_ElectricEnergy)</f>
        <v>3490.5276646885604</v>
      </c>
      <c r="BT93" s="59">
        <f ca="1">SUMPRODUCT($DK93:$ES93,'General Inputs'!$F$33:$AN$33,'General Inputs'!$F$55:$AN$55)/(1-Loss_ElectricDemand)</f>
        <v>665.69106880325069</v>
      </c>
      <c r="BU93" s="59">
        <f ca="1">SUMPRODUCT($EU93:$GC93,'General Inputs'!$F$34:$AN$34,'General Inputs'!$F$55:$AN$55)/(1-Loss_GasEnergy)</f>
        <v>0</v>
      </c>
      <c r="BV93" s="59">
        <f ca="1">SUMPRODUCT($CA93:$DI93,OFFSET('General Inputs'!$F$40:$AN$40,MATCH($D93&amp;" Electric ($/kWh)",'General Inputs'!$E$40:$E$46,0),),'General Inputs'!$F$55:$AN$55)</f>
        <v>0</v>
      </c>
      <c r="BW93" s="59">
        <f ca="1">SUMPRODUCT($EU93:$GC93,OFFSET('General Inputs'!$F$40:$AN$40,MATCH($D93&amp;" Natural Gas ($/therm)",'General Inputs'!$E$40:$E$46,0),),'General Inputs'!$F$55:$AN$55)</f>
        <v>0</v>
      </c>
      <c r="BX93" s="59">
        <f ca="1">INDEX('General Inputs'!$F$55:$AN$55,MATCH($H93,'General Inputs'!$F$50:$AN$50,0))*$AI93</f>
        <v>1250</v>
      </c>
      <c r="BY93" s="59">
        <f ca="1">INDEX('General Inputs'!$F$51:$AN$51,MATCH($H93,'General Inputs'!$F$50:$AN$50,0))*$AM93</f>
        <v>0</v>
      </c>
      <c r="BZ93" s="55"/>
      <c r="CA93" s="88">
        <f t="shared" ca="1" si="287"/>
        <v>19061.065999999995</v>
      </c>
      <c r="CB93" s="88">
        <f t="shared" ca="1" si="287"/>
        <v>19061.065999999995</v>
      </c>
      <c r="CC93" s="88">
        <f t="shared" ca="1" si="287"/>
        <v>19061.065999999995</v>
      </c>
      <c r="CD93" s="88">
        <f t="shared" ca="1" si="287"/>
        <v>19061.065999999995</v>
      </c>
      <c r="CE93" s="88">
        <f t="shared" ca="1" si="287"/>
        <v>19061.065999999995</v>
      </c>
      <c r="CF93" s="88">
        <f t="shared" ca="1" si="287"/>
        <v>19061.065999999995</v>
      </c>
      <c r="CG93" s="88">
        <f t="shared" ca="1" si="287"/>
        <v>19061.065999999995</v>
      </c>
      <c r="CH93" s="88">
        <f t="shared" ca="1" si="287"/>
        <v>19061.065999999995</v>
      </c>
      <c r="CI93" s="88">
        <f t="shared" ca="1" si="287"/>
        <v>0</v>
      </c>
      <c r="CJ93" s="88">
        <f t="shared" ca="1" si="287"/>
        <v>0</v>
      </c>
      <c r="CK93" s="88">
        <f t="shared" ca="1" si="288"/>
        <v>0</v>
      </c>
      <c r="CL93" s="88">
        <f t="shared" ca="1" si="288"/>
        <v>0</v>
      </c>
      <c r="CM93" s="88">
        <f t="shared" ca="1" si="288"/>
        <v>0</v>
      </c>
      <c r="CN93" s="88">
        <f t="shared" ca="1" si="288"/>
        <v>0</v>
      </c>
      <c r="CO93" s="88">
        <f t="shared" ca="1" si="288"/>
        <v>0</v>
      </c>
      <c r="CP93" s="88">
        <f t="shared" ca="1" si="288"/>
        <v>0</v>
      </c>
      <c r="CQ93" s="88">
        <f t="shared" ca="1" si="288"/>
        <v>0</v>
      </c>
      <c r="CR93" s="88">
        <f t="shared" ca="1" si="288"/>
        <v>0</v>
      </c>
      <c r="CS93" s="88">
        <f t="shared" ca="1" si="288"/>
        <v>0</v>
      </c>
      <c r="CT93" s="88">
        <f t="shared" ca="1" si="288"/>
        <v>0</v>
      </c>
      <c r="CU93" s="88">
        <f t="shared" ca="1" si="289"/>
        <v>0</v>
      </c>
      <c r="CV93" s="88">
        <f t="shared" ca="1" si="289"/>
        <v>0</v>
      </c>
      <c r="CW93" s="88">
        <f t="shared" ca="1" si="289"/>
        <v>0</v>
      </c>
      <c r="CX93" s="88">
        <f t="shared" ca="1" si="289"/>
        <v>0</v>
      </c>
      <c r="CY93" s="88">
        <f t="shared" ca="1" si="289"/>
        <v>0</v>
      </c>
      <c r="CZ93" s="88">
        <f t="shared" ca="1" si="289"/>
        <v>0</v>
      </c>
      <c r="DA93" s="88">
        <f t="shared" ca="1" si="289"/>
        <v>0</v>
      </c>
      <c r="DB93" s="88">
        <f t="shared" ca="1" si="289"/>
        <v>0</v>
      </c>
      <c r="DC93" s="88">
        <f t="shared" ca="1" si="289"/>
        <v>0</v>
      </c>
      <c r="DD93" s="88">
        <f t="shared" ca="1" si="289"/>
        <v>0</v>
      </c>
      <c r="DE93" s="88">
        <f t="shared" ca="1" si="289"/>
        <v>0</v>
      </c>
      <c r="DF93" s="88">
        <f t="shared" ca="1" si="289"/>
        <v>0</v>
      </c>
      <c r="DG93" s="88">
        <f t="shared" ca="1" si="289"/>
        <v>0</v>
      </c>
      <c r="DH93" s="88">
        <f t="shared" ca="1" si="289"/>
        <v>0</v>
      </c>
      <c r="DI93" s="88">
        <f t="shared" ca="1" si="289"/>
        <v>0</v>
      </c>
      <c r="DJ93" s="169"/>
      <c r="DK93" s="88">
        <f t="shared" ca="1" si="290"/>
        <v>5.0540000000000003</v>
      </c>
      <c r="DL93" s="88">
        <f t="shared" ca="1" si="290"/>
        <v>5.0540000000000003</v>
      </c>
      <c r="DM93" s="88">
        <f t="shared" ca="1" si="290"/>
        <v>5.0540000000000003</v>
      </c>
      <c r="DN93" s="88">
        <f t="shared" ca="1" si="290"/>
        <v>5.0540000000000003</v>
      </c>
      <c r="DO93" s="88">
        <f t="shared" ca="1" si="290"/>
        <v>5.0540000000000003</v>
      </c>
      <c r="DP93" s="88">
        <f t="shared" ca="1" si="290"/>
        <v>5.0540000000000003</v>
      </c>
      <c r="DQ93" s="88">
        <f t="shared" ca="1" si="290"/>
        <v>5.0540000000000003</v>
      </c>
      <c r="DR93" s="88">
        <f t="shared" ca="1" si="290"/>
        <v>5.0540000000000003</v>
      </c>
      <c r="DS93" s="88">
        <f t="shared" ca="1" si="290"/>
        <v>0</v>
      </c>
      <c r="DT93" s="88">
        <f t="shared" ca="1" si="290"/>
        <v>0</v>
      </c>
      <c r="DU93" s="88">
        <f t="shared" ca="1" si="291"/>
        <v>0</v>
      </c>
      <c r="DV93" s="88">
        <f t="shared" ca="1" si="291"/>
        <v>0</v>
      </c>
      <c r="DW93" s="88">
        <f t="shared" ca="1" si="291"/>
        <v>0</v>
      </c>
      <c r="DX93" s="88">
        <f t="shared" ca="1" si="291"/>
        <v>0</v>
      </c>
      <c r="DY93" s="88">
        <f t="shared" ca="1" si="291"/>
        <v>0</v>
      </c>
      <c r="DZ93" s="88">
        <f t="shared" ca="1" si="291"/>
        <v>0</v>
      </c>
      <c r="EA93" s="88">
        <f t="shared" ca="1" si="291"/>
        <v>0</v>
      </c>
      <c r="EB93" s="88">
        <f t="shared" ca="1" si="291"/>
        <v>0</v>
      </c>
      <c r="EC93" s="88">
        <f t="shared" ca="1" si="291"/>
        <v>0</v>
      </c>
      <c r="ED93" s="88">
        <f t="shared" ca="1" si="291"/>
        <v>0</v>
      </c>
      <c r="EE93" s="88">
        <f t="shared" ca="1" si="292"/>
        <v>0</v>
      </c>
      <c r="EF93" s="88">
        <f t="shared" ca="1" si="292"/>
        <v>0</v>
      </c>
      <c r="EG93" s="88">
        <f t="shared" ca="1" si="292"/>
        <v>0</v>
      </c>
      <c r="EH93" s="88">
        <f t="shared" ca="1" si="292"/>
        <v>0</v>
      </c>
      <c r="EI93" s="88">
        <f t="shared" ca="1" si="292"/>
        <v>0</v>
      </c>
      <c r="EJ93" s="88">
        <f t="shared" ca="1" si="292"/>
        <v>0</v>
      </c>
      <c r="EK93" s="88">
        <f t="shared" ca="1" si="292"/>
        <v>0</v>
      </c>
      <c r="EL93" s="88">
        <f t="shared" ca="1" si="292"/>
        <v>0</v>
      </c>
      <c r="EM93" s="88">
        <f t="shared" ca="1" si="292"/>
        <v>0</v>
      </c>
      <c r="EN93" s="88">
        <f t="shared" ca="1" si="292"/>
        <v>0</v>
      </c>
      <c r="EO93" s="88">
        <f t="shared" ca="1" si="292"/>
        <v>0</v>
      </c>
      <c r="EP93" s="88">
        <f t="shared" ca="1" si="292"/>
        <v>0</v>
      </c>
      <c r="EQ93" s="88">
        <f t="shared" ca="1" si="292"/>
        <v>0</v>
      </c>
      <c r="ER93" s="88">
        <f t="shared" ca="1" si="292"/>
        <v>0</v>
      </c>
      <c r="ES93" s="88">
        <f t="shared" ca="1" si="292"/>
        <v>0</v>
      </c>
      <c r="ET93" s="169"/>
      <c r="EU93" s="88">
        <f t="shared" ca="1" si="293"/>
        <v>0</v>
      </c>
      <c r="EV93" s="88">
        <f t="shared" ca="1" si="293"/>
        <v>0</v>
      </c>
      <c r="EW93" s="88">
        <f t="shared" ca="1" si="293"/>
        <v>0</v>
      </c>
      <c r="EX93" s="88">
        <f t="shared" ca="1" si="293"/>
        <v>0</v>
      </c>
      <c r="EY93" s="88">
        <f t="shared" ca="1" si="293"/>
        <v>0</v>
      </c>
      <c r="EZ93" s="88">
        <f t="shared" ca="1" si="293"/>
        <v>0</v>
      </c>
      <c r="FA93" s="88">
        <f t="shared" ca="1" si="293"/>
        <v>0</v>
      </c>
      <c r="FB93" s="88">
        <f t="shared" ca="1" si="293"/>
        <v>0</v>
      </c>
      <c r="FC93" s="88">
        <f t="shared" ca="1" si="293"/>
        <v>0</v>
      </c>
      <c r="FD93" s="88">
        <f t="shared" ca="1" si="293"/>
        <v>0</v>
      </c>
      <c r="FE93" s="88">
        <f t="shared" ca="1" si="294"/>
        <v>0</v>
      </c>
      <c r="FF93" s="88">
        <f t="shared" ca="1" si="294"/>
        <v>0</v>
      </c>
      <c r="FG93" s="88">
        <f t="shared" ca="1" si="294"/>
        <v>0</v>
      </c>
      <c r="FH93" s="88">
        <f t="shared" ca="1" si="294"/>
        <v>0</v>
      </c>
      <c r="FI93" s="88">
        <f t="shared" ca="1" si="294"/>
        <v>0</v>
      </c>
      <c r="FJ93" s="88">
        <f t="shared" ca="1" si="294"/>
        <v>0</v>
      </c>
      <c r="FK93" s="88">
        <f t="shared" ca="1" si="294"/>
        <v>0</v>
      </c>
      <c r="FL93" s="88">
        <f t="shared" ca="1" si="294"/>
        <v>0</v>
      </c>
      <c r="FM93" s="88">
        <f t="shared" ca="1" si="294"/>
        <v>0</v>
      </c>
      <c r="FN93" s="88">
        <f t="shared" ca="1" si="294"/>
        <v>0</v>
      </c>
      <c r="FO93" s="88">
        <f t="shared" ca="1" si="295"/>
        <v>0</v>
      </c>
      <c r="FP93" s="88">
        <f t="shared" ca="1" si="295"/>
        <v>0</v>
      </c>
      <c r="FQ93" s="88">
        <f t="shared" ca="1" si="295"/>
        <v>0</v>
      </c>
      <c r="FR93" s="88">
        <f t="shared" ca="1" si="295"/>
        <v>0</v>
      </c>
      <c r="FS93" s="88">
        <f t="shared" ca="1" si="295"/>
        <v>0</v>
      </c>
      <c r="FT93" s="88">
        <f t="shared" ca="1" si="295"/>
        <v>0</v>
      </c>
      <c r="FU93" s="88">
        <f t="shared" ca="1" si="295"/>
        <v>0</v>
      </c>
      <c r="FV93" s="88">
        <f t="shared" ca="1" si="295"/>
        <v>0</v>
      </c>
      <c r="FW93" s="88">
        <f t="shared" ca="1" si="295"/>
        <v>0</v>
      </c>
      <c r="FX93" s="88">
        <f t="shared" ca="1" si="295"/>
        <v>0</v>
      </c>
      <c r="FY93" s="88">
        <f t="shared" ca="1" si="295"/>
        <v>0</v>
      </c>
      <c r="FZ93" s="88">
        <f t="shared" ca="1" si="295"/>
        <v>0</v>
      </c>
      <c r="GA93" s="88">
        <f t="shared" ca="1" si="295"/>
        <v>0</v>
      </c>
      <c r="GB93" s="88">
        <f t="shared" ca="1" si="295"/>
        <v>0</v>
      </c>
      <c r="GC93" s="88">
        <f t="shared" ca="1" si="295"/>
        <v>0</v>
      </c>
      <c r="GD93" s="60"/>
    </row>
    <row r="94" spans="1:186" s="54" customFormat="1" ht="14.45" customHeight="1">
      <c r="A94" s="61"/>
      <c r="B94" s="100" t="str">
        <f t="shared" si="277"/>
        <v>C&amp;I_C&amp;I Prescriptive_0_Energy Star LED Lamp (&gt;20W)_2017</v>
      </c>
      <c r="C94" s="100">
        <f>INDEX('Measure Inputs'!$D:$D,MATCH($B94,'Measure Inputs'!$B:$B,0))</f>
        <v>46</v>
      </c>
      <c r="D94" s="101" t="s">
        <v>256</v>
      </c>
      <c r="E94" s="101" t="s">
        <v>255</v>
      </c>
      <c r="F94" s="101">
        <v>0</v>
      </c>
      <c r="G94" s="101" t="s">
        <v>356</v>
      </c>
      <c r="H94" s="101">
        <v>2017</v>
      </c>
      <c r="I94" s="55"/>
      <c r="J94" s="58">
        <f t="shared" ca="1" si="229"/>
        <v>2.3863456843015185</v>
      </c>
      <c r="K94" s="58">
        <f t="shared" ca="1" si="246"/>
        <v>3.4999736703088935</v>
      </c>
      <c r="L94" s="58">
        <f t="shared" ca="1" si="230"/>
        <v>0.68181818181818177</v>
      </c>
      <c r="M94" s="58">
        <f t="shared" ca="1" si="231"/>
        <v>3.1797105524349654</v>
      </c>
      <c r="N94" s="58">
        <f t="shared" ca="1" si="232"/>
        <v>3.4999736703088935</v>
      </c>
      <c r="O94" s="55"/>
      <c r="P94" s="175">
        <f ca="1">IFERROR(($AW94+AV94)/SUMPRODUCT($CA94:$DI94,'General Inputs'!$F$51:$AN$51),"n/a")</f>
        <v>1.0280342026141235E-2</v>
      </c>
      <c r="Q94" s="175">
        <f t="shared" ca="1" si="233"/>
        <v>6.229976854389991E-2</v>
      </c>
      <c r="R94" s="56">
        <f t="shared" ca="1" si="260"/>
        <v>192.617088</v>
      </c>
      <c r="S94" s="55"/>
      <c r="T94" s="56">
        <f ca="1">INDEX(OFFSET('Measure Inputs'!$L$7,,,InputRows),$C94)</f>
        <v>100</v>
      </c>
      <c r="U94" s="134">
        <f ca="1">INDEX(OFFSET('Measure Inputs'!$T$7,,,InputRows),$C94)</f>
        <v>1</v>
      </c>
      <c r="V94" s="134">
        <f ca="1">INDEX(OFFSET('Measure Inputs'!$U$7,,,InputRows),$C94)</f>
        <v>1</v>
      </c>
      <c r="W94" s="55"/>
      <c r="X94" s="96">
        <f ca="1">INDEX(OFFSET('Measure Inputs'!$V$7,,,InputRows),$C94)*$T94*$V94*$U94</f>
        <v>24077.135999999999</v>
      </c>
      <c r="Y94" s="96">
        <f ca="1">INDEX(OFFSET('Measure Inputs'!$W$7,,,InputRows),$C94)*$T94*$V94*$U94</f>
        <v>6.3840000000000003</v>
      </c>
      <c r="Z94" s="96">
        <f ca="1">INDEX(OFFSET('Measure Inputs'!$X$7,,,InputRows),$C94)*$T94*$V94*$U94</f>
        <v>0</v>
      </c>
      <c r="AA94" s="55"/>
      <c r="AB94" s="96">
        <f ca="1">INDEX(OFFSET('Measure Inputs'!$Z$7,,,InputRows),$C94)*$T94*$V94*$U94</f>
        <v>0</v>
      </c>
      <c r="AC94" s="96">
        <f ca="1">INDEX(OFFSET('Measure Inputs'!$AA$7,,,InputRows),$C94)*$T94*$V94*$U94</f>
        <v>0</v>
      </c>
      <c r="AD94" s="96">
        <f ca="1">INDEX(OFFSET('Measure Inputs'!$AB$7,,,InputRows),$C94)*$T94*$V94*$U94</f>
        <v>0</v>
      </c>
      <c r="AE94" s="55"/>
      <c r="AF94" s="57">
        <f ca="1">INDEX(OFFSET('Measure Inputs'!$Q$7,,,InputRows),$C94)*$T94</f>
        <v>0</v>
      </c>
      <c r="AG94" s="57">
        <f ca="1">INDEX(OFFSET('Measure Inputs'!$P$7,,,InputRows),$C94)*$T94*$V94</f>
        <v>2200</v>
      </c>
      <c r="AH94" s="57">
        <f ca="1">INDEX(OFFSET('Measure Inputs'!$R$7,,,InputRows),$C94)*$T94*$V94</f>
        <v>0</v>
      </c>
      <c r="AI94" s="57">
        <f ca="1">INDEX(OFFSET('Measure Inputs'!$O$7,,,InputRows),$C94)*$T94</f>
        <v>1500</v>
      </c>
      <c r="AJ94" s="57">
        <f ca="1">INDEX(OFFSET('Measure Inputs'!$S$7,,,InputRows),$C94)*$T94</f>
        <v>0</v>
      </c>
      <c r="AK94" s="63">
        <f ca="1">INDEX(OFFSET('Measure Inputs'!$M$7,,,InputRows),$C94)</f>
        <v>8</v>
      </c>
      <c r="AL94" s="88">
        <f ca="1">INDEX(OFFSET('Measure Inputs'!$N$7,,,InputRows),$C94)</f>
        <v>0</v>
      </c>
      <c r="AM94" s="57">
        <f ca="1">SUMIFS(OFFSET('Program Inputs'!$N$5,,,TotalPrograms),OFFSET('Program Inputs'!$B$5,,,TotalPrograms),SUBSTITUTE($B94,"All","*"))+AF94</f>
        <v>0</v>
      </c>
      <c r="AN94" s="57">
        <f t="shared" ca="1" si="261"/>
        <v>1500</v>
      </c>
      <c r="AO94" s="55"/>
      <c r="AP94" s="59">
        <f t="shared" ca="1" si="262"/>
        <v>5249.9605054633403</v>
      </c>
      <c r="AQ94" s="59">
        <f t="shared" ca="1" si="263"/>
        <v>2200</v>
      </c>
      <c r="AR94" s="59">
        <f ca="1">SUMPRODUCT($CA94:$DI94,'General Inputs'!$F$32:$AN$32,'General Inputs'!$F$51:$AN$51)/(1-Loss_ElectricEnergy)</f>
        <v>4409.0875764487073</v>
      </c>
      <c r="AS94" s="59">
        <f ca="1">SUMPRODUCT($DK94:$ES94,'General Inputs'!$F$33:$AN$33,'General Inputs'!$F$51:$AN$51)/(1-Loss_ElectricDemand)</f>
        <v>840.87292901463275</v>
      </c>
      <c r="AT94" s="59">
        <f ca="1">SUMPRODUCT($EU94:$GC94,'General Inputs'!$F$34:$AN$34,'General Inputs'!$F$51:$AN$51)/(1-Loss_GasEnergy)</f>
        <v>0</v>
      </c>
      <c r="AU94" s="59">
        <f ca="1">INDEX('General Inputs'!$F$51:$AN$51,MATCH($H94,'General Inputs'!$F$50:$AN$50,0))*$AJ94</f>
        <v>0</v>
      </c>
      <c r="AV94" s="59">
        <f ca="1">INDEX('General Inputs'!$F$51:$AN$51,MATCH($H94,'General Inputs'!$F$50:$AN$50,0))*$AI94</f>
        <v>1500</v>
      </c>
      <c r="AW94" s="59">
        <f ca="1">INDEX('General Inputs'!$F$51:$AN$51,MATCH($H94,'General Inputs'!$F$50:$AN$50,0))*$AM94</f>
        <v>0</v>
      </c>
      <c r="AX94" s="59">
        <f ca="1">SUM(INDEX('General Inputs'!$F$51:$AN$51,MATCH($H94,'General Inputs'!$F$50:$AN$50,0))*$AG94,INDEX('General Inputs'!$F$51:$AN$51,MATCH($H94+$AL94,'General Inputs'!$F$50:$AN$50,0))*-$AH94)</f>
        <v>2200</v>
      </c>
      <c r="AY94" s="55"/>
      <c r="AZ94" s="59">
        <f ca="1">SUMPRODUCT($CA94:$DI94,'General Inputs'!$F$32:$AN$32,'General Inputs'!$F$52:$AN$52)/(1-Loss_ElectricEnergy)</f>
        <v>4409.0875764487073</v>
      </c>
      <c r="BA94" s="59">
        <f ca="1">SUMPRODUCT($DK94:$ES94,'General Inputs'!$F$33:$AN$33,'General Inputs'!$F$52:$AN$52)/(1-Loss_ElectricDemand)</f>
        <v>840.87292901463275</v>
      </c>
      <c r="BB94" s="59">
        <f ca="1">SUMPRODUCT($EU94:$GC94,'General Inputs'!$F$34:$AN$34,'General Inputs'!$F$52:$AN$52)/(1-Loss_GasEnergy)</f>
        <v>0</v>
      </c>
      <c r="BC94" s="59">
        <f ca="1">INDEX('General Inputs'!$F$52:$AN$52,MATCH($H94,'General Inputs'!$F$50:$AN$50,0))*$AI94</f>
        <v>1500</v>
      </c>
      <c r="BD94" s="59">
        <f ca="1">INDEX('General Inputs'!$F$52:$AN$52,MATCH($H94,'General Inputs'!$F$50:$AN$50,0))*$AM94</f>
        <v>0</v>
      </c>
      <c r="BE94" s="55"/>
      <c r="BF94" s="59">
        <f ca="1">SUMPRODUCT($CA94:$DI94,OFFSET('General Inputs'!$F$40:$AN$40,MATCH($D94&amp;" Electric ($/kWh)",'General Inputs'!$E$40:$E$46,0),),'General Inputs'!$F$54:$AN$54)</f>
        <v>0</v>
      </c>
      <c r="BG94" s="59">
        <f ca="1">SUMPRODUCT($EU94:$GC94,OFFSET('General Inputs'!$F$40:$AN$40,MATCH($D94&amp;" Natural Gas ($/therm)",'General Inputs'!$E$40:$E$46,0),),'General Inputs'!$F$54:$AN$54)</f>
        <v>0</v>
      </c>
      <c r="BH94" s="59">
        <f ca="1">INDEX('General Inputs'!$F$54:$AN$54,MATCH($H94,'General Inputs'!$F$50:$AN$50,0))*$AI94</f>
        <v>1500</v>
      </c>
      <c r="BI94" s="59">
        <f ca="1">SUM(INDEX('General Inputs'!$F$54:$AN$54,MATCH($H94,'General Inputs'!$F$50:$AN$50,0))*$AG94,INDEX('General Inputs'!$F$51:$AN$51,MATCH($H94+$AL94,'General Inputs'!$F$50:$AN$50,0))*-$AH94)</f>
        <v>2200</v>
      </c>
      <c r="BJ94" s="55"/>
      <c r="BK94" s="59">
        <f ca="1">SUMPRODUCT($CA94:$DI94,'General Inputs'!$F$32:$AN$32,'General Inputs'!$F$53:$AN$53)/(1-Loss_ElectricEnergy)</f>
        <v>4409.0875764487073</v>
      </c>
      <c r="BL94" s="59">
        <f ca="1">SUMPRODUCT($DK94:$ES94,'General Inputs'!$F$33:$AN$33,'General Inputs'!$F$53:$AN$53)/(1-Loss_ElectricDemand)</f>
        <v>840.87292901463275</v>
      </c>
      <c r="BM94" s="59">
        <f ca="1">SUMPRODUCT($EU94:$GC94,'General Inputs'!$F$34:$AN$34,'General Inputs'!$F$53:$AN$53)/(1-Loss_GasEnergy)</f>
        <v>0</v>
      </c>
      <c r="BN94" s="59">
        <f ca="1">INDEX('General Inputs'!$F$53:$AN$53,MATCH($H94,'General Inputs'!$F$50:$AN$50,0))*$AJ94</f>
        <v>0</v>
      </c>
      <c r="BO94" s="59">
        <f ca="1">SUMPRODUCT($CA94:$DI94,'General Inputs'!$F$35:$AN$35,'General Inputs'!$F$53:$AN$53)/(1-Loss_ElectricEnergy)</f>
        <v>1745.4027098935842</v>
      </c>
      <c r="BP94" s="59">
        <f ca="1">INDEX('General Inputs'!$F$51:$AN$51,MATCH($H94,'General Inputs'!$F$50:$AN$50,0))*$AM94</f>
        <v>0</v>
      </c>
      <c r="BQ94" s="59">
        <f ca="1">SUM(INDEX('General Inputs'!$F$53:$AN$53,MATCH($H94,'General Inputs'!$F$50:$AN$50,0))*$AG94,INDEX('General Inputs'!$F$53:$AN$53,MATCH($H94+$AL94,'General Inputs'!$F$50:$AN$50,0))*-$AH94)</f>
        <v>2200</v>
      </c>
      <c r="BR94" s="55"/>
      <c r="BS94" s="59">
        <f ca="1">SUMPRODUCT($CA94:$DI94,'General Inputs'!$F$32:$AN$32,'General Inputs'!$F$55:$AN$55)/(1-Loss_ElectricEnergy)</f>
        <v>4409.0875764487073</v>
      </c>
      <c r="BT94" s="59">
        <f ca="1">SUMPRODUCT($DK94:$ES94,'General Inputs'!$F$33:$AN$33,'General Inputs'!$F$55:$AN$55)/(1-Loss_ElectricDemand)</f>
        <v>840.87292901463275</v>
      </c>
      <c r="BU94" s="59">
        <f ca="1">SUMPRODUCT($EU94:$GC94,'General Inputs'!$F$34:$AN$34,'General Inputs'!$F$55:$AN$55)/(1-Loss_GasEnergy)</f>
        <v>0</v>
      </c>
      <c r="BV94" s="59">
        <f ca="1">SUMPRODUCT($CA94:$DI94,OFFSET('General Inputs'!$F$40:$AN$40,MATCH($D94&amp;" Electric ($/kWh)",'General Inputs'!$E$40:$E$46,0),),'General Inputs'!$F$55:$AN$55)</f>
        <v>0</v>
      </c>
      <c r="BW94" s="59">
        <f ca="1">SUMPRODUCT($EU94:$GC94,OFFSET('General Inputs'!$F$40:$AN$40,MATCH($D94&amp;" Natural Gas ($/therm)",'General Inputs'!$E$40:$E$46,0),),'General Inputs'!$F$55:$AN$55)</f>
        <v>0</v>
      </c>
      <c r="BX94" s="59">
        <f ca="1">INDEX('General Inputs'!$F$55:$AN$55,MATCH($H94,'General Inputs'!$F$50:$AN$50,0))*$AI94</f>
        <v>1500</v>
      </c>
      <c r="BY94" s="59">
        <f ca="1">INDEX('General Inputs'!$F$51:$AN$51,MATCH($H94,'General Inputs'!$F$50:$AN$50,0))*$AM94</f>
        <v>0</v>
      </c>
      <c r="BZ94" s="55"/>
      <c r="CA94" s="88">
        <f t="shared" ca="1" si="287"/>
        <v>24077.135999999999</v>
      </c>
      <c r="CB94" s="88">
        <f t="shared" ca="1" si="287"/>
        <v>24077.135999999999</v>
      </c>
      <c r="CC94" s="88">
        <f t="shared" ca="1" si="287"/>
        <v>24077.135999999999</v>
      </c>
      <c r="CD94" s="88">
        <f t="shared" ca="1" si="287"/>
        <v>24077.135999999999</v>
      </c>
      <c r="CE94" s="88">
        <f t="shared" ca="1" si="287"/>
        <v>24077.135999999999</v>
      </c>
      <c r="CF94" s="88">
        <f t="shared" ca="1" si="287"/>
        <v>24077.135999999999</v>
      </c>
      <c r="CG94" s="88">
        <f t="shared" ca="1" si="287"/>
        <v>24077.135999999999</v>
      </c>
      <c r="CH94" s="88">
        <f t="shared" ca="1" si="287"/>
        <v>24077.135999999999</v>
      </c>
      <c r="CI94" s="88">
        <f t="shared" ca="1" si="287"/>
        <v>0</v>
      </c>
      <c r="CJ94" s="88">
        <f t="shared" ca="1" si="287"/>
        <v>0</v>
      </c>
      <c r="CK94" s="88">
        <f t="shared" ca="1" si="288"/>
        <v>0</v>
      </c>
      <c r="CL94" s="88">
        <f t="shared" ca="1" si="288"/>
        <v>0</v>
      </c>
      <c r="CM94" s="88">
        <f t="shared" ca="1" si="288"/>
        <v>0</v>
      </c>
      <c r="CN94" s="88">
        <f t="shared" ca="1" si="288"/>
        <v>0</v>
      </c>
      <c r="CO94" s="88">
        <f t="shared" ca="1" si="288"/>
        <v>0</v>
      </c>
      <c r="CP94" s="88">
        <f t="shared" ca="1" si="288"/>
        <v>0</v>
      </c>
      <c r="CQ94" s="88">
        <f t="shared" ca="1" si="288"/>
        <v>0</v>
      </c>
      <c r="CR94" s="88">
        <f t="shared" ca="1" si="288"/>
        <v>0</v>
      </c>
      <c r="CS94" s="88">
        <f t="shared" ca="1" si="288"/>
        <v>0</v>
      </c>
      <c r="CT94" s="88">
        <f t="shared" ca="1" si="288"/>
        <v>0</v>
      </c>
      <c r="CU94" s="88">
        <f t="shared" ca="1" si="289"/>
        <v>0</v>
      </c>
      <c r="CV94" s="88">
        <f t="shared" ca="1" si="289"/>
        <v>0</v>
      </c>
      <c r="CW94" s="88">
        <f t="shared" ca="1" si="289"/>
        <v>0</v>
      </c>
      <c r="CX94" s="88">
        <f t="shared" ca="1" si="289"/>
        <v>0</v>
      </c>
      <c r="CY94" s="88">
        <f t="shared" ca="1" si="289"/>
        <v>0</v>
      </c>
      <c r="CZ94" s="88">
        <f t="shared" ca="1" si="289"/>
        <v>0</v>
      </c>
      <c r="DA94" s="88">
        <f t="shared" ca="1" si="289"/>
        <v>0</v>
      </c>
      <c r="DB94" s="88">
        <f t="shared" ca="1" si="289"/>
        <v>0</v>
      </c>
      <c r="DC94" s="88">
        <f t="shared" ca="1" si="289"/>
        <v>0</v>
      </c>
      <c r="DD94" s="88">
        <f t="shared" ca="1" si="289"/>
        <v>0</v>
      </c>
      <c r="DE94" s="88">
        <f t="shared" ca="1" si="289"/>
        <v>0</v>
      </c>
      <c r="DF94" s="88">
        <f t="shared" ca="1" si="289"/>
        <v>0</v>
      </c>
      <c r="DG94" s="88">
        <f t="shared" ca="1" si="289"/>
        <v>0</v>
      </c>
      <c r="DH94" s="88">
        <f t="shared" ca="1" si="289"/>
        <v>0</v>
      </c>
      <c r="DI94" s="88">
        <f t="shared" ca="1" si="289"/>
        <v>0</v>
      </c>
      <c r="DJ94" s="169"/>
      <c r="DK94" s="88">
        <f t="shared" ca="1" si="290"/>
        <v>6.3840000000000003</v>
      </c>
      <c r="DL94" s="88">
        <f t="shared" ca="1" si="290"/>
        <v>6.3840000000000003</v>
      </c>
      <c r="DM94" s="88">
        <f t="shared" ca="1" si="290"/>
        <v>6.3840000000000003</v>
      </c>
      <c r="DN94" s="88">
        <f t="shared" ca="1" si="290"/>
        <v>6.3840000000000003</v>
      </c>
      <c r="DO94" s="88">
        <f t="shared" ca="1" si="290"/>
        <v>6.3840000000000003</v>
      </c>
      <c r="DP94" s="88">
        <f t="shared" ca="1" si="290"/>
        <v>6.3840000000000003</v>
      </c>
      <c r="DQ94" s="88">
        <f t="shared" ca="1" si="290"/>
        <v>6.3840000000000003</v>
      </c>
      <c r="DR94" s="88">
        <f t="shared" ca="1" si="290"/>
        <v>6.3840000000000003</v>
      </c>
      <c r="DS94" s="88">
        <f t="shared" ca="1" si="290"/>
        <v>0</v>
      </c>
      <c r="DT94" s="88">
        <f t="shared" ca="1" si="290"/>
        <v>0</v>
      </c>
      <c r="DU94" s="88">
        <f t="shared" ca="1" si="291"/>
        <v>0</v>
      </c>
      <c r="DV94" s="88">
        <f t="shared" ca="1" si="291"/>
        <v>0</v>
      </c>
      <c r="DW94" s="88">
        <f t="shared" ca="1" si="291"/>
        <v>0</v>
      </c>
      <c r="DX94" s="88">
        <f t="shared" ca="1" si="291"/>
        <v>0</v>
      </c>
      <c r="DY94" s="88">
        <f t="shared" ca="1" si="291"/>
        <v>0</v>
      </c>
      <c r="DZ94" s="88">
        <f t="shared" ca="1" si="291"/>
        <v>0</v>
      </c>
      <c r="EA94" s="88">
        <f t="shared" ca="1" si="291"/>
        <v>0</v>
      </c>
      <c r="EB94" s="88">
        <f t="shared" ca="1" si="291"/>
        <v>0</v>
      </c>
      <c r="EC94" s="88">
        <f t="shared" ca="1" si="291"/>
        <v>0</v>
      </c>
      <c r="ED94" s="88">
        <f t="shared" ca="1" si="291"/>
        <v>0</v>
      </c>
      <c r="EE94" s="88">
        <f t="shared" ca="1" si="292"/>
        <v>0</v>
      </c>
      <c r="EF94" s="88">
        <f t="shared" ca="1" si="292"/>
        <v>0</v>
      </c>
      <c r="EG94" s="88">
        <f t="shared" ca="1" si="292"/>
        <v>0</v>
      </c>
      <c r="EH94" s="88">
        <f t="shared" ca="1" si="292"/>
        <v>0</v>
      </c>
      <c r="EI94" s="88">
        <f t="shared" ca="1" si="292"/>
        <v>0</v>
      </c>
      <c r="EJ94" s="88">
        <f t="shared" ca="1" si="292"/>
        <v>0</v>
      </c>
      <c r="EK94" s="88">
        <f t="shared" ca="1" si="292"/>
        <v>0</v>
      </c>
      <c r="EL94" s="88">
        <f t="shared" ca="1" si="292"/>
        <v>0</v>
      </c>
      <c r="EM94" s="88">
        <f t="shared" ca="1" si="292"/>
        <v>0</v>
      </c>
      <c r="EN94" s="88">
        <f t="shared" ca="1" si="292"/>
        <v>0</v>
      </c>
      <c r="EO94" s="88">
        <f t="shared" ca="1" si="292"/>
        <v>0</v>
      </c>
      <c r="EP94" s="88">
        <f t="shared" ca="1" si="292"/>
        <v>0</v>
      </c>
      <c r="EQ94" s="88">
        <f t="shared" ca="1" si="292"/>
        <v>0</v>
      </c>
      <c r="ER94" s="88">
        <f t="shared" ca="1" si="292"/>
        <v>0</v>
      </c>
      <c r="ES94" s="88">
        <f t="shared" ca="1" si="292"/>
        <v>0</v>
      </c>
      <c r="ET94" s="169"/>
      <c r="EU94" s="88">
        <f t="shared" ca="1" si="293"/>
        <v>0</v>
      </c>
      <c r="EV94" s="88">
        <f t="shared" ca="1" si="293"/>
        <v>0</v>
      </c>
      <c r="EW94" s="88">
        <f t="shared" ca="1" si="293"/>
        <v>0</v>
      </c>
      <c r="EX94" s="88">
        <f t="shared" ca="1" si="293"/>
        <v>0</v>
      </c>
      <c r="EY94" s="88">
        <f t="shared" ca="1" si="293"/>
        <v>0</v>
      </c>
      <c r="EZ94" s="88">
        <f t="shared" ca="1" si="293"/>
        <v>0</v>
      </c>
      <c r="FA94" s="88">
        <f t="shared" ca="1" si="293"/>
        <v>0</v>
      </c>
      <c r="FB94" s="88">
        <f t="shared" ca="1" si="293"/>
        <v>0</v>
      </c>
      <c r="FC94" s="88">
        <f t="shared" ca="1" si="293"/>
        <v>0</v>
      </c>
      <c r="FD94" s="88">
        <f t="shared" ca="1" si="293"/>
        <v>0</v>
      </c>
      <c r="FE94" s="88">
        <f t="shared" ca="1" si="294"/>
        <v>0</v>
      </c>
      <c r="FF94" s="88">
        <f t="shared" ca="1" si="294"/>
        <v>0</v>
      </c>
      <c r="FG94" s="88">
        <f t="shared" ca="1" si="294"/>
        <v>0</v>
      </c>
      <c r="FH94" s="88">
        <f t="shared" ca="1" si="294"/>
        <v>0</v>
      </c>
      <c r="FI94" s="88">
        <f t="shared" ca="1" si="294"/>
        <v>0</v>
      </c>
      <c r="FJ94" s="88">
        <f t="shared" ca="1" si="294"/>
        <v>0</v>
      </c>
      <c r="FK94" s="88">
        <f t="shared" ca="1" si="294"/>
        <v>0</v>
      </c>
      <c r="FL94" s="88">
        <f t="shared" ca="1" si="294"/>
        <v>0</v>
      </c>
      <c r="FM94" s="88">
        <f t="shared" ca="1" si="294"/>
        <v>0</v>
      </c>
      <c r="FN94" s="88">
        <f t="shared" ca="1" si="294"/>
        <v>0</v>
      </c>
      <c r="FO94" s="88">
        <f t="shared" ca="1" si="295"/>
        <v>0</v>
      </c>
      <c r="FP94" s="88">
        <f t="shared" ca="1" si="295"/>
        <v>0</v>
      </c>
      <c r="FQ94" s="88">
        <f t="shared" ca="1" si="295"/>
        <v>0</v>
      </c>
      <c r="FR94" s="88">
        <f t="shared" ca="1" si="295"/>
        <v>0</v>
      </c>
      <c r="FS94" s="88">
        <f t="shared" ca="1" si="295"/>
        <v>0</v>
      </c>
      <c r="FT94" s="88">
        <f t="shared" ca="1" si="295"/>
        <v>0</v>
      </c>
      <c r="FU94" s="88">
        <f t="shared" ca="1" si="295"/>
        <v>0</v>
      </c>
      <c r="FV94" s="88">
        <f t="shared" ca="1" si="295"/>
        <v>0</v>
      </c>
      <c r="FW94" s="88">
        <f t="shared" ca="1" si="295"/>
        <v>0</v>
      </c>
      <c r="FX94" s="88">
        <f t="shared" ca="1" si="295"/>
        <v>0</v>
      </c>
      <c r="FY94" s="88">
        <f t="shared" ca="1" si="295"/>
        <v>0</v>
      </c>
      <c r="FZ94" s="88">
        <f t="shared" ca="1" si="295"/>
        <v>0</v>
      </c>
      <c r="GA94" s="88">
        <f t="shared" ca="1" si="295"/>
        <v>0</v>
      </c>
      <c r="GB94" s="88">
        <f t="shared" ca="1" si="295"/>
        <v>0</v>
      </c>
      <c r="GC94" s="88">
        <f t="shared" ca="1" si="295"/>
        <v>0</v>
      </c>
      <c r="GD94" s="60"/>
    </row>
    <row r="95" spans="1:186" s="54" customFormat="1" ht="14.45" customHeight="1">
      <c r="A95" s="61"/>
      <c r="B95" s="100" t="str">
        <f t="shared" si="277"/>
        <v>C&amp;I_C&amp;I Prescriptive_0_High Performance T8 (1-2 Lamp)_2017</v>
      </c>
      <c r="C95" s="100">
        <f>INDEX('Measure Inputs'!$D:$D,MATCH($B95,'Measure Inputs'!$B:$B,0))</f>
        <v>47</v>
      </c>
      <c r="D95" s="101" t="s">
        <v>256</v>
      </c>
      <c r="E95" s="101" t="s">
        <v>255</v>
      </c>
      <c r="F95" s="101">
        <v>0</v>
      </c>
      <c r="G95" s="101" t="s">
        <v>289</v>
      </c>
      <c r="H95" s="101">
        <v>2017</v>
      </c>
      <c r="I95" s="55"/>
      <c r="J95" s="58">
        <f t="shared" ca="1" si="229"/>
        <v>0.9216233656134839</v>
      </c>
      <c r="K95" s="58">
        <f t="shared" ca="1" si="246"/>
        <v>1.8432467312269678</v>
      </c>
      <c r="L95" s="58">
        <f t="shared" ca="1" si="230"/>
        <v>0.5</v>
      </c>
      <c r="M95" s="58">
        <f t="shared" ca="1" si="231"/>
        <v>1.2168644800295709</v>
      </c>
      <c r="N95" s="58">
        <f t="shared" ca="1" si="232"/>
        <v>1.8432467312269678</v>
      </c>
      <c r="O95" s="55"/>
      <c r="P95" s="175">
        <f ca="1">IFERROR(($AW95+AV95)/SUMPRODUCT($CA95:$DI95,'General Inputs'!$F$51:$AN$51),"n/a")</f>
        <v>2.0258398932171347E-2</v>
      </c>
      <c r="Q95" s="175">
        <f t="shared" ca="1" si="233"/>
        <v>0.17942333340643174</v>
      </c>
      <c r="R95" s="56">
        <f t="shared" ca="1" si="260"/>
        <v>112.86157499999996</v>
      </c>
      <c r="S95" s="55"/>
      <c r="T95" s="56">
        <f ca="1">INDEX(OFFSET('Measure Inputs'!$L$7,,,InputRows),$C95)</f>
        <v>150</v>
      </c>
      <c r="U95" s="134">
        <f ca="1">INDEX(OFFSET('Measure Inputs'!$T$7,,,InputRows),$C95)</f>
        <v>1</v>
      </c>
      <c r="V95" s="134">
        <f ca="1">INDEX(OFFSET('Measure Inputs'!$U$7,,,InputRows),$C95)</f>
        <v>1</v>
      </c>
      <c r="W95" s="55"/>
      <c r="X95" s="96">
        <f ca="1">INDEX(OFFSET('Measure Inputs'!$V$7,,,InputRows),$C95)*$T95*$V95*$U95</f>
        <v>7524.1049999999996</v>
      </c>
      <c r="Y95" s="96">
        <f ca="1">INDEX(OFFSET('Measure Inputs'!$W$7,,,InputRows),$C95)*$T95*$V95*$U95</f>
        <v>1.9950000000000001</v>
      </c>
      <c r="Z95" s="96">
        <f ca="1">INDEX(OFFSET('Measure Inputs'!$X$7,,,InputRows),$C95)*$T95*$V95*$U95</f>
        <v>0</v>
      </c>
      <c r="AA95" s="55"/>
      <c r="AB95" s="96">
        <f ca="1">INDEX(OFFSET('Measure Inputs'!$Z$7,,,InputRows),$C95)*$T95*$V95*$U95</f>
        <v>0</v>
      </c>
      <c r="AC95" s="96">
        <f ca="1">INDEX(OFFSET('Measure Inputs'!$AA$7,,,InputRows),$C95)*$T95*$V95*$U95</f>
        <v>0</v>
      </c>
      <c r="AD95" s="96">
        <f ca="1">INDEX(OFFSET('Measure Inputs'!$AB$7,,,InputRows),$C95)*$T95*$V95*$U95</f>
        <v>0</v>
      </c>
      <c r="AE95" s="55"/>
      <c r="AF95" s="57">
        <f ca="1">INDEX(OFFSET('Measure Inputs'!$Q$7,,,InputRows),$C95)*$T95</f>
        <v>0</v>
      </c>
      <c r="AG95" s="57">
        <f ca="1">INDEX(OFFSET('Measure Inputs'!$P$7,,,InputRows),$C95)*$T95*$V95</f>
        <v>2700</v>
      </c>
      <c r="AH95" s="57">
        <f ca="1">INDEX(OFFSET('Measure Inputs'!$R$7,,,InputRows),$C95)*$T95*$V95</f>
        <v>0</v>
      </c>
      <c r="AI95" s="57">
        <f ca="1">INDEX(OFFSET('Measure Inputs'!$O$7,,,InputRows),$C95)*$T95</f>
        <v>1350</v>
      </c>
      <c r="AJ95" s="57">
        <f ca="1">INDEX(OFFSET('Measure Inputs'!$S$7,,,InputRows),$C95)*$T95</f>
        <v>0</v>
      </c>
      <c r="AK95" s="63">
        <f ca="1">INDEX(OFFSET('Measure Inputs'!$M$7,,,InputRows),$C95)</f>
        <v>15</v>
      </c>
      <c r="AL95" s="88">
        <f ca="1">INDEX(OFFSET('Measure Inputs'!$N$7,,,InputRows),$C95)</f>
        <v>0</v>
      </c>
      <c r="AM95" s="57">
        <f ca="1">SUMIFS(OFFSET('Program Inputs'!$N$5,,,TotalPrograms),OFFSET('Program Inputs'!$B$5,,,TotalPrograms),SUBSTITUTE($B95,"All","*"))+AF95</f>
        <v>0</v>
      </c>
      <c r="AN95" s="57">
        <f t="shared" ca="1" si="261"/>
        <v>1350</v>
      </c>
      <c r="AO95" s="55"/>
      <c r="AP95" s="59">
        <f t="shared" ca="1" si="262"/>
        <v>2488.3830871564064</v>
      </c>
      <c r="AQ95" s="59">
        <f t="shared" ca="1" si="263"/>
        <v>2700</v>
      </c>
      <c r="AR95" s="59">
        <f ca="1">SUMPRODUCT($CA95:$DI95,'General Inputs'!$F$32:$AN$32,'General Inputs'!$F$51:$AN$51)/(1-Loss_ElectricEnergy)</f>
        <v>2089.825046037769</v>
      </c>
      <c r="AS95" s="59">
        <f ca="1">SUMPRODUCT($DK95:$ES95,'General Inputs'!$F$33:$AN$33,'General Inputs'!$F$51:$AN$51)/(1-Loss_ElectricDemand)</f>
        <v>398.55804111863745</v>
      </c>
      <c r="AT95" s="59">
        <f ca="1">SUMPRODUCT($EU95:$GC95,'General Inputs'!$F$34:$AN$34,'General Inputs'!$F$51:$AN$51)/(1-Loss_GasEnergy)</f>
        <v>0</v>
      </c>
      <c r="AU95" s="59">
        <f ca="1">INDEX('General Inputs'!$F$51:$AN$51,MATCH($H95,'General Inputs'!$F$50:$AN$50,0))*$AJ95</f>
        <v>0</v>
      </c>
      <c r="AV95" s="59">
        <f ca="1">INDEX('General Inputs'!$F$51:$AN$51,MATCH($H95,'General Inputs'!$F$50:$AN$50,0))*$AI95</f>
        <v>1350</v>
      </c>
      <c r="AW95" s="59">
        <f ca="1">INDEX('General Inputs'!$F$51:$AN$51,MATCH($H95,'General Inputs'!$F$50:$AN$50,0))*$AM95</f>
        <v>0</v>
      </c>
      <c r="AX95" s="59">
        <f ca="1">SUM(INDEX('General Inputs'!$F$51:$AN$51,MATCH($H95,'General Inputs'!$F$50:$AN$50,0))*$AG95,INDEX('General Inputs'!$F$51:$AN$51,MATCH($H95+$AL95,'General Inputs'!$F$50:$AN$50,0))*-$AH95)</f>
        <v>2700</v>
      </c>
      <c r="AY95" s="55"/>
      <c r="AZ95" s="59">
        <f ca="1">SUMPRODUCT($CA95:$DI95,'General Inputs'!$F$32:$AN$32,'General Inputs'!$F$52:$AN$52)/(1-Loss_ElectricEnergy)</f>
        <v>2089.825046037769</v>
      </c>
      <c r="BA95" s="59">
        <f ca="1">SUMPRODUCT($DK95:$ES95,'General Inputs'!$F$33:$AN$33,'General Inputs'!$F$52:$AN$52)/(1-Loss_ElectricDemand)</f>
        <v>398.55804111863745</v>
      </c>
      <c r="BB95" s="59">
        <f ca="1">SUMPRODUCT($EU95:$GC95,'General Inputs'!$F$34:$AN$34,'General Inputs'!$F$52:$AN$52)/(1-Loss_GasEnergy)</f>
        <v>0</v>
      </c>
      <c r="BC95" s="59">
        <f ca="1">INDEX('General Inputs'!$F$52:$AN$52,MATCH($H95,'General Inputs'!$F$50:$AN$50,0))*$AI95</f>
        <v>1350</v>
      </c>
      <c r="BD95" s="59">
        <f ca="1">INDEX('General Inputs'!$F$52:$AN$52,MATCH($H95,'General Inputs'!$F$50:$AN$50,0))*$AM95</f>
        <v>0</v>
      </c>
      <c r="BE95" s="55"/>
      <c r="BF95" s="59">
        <f ca="1">SUMPRODUCT($CA95:$DI95,OFFSET('General Inputs'!$F$40:$AN$40,MATCH($D95&amp;" Electric ($/kWh)",'General Inputs'!$E$40:$E$46,0),),'General Inputs'!$F$54:$AN$54)</f>
        <v>0</v>
      </c>
      <c r="BG95" s="59">
        <f ca="1">SUMPRODUCT($EU95:$GC95,OFFSET('General Inputs'!$F$40:$AN$40,MATCH($D95&amp;" Natural Gas ($/therm)",'General Inputs'!$E$40:$E$46,0),),'General Inputs'!$F$54:$AN$54)</f>
        <v>0</v>
      </c>
      <c r="BH95" s="59">
        <f ca="1">INDEX('General Inputs'!$F$54:$AN$54,MATCH($H95,'General Inputs'!$F$50:$AN$50,0))*$AI95</f>
        <v>1350</v>
      </c>
      <c r="BI95" s="59">
        <f ca="1">SUM(INDEX('General Inputs'!$F$54:$AN$54,MATCH($H95,'General Inputs'!$F$50:$AN$50,0))*$AG95,INDEX('General Inputs'!$F$51:$AN$51,MATCH($H95+$AL95,'General Inputs'!$F$50:$AN$50,0))*-$AH95)</f>
        <v>2700</v>
      </c>
      <c r="BJ95" s="55"/>
      <c r="BK95" s="59">
        <f ca="1">SUMPRODUCT($CA95:$DI95,'General Inputs'!$F$32:$AN$32,'General Inputs'!$F$53:$AN$53)/(1-Loss_ElectricEnergy)</f>
        <v>2089.825046037769</v>
      </c>
      <c r="BL95" s="59">
        <f ca="1">SUMPRODUCT($DK95:$ES95,'General Inputs'!$F$33:$AN$33,'General Inputs'!$F$53:$AN$53)/(1-Loss_ElectricDemand)</f>
        <v>398.55804111863745</v>
      </c>
      <c r="BM95" s="59">
        <f ca="1">SUMPRODUCT($EU95:$GC95,'General Inputs'!$F$34:$AN$34,'General Inputs'!$F$53:$AN$53)/(1-Loss_GasEnergy)</f>
        <v>0</v>
      </c>
      <c r="BN95" s="59">
        <f ca="1">INDEX('General Inputs'!$F$53:$AN$53,MATCH($H95,'General Inputs'!$F$50:$AN$50,0))*$AJ95</f>
        <v>0</v>
      </c>
      <c r="BO95" s="59">
        <f ca="1">SUMPRODUCT($CA95:$DI95,'General Inputs'!$F$35:$AN$35,'General Inputs'!$F$53:$AN$53)/(1-Loss_ElectricEnergy)</f>
        <v>797.15100892343514</v>
      </c>
      <c r="BP95" s="59">
        <f ca="1">INDEX('General Inputs'!$F$51:$AN$51,MATCH($H95,'General Inputs'!$F$50:$AN$50,0))*$AM95</f>
        <v>0</v>
      </c>
      <c r="BQ95" s="59">
        <f ca="1">SUM(INDEX('General Inputs'!$F$53:$AN$53,MATCH($H95,'General Inputs'!$F$50:$AN$50,0))*$AG95,INDEX('General Inputs'!$F$53:$AN$53,MATCH($H95+$AL95,'General Inputs'!$F$50:$AN$50,0))*-$AH95)</f>
        <v>2700</v>
      </c>
      <c r="BR95" s="55"/>
      <c r="BS95" s="59">
        <f ca="1">SUMPRODUCT($CA95:$DI95,'General Inputs'!$F$32:$AN$32,'General Inputs'!$F$55:$AN$55)/(1-Loss_ElectricEnergy)</f>
        <v>2089.825046037769</v>
      </c>
      <c r="BT95" s="59">
        <f ca="1">SUMPRODUCT($DK95:$ES95,'General Inputs'!$F$33:$AN$33,'General Inputs'!$F$55:$AN$55)/(1-Loss_ElectricDemand)</f>
        <v>398.55804111863745</v>
      </c>
      <c r="BU95" s="59">
        <f ca="1">SUMPRODUCT($EU95:$GC95,'General Inputs'!$F$34:$AN$34,'General Inputs'!$F$55:$AN$55)/(1-Loss_GasEnergy)</f>
        <v>0</v>
      </c>
      <c r="BV95" s="59">
        <f ca="1">SUMPRODUCT($CA95:$DI95,OFFSET('General Inputs'!$F$40:$AN$40,MATCH($D95&amp;" Electric ($/kWh)",'General Inputs'!$E$40:$E$46,0),),'General Inputs'!$F$55:$AN$55)</f>
        <v>0</v>
      </c>
      <c r="BW95" s="59">
        <f ca="1">SUMPRODUCT($EU95:$GC95,OFFSET('General Inputs'!$F$40:$AN$40,MATCH($D95&amp;" Natural Gas ($/therm)",'General Inputs'!$E$40:$E$46,0),),'General Inputs'!$F$55:$AN$55)</f>
        <v>0</v>
      </c>
      <c r="BX95" s="59">
        <f ca="1">INDEX('General Inputs'!$F$55:$AN$55,MATCH($H95,'General Inputs'!$F$50:$AN$50,0))*$AI95</f>
        <v>1350</v>
      </c>
      <c r="BY95" s="59">
        <f ca="1">INDEX('General Inputs'!$F$51:$AN$51,MATCH($H95,'General Inputs'!$F$50:$AN$50,0))*$AM95</f>
        <v>0</v>
      </c>
      <c r="BZ95" s="55"/>
      <c r="CA95" s="88">
        <f t="shared" ca="1" si="287"/>
        <v>7524.1049999999996</v>
      </c>
      <c r="CB95" s="88">
        <f t="shared" ca="1" si="287"/>
        <v>7524.1049999999996</v>
      </c>
      <c r="CC95" s="88">
        <f t="shared" ca="1" si="287"/>
        <v>7524.1049999999996</v>
      </c>
      <c r="CD95" s="88">
        <f t="shared" ca="1" si="287"/>
        <v>7524.1049999999996</v>
      </c>
      <c r="CE95" s="88">
        <f t="shared" ca="1" si="287"/>
        <v>7524.1049999999996</v>
      </c>
      <c r="CF95" s="88">
        <f t="shared" ca="1" si="287"/>
        <v>7524.1049999999996</v>
      </c>
      <c r="CG95" s="88">
        <f t="shared" ca="1" si="287"/>
        <v>7524.1049999999996</v>
      </c>
      <c r="CH95" s="88">
        <f t="shared" ca="1" si="287"/>
        <v>7524.1049999999996</v>
      </c>
      <c r="CI95" s="88">
        <f t="shared" ca="1" si="287"/>
        <v>7524.1049999999996</v>
      </c>
      <c r="CJ95" s="88">
        <f t="shared" ca="1" si="287"/>
        <v>7524.1049999999996</v>
      </c>
      <c r="CK95" s="88">
        <f t="shared" ca="1" si="288"/>
        <v>7524.1049999999996</v>
      </c>
      <c r="CL95" s="88">
        <f t="shared" ca="1" si="288"/>
        <v>7524.1049999999996</v>
      </c>
      <c r="CM95" s="88">
        <f t="shared" ca="1" si="288"/>
        <v>7524.1049999999996</v>
      </c>
      <c r="CN95" s="88">
        <f t="shared" ca="1" si="288"/>
        <v>7524.1049999999996</v>
      </c>
      <c r="CO95" s="88">
        <f t="shared" ca="1" si="288"/>
        <v>7524.1049999999996</v>
      </c>
      <c r="CP95" s="88">
        <f t="shared" ca="1" si="288"/>
        <v>0</v>
      </c>
      <c r="CQ95" s="88">
        <f t="shared" ca="1" si="288"/>
        <v>0</v>
      </c>
      <c r="CR95" s="88">
        <f t="shared" ca="1" si="288"/>
        <v>0</v>
      </c>
      <c r="CS95" s="88">
        <f t="shared" ca="1" si="288"/>
        <v>0</v>
      </c>
      <c r="CT95" s="88">
        <f t="shared" ca="1" si="288"/>
        <v>0</v>
      </c>
      <c r="CU95" s="88">
        <f t="shared" ca="1" si="289"/>
        <v>0</v>
      </c>
      <c r="CV95" s="88">
        <f t="shared" ca="1" si="289"/>
        <v>0</v>
      </c>
      <c r="CW95" s="88">
        <f t="shared" ca="1" si="289"/>
        <v>0</v>
      </c>
      <c r="CX95" s="88">
        <f t="shared" ca="1" si="289"/>
        <v>0</v>
      </c>
      <c r="CY95" s="88">
        <f t="shared" ca="1" si="289"/>
        <v>0</v>
      </c>
      <c r="CZ95" s="88">
        <f t="shared" ca="1" si="289"/>
        <v>0</v>
      </c>
      <c r="DA95" s="88">
        <f t="shared" ca="1" si="289"/>
        <v>0</v>
      </c>
      <c r="DB95" s="88">
        <f t="shared" ca="1" si="289"/>
        <v>0</v>
      </c>
      <c r="DC95" s="88">
        <f t="shared" ca="1" si="289"/>
        <v>0</v>
      </c>
      <c r="DD95" s="88">
        <f t="shared" ca="1" si="289"/>
        <v>0</v>
      </c>
      <c r="DE95" s="88">
        <f t="shared" ca="1" si="289"/>
        <v>0</v>
      </c>
      <c r="DF95" s="88">
        <f t="shared" ca="1" si="289"/>
        <v>0</v>
      </c>
      <c r="DG95" s="88">
        <f t="shared" ca="1" si="289"/>
        <v>0</v>
      </c>
      <c r="DH95" s="88">
        <f t="shared" ca="1" si="289"/>
        <v>0</v>
      </c>
      <c r="DI95" s="88">
        <f t="shared" ca="1" si="289"/>
        <v>0</v>
      </c>
      <c r="DJ95" s="169"/>
      <c r="DK95" s="88">
        <f t="shared" ca="1" si="290"/>
        <v>1.9950000000000001</v>
      </c>
      <c r="DL95" s="88">
        <f t="shared" ca="1" si="290"/>
        <v>1.9950000000000001</v>
      </c>
      <c r="DM95" s="88">
        <f t="shared" ca="1" si="290"/>
        <v>1.9950000000000001</v>
      </c>
      <c r="DN95" s="88">
        <f t="shared" ca="1" si="290"/>
        <v>1.9950000000000001</v>
      </c>
      <c r="DO95" s="88">
        <f t="shared" ca="1" si="290"/>
        <v>1.9950000000000001</v>
      </c>
      <c r="DP95" s="88">
        <f t="shared" ca="1" si="290"/>
        <v>1.9950000000000001</v>
      </c>
      <c r="DQ95" s="88">
        <f t="shared" ca="1" si="290"/>
        <v>1.9950000000000001</v>
      </c>
      <c r="DR95" s="88">
        <f t="shared" ca="1" si="290"/>
        <v>1.9950000000000001</v>
      </c>
      <c r="DS95" s="88">
        <f t="shared" ca="1" si="290"/>
        <v>1.9950000000000001</v>
      </c>
      <c r="DT95" s="88">
        <f t="shared" ca="1" si="290"/>
        <v>1.9950000000000001</v>
      </c>
      <c r="DU95" s="88">
        <f t="shared" ca="1" si="291"/>
        <v>1.9950000000000001</v>
      </c>
      <c r="DV95" s="88">
        <f t="shared" ca="1" si="291"/>
        <v>1.9950000000000001</v>
      </c>
      <c r="DW95" s="88">
        <f t="shared" ca="1" si="291"/>
        <v>1.9950000000000001</v>
      </c>
      <c r="DX95" s="88">
        <f t="shared" ca="1" si="291"/>
        <v>1.9950000000000001</v>
      </c>
      <c r="DY95" s="88">
        <f t="shared" ca="1" si="291"/>
        <v>1.9950000000000001</v>
      </c>
      <c r="DZ95" s="88">
        <f t="shared" ca="1" si="291"/>
        <v>0</v>
      </c>
      <c r="EA95" s="88">
        <f t="shared" ca="1" si="291"/>
        <v>0</v>
      </c>
      <c r="EB95" s="88">
        <f t="shared" ca="1" si="291"/>
        <v>0</v>
      </c>
      <c r="EC95" s="88">
        <f t="shared" ca="1" si="291"/>
        <v>0</v>
      </c>
      <c r="ED95" s="88">
        <f t="shared" ca="1" si="291"/>
        <v>0</v>
      </c>
      <c r="EE95" s="88">
        <f t="shared" ca="1" si="292"/>
        <v>0</v>
      </c>
      <c r="EF95" s="88">
        <f t="shared" ca="1" si="292"/>
        <v>0</v>
      </c>
      <c r="EG95" s="88">
        <f t="shared" ca="1" si="292"/>
        <v>0</v>
      </c>
      <c r="EH95" s="88">
        <f t="shared" ca="1" si="292"/>
        <v>0</v>
      </c>
      <c r="EI95" s="88">
        <f t="shared" ca="1" si="292"/>
        <v>0</v>
      </c>
      <c r="EJ95" s="88">
        <f t="shared" ca="1" si="292"/>
        <v>0</v>
      </c>
      <c r="EK95" s="88">
        <f t="shared" ca="1" si="292"/>
        <v>0</v>
      </c>
      <c r="EL95" s="88">
        <f t="shared" ca="1" si="292"/>
        <v>0</v>
      </c>
      <c r="EM95" s="88">
        <f t="shared" ca="1" si="292"/>
        <v>0</v>
      </c>
      <c r="EN95" s="88">
        <f t="shared" ca="1" si="292"/>
        <v>0</v>
      </c>
      <c r="EO95" s="88">
        <f t="shared" ca="1" si="292"/>
        <v>0</v>
      </c>
      <c r="EP95" s="88">
        <f t="shared" ca="1" si="292"/>
        <v>0</v>
      </c>
      <c r="EQ95" s="88">
        <f t="shared" ca="1" si="292"/>
        <v>0</v>
      </c>
      <c r="ER95" s="88">
        <f t="shared" ca="1" si="292"/>
        <v>0</v>
      </c>
      <c r="ES95" s="88">
        <f t="shared" ca="1" si="292"/>
        <v>0</v>
      </c>
      <c r="ET95" s="169"/>
      <c r="EU95" s="88">
        <f t="shared" ca="1" si="293"/>
        <v>0</v>
      </c>
      <c r="EV95" s="88">
        <f t="shared" ca="1" si="293"/>
        <v>0</v>
      </c>
      <c r="EW95" s="88">
        <f t="shared" ca="1" si="293"/>
        <v>0</v>
      </c>
      <c r="EX95" s="88">
        <f t="shared" ca="1" si="293"/>
        <v>0</v>
      </c>
      <c r="EY95" s="88">
        <f t="shared" ca="1" si="293"/>
        <v>0</v>
      </c>
      <c r="EZ95" s="88">
        <f t="shared" ca="1" si="293"/>
        <v>0</v>
      </c>
      <c r="FA95" s="88">
        <f t="shared" ca="1" si="293"/>
        <v>0</v>
      </c>
      <c r="FB95" s="88">
        <f t="shared" ca="1" si="293"/>
        <v>0</v>
      </c>
      <c r="FC95" s="88">
        <f t="shared" ca="1" si="293"/>
        <v>0</v>
      </c>
      <c r="FD95" s="88">
        <f t="shared" ca="1" si="293"/>
        <v>0</v>
      </c>
      <c r="FE95" s="88">
        <f t="shared" ca="1" si="294"/>
        <v>0</v>
      </c>
      <c r="FF95" s="88">
        <f t="shared" ca="1" si="294"/>
        <v>0</v>
      </c>
      <c r="FG95" s="88">
        <f t="shared" ca="1" si="294"/>
        <v>0</v>
      </c>
      <c r="FH95" s="88">
        <f t="shared" ca="1" si="294"/>
        <v>0</v>
      </c>
      <c r="FI95" s="88">
        <f t="shared" ca="1" si="294"/>
        <v>0</v>
      </c>
      <c r="FJ95" s="88">
        <f t="shared" ca="1" si="294"/>
        <v>0</v>
      </c>
      <c r="FK95" s="88">
        <f t="shared" ca="1" si="294"/>
        <v>0</v>
      </c>
      <c r="FL95" s="88">
        <f t="shared" ca="1" si="294"/>
        <v>0</v>
      </c>
      <c r="FM95" s="88">
        <f t="shared" ca="1" si="294"/>
        <v>0</v>
      </c>
      <c r="FN95" s="88">
        <f t="shared" ca="1" si="294"/>
        <v>0</v>
      </c>
      <c r="FO95" s="88">
        <f t="shared" ca="1" si="295"/>
        <v>0</v>
      </c>
      <c r="FP95" s="88">
        <f t="shared" ca="1" si="295"/>
        <v>0</v>
      </c>
      <c r="FQ95" s="88">
        <f t="shared" ca="1" si="295"/>
        <v>0</v>
      </c>
      <c r="FR95" s="88">
        <f t="shared" ca="1" si="295"/>
        <v>0</v>
      </c>
      <c r="FS95" s="88">
        <f t="shared" ca="1" si="295"/>
        <v>0</v>
      </c>
      <c r="FT95" s="88">
        <f t="shared" ca="1" si="295"/>
        <v>0</v>
      </c>
      <c r="FU95" s="88">
        <f t="shared" ca="1" si="295"/>
        <v>0</v>
      </c>
      <c r="FV95" s="88">
        <f t="shared" ca="1" si="295"/>
        <v>0</v>
      </c>
      <c r="FW95" s="88">
        <f t="shared" ca="1" si="295"/>
        <v>0</v>
      </c>
      <c r="FX95" s="88">
        <f t="shared" ca="1" si="295"/>
        <v>0</v>
      </c>
      <c r="FY95" s="88">
        <f t="shared" ca="1" si="295"/>
        <v>0</v>
      </c>
      <c r="FZ95" s="88">
        <f t="shared" ca="1" si="295"/>
        <v>0</v>
      </c>
      <c r="GA95" s="88">
        <f t="shared" ca="1" si="295"/>
        <v>0</v>
      </c>
      <c r="GB95" s="88">
        <f t="shared" ca="1" si="295"/>
        <v>0</v>
      </c>
      <c r="GC95" s="88">
        <f t="shared" ca="1" si="295"/>
        <v>0</v>
      </c>
      <c r="GD95" s="60"/>
    </row>
    <row r="96" spans="1:186" s="54" customFormat="1" ht="14.45" customHeight="1">
      <c r="A96" s="61"/>
      <c r="B96" s="100" t="str">
        <f t="shared" si="277"/>
        <v>C&amp;I_C&amp;I Prescriptive_0_High Performance T8 (3-4 Lamp)_2017</v>
      </c>
      <c r="C96" s="100">
        <f>INDEX('Measure Inputs'!$D:$D,MATCH($B96,'Measure Inputs'!$B:$B,0))</f>
        <v>48</v>
      </c>
      <c r="D96" s="101" t="s">
        <v>256</v>
      </c>
      <c r="E96" s="101" t="s">
        <v>255</v>
      </c>
      <c r="F96" s="101">
        <v>0</v>
      </c>
      <c r="G96" s="101" t="s">
        <v>290</v>
      </c>
      <c r="H96" s="101">
        <v>2017</v>
      </c>
      <c r="I96" s="55"/>
      <c r="J96" s="58">
        <f t="shared" ca="1" si="229"/>
        <v>1.3704138740861365</v>
      </c>
      <c r="K96" s="58">
        <f t="shared" ca="1" si="246"/>
        <v>2.6266265919984284</v>
      </c>
      <c r="L96" s="58">
        <f t="shared" ca="1" si="230"/>
        <v>0.52173913043478259</v>
      </c>
      <c r="M96" s="58">
        <f t="shared" ca="1" si="231"/>
        <v>1.809424574652666</v>
      </c>
      <c r="N96" s="58">
        <f t="shared" ca="1" si="232"/>
        <v>2.6266265919984284</v>
      </c>
      <c r="O96" s="55"/>
      <c r="P96" s="175">
        <f ca="1">IFERROR(($AW96+AV96)/SUMPRODUCT($CA96:$DI96,'General Inputs'!$F$51:$AN$51),"n/a")</f>
        <v>1.4216420303278136E-2</v>
      </c>
      <c r="Q96" s="175">
        <f t="shared" ca="1" si="233"/>
        <v>0.12591111116240825</v>
      </c>
      <c r="R96" s="56">
        <f t="shared" ca="1" si="260"/>
        <v>214.43699249999995</v>
      </c>
      <c r="S96" s="55"/>
      <c r="T96" s="56">
        <f ca="1">INDEX(OFFSET('Measure Inputs'!$L$7,,,InputRows),$C96)</f>
        <v>150</v>
      </c>
      <c r="U96" s="134">
        <f ca="1">INDEX(OFFSET('Measure Inputs'!$T$7,,,InputRows),$C96)</f>
        <v>1</v>
      </c>
      <c r="V96" s="134">
        <f ca="1">INDEX(OFFSET('Measure Inputs'!$U$7,,,InputRows),$C96)</f>
        <v>1</v>
      </c>
      <c r="W96" s="55"/>
      <c r="X96" s="96">
        <f ca="1">INDEX(OFFSET('Measure Inputs'!$V$7,,,InputRows),$C96)*$T96*$V96*$U96</f>
        <v>14295.799499999997</v>
      </c>
      <c r="Y96" s="96">
        <f ca="1">INDEX(OFFSET('Measure Inputs'!$W$7,,,InputRows),$C96)*$T96*$V96*$U96</f>
        <v>3.7905000000000002</v>
      </c>
      <c r="Z96" s="96">
        <f ca="1">INDEX(OFFSET('Measure Inputs'!$X$7,,,InputRows),$C96)*$T96*$V96*$U96</f>
        <v>0</v>
      </c>
      <c r="AA96" s="55"/>
      <c r="AB96" s="96">
        <f ca="1">INDEX(OFFSET('Measure Inputs'!$Z$7,,,InputRows),$C96)*$T96*$V96*$U96</f>
        <v>0</v>
      </c>
      <c r="AC96" s="96">
        <f ca="1">INDEX(OFFSET('Measure Inputs'!$AA$7,,,InputRows),$C96)*$T96*$V96*$U96</f>
        <v>0</v>
      </c>
      <c r="AD96" s="96">
        <f ca="1">INDEX(OFFSET('Measure Inputs'!$AB$7,,,InputRows),$C96)*$T96*$V96*$U96</f>
        <v>0</v>
      </c>
      <c r="AE96" s="55"/>
      <c r="AF96" s="57">
        <f ca="1">INDEX(OFFSET('Measure Inputs'!$Q$7,,,InputRows),$C96)*$T96</f>
        <v>0</v>
      </c>
      <c r="AG96" s="57">
        <f ca="1">INDEX(OFFSET('Measure Inputs'!$P$7,,,InputRows),$C96)*$T96*$V96</f>
        <v>3450</v>
      </c>
      <c r="AH96" s="57">
        <f ca="1">INDEX(OFFSET('Measure Inputs'!$R$7,,,InputRows),$C96)*$T96*$V96</f>
        <v>0</v>
      </c>
      <c r="AI96" s="57">
        <f ca="1">INDEX(OFFSET('Measure Inputs'!$O$7,,,InputRows),$C96)*$T96</f>
        <v>1800</v>
      </c>
      <c r="AJ96" s="57">
        <f ca="1">INDEX(OFFSET('Measure Inputs'!$S$7,,,InputRows),$C96)*$T96</f>
        <v>0</v>
      </c>
      <c r="AK96" s="63">
        <f ca="1">INDEX(OFFSET('Measure Inputs'!$M$7,,,InputRows),$C96)</f>
        <v>15</v>
      </c>
      <c r="AL96" s="88">
        <f ca="1">INDEX(OFFSET('Measure Inputs'!$N$7,,,InputRows),$C96)</f>
        <v>0</v>
      </c>
      <c r="AM96" s="57">
        <f ca="1">SUMIFS(OFFSET('Program Inputs'!$N$5,,,TotalPrograms),OFFSET('Program Inputs'!$B$5,,,TotalPrograms),SUBSTITUTE($B96,"All","*"))+AF96</f>
        <v>0</v>
      </c>
      <c r="AN96" s="57">
        <f t="shared" ca="1" si="261"/>
        <v>1800</v>
      </c>
      <c r="AO96" s="55"/>
      <c r="AP96" s="59">
        <f t="shared" ca="1" si="262"/>
        <v>4727.9278655971711</v>
      </c>
      <c r="AQ96" s="59">
        <f t="shared" ca="1" si="263"/>
        <v>3450</v>
      </c>
      <c r="AR96" s="59">
        <f ca="1">SUMPRODUCT($CA96:$DI96,'General Inputs'!$F$32:$AN$32,'General Inputs'!$F$51:$AN$51)/(1-Loss_ElectricEnergy)</f>
        <v>3970.6675874717598</v>
      </c>
      <c r="AS96" s="59">
        <f ca="1">SUMPRODUCT($DK96:$ES96,'General Inputs'!$F$33:$AN$33,'General Inputs'!$F$51:$AN$51)/(1-Loss_ElectricDemand)</f>
        <v>757.26027812541111</v>
      </c>
      <c r="AT96" s="59">
        <f ca="1">SUMPRODUCT($EU96:$GC96,'General Inputs'!$F$34:$AN$34,'General Inputs'!$F$51:$AN$51)/(1-Loss_GasEnergy)</f>
        <v>0</v>
      </c>
      <c r="AU96" s="59">
        <f ca="1">INDEX('General Inputs'!$F$51:$AN$51,MATCH($H96,'General Inputs'!$F$50:$AN$50,0))*$AJ96</f>
        <v>0</v>
      </c>
      <c r="AV96" s="59">
        <f ca="1">INDEX('General Inputs'!$F$51:$AN$51,MATCH($H96,'General Inputs'!$F$50:$AN$50,0))*$AI96</f>
        <v>1800</v>
      </c>
      <c r="AW96" s="59">
        <f ca="1">INDEX('General Inputs'!$F$51:$AN$51,MATCH($H96,'General Inputs'!$F$50:$AN$50,0))*$AM96</f>
        <v>0</v>
      </c>
      <c r="AX96" s="59">
        <f ca="1">SUM(INDEX('General Inputs'!$F$51:$AN$51,MATCH($H96,'General Inputs'!$F$50:$AN$50,0))*$AG96,INDEX('General Inputs'!$F$51:$AN$51,MATCH($H96+$AL96,'General Inputs'!$F$50:$AN$50,0))*-$AH96)</f>
        <v>3450</v>
      </c>
      <c r="AY96" s="55"/>
      <c r="AZ96" s="59">
        <f ca="1">SUMPRODUCT($CA96:$DI96,'General Inputs'!$F$32:$AN$32,'General Inputs'!$F$52:$AN$52)/(1-Loss_ElectricEnergy)</f>
        <v>3970.6675874717598</v>
      </c>
      <c r="BA96" s="59">
        <f ca="1">SUMPRODUCT($DK96:$ES96,'General Inputs'!$F$33:$AN$33,'General Inputs'!$F$52:$AN$52)/(1-Loss_ElectricDemand)</f>
        <v>757.26027812541111</v>
      </c>
      <c r="BB96" s="59">
        <f ca="1">SUMPRODUCT($EU96:$GC96,'General Inputs'!$F$34:$AN$34,'General Inputs'!$F$52:$AN$52)/(1-Loss_GasEnergy)</f>
        <v>0</v>
      </c>
      <c r="BC96" s="59">
        <f ca="1">INDEX('General Inputs'!$F$52:$AN$52,MATCH($H96,'General Inputs'!$F$50:$AN$50,0))*$AI96</f>
        <v>1800</v>
      </c>
      <c r="BD96" s="59">
        <f ca="1">INDEX('General Inputs'!$F$52:$AN$52,MATCH($H96,'General Inputs'!$F$50:$AN$50,0))*$AM96</f>
        <v>0</v>
      </c>
      <c r="BE96" s="55"/>
      <c r="BF96" s="59">
        <f ca="1">SUMPRODUCT($CA96:$DI96,OFFSET('General Inputs'!$F$40:$AN$40,MATCH($D96&amp;" Electric ($/kWh)",'General Inputs'!$E$40:$E$46,0),),'General Inputs'!$F$54:$AN$54)</f>
        <v>0</v>
      </c>
      <c r="BG96" s="59">
        <f ca="1">SUMPRODUCT($EU96:$GC96,OFFSET('General Inputs'!$F$40:$AN$40,MATCH($D96&amp;" Natural Gas ($/therm)",'General Inputs'!$E$40:$E$46,0),),'General Inputs'!$F$54:$AN$54)</f>
        <v>0</v>
      </c>
      <c r="BH96" s="59">
        <f ca="1">INDEX('General Inputs'!$F$54:$AN$54,MATCH($H96,'General Inputs'!$F$50:$AN$50,0))*$AI96</f>
        <v>1800</v>
      </c>
      <c r="BI96" s="59">
        <f ca="1">SUM(INDEX('General Inputs'!$F$54:$AN$54,MATCH($H96,'General Inputs'!$F$50:$AN$50,0))*$AG96,INDEX('General Inputs'!$F$51:$AN$51,MATCH($H96+$AL96,'General Inputs'!$F$50:$AN$50,0))*-$AH96)</f>
        <v>3450</v>
      </c>
      <c r="BJ96" s="55"/>
      <c r="BK96" s="59">
        <f ca="1">SUMPRODUCT($CA96:$DI96,'General Inputs'!$F$32:$AN$32,'General Inputs'!$F$53:$AN$53)/(1-Loss_ElectricEnergy)</f>
        <v>3970.6675874717598</v>
      </c>
      <c r="BL96" s="59">
        <f ca="1">SUMPRODUCT($DK96:$ES96,'General Inputs'!$F$33:$AN$33,'General Inputs'!$F$53:$AN$53)/(1-Loss_ElectricDemand)</f>
        <v>757.26027812541111</v>
      </c>
      <c r="BM96" s="59">
        <f ca="1">SUMPRODUCT($EU96:$GC96,'General Inputs'!$F$34:$AN$34,'General Inputs'!$F$53:$AN$53)/(1-Loss_GasEnergy)</f>
        <v>0</v>
      </c>
      <c r="BN96" s="59">
        <f ca="1">INDEX('General Inputs'!$F$53:$AN$53,MATCH($H96,'General Inputs'!$F$50:$AN$50,0))*$AJ96</f>
        <v>0</v>
      </c>
      <c r="BO96" s="59">
        <f ca="1">SUMPRODUCT($CA96:$DI96,'General Inputs'!$F$35:$AN$35,'General Inputs'!$F$53:$AN$53)/(1-Loss_ElectricEnergy)</f>
        <v>1514.5869169545265</v>
      </c>
      <c r="BP96" s="59">
        <f ca="1">INDEX('General Inputs'!$F$51:$AN$51,MATCH($H96,'General Inputs'!$F$50:$AN$50,0))*$AM96</f>
        <v>0</v>
      </c>
      <c r="BQ96" s="59">
        <f ca="1">SUM(INDEX('General Inputs'!$F$53:$AN$53,MATCH($H96,'General Inputs'!$F$50:$AN$50,0))*$AG96,INDEX('General Inputs'!$F$53:$AN$53,MATCH($H96+$AL96,'General Inputs'!$F$50:$AN$50,0))*-$AH96)</f>
        <v>3450</v>
      </c>
      <c r="BR96" s="55"/>
      <c r="BS96" s="59">
        <f ca="1">SUMPRODUCT($CA96:$DI96,'General Inputs'!$F$32:$AN$32,'General Inputs'!$F$55:$AN$55)/(1-Loss_ElectricEnergy)</f>
        <v>3970.6675874717598</v>
      </c>
      <c r="BT96" s="59">
        <f ca="1">SUMPRODUCT($DK96:$ES96,'General Inputs'!$F$33:$AN$33,'General Inputs'!$F$55:$AN$55)/(1-Loss_ElectricDemand)</f>
        <v>757.26027812541111</v>
      </c>
      <c r="BU96" s="59">
        <f ca="1">SUMPRODUCT($EU96:$GC96,'General Inputs'!$F$34:$AN$34,'General Inputs'!$F$55:$AN$55)/(1-Loss_GasEnergy)</f>
        <v>0</v>
      </c>
      <c r="BV96" s="59">
        <f ca="1">SUMPRODUCT($CA96:$DI96,OFFSET('General Inputs'!$F$40:$AN$40,MATCH($D96&amp;" Electric ($/kWh)",'General Inputs'!$E$40:$E$46,0),),'General Inputs'!$F$55:$AN$55)</f>
        <v>0</v>
      </c>
      <c r="BW96" s="59">
        <f ca="1">SUMPRODUCT($EU96:$GC96,OFFSET('General Inputs'!$F$40:$AN$40,MATCH($D96&amp;" Natural Gas ($/therm)",'General Inputs'!$E$40:$E$46,0),),'General Inputs'!$F$55:$AN$55)</f>
        <v>0</v>
      </c>
      <c r="BX96" s="59">
        <f ca="1">INDEX('General Inputs'!$F$55:$AN$55,MATCH($H96,'General Inputs'!$F$50:$AN$50,0))*$AI96</f>
        <v>1800</v>
      </c>
      <c r="BY96" s="59">
        <f ca="1">INDEX('General Inputs'!$F$51:$AN$51,MATCH($H96,'General Inputs'!$F$50:$AN$50,0))*$AM96</f>
        <v>0</v>
      </c>
      <c r="BZ96" s="55"/>
      <c r="CA96" s="88">
        <f t="shared" ca="1" si="287"/>
        <v>14295.799499999997</v>
      </c>
      <c r="CB96" s="88">
        <f t="shared" ca="1" si="287"/>
        <v>14295.799499999997</v>
      </c>
      <c r="CC96" s="88">
        <f t="shared" ca="1" si="287"/>
        <v>14295.799499999997</v>
      </c>
      <c r="CD96" s="88">
        <f t="shared" ca="1" si="287"/>
        <v>14295.799499999997</v>
      </c>
      <c r="CE96" s="88">
        <f t="shared" ca="1" si="287"/>
        <v>14295.799499999997</v>
      </c>
      <c r="CF96" s="88">
        <f t="shared" ca="1" si="287"/>
        <v>14295.799499999997</v>
      </c>
      <c r="CG96" s="88">
        <f t="shared" ca="1" si="287"/>
        <v>14295.799499999997</v>
      </c>
      <c r="CH96" s="88">
        <f t="shared" ca="1" si="287"/>
        <v>14295.799499999997</v>
      </c>
      <c r="CI96" s="88">
        <f t="shared" ca="1" si="287"/>
        <v>14295.799499999997</v>
      </c>
      <c r="CJ96" s="88">
        <f t="shared" ca="1" si="287"/>
        <v>14295.799499999997</v>
      </c>
      <c r="CK96" s="88">
        <f t="shared" ca="1" si="288"/>
        <v>14295.799499999997</v>
      </c>
      <c r="CL96" s="88">
        <f t="shared" ca="1" si="288"/>
        <v>14295.799499999997</v>
      </c>
      <c r="CM96" s="88">
        <f t="shared" ca="1" si="288"/>
        <v>14295.799499999997</v>
      </c>
      <c r="CN96" s="88">
        <f t="shared" ca="1" si="288"/>
        <v>14295.799499999997</v>
      </c>
      <c r="CO96" s="88">
        <f t="shared" ca="1" si="288"/>
        <v>14295.799499999997</v>
      </c>
      <c r="CP96" s="88">
        <f t="shared" ca="1" si="288"/>
        <v>0</v>
      </c>
      <c r="CQ96" s="88">
        <f t="shared" ca="1" si="288"/>
        <v>0</v>
      </c>
      <c r="CR96" s="88">
        <f t="shared" ca="1" si="288"/>
        <v>0</v>
      </c>
      <c r="CS96" s="88">
        <f t="shared" ca="1" si="288"/>
        <v>0</v>
      </c>
      <c r="CT96" s="88">
        <f t="shared" ca="1" si="288"/>
        <v>0</v>
      </c>
      <c r="CU96" s="88">
        <f t="shared" ca="1" si="289"/>
        <v>0</v>
      </c>
      <c r="CV96" s="88">
        <f t="shared" ca="1" si="289"/>
        <v>0</v>
      </c>
      <c r="CW96" s="88">
        <f t="shared" ca="1" si="289"/>
        <v>0</v>
      </c>
      <c r="CX96" s="88">
        <f t="shared" ca="1" si="289"/>
        <v>0</v>
      </c>
      <c r="CY96" s="88">
        <f t="shared" ca="1" si="289"/>
        <v>0</v>
      </c>
      <c r="CZ96" s="88">
        <f t="shared" ca="1" si="289"/>
        <v>0</v>
      </c>
      <c r="DA96" s="88">
        <f t="shared" ca="1" si="289"/>
        <v>0</v>
      </c>
      <c r="DB96" s="88">
        <f t="shared" ca="1" si="289"/>
        <v>0</v>
      </c>
      <c r="DC96" s="88">
        <f t="shared" ca="1" si="289"/>
        <v>0</v>
      </c>
      <c r="DD96" s="88">
        <f t="shared" ca="1" si="289"/>
        <v>0</v>
      </c>
      <c r="DE96" s="88">
        <f t="shared" ca="1" si="289"/>
        <v>0</v>
      </c>
      <c r="DF96" s="88">
        <f t="shared" ca="1" si="289"/>
        <v>0</v>
      </c>
      <c r="DG96" s="88">
        <f t="shared" ca="1" si="289"/>
        <v>0</v>
      </c>
      <c r="DH96" s="88">
        <f t="shared" ca="1" si="289"/>
        <v>0</v>
      </c>
      <c r="DI96" s="88">
        <f t="shared" ca="1" si="289"/>
        <v>0</v>
      </c>
      <c r="DJ96" s="169"/>
      <c r="DK96" s="88">
        <f t="shared" ca="1" si="290"/>
        <v>3.7905000000000002</v>
      </c>
      <c r="DL96" s="88">
        <f t="shared" ca="1" si="290"/>
        <v>3.7905000000000002</v>
      </c>
      <c r="DM96" s="88">
        <f t="shared" ca="1" si="290"/>
        <v>3.7905000000000002</v>
      </c>
      <c r="DN96" s="88">
        <f t="shared" ca="1" si="290"/>
        <v>3.7905000000000002</v>
      </c>
      <c r="DO96" s="88">
        <f t="shared" ca="1" si="290"/>
        <v>3.7905000000000002</v>
      </c>
      <c r="DP96" s="88">
        <f t="shared" ca="1" si="290"/>
        <v>3.7905000000000002</v>
      </c>
      <c r="DQ96" s="88">
        <f t="shared" ca="1" si="290"/>
        <v>3.7905000000000002</v>
      </c>
      <c r="DR96" s="88">
        <f t="shared" ca="1" si="290"/>
        <v>3.7905000000000002</v>
      </c>
      <c r="DS96" s="88">
        <f t="shared" ca="1" si="290"/>
        <v>3.7905000000000002</v>
      </c>
      <c r="DT96" s="88">
        <f t="shared" ca="1" si="290"/>
        <v>3.7905000000000002</v>
      </c>
      <c r="DU96" s="88">
        <f t="shared" ca="1" si="291"/>
        <v>3.7905000000000002</v>
      </c>
      <c r="DV96" s="88">
        <f t="shared" ca="1" si="291"/>
        <v>3.7905000000000002</v>
      </c>
      <c r="DW96" s="88">
        <f t="shared" ca="1" si="291"/>
        <v>3.7905000000000002</v>
      </c>
      <c r="DX96" s="88">
        <f t="shared" ca="1" si="291"/>
        <v>3.7905000000000002</v>
      </c>
      <c r="DY96" s="88">
        <f t="shared" ca="1" si="291"/>
        <v>3.7905000000000002</v>
      </c>
      <c r="DZ96" s="88">
        <f t="shared" ca="1" si="291"/>
        <v>0</v>
      </c>
      <c r="EA96" s="88">
        <f t="shared" ca="1" si="291"/>
        <v>0</v>
      </c>
      <c r="EB96" s="88">
        <f t="shared" ca="1" si="291"/>
        <v>0</v>
      </c>
      <c r="EC96" s="88">
        <f t="shared" ca="1" si="291"/>
        <v>0</v>
      </c>
      <c r="ED96" s="88">
        <f t="shared" ca="1" si="291"/>
        <v>0</v>
      </c>
      <c r="EE96" s="88">
        <f t="shared" ca="1" si="292"/>
        <v>0</v>
      </c>
      <c r="EF96" s="88">
        <f t="shared" ca="1" si="292"/>
        <v>0</v>
      </c>
      <c r="EG96" s="88">
        <f t="shared" ca="1" si="292"/>
        <v>0</v>
      </c>
      <c r="EH96" s="88">
        <f t="shared" ca="1" si="292"/>
        <v>0</v>
      </c>
      <c r="EI96" s="88">
        <f t="shared" ca="1" si="292"/>
        <v>0</v>
      </c>
      <c r="EJ96" s="88">
        <f t="shared" ca="1" si="292"/>
        <v>0</v>
      </c>
      <c r="EK96" s="88">
        <f t="shared" ca="1" si="292"/>
        <v>0</v>
      </c>
      <c r="EL96" s="88">
        <f t="shared" ca="1" si="292"/>
        <v>0</v>
      </c>
      <c r="EM96" s="88">
        <f t="shared" ca="1" si="292"/>
        <v>0</v>
      </c>
      <c r="EN96" s="88">
        <f t="shared" ca="1" si="292"/>
        <v>0</v>
      </c>
      <c r="EO96" s="88">
        <f t="shared" ca="1" si="292"/>
        <v>0</v>
      </c>
      <c r="EP96" s="88">
        <f t="shared" ca="1" si="292"/>
        <v>0</v>
      </c>
      <c r="EQ96" s="88">
        <f t="shared" ca="1" si="292"/>
        <v>0</v>
      </c>
      <c r="ER96" s="88">
        <f t="shared" ca="1" si="292"/>
        <v>0</v>
      </c>
      <c r="ES96" s="88">
        <f t="shared" ca="1" si="292"/>
        <v>0</v>
      </c>
      <c r="ET96" s="169"/>
      <c r="EU96" s="88">
        <f t="shared" ca="1" si="293"/>
        <v>0</v>
      </c>
      <c r="EV96" s="88">
        <f t="shared" ca="1" si="293"/>
        <v>0</v>
      </c>
      <c r="EW96" s="88">
        <f t="shared" ca="1" si="293"/>
        <v>0</v>
      </c>
      <c r="EX96" s="88">
        <f t="shared" ca="1" si="293"/>
        <v>0</v>
      </c>
      <c r="EY96" s="88">
        <f t="shared" ca="1" si="293"/>
        <v>0</v>
      </c>
      <c r="EZ96" s="88">
        <f t="shared" ca="1" si="293"/>
        <v>0</v>
      </c>
      <c r="FA96" s="88">
        <f t="shared" ca="1" si="293"/>
        <v>0</v>
      </c>
      <c r="FB96" s="88">
        <f t="shared" ca="1" si="293"/>
        <v>0</v>
      </c>
      <c r="FC96" s="88">
        <f t="shared" ca="1" si="293"/>
        <v>0</v>
      </c>
      <c r="FD96" s="88">
        <f t="shared" ca="1" si="293"/>
        <v>0</v>
      </c>
      <c r="FE96" s="88">
        <f t="shared" ca="1" si="294"/>
        <v>0</v>
      </c>
      <c r="FF96" s="88">
        <f t="shared" ca="1" si="294"/>
        <v>0</v>
      </c>
      <c r="FG96" s="88">
        <f t="shared" ca="1" si="294"/>
        <v>0</v>
      </c>
      <c r="FH96" s="88">
        <f t="shared" ca="1" si="294"/>
        <v>0</v>
      </c>
      <c r="FI96" s="88">
        <f t="shared" ca="1" si="294"/>
        <v>0</v>
      </c>
      <c r="FJ96" s="88">
        <f t="shared" ca="1" si="294"/>
        <v>0</v>
      </c>
      <c r="FK96" s="88">
        <f t="shared" ca="1" si="294"/>
        <v>0</v>
      </c>
      <c r="FL96" s="88">
        <f t="shared" ca="1" si="294"/>
        <v>0</v>
      </c>
      <c r="FM96" s="88">
        <f t="shared" ca="1" si="294"/>
        <v>0</v>
      </c>
      <c r="FN96" s="88">
        <f t="shared" ca="1" si="294"/>
        <v>0</v>
      </c>
      <c r="FO96" s="88">
        <f t="shared" ca="1" si="295"/>
        <v>0</v>
      </c>
      <c r="FP96" s="88">
        <f t="shared" ca="1" si="295"/>
        <v>0</v>
      </c>
      <c r="FQ96" s="88">
        <f t="shared" ca="1" si="295"/>
        <v>0</v>
      </c>
      <c r="FR96" s="88">
        <f t="shared" ca="1" si="295"/>
        <v>0</v>
      </c>
      <c r="FS96" s="88">
        <f t="shared" ca="1" si="295"/>
        <v>0</v>
      </c>
      <c r="FT96" s="88">
        <f t="shared" ca="1" si="295"/>
        <v>0</v>
      </c>
      <c r="FU96" s="88">
        <f t="shared" ca="1" si="295"/>
        <v>0</v>
      </c>
      <c r="FV96" s="88">
        <f t="shared" ca="1" si="295"/>
        <v>0</v>
      </c>
      <c r="FW96" s="88">
        <f t="shared" ca="1" si="295"/>
        <v>0</v>
      </c>
      <c r="FX96" s="88">
        <f t="shared" ca="1" si="295"/>
        <v>0</v>
      </c>
      <c r="FY96" s="88">
        <f t="shared" ca="1" si="295"/>
        <v>0</v>
      </c>
      <c r="FZ96" s="88">
        <f t="shared" ca="1" si="295"/>
        <v>0</v>
      </c>
      <c r="GA96" s="88">
        <f t="shared" ca="1" si="295"/>
        <v>0</v>
      </c>
      <c r="GB96" s="88">
        <f t="shared" ca="1" si="295"/>
        <v>0</v>
      </c>
      <c r="GC96" s="88">
        <f t="shared" ca="1" si="295"/>
        <v>0</v>
      </c>
      <c r="GD96" s="60"/>
    </row>
    <row r="97" spans="1:186" s="54" customFormat="1" ht="14.45" customHeight="1">
      <c r="A97" s="61"/>
      <c r="B97" s="100" t="str">
        <f t="shared" si="277"/>
        <v>C&amp;I_C&amp;I Prescriptive_0_LED Parking Garage/Canopy (&lt;30W)_2017</v>
      </c>
      <c r="C97" s="100">
        <f>INDEX('Measure Inputs'!$D:$D,MATCH($B97,'Measure Inputs'!$B:$B,0))</f>
        <v>49</v>
      </c>
      <c r="D97" s="101" t="s">
        <v>256</v>
      </c>
      <c r="E97" s="101" t="s">
        <v>255</v>
      </c>
      <c r="F97" s="101">
        <v>0</v>
      </c>
      <c r="G97" s="101" t="s">
        <v>291</v>
      </c>
      <c r="H97" s="101">
        <v>2017</v>
      </c>
      <c r="I97" s="55"/>
      <c r="J97" s="58">
        <f t="shared" ca="1" si="229"/>
        <v>0.60846581735468763</v>
      </c>
      <c r="K97" s="58">
        <f t="shared" ca="1" si="246"/>
        <v>1.9268084216231776</v>
      </c>
      <c r="L97" s="58">
        <f t="shared" ca="1" si="230"/>
        <v>0.31578947368421051</v>
      </c>
      <c r="M97" s="58">
        <f t="shared" ca="1" si="231"/>
        <v>0.81075646037634552</v>
      </c>
      <c r="N97" s="58">
        <f t="shared" ca="1" si="232"/>
        <v>1.9268084216231776</v>
      </c>
      <c r="O97" s="55"/>
      <c r="P97" s="175">
        <f ca="1">IFERROR(($AW97+AV97)/SUMPRODUCT($CA97:$DI97,'General Inputs'!$F$51:$AN$51),"n/a")</f>
        <v>1.867384738901719E-2</v>
      </c>
      <c r="Q97" s="175">
        <f t="shared" ca="1" si="233"/>
        <v>0.11316514248276995</v>
      </c>
      <c r="R97" s="56">
        <f t="shared" ca="1" si="260"/>
        <v>1060.3971979999999</v>
      </c>
      <c r="S97" s="55"/>
      <c r="T97" s="56">
        <f ca="1">INDEX(OFFSET('Measure Inputs'!$L$7,,,InputRows),$C97)</f>
        <v>250</v>
      </c>
      <c r="U97" s="134">
        <f ca="1">INDEX(OFFSET('Measure Inputs'!$T$7,,,InputRows),$C97)</f>
        <v>1</v>
      </c>
      <c r="V97" s="134">
        <f ca="1">INDEX(OFFSET('Measure Inputs'!$U$7,,,InputRows),$C97)</f>
        <v>1</v>
      </c>
      <c r="W97" s="55"/>
      <c r="X97" s="96">
        <f ca="1">INDEX(OFFSET('Measure Inputs'!$V$7,,,InputRows),$C97)*$T97*$V97*$U97</f>
        <v>132549.64974999998</v>
      </c>
      <c r="Y97" s="96">
        <f ca="1">INDEX(OFFSET('Measure Inputs'!$W$7,,,InputRows),$C97)*$T97*$V97*$U97</f>
        <v>35.145249999999997</v>
      </c>
      <c r="Z97" s="96">
        <f ca="1">INDEX(OFFSET('Measure Inputs'!$X$7,,,InputRows),$C97)*$T97*$V97*$U97</f>
        <v>0</v>
      </c>
      <c r="AA97" s="55"/>
      <c r="AB97" s="96">
        <f ca="1">INDEX(OFFSET('Measure Inputs'!$Z$7,,,InputRows),$C97)*$T97*$V97*$U97</f>
        <v>0</v>
      </c>
      <c r="AC97" s="96">
        <f ca="1">INDEX(OFFSET('Measure Inputs'!$AA$7,,,InputRows),$C97)*$T97*$V97*$U97</f>
        <v>0</v>
      </c>
      <c r="AD97" s="96">
        <f ca="1">INDEX(OFFSET('Measure Inputs'!$AB$7,,,InputRows),$C97)*$T97*$V97*$U97</f>
        <v>0</v>
      </c>
      <c r="AE97" s="55"/>
      <c r="AF97" s="57">
        <f ca="1">INDEX(OFFSET('Measure Inputs'!$Q$7,,,InputRows),$C97)*$T97</f>
        <v>0</v>
      </c>
      <c r="AG97" s="57">
        <f ca="1">INDEX(OFFSET('Measure Inputs'!$P$7,,,InputRows),$C97)*$T97*$V97</f>
        <v>47500</v>
      </c>
      <c r="AH97" s="57">
        <f ca="1">INDEX(OFFSET('Measure Inputs'!$R$7,,,InputRows),$C97)*$T97*$V97</f>
        <v>0</v>
      </c>
      <c r="AI97" s="57">
        <f ca="1">INDEX(OFFSET('Measure Inputs'!$O$7,,,InputRows),$C97)*$T97</f>
        <v>15000</v>
      </c>
      <c r="AJ97" s="57">
        <f ca="1">INDEX(OFFSET('Measure Inputs'!$S$7,,,InputRows),$C97)*$T97</f>
        <v>0</v>
      </c>
      <c r="AK97" s="63">
        <f ca="1">INDEX(OFFSET('Measure Inputs'!$M$7,,,InputRows),$C97)</f>
        <v>8</v>
      </c>
      <c r="AL97" s="88">
        <f ca="1">INDEX(OFFSET('Measure Inputs'!$N$7,,,InputRows),$C97)</f>
        <v>0</v>
      </c>
      <c r="AM97" s="57">
        <f ca="1">SUMIFS(OFFSET('Program Inputs'!$N$5,,,TotalPrograms),OFFSET('Program Inputs'!$B$5,,,TotalPrograms),SUBSTITUTE($B97,"All","*"))+AF97</f>
        <v>0</v>
      </c>
      <c r="AN97" s="57">
        <f t="shared" ca="1" si="261"/>
        <v>15000</v>
      </c>
      <c r="AO97" s="55"/>
      <c r="AP97" s="59">
        <f t="shared" ca="1" si="262"/>
        <v>28902.126324347664</v>
      </c>
      <c r="AQ97" s="59">
        <f t="shared" ca="1" si="263"/>
        <v>47500</v>
      </c>
      <c r="AR97" s="59">
        <f ca="1">SUMPRODUCT($CA97:$DI97,'General Inputs'!$F$32:$AN$32,'General Inputs'!$F$51:$AN$51)/(1-Loss_ElectricEnergy)</f>
        <v>24272.945668261898</v>
      </c>
      <c r="AS97" s="59">
        <f ca="1">SUMPRODUCT($DK97:$ES97,'General Inputs'!$F$33:$AN$33,'General Inputs'!$F$51:$AN$51)/(1-Loss_ElectricDemand)</f>
        <v>4629.180656085764</v>
      </c>
      <c r="AT97" s="59">
        <f ca="1">SUMPRODUCT($EU97:$GC97,'General Inputs'!$F$34:$AN$34,'General Inputs'!$F$51:$AN$51)/(1-Loss_GasEnergy)</f>
        <v>0</v>
      </c>
      <c r="AU97" s="59">
        <f ca="1">INDEX('General Inputs'!$F$51:$AN$51,MATCH($H97,'General Inputs'!$F$50:$AN$50,0))*$AJ97</f>
        <v>0</v>
      </c>
      <c r="AV97" s="59">
        <f ca="1">INDEX('General Inputs'!$F$51:$AN$51,MATCH($H97,'General Inputs'!$F$50:$AN$50,0))*$AI97</f>
        <v>15000</v>
      </c>
      <c r="AW97" s="59">
        <f ca="1">INDEX('General Inputs'!$F$51:$AN$51,MATCH($H97,'General Inputs'!$F$50:$AN$50,0))*$AM97</f>
        <v>0</v>
      </c>
      <c r="AX97" s="59">
        <f ca="1">SUM(INDEX('General Inputs'!$F$51:$AN$51,MATCH($H97,'General Inputs'!$F$50:$AN$50,0))*$AG97,INDEX('General Inputs'!$F$51:$AN$51,MATCH($H97+$AL97,'General Inputs'!$F$50:$AN$50,0))*-$AH97)</f>
        <v>47500</v>
      </c>
      <c r="AY97" s="55"/>
      <c r="AZ97" s="59">
        <f ca="1">SUMPRODUCT($CA97:$DI97,'General Inputs'!$F$32:$AN$32,'General Inputs'!$F$52:$AN$52)/(1-Loss_ElectricEnergy)</f>
        <v>24272.945668261898</v>
      </c>
      <c r="BA97" s="59">
        <f ca="1">SUMPRODUCT($DK97:$ES97,'General Inputs'!$F$33:$AN$33,'General Inputs'!$F$52:$AN$52)/(1-Loss_ElectricDemand)</f>
        <v>4629.180656085764</v>
      </c>
      <c r="BB97" s="59">
        <f ca="1">SUMPRODUCT($EU97:$GC97,'General Inputs'!$F$34:$AN$34,'General Inputs'!$F$52:$AN$52)/(1-Loss_GasEnergy)</f>
        <v>0</v>
      </c>
      <c r="BC97" s="59">
        <f ca="1">INDEX('General Inputs'!$F$52:$AN$52,MATCH($H97,'General Inputs'!$F$50:$AN$50,0))*$AI97</f>
        <v>15000</v>
      </c>
      <c r="BD97" s="59">
        <f ca="1">INDEX('General Inputs'!$F$52:$AN$52,MATCH($H97,'General Inputs'!$F$50:$AN$50,0))*$AM97</f>
        <v>0</v>
      </c>
      <c r="BE97" s="55"/>
      <c r="BF97" s="59">
        <f ca="1">SUMPRODUCT($CA97:$DI97,OFFSET('General Inputs'!$F$40:$AN$40,MATCH($D97&amp;" Electric ($/kWh)",'General Inputs'!$E$40:$E$46,0),),'General Inputs'!$F$54:$AN$54)</f>
        <v>0</v>
      </c>
      <c r="BG97" s="59">
        <f ca="1">SUMPRODUCT($EU97:$GC97,OFFSET('General Inputs'!$F$40:$AN$40,MATCH($D97&amp;" Natural Gas ($/therm)",'General Inputs'!$E$40:$E$46,0),),'General Inputs'!$F$54:$AN$54)</f>
        <v>0</v>
      </c>
      <c r="BH97" s="59">
        <f ca="1">INDEX('General Inputs'!$F$54:$AN$54,MATCH($H97,'General Inputs'!$F$50:$AN$50,0))*$AI97</f>
        <v>15000</v>
      </c>
      <c r="BI97" s="59">
        <f ca="1">SUM(INDEX('General Inputs'!$F$54:$AN$54,MATCH($H97,'General Inputs'!$F$50:$AN$50,0))*$AG97,INDEX('General Inputs'!$F$51:$AN$51,MATCH($H97+$AL97,'General Inputs'!$F$50:$AN$50,0))*-$AH97)</f>
        <v>47500</v>
      </c>
      <c r="BJ97" s="55"/>
      <c r="BK97" s="59">
        <f ca="1">SUMPRODUCT($CA97:$DI97,'General Inputs'!$F$32:$AN$32,'General Inputs'!$F$53:$AN$53)/(1-Loss_ElectricEnergy)</f>
        <v>24272.945668261898</v>
      </c>
      <c r="BL97" s="59">
        <f ca="1">SUMPRODUCT($DK97:$ES97,'General Inputs'!$F$33:$AN$33,'General Inputs'!$F$53:$AN$53)/(1-Loss_ElectricDemand)</f>
        <v>4629.180656085764</v>
      </c>
      <c r="BM97" s="59">
        <f ca="1">SUMPRODUCT($EU97:$GC97,'General Inputs'!$F$34:$AN$34,'General Inputs'!$F$53:$AN$53)/(1-Loss_GasEnergy)</f>
        <v>0</v>
      </c>
      <c r="BN97" s="59">
        <f ca="1">INDEX('General Inputs'!$F$53:$AN$53,MATCH($H97,'General Inputs'!$F$50:$AN$50,0))*$AJ97</f>
        <v>0</v>
      </c>
      <c r="BO97" s="59">
        <f ca="1">SUMPRODUCT($CA97:$DI97,'General Inputs'!$F$35:$AN$35,'General Inputs'!$F$53:$AN$53)/(1-Loss_ElectricEnergy)</f>
        <v>9608.8055435287424</v>
      </c>
      <c r="BP97" s="59">
        <f ca="1">INDEX('General Inputs'!$F$51:$AN$51,MATCH($H97,'General Inputs'!$F$50:$AN$50,0))*$AM97</f>
        <v>0</v>
      </c>
      <c r="BQ97" s="59">
        <f ca="1">SUM(INDEX('General Inputs'!$F$53:$AN$53,MATCH($H97,'General Inputs'!$F$50:$AN$50,0))*$AG97,INDEX('General Inputs'!$F$53:$AN$53,MATCH($H97+$AL97,'General Inputs'!$F$50:$AN$50,0))*-$AH97)</f>
        <v>47500</v>
      </c>
      <c r="BR97" s="55"/>
      <c r="BS97" s="59">
        <f ca="1">SUMPRODUCT($CA97:$DI97,'General Inputs'!$F$32:$AN$32,'General Inputs'!$F$55:$AN$55)/(1-Loss_ElectricEnergy)</f>
        <v>24272.945668261898</v>
      </c>
      <c r="BT97" s="59">
        <f ca="1">SUMPRODUCT($DK97:$ES97,'General Inputs'!$F$33:$AN$33,'General Inputs'!$F$55:$AN$55)/(1-Loss_ElectricDemand)</f>
        <v>4629.180656085764</v>
      </c>
      <c r="BU97" s="59">
        <f ca="1">SUMPRODUCT($EU97:$GC97,'General Inputs'!$F$34:$AN$34,'General Inputs'!$F$55:$AN$55)/(1-Loss_GasEnergy)</f>
        <v>0</v>
      </c>
      <c r="BV97" s="59">
        <f ca="1">SUMPRODUCT($CA97:$DI97,OFFSET('General Inputs'!$F$40:$AN$40,MATCH($D97&amp;" Electric ($/kWh)",'General Inputs'!$E$40:$E$46,0),),'General Inputs'!$F$55:$AN$55)</f>
        <v>0</v>
      </c>
      <c r="BW97" s="59">
        <f ca="1">SUMPRODUCT($EU97:$GC97,OFFSET('General Inputs'!$F$40:$AN$40,MATCH($D97&amp;" Natural Gas ($/therm)",'General Inputs'!$E$40:$E$46,0),),'General Inputs'!$F$55:$AN$55)</f>
        <v>0</v>
      </c>
      <c r="BX97" s="59">
        <f ca="1">INDEX('General Inputs'!$F$55:$AN$55,MATCH($H97,'General Inputs'!$F$50:$AN$50,0))*$AI97</f>
        <v>15000</v>
      </c>
      <c r="BY97" s="59">
        <f ca="1">INDEX('General Inputs'!$F$51:$AN$51,MATCH($H97,'General Inputs'!$F$50:$AN$50,0))*$AM97</f>
        <v>0</v>
      </c>
      <c r="BZ97" s="55"/>
      <c r="CA97" s="88">
        <f t="shared" ca="1" si="287"/>
        <v>132549.64974999998</v>
      </c>
      <c r="CB97" s="88">
        <f t="shared" ca="1" si="287"/>
        <v>132549.64974999998</v>
      </c>
      <c r="CC97" s="88">
        <f t="shared" ca="1" si="287"/>
        <v>132549.64974999998</v>
      </c>
      <c r="CD97" s="88">
        <f t="shared" ca="1" si="287"/>
        <v>132549.64974999998</v>
      </c>
      <c r="CE97" s="88">
        <f t="shared" ca="1" si="287"/>
        <v>132549.64974999998</v>
      </c>
      <c r="CF97" s="88">
        <f t="shared" ca="1" si="287"/>
        <v>132549.64974999998</v>
      </c>
      <c r="CG97" s="88">
        <f t="shared" ca="1" si="287"/>
        <v>132549.64974999998</v>
      </c>
      <c r="CH97" s="88">
        <f t="shared" ca="1" si="287"/>
        <v>132549.64974999998</v>
      </c>
      <c r="CI97" s="88">
        <f t="shared" ca="1" si="287"/>
        <v>0</v>
      </c>
      <c r="CJ97" s="88">
        <f t="shared" ca="1" si="287"/>
        <v>0</v>
      </c>
      <c r="CK97" s="88">
        <f t="shared" ca="1" si="288"/>
        <v>0</v>
      </c>
      <c r="CL97" s="88">
        <f t="shared" ca="1" si="288"/>
        <v>0</v>
      </c>
      <c r="CM97" s="88">
        <f t="shared" ca="1" si="288"/>
        <v>0</v>
      </c>
      <c r="CN97" s="88">
        <f t="shared" ca="1" si="288"/>
        <v>0</v>
      </c>
      <c r="CO97" s="88">
        <f t="shared" ca="1" si="288"/>
        <v>0</v>
      </c>
      <c r="CP97" s="88">
        <f t="shared" ca="1" si="288"/>
        <v>0</v>
      </c>
      <c r="CQ97" s="88">
        <f t="shared" ca="1" si="288"/>
        <v>0</v>
      </c>
      <c r="CR97" s="88">
        <f t="shared" ca="1" si="288"/>
        <v>0</v>
      </c>
      <c r="CS97" s="88">
        <f t="shared" ca="1" si="288"/>
        <v>0</v>
      </c>
      <c r="CT97" s="88">
        <f t="shared" ca="1" si="288"/>
        <v>0</v>
      </c>
      <c r="CU97" s="88">
        <f t="shared" ca="1" si="289"/>
        <v>0</v>
      </c>
      <c r="CV97" s="88">
        <f t="shared" ca="1" si="289"/>
        <v>0</v>
      </c>
      <c r="CW97" s="88">
        <f t="shared" ca="1" si="289"/>
        <v>0</v>
      </c>
      <c r="CX97" s="88">
        <f t="shared" ca="1" si="289"/>
        <v>0</v>
      </c>
      <c r="CY97" s="88">
        <f t="shared" ca="1" si="289"/>
        <v>0</v>
      </c>
      <c r="CZ97" s="88">
        <f t="shared" ca="1" si="289"/>
        <v>0</v>
      </c>
      <c r="DA97" s="88">
        <f t="shared" ca="1" si="289"/>
        <v>0</v>
      </c>
      <c r="DB97" s="88">
        <f t="shared" ca="1" si="289"/>
        <v>0</v>
      </c>
      <c r="DC97" s="88">
        <f t="shared" ca="1" si="289"/>
        <v>0</v>
      </c>
      <c r="DD97" s="88">
        <f t="shared" ca="1" si="289"/>
        <v>0</v>
      </c>
      <c r="DE97" s="88">
        <f t="shared" ca="1" si="289"/>
        <v>0</v>
      </c>
      <c r="DF97" s="88">
        <f t="shared" ca="1" si="289"/>
        <v>0</v>
      </c>
      <c r="DG97" s="88">
        <f t="shared" ca="1" si="289"/>
        <v>0</v>
      </c>
      <c r="DH97" s="88">
        <f t="shared" ca="1" si="289"/>
        <v>0</v>
      </c>
      <c r="DI97" s="88">
        <f t="shared" ca="1" si="289"/>
        <v>0</v>
      </c>
      <c r="DJ97" s="169"/>
      <c r="DK97" s="88">
        <f t="shared" ca="1" si="290"/>
        <v>35.145249999999997</v>
      </c>
      <c r="DL97" s="88">
        <f t="shared" ca="1" si="290"/>
        <v>35.145249999999997</v>
      </c>
      <c r="DM97" s="88">
        <f t="shared" ca="1" si="290"/>
        <v>35.145249999999997</v>
      </c>
      <c r="DN97" s="88">
        <f t="shared" ca="1" si="290"/>
        <v>35.145249999999997</v>
      </c>
      <c r="DO97" s="88">
        <f t="shared" ca="1" si="290"/>
        <v>35.145249999999997</v>
      </c>
      <c r="DP97" s="88">
        <f t="shared" ca="1" si="290"/>
        <v>35.145249999999997</v>
      </c>
      <c r="DQ97" s="88">
        <f t="shared" ca="1" si="290"/>
        <v>35.145249999999997</v>
      </c>
      <c r="DR97" s="88">
        <f t="shared" ca="1" si="290"/>
        <v>35.145249999999997</v>
      </c>
      <c r="DS97" s="88">
        <f t="shared" ca="1" si="290"/>
        <v>0</v>
      </c>
      <c r="DT97" s="88">
        <f t="shared" ca="1" si="290"/>
        <v>0</v>
      </c>
      <c r="DU97" s="88">
        <f t="shared" ca="1" si="291"/>
        <v>0</v>
      </c>
      <c r="DV97" s="88">
        <f t="shared" ca="1" si="291"/>
        <v>0</v>
      </c>
      <c r="DW97" s="88">
        <f t="shared" ca="1" si="291"/>
        <v>0</v>
      </c>
      <c r="DX97" s="88">
        <f t="shared" ca="1" si="291"/>
        <v>0</v>
      </c>
      <c r="DY97" s="88">
        <f t="shared" ca="1" si="291"/>
        <v>0</v>
      </c>
      <c r="DZ97" s="88">
        <f t="shared" ca="1" si="291"/>
        <v>0</v>
      </c>
      <c r="EA97" s="88">
        <f t="shared" ca="1" si="291"/>
        <v>0</v>
      </c>
      <c r="EB97" s="88">
        <f t="shared" ca="1" si="291"/>
        <v>0</v>
      </c>
      <c r="EC97" s="88">
        <f t="shared" ca="1" si="291"/>
        <v>0</v>
      </c>
      <c r="ED97" s="88">
        <f t="shared" ca="1" si="291"/>
        <v>0</v>
      </c>
      <c r="EE97" s="88">
        <f t="shared" ca="1" si="292"/>
        <v>0</v>
      </c>
      <c r="EF97" s="88">
        <f t="shared" ca="1" si="292"/>
        <v>0</v>
      </c>
      <c r="EG97" s="88">
        <f t="shared" ca="1" si="292"/>
        <v>0</v>
      </c>
      <c r="EH97" s="88">
        <f t="shared" ca="1" si="292"/>
        <v>0</v>
      </c>
      <c r="EI97" s="88">
        <f t="shared" ca="1" si="292"/>
        <v>0</v>
      </c>
      <c r="EJ97" s="88">
        <f t="shared" ca="1" si="292"/>
        <v>0</v>
      </c>
      <c r="EK97" s="88">
        <f t="shared" ca="1" si="292"/>
        <v>0</v>
      </c>
      <c r="EL97" s="88">
        <f t="shared" ca="1" si="292"/>
        <v>0</v>
      </c>
      <c r="EM97" s="88">
        <f t="shared" ca="1" si="292"/>
        <v>0</v>
      </c>
      <c r="EN97" s="88">
        <f t="shared" ca="1" si="292"/>
        <v>0</v>
      </c>
      <c r="EO97" s="88">
        <f t="shared" ca="1" si="292"/>
        <v>0</v>
      </c>
      <c r="EP97" s="88">
        <f t="shared" ca="1" si="292"/>
        <v>0</v>
      </c>
      <c r="EQ97" s="88">
        <f t="shared" ca="1" si="292"/>
        <v>0</v>
      </c>
      <c r="ER97" s="88">
        <f t="shared" ca="1" si="292"/>
        <v>0</v>
      </c>
      <c r="ES97" s="88">
        <f t="shared" ca="1" si="292"/>
        <v>0</v>
      </c>
      <c r="ET97" s="169"/>
      <c r="EU97" s="88">
        <f t="shared" ca="1" si="293"/>
        <v>0</v>
      </c>
      <c r="EV97" s="88">
        <f t="shared" ca="1" si="293"/>
        <v>0</v>
      </c>
      <c r="EW97" s="88">
        <f t="shared" ca="1" si="293"/>
        <v>0</v>
      </c>
      <c r="EX97" s="88">
        <f t="shared" ca="1" si="293"/>
        <v>0</v>
      </c>
      <c r="EY97" s="88">
        <f t="shared" ca="1" si="293"/>
        <v>0</v>
      </c>
      <c r="EZ97" s="88">
        <f t="shared" ca="1" si="293"/>
        <v>0</v>
      </c>
      <c r="FA97" s="88">
        <f t="shared" ca="1" si="293"/>
        <v>0</v>
      </c>
      <c r="FB97" s="88">
        <f t="shared" ca="1" si="293"/>
        <v>0</v>
      </c>
      <c r="FC97" s="88">
        <f t="shared" ca="1" si="293"/>
        <v>0</v>
      </c>
      <c r="FD97" s="88">
        <f t="shared" ca="1" si="293"/>
        <v>0</v>
      </c>
      <c r="FE97" s="88">
        <f t="shared" ca="1" si="294"/>
        <v>0</v>
      </c>
      <c r="FF97" s="88">
        <f t="shared" ca="1" si="294"/>
        <v>0</v>
      </c>
      <c r="FG97" s="88">
        <f t="shared" ca="1" si="294"/>
        <v>0</v>
      </c>
      <c r="FH97" s="88">
        <f t="shared" ca="1" si="294"/>
        <v>0</v>
      </c>
      <c r="FI97" s="88">
        <f t="shared" ca="1" si="294"/>
        <v>0</v>
      </c>
      <c r="FJ97" s="88">
        <f t="shared" ca="1" si="294"/>
        <v>0</v>
      </c>
      <c r="FK97" s="88">
        <f t="shared" ca="1" si="294"/>
        <v>0</v>
      </c>
      <c r="FL97" s="88">
        <f t="shared" ca="1" si="294"/>
        <v>0</v>
      </c>
      <c r="FM97" s="88">
        <f t="shared" ca="1" si="294"/>
        <v>0</v>
      </c>
      <c r="FN97" s="88">
        <f t="shared" ca="1" si="294"/>
        <v>0</v>
      </c>
      <c r="FO97" s="88">
        <f t="shared" ca="1" si="295"/>
        <v>0</v>
      </c>
      <c r="FP97" s="88">
        <f t="shared" ca="1" si="295"/>
        <v>0</v>
      </c>
      <c r="FQ97" s="88">
        <f t="shared" ca="1" si="295"/>
        <v>0</v>
      </c>
      <c r="FR97" s="88">
        <f t="shared" ca="1" si="295"/>
        <v>0</v>
      </c>
      <c r="FS97" s="88">
        <f t="shared" ca="1" si="295"/>
        <v>0</v>
      </c>
      <c r="FT97" s="88">
        <f t="shared" ca="1" si="295"/>
        <v>0</v>
      </c>
      <c r="FU97" s="88">
        <f t="shared" ca="1" si="295"/>
        <v>0</v>
      </c>
      <c r="FV97" s="88">
        <f t="shared" ca="1" si="295"/>
        <v>0</v>
      </c>
      <c r="FW97" s="88">
        <f t="shared" ca="1" si="295"/>
        <v>0</v>
      </c>
      <c r="FX97" s="88">
        <f t="shared" ca="1" si="295"/>
        <v>0</v>
      </c>
      <c r="FY97" s="88">
        <f t="shared" ca="1" si="295"/>
        <v>0</v>
      </c>
      <c r="FZ97" s="88">
        <f t="shared" ca="1" si="295"/>
        <v>0</v>
      </c>
      <c r="GA97" s="88">
        <f t="shared" ca="1" si="295"/>
        <v>0</v>
      </c>
      <c r="GB97" s="88">
        <f t="shared" ca="1" si="295"/>
        <v>0</v>
      </c>
      <c r="GC97" s="88">
        <f t="shared" ca="1" si="295"/>
        <v>0</v>
      </c>
      <c r="GD97" s="60"/>
    </row>
    <row r="98" spans="1:186" s="54" customFormat="1" ht="14.45" customHeight="1">
      <c r="A98" s="61"/>
      <c r="B98" s="100" t="str">
        <f t="shared" si="277"/>
        <v>C&amp;I_C&amp;I Prescriptive_0_LED Parking Garage/Canopy (30-75W)_2017</v>
      </c>
      <c r="C98" s="100">
        <f>INDEX('Measure Inputs'!$D:$D,MATCH($B98,'Measure Inputs'!$B:$B,0))</f>
        <v>50</v>
      </c>
      <c r="D98" s="101" t="s">
        <v>256</v>
      </c>
      <c r="E98" s="101" t="s">
        <v>255</v>
      </c>
      <c r="F98" s="101">
        <v>0</v>
      </c>
      <c r="G98" s="101" t="s">
        <v>292</v>
      </c>
      <c r="H98" s="101">
        <v>2017</v>
      </c>
      <c r="I98" s="55"/>
      <c r="J98" s="58">
        <f t="shared" ca="1" si="229"/>
        <v>0.49694748106302261</v>
      </c>
      <c r="K98" s="58">
        <f t="shared" ca="1" si="246"/>
        <v>1.4262392706508749</v>
      </c>
      <c r="L98" s="58">
        <f t="shared" ca="1" si="230"/>
        <v>0.34843205574912894</v>
      </c>
      <c r="M98" s="58">
        <f t="shared" ca="1" si="231"/>
        <v>0.6621627201528334</v>
      </c>
      <c r="N98" s="58">
        <f t="shared" ca="1" si="232"/>
        <v>1.4262392706508749</v>
      </c>
      <c r="O98" s="55"/>
      <c r="P98" s="175">
        <f ca="1">IFERROR(($AW98+AV98)/SUMPRODUCT($CA98:$DI98,'General Inputs'!$F$51:$AN$51),"n/a")</f>
        <v>2.5227833192984616E-2</v>
      </c>
      <c r="Q98" s="175">
        <f t="shared" ca="1" si="233"/>
        <v>0.15288286759239239</v>
      </c>
      <c r="R98" s="56">
        <f t="shared" ref="R98:R105" ca="1" si="296">SUM(CA98:DI98)/1000</f>
        <v>523.2764224</v>
      </c>
      <c r="S98" s="55"/>
      <c r="T98" s="56">
        <f ca="1">INDEX(OFFSET('Measure Inputs'!$L$7,,,InputRows),$C98)</f>
        <v>100</v>
      </c>
      <c r="U98" s="134">
        <f ca="1">INDEX(OFFSET('Measure Inputs'!$T$7,,,InputRows),$C98)</f>
        <v>1</v>
      </c>
      <c r="V98" s="134">
        <f ca="1">INDEX(OFFSET('Measure Inputs'!$U$7,,,InputRows),$C98)</f>
        <v>1</v>
      </c>
      <c r="W98" s="55"/>
      <c r="X98" s="96">
        <f ca="1">INDEX(OFFSET('Measure Inputs'!$V$7,,,InputRows),$C98)*$T98*$V98*$U98</f>
        <v>65409.552800000005</v>
      </c>
      <c r="Y98" s="96">
        <f ca="1">INDEX(OFFSET('Measure Inputs'!$W$7,,,InputRows),$C98)*$T98*$V98*$U98</f>
        <v>17.343200000000003</v>
      </c>
      <c r="Z98" s="96">
        <f ca="1">INDEX(OFFSET('Measure Inputs'!$X$7,,,InputRows),$C98)*$T98*$V98*$U98</f>
        <v>0</v>
      </c>
      <c r="AA98" s="55"/>
      <c r="AB98" s="96">
        <f ca="1">INDEX(OFFSET('Measure Inputs'!$Z$7,,,InputRows),$C98)*$T98*$V98*$U98</f>
        <v>0</v>
      </c>
      <c r="AC98" s="96">
        <f ca="1">INDEX(OFFSET('Measure Inputs'!$AA$7,,,InputRows),$C98)*$T98*$V98*$U98</f>
        <v>0</v>
      </c>
      <c r="AD98" s="96">
        <f ca="1">INDEX(OFFSET('Measure Inputs'!$AB$7,,,InputRows),$C98)*$T98*$V98*$U98</f>
        <v>0</v>
      </c>
      <c r="AE98" s="55"/>
      <c r="AF98" s="57">
        <f ca="1">INDEX(OFFSET('Measure Inputs'!$Q$7,,,InputRows),$C98)*$T98</f>
        <v>0</v>
      </c>
      <c r="AG98" s="57">
        <f ca="1">INDEX(OFFSET('Measure Inputs'!$P$7,,,InputRows),$C98)*$T98*$V98</f>
        <v>28700</v>
      </c>
      <c r="AH98" s="57">
        <f ca="1">INDEX(OFFSET('Measure Inputs'!$R$7,,,InputRows),$C98)*$T98*$V98</f>
        <v>0</v>
      </c>
      <c r="AI98" s="57">
        <f ca="1">INDEX(OFFSET('Measure Inputs'!$O$7,,,InputRows),$C98)*$T98</f>
        <v>10000</v>
      </c>
      <c r="AJ98" s="57">
        <f ca="1">INDEX(OFFSET('Measure Inputs'!$S$7,,,InputRows),$C98)*$T98</f>
        <v>0</v>
      </c>
      <c r="AK98" s="63">
        <f ca="1">INDEX(OFFSET('Measure Inputs'!$M$7,,,InputRows),$C98)</f>
        <v>8</v>
      </c>
      <c r="AL98" s="88">
        <f ca="1">INDEX(OFFSET('Measure Inputs'!$N$7,,,InputRows),$C98)</f>
        <v>0</v>
      </c>
      <c r="AM98" s="57">
        <f ca="1">SUMIFS(OFFSET('Program Inputs'!$N$5,,,TotalPrograms),OFFSET('Program Inputs'!$B$5,,,TotalPrograms),SUBSTITUTE($B98,"All","*"))+AF98</f>
        <v>0</v>
      </c>
      <c r="AN98" s="57">
        <f t="shared" ref="AN98:AN105" ca="1" si="297">AM98+AI98</f>
        <v>10000</v>
      </c>
      <c r="AO98" s="55"/>
      <c r="AP98" s="59">
        <f t="shared" ref="AP98:AP105" ca="1" si="298">SUMIFS(AR98:AX98,$AR$7:$AX$7,"BENEFIT")</f>
        <v>14262.392706508748</v>
      </c>
      <c r="AQ98" s="59">
        <f t="shared" ref="AQ98:AQ105" ca="1" si="299">SUMIFS(AR98:AX98,$AR$7:$AX$7,"COST")</f>
        <v>28700</v>
      </c>
      <c r="AR98" s="59">
        <f ca="1">SUMPRODUCT($CA98:$DI98,'General Inputs'!$F$32:$AN$32,'General Inputs'!$F$51:$AN$51)/(1-Loss_ElectricEnergy)</f>
        <v>11978.021249352329</v>
      </c>
      <c r="AS98" s="59">
        <f ca="1">SUMPRODUCT($DK98:$ES98,'General Inputs'!$F$33:$AN$33,'General Inputs'!$F$51:$AN$51)/(1-Loss_ElectricDemand)</f>
        <v>2284.3714571564192</v>
      </c>
      <c r="AT98" s="59">
        <f ca="1">SUMPRODUCT($EU98:$GC98,'General Inputs'!$F$34:$AN$34,'General Inputs'!$F$51:$AN$51)/(1-Loss_GasEnergy)</f>
        <v>0</v>
      </c>
      <c r="AU98" s="59">
        <f ca="1">INDEX('General Inputs'!$F$51:$AN$51,MATCH($H98,'General Inputs'!$F$50:$AN$50,0))*$AJ98</f>
        <v>0</v>
      </c>
      <c r="AV98" s="59">
        <f ca="1">INDEX('General Inputs'!$F$51:$AN$51,MATCH($H98,'General Inputs'!$F$50:$AN$50,0))*$AI98</f>
        <v>10000</v>
      </c>
      <c r="AW98" s="59">
        <f ca="1">INDEX('General Inputs'!$F$51:$AN$51,MATCH($H98,'General Inputs'!$F$50:$AN$50,0))*$AM98</f>
        <v>0</v>
      </c>
      <c r="AX98" s="59">
        <f ca="1">SUM(INDEX('General Inputs'!$F$51:$AN$51,MATCH($H98,'General Inputs'!$F$50:$AN$50,0))*$AG98,INDEX('General Inputs'!$F$51:$AN$51,MATCH($H98+$AL98,'General Inputs'!$F$50:$AN$50,0))*-$AH98)</f>
        <v>28700</v>
      </c>
      <c r="AY98" s="55"/>
      <c r="AZ98" s="59">
        <f ca="1">SUMPRODUCT($CA98:$DI98,'General Inputs'!$F$32:$AN$32,'General Inputs'!$F$52:$AN$52)/(1-Loss_ElectricEnergy)</f>
        <v>11978.021249352329</v>
      </c>
      <c r="BA98" s="59">
        <f ca="1">SUMPRODUCT($DK98:$ES98,'General Inputs'!$F$33:$AN$33,'General Inputs'!$F$52:$AN$52)/(1-Loss_ElectricDemand)</f>
        <v>2284.3714571564192</v>
      </c>
      <c r="BB98" s="59">
        <f ca="1">SUMPRODUCT($EU98:$GC98,'General Inputs'!$F$34:$AN$34,'General Inputs'!$F$52:$AN$52)/(1-Loss_GasEnergy)</f>
        <v>0</v>
      </c>
      <c r="BC98" s="59">
        <f ca="1">INDEX('General Inputs'!$F$52:$AN$52,MATCH($H98,'General Inputs'!$F$50:$AN$50,0))*$AI98</f>
        <v>10000</v>
      </c>
      <c r="BD98" s="59">
        <f ca="1">INDEX('General Inputs'!$F$52:$AN$52,MATCH($H98,'General Inputs'!$F$50:$AN$50,0))*$AM98</f>
        <v>0</v>
      </c>
      <c r="BE98" s="55"/>
      <c r="BF98" s="59">
        <f ca="1">SUMPRODUCT($CA98:$DI98,OFFSET('General Inputs'!$F$40:$AN$40,MATCH($D98&amp;" Electric ($/kWh)",'General Inputs'!$E$40:$E$46,0),),'General Inputs'!$F$54:$AN$54)</f>
        <v>0</v>
      </c>
      <c r="BG98" s="59">
        <f ca="1">SUMPRODUCT($EU98:$GC98,OFFSET('General Inputs'!$F$40:$AN$40,MATCH($D98&amp;" Natural Gas ($/therm)",'General Inputs'!$E$40:$E$46,0),),'General Inputs'!$F$54:$AN$54)</f>
        <v>0</v>
      </c>
      <c r="BH98" s="59">
        <f ca="1">INDEX('General Inputs'!$F$54:$AN$54,MATCH($H98,'General Inputs'!$F$50:$AN$50,0))*$AI98</f>
        <v>10000</v>
      </c>
      <c r="BI98" s="59">
        <f ca="1">SUM(INDEX('General Inputs'!$F$54:$AN$54,MATCH($H98,'General Inputs'!$F$50:$AN$50,0))*$AG98,INDEX('General Inputs'!$F$51:$AN$51,MATCH($H98+$AL98,'General Inputs'!$F$50:$AN$50,0))*-$AH98)</f>
        <v>28700</v>
      </c>
      <c r="BJ98" s="55"/>
      <c r="BK98" s="59">
        <f ca="1">SUMPRODUCT($CA98:$DI98,'General Inputs'!$F$32:$AN$32,'General Inputs'!$F$53:$AN$53)/(1-Loss_ElectricEnergy)</f>
        <v>11978.021249352329</v>
      </c>
      <c r="BL98" s="59">
        <f ca="1">SUMPRODUCT($DK98:$ES98,'General Inputs'!$F$33:$AN$33,'General Inputs'!$F$53:$AN$53)/(1-Loss_ElectricDemand)</f>
        <v>2284.3714571564192</v>
      </c>
      <c r="BM98" s="59">
        <f ca="1">SUMPRODUCT($EU98:$GC98,'General Inputs'!$F$34:$AN$34,'General Inputs'!$F$53:$AN$53)/(1-Loss_GasEnergy)</f>
        <v>0</v>
      </c>
      <c r="BN98" s="59">
        <f ca="1">INDEX('General Inputs'!$F$53:$AN$53,MATCH($H98,'General Inputs'!$F$50:$AN$50,0))*$AJ98</f>
        <v>0</v>
      </c>
      <c r="BO98" s="59">
        <f ca="1">SUMPRODUCT($CA98:$DI98,'General Inputs'!$F$35:$AN$35,'General Inputs'!$F$53:$AN$53)/(1-Loss_ElectricEnergy)</f>
        <v>4741.6773618775715</v>
      </c>
      <c r="BP98" s="59">
        <f ca="1">INDEX('General Inputs'!$F$51:$AN$51,MATCH($H98,'General Inputs'!$F$50:$AN$50,0))*$AM98</f>
        <v>0</v>
      </c>
      <c r="BQ98" s="59">
        <f ca="1">SUM(INDEX('General Inputs'!$F$53:$AN$53,MATCH($H98,'General Inputs'!$F$50:$AN$50,0))*$AG98,INDEX('General Inputs'!$F$53:$AN$53,MATCH($H98+$AL98,'General Inputs'!$F$50:$AN$50,0))*-$AH98)</f>
        <v>28700</v>
      </c>
      <c r="BR98" s="55"/>
      <c r="BS98" s="59">
        <f ca="1">SUMPRODUCT($CA98:$DI98,'General Inputs'!$F$32:$AN$32,'General Inputs'!$F$55:$AN$55)/(1-Loss_ElectricEnergy)</f>
        <v>11978.021249352329</v>
      </c>
      <c r="BT98" s="59">
        <f ca="1">SUMPRODUCT($DK98:$ES98,'General Inputs'!$F$33:$AN$33,'General Inputs'!$F$55:$AN$55)/(1-Loss_ElectricDemand)</f>
        <v>2284.3714571564192</v>
      </c>
      <c r="BU98" s="59">
        <f ca="1">SUMPRODUCT($EU98:$GC98,'General Inputs'!$F$34:$AN$34,'General Inputs'!$F$55:$AN$55)/(1-Loss_GasEnergy)</f>
        <v>0</v>
      </c>
      <c r="BV98" s="59">
        <f ca="1">SUMPRODUCT($CA98:$DI98,OFFSET('General Inputs'!$F$40:$AN$40,MATCH($D98&amp;" Electric ($/kWh)",'General Inputs'!$E$40:$E$46,0),),'General Inputs'!$F$55:$AN$55)</f>
        <v>0</v>
      </c>
      <c r="BW98" s="59">
        <f ca="1">SUMPRODUCT($EU98:$GC98,OFFSET('General Inputs'!$F$40:$AN$40,MATCH($D98&amp;" Natural Gas ($/therm)",'General Inputs'!$E$40:$E$46,0),),'General Inputs'!$F$55:$AN$55)</f>
        <v>0</v>
      </c>
      <c r="BX98" s="59">
        <f ca="1">INDEX('General Inputs'!$F$55:$AN$55,MATCH($H98,'General Inputs'!$F$50:$AN$50,0))*$AI98</f>
        <v>10000</v>
      </c>
      <c r="BY98" s="59">
        <f ca="1">INDEX('General Inputs'!$F$51:$AN$51,MATCH($H98,'General Inputs'!$F$50:$AN$50,0))*$AM98</f>
        <v>0</v>
      </c>
      <c r="BZ98" s="55"/>
      <c r="CA98" s="88">
        <f t="shared" ca="1" si="287"/>
        <v>65409.552800000005</v>
      </c>
      <c r="CB98" s="88">
        <f t="shared" ca="1" si="287"/>
        <v>65409.552800000005</v>
      </c>
      <c r="CC98" s="88">
        <f t="shared" ca="1" si="287"/>
        <v>65409.552800000005</v>
      </c>
      <c r="CD98" s="88">
        <f t="shared" ca="1" si="287"/>
        <v>65409.552800000005</v>
      </c>
      <c r="CE98" s="88">
        <f t="shared" ca="1" si="287"/>
        <v>65409.552800000005</v>
      </c>
      <c r="CF98" s="88">
        <f t="shared" ca="1" si="287"/>
        <v>65409.552800000005</v>
      </c>
      <c r="CG98" s="88">
        <f t="shared" ca="1" si="287"/>
        <v>65409.552800000005</v>
      </c>
      <c r="CH98" s="88">
        <f t="shared" ca="1" si="287"/>
        <v>65409.552800000005</v>
      </c>
      <c r="CI98" s="88">
        <f t="shared" ca="1" si="287"/>
        <v>0</v>
      </c>
      <c r="CJ98" s="88">
        <f t="shared" ca="1" si="287"/>
        <v>0</v>
      </c>
      <c r="CK98" s="88">
        <f t="shared" ca="1" si="288"/>
        <v>0</v>
      </c>
      <c r="CL98" s="88">
        <f t="shared" ca="1" si="288"/>
        <v>0</v>
      </c>
      <c r="CM98" s="88">
        <f t="shared" ca="1" si="288"/>
        <v>0</v>
      </c>
      <c r="CN98" s="88">
        <f t="shared" ca="1" si="288"/>
        <v>0</v>
      </c>
      <c r="CO98" s="88">
        <f t="shared" ca="1" si="288"/>
        <v>0</v>
      </c>
      <c r="CP98" s="88">
        <f t="shared" ca="1" si="288"/>
        <v>0</v>
      </c>
      <c r="CQ98" s="88">
        <f t="shared" ca="1" si="288"/>
        <v>0</v>
      </c>
      <c r="CR98" s="88">
        <f t="shared" ca="1" si="288"/>
        <v>0</v>
      </c>
      <c r="CS98" s="88">
        <f t="shared" ca="1" si="288"/>
        <v>0</v>
      </c>
      <c r="CT98" s="88">
        <f t="shared" ca="1" si="288"/>
        <v>0</v>
      </c>
      <c r="CU98" s="88">
        <f t="shared" ca="1" si="289"/>
        <v>0</v>
      </c>
      <c r="CV98" s="88">
        <f t="shared" ca="1" si="289"/>
        <v>0</v>
      </c>
      <c r="CW98" s="88">
        <f t="shared" ca="1" si="289"/>
        <v>0</v>
      </c>
      <c r="CX98" s="88">
        <f t="shared" ca="1" si="289"/>
        <v>0</v>
      </c>
      <c r="CY98" s="88">
        <f t="shared" ca="1" si="289"/>
        <v>0</v>
      </c>
      <c r="CZ98" s="88">
        <f t="shared" ca="1" si="289"/>
        <v>0</v>
      </c>
      <c r="DA98" s="88">
        <f t="shared" ca="1" si="289"/>
        <v>0</v>
      </c>
      <c r="DB98" s="88">
        <f t="shared" ca="1" si="289"/>
        <v>0</v>
      </c>
      <c r="DC98" s="88">
        <f t="shared" ca="1" si="289"/>
        <v>0</v>
      </c>
      <c r="DD98" s="88">
        <f t="shared" ca="1" si="289"/>
        <v>0</v>
      </c>
      <c r="DE98" s="88">
        <f t="shared" ca="1" si="289"/>
        <v>0</v>
      </c>
      <c r="DF98" s="88">
        <f t="shared" ca="1" si="289"/>
        <v>0</v>
      </c>
      <c r="DG98" s="88">
        <f t="shared" ca="1" si="289"/>
        <v>0</v>
      </c>
      <c r="DH98" s="88">
        <f t="shared" ca="1" si="289"/>
        <v>0</v>
      </c>
      <c r="DI98" s="88">
        <f t="shared" ca="1" si="289"/>
        <v>0</v>
      </c>
      <c r="DJ98" s="169"/>
      <c r="DK98" s="88">
        <f t="shared" ca="1" si="290"/>
        <v>17.343200000000003</v>
      </c>
      <c r="DL98" s="88">
        <f t="shared" ca="1" si="290"/>
        <v>17.343200000000003</v>
      </c>
      <c r="DM98" s="88">
        <f t="shared" ca="1" si="290"/>
        <v>17.343200000000003</v>
      </c>
      <c r="DN98" s="88">
        <f t="shared" ca="1" si="290"/>
        <v>17.343200000000003</v>
      </c>
      <c r="DO98" s="88">
        <f t="shared" ca="1" si="290"/>
        <v>17.343200000000003</v>
      </c>
      <c r="DP98" s="88">
        <f t="shared" ca="1" si="290"/>
        <v>17.343200000000003</v>
      </c>
      <c r="DQ98" s="88">
        <f t="shared" ca="1" si="290"/>
        <v>17.343200000000003</v>
      </c>
      <c r="DR98" s="88">
        <f t="shared" ca="1" si="290"/>
        <v>17.343200000000003</v>
      </c>
      <c r="DS98" s="88">
        <f t="shared" ca="1" si="290"/>
        <v>0</v>
      </c>
      <c r="DT98" s="88">
        <f t="shared" ca="1" si="290"/>
        <v>0</v>
      </c>
      <c r="DU98" s="88">
        <f t="shared" ca="1" si="291"/>
        <v>0</v>
      </c>
      <c r="DV98" s="88">
        <f t="shared" ca="1" si="291"/>
        <v>0</v>
      </c>
      <c r="DW98" s="88">
        <f t="shared" ca="1" si="291"/>
        <v>0</v>
      </c>
      <c r="DX98" s="88">
        <f t="shared" ca="1" si="291"/>
        <v>0</v>
      </c>
      <c r="DY98" s="88">
        <f t="shared" ca="1" si="291"/>
        <v>0</v>
      </c>
      <c r="DZ98" s="88">
        <f t="shared" ca="1" si="291"/>
        <v>0</v>
      </c>
      <c r="EA98" s="88">
        <f t="shared" ca="1" si="291"/>
        <v>0</v>
      </c>
      <c r="EB98" s="88">
        <f t="shared" ca="1" si="291"/>
        <v>0</v>
      </c>
      <c r="EC98" s="88">
        <f t="shared" ca="1" si="291"/>
        <v>0</v>
      </c>
      <c r="ED98" s="88">
        <f t="shared" ca="1" si="291"/>
        <v>0</v>
      </c>
      <c r="EE98" s="88">
        <f t="shared" ca="1" si="292"/>
        <v>0</v>
      </c>
      <c r="EF98" s="88">
        <f t="shared" ca="1" si="292"/>
        <v>0</v>
      </c>
      <c r="EG98" s="88">
        <f t="shared" ca="1" si="292"/>
        <v>0</v>
      </c>
      <c r="EH98" s="88">
        <f t="shared" ca="1" si="292"/>
        <v>0</v>
      </c>
      <c r="EI98" s="88">
        <f t="shared" ca="1" si="292"/>
        <v>0</v>
      </c>
      <c r="EJ98" s="88">
        <f t="shared" ca="1" si="292"/>
        <v>0</v>
      </c>
      <c r="EK98" s="88">
        <f t="shared" ca="1" si="292"/>
        <v>0</v>
      </c>
      <c r="EL98" s="88">
        <f t="shared" ca="1" si="292"/>
        <v>0</v>
      </c>
      <c r="EM98" s="88">
        <f t="shared" ca="1" si="292"/>
        <v>0</v>
      </c>
      <c r="EN98" s="88">
        <f t="shared" ca="1" si="292"/>
        <v>0</v>
      </c>
      <c r="EO98" s="88">
        <f t="shared" ca="1" si="292"/>
        <v>0</v>
      </c>
      <c r="EP98" s="88">
        <f t="shared" ca="1" si="292"/>
        <v>0</v>
      </c>
      <c r="EQ98" s="88">
        <f t="shared" ca="1" si="292"/>
        <v>0</v>
      </c>
      <c r="ER98" s="88">
        <f t="shared" ca="1" si="292"/>
        <v>0</v>
      </c>
      <c r="ES98" s="88">
        <f t="shared" ca="1" si="292"/>
        <v>0</v>
      </c>
      <c r="ET98" s="169"/>
      <c r="EU98" s="88">
        <f t="shared" ca="1" si="293"/>
        <v>0</v>
      </c>
      <c r="EV98" s="88">
        <f t="shared" ca="1" si="293"/>
        <v>0</v>
      </c>
      <c r="EW98" s="88">
        <f t="shared" ca="1" si="293"/>
        <v>0</v>
      </c>
      <c r="EX98" s="88">
        <f t="shared" ca="1" si="293"/>
        <v>0</v>
      </c>
      <c r="EY98" s="88">
        <f t="shared" ca="1" si="293"/>
        <v>0</v>
      </c>
      <c r="EZ98" s="88">
        <f t="shared" ca="1" si="293"/>
        <v>0</v>
      </c>
      <c r="FA98" s="88">
        <f t="shared" ca="1" si="293"/>
        <v>0</v>
      </c>
      <c r="FB98" s="88">
        <f t="shared" ca="1" si="293"/>
        <v>0</v>
      </c>
      <c r="FC98" s="88">
        <f t="shared" ca="1" si="293"/>
        <v>0</v>
      </c>
      <c r="FD98" s="88">
        <f t="shared" ca="1" si="293"/>
        <v>0</v>
      </c>
      <c r="FE98" s="88">
        <f t="shared" ca="1" si="294"/>
        <v>0</v>
      </c>
      <c r="FF98" s="88">
        <f t="shared" ca="1" si="294"/>
        <v>0</v>
      </c>
      <c r="FG98" s="88">
        <f t="shared" ca="1" si="294"/>
        <v>0</v>
      </c>
      <c r="FH98" s="88">
        <f t="shared" ca="1" si="294"/>
        <v>0</v>
      </c>
      <c r="FI98" s="88">
        <f t="shared" ca="1" si="294"/>
        <v>0</v>
      </c>
      <c r="FJ98" s="88">
        <f t="shared" ca="1" si="294"/>
        <v>0</v>
      </c>
      <c r="FK98" s="88">
        <f t="shared" ca="1" si="294"/>
        <v>0</v>
      </c>
      <c r="FL98" s="88">
        <f t="shared" ca="1" si="294"/>
        <v>0</v>
      </c>
      <c r="FM98" s="88">
        <f t="shared" ca="1" si="294"/>
        <v>0</v>
      </c>
      <c r="FN98" s="88">
        <f t="shared" ca="1" si="294"/>
        <v>0</v>
      </c>
      <c r="FO98" s="88">
        <f t="shared" ca="1" si="295"/>
        <v>0</v>
      </c>
      <c r="FP98" s="88">
        <f t="shared" ca="1" si="295"/>
        <v>0</v>
      </c>
      <c r="FQ98" s="88">
        <f t="shared" ca="1" si="295"/>
        <v>0</v>
      </c>
      <c r="FR98" s="88">
        <f t="shared" ca="1" si="295"/>
        <v>0</v>
      </c>
      <c r="FS98" s="88">
        <f t="shared" ca="1" si="295"/>
        <v>0</v>
      </c>
      <c r="FT98" s="88">
        <f t="shared" ca="1" si="295"/>
        <v>0</v>
      </c>
      <c r="FU98" s="88">
        <f t="shared" ca="1" si="295"/>
        <v>0</v>
      </c>
      <c r="FV98" s="88">
        <f t="shared" ca="1" si="295"/>
        <v>0</v>
      </c>
      <c r="FW98" s="88">
        <f t="shared" ca="1" si="295"/>
        <v>0</v>
      </c>
      <c r="FX98" s="88">
        <f t="shared" ca="1" si="295"/>
        <v>0</v>
      </c>
      <c r="FY98" s="88">
        <f t="shared" ca="1" si="295"/>
        <v>0</v>
      </c>
      <c r="FZ98" s="88">
        <f t="shared" ca="1" si="295"/>
        <v>0</v>
      </c>
      <c r="GA98" s="88">
        <f t="shared" ca="1" si="295"/>
        <v>0</v>
      </c>
      <c r="GB98" s="88">
        <f t="shared" ca="1" si="295"/>
        <v>0</v>
      </c>
      <c r="GC98" s="88">
        <f t="shared" ca="1" si="295"/>
        <v>0</v>
      </c>
      <c r="GD98" s="60"/>
    </row>
    <row r="99" spans="1:186" s="54" customFormat="1" ht="14.45" customHeight="1">
      <c r="A99" s="61"/>
      <c r="B99" s="100" t="str">
        <f t="shared" si="277"/>
        <v>C&amp;I_C&amp;I Prescriptive_0_LED Parking Garage/Canopy (≥75W)_2017</v>
      </c>
      <c r="C99" s="100">
        <f>INDEX('Measure Inputs'!$D:$D,MATCH($B99,'Measure Inputs'!$B:$B,0))</f>
        <v>51</v>
      </c>
      <c r="D99" s="101" t="s">
        <v>256</v>
      </c>
      <c r="E99" s="101" t="s">
        <v>255</v>
      </c>
      <c r="F99" s="101">
        <v>0</v>
      </c>
      <c r="G99" s="101" t="s">
        <v>293</v>
      </c>
      <c r="H99" s="101">
        <v>2017</v>
      </c>
      <c r="I99" s="55"/>
      <c r="J99" s="58">
        <f t="shared" ca="1" si="229"/>
        <v>0.6842179985274579</v>
      </c>
      <c r="K99" s="58">
        <f t="shared" ca="1" si="246"/>
        <v>1.9109231244588287</v>
      </c>
      <c r="L99" s="58">
        <f t="shared" ca="1" si="230"/>
        <v>0.35805626598465473</v>
      </c>
      <c r="M99" s="58">
        <f t="shared" ca="1" si="231"/>
        <v>0.9116932238258223</v>
      </c>
      <c r="N99" s="58">
        <f t="shared" ca="1" si="232"/>
        <v>1.9109231244588287</v>
      </c>
      <c r="O99" s="55"/>
      <c r="P99" s="175">
        <f ca="1">IFERROR(($AW99+AV99)/SUMPRODUCT($CA99:$DI99,'General Inputs'!$F$51:$AN$51),"n/a")</f>
        <v>1.8829081061779534E-2</v>
      </c>
      <c r="Q99" s="175">
        <f t="shared" ca="1" si="233"/>
        <v>0.11410587206732284</v>
      </c>
      <c r="R99" s="56">
        <f t="shared" ca="1" si="296"/>
        <v>2453.8614439999988</v>
      </c>
      <c r="S99" s="55"/>
      <c r="T99" s="56">
        <f ca="1">INDEX(OFFSET('Measure Inputs'!$L$7,,,InputRows),$C99)</f>
        <v>250</v>
      </c>
      <c r="U99" s="134">
        <f ca="1">INDEX(OFFSET('Measure Inputs'!$T$7,,,InputRows),$C99)</f>
        <v>1</v>
      </c>
      <c r="V99" s="134">
        <f ca="1">INDEX(OFFSET('Measure Inputs'!$U$7,,,InputRows),$C99)</f>
        <v>1</v>
      </c>
      <c r="W99" s="55"/>
      <c r="X99" s="96">
        <f ca="1">INDEX(OFFSET('Measure Inputs'!$V$7,,,InputRows),$C99)*$T99*$V99*$U99</f>
        <v>306732.6804999999</v>
      </c>
      <c r="Y99" s="96">
        <f ca="1">INDEX(OFFSET('Measure Inputs'!$W$7,,,InputRows),$C99)*$T99*$V99*$U99</f>
        <v>81.329499999999982</v>
      </c>
      <c r="Z99" s="96">
        <f ca="1">INDEX(OFFSET('Measure Inputs'!$X$7,,,InputRows),$C99)*$T99*$V99*$U99</f>
        <v>0</v>
      </c>
      <c r="AA99" s="55"/>
      <c r="AB99" s="96">
        <f ca="1">INDEX(OFFSET('Measure Inputs'!$Z$7,,,InputRows),$C99)*$T99*$V99*$U99</f>
        <v>0</v>
      </c>
      <c r="AC99" s="96">
        <f ca="1">INDEX(OFFSET('Measure Inputs'!$AA$7,,,InputRows),$C99)*$T99*$V99*$U99</f>
        <v>0</v>
      </c>
      <c r="AD99" s="96">
        <f ca="1">INDEX(OFFSET('Measure Inputs'!$AB$7,,,InputRows),$C99)*$T99*$V99*$U99</f>
        <v>0</v>
      </c>
      <c r="AE99" s="55"/>
      <c r="AF99" s="57">
        <f ca="1">INDEX(OFFSET('Measure Inputs'!$Q$7,,,InputRows),$C99)*$T99</f>
        <v>0</v>
      </c>
      <c r="AG99" s="57">
        <f ca="1">INDEX(OFFSET('Measure Inputs'!$P$7,,,InputRows),$C99)*$T99*$V99</f>
        <v>97750</v>
      </c>
      <c r="AH99" s="57">
        <f ca="1">INDEX(OFFSET('Measure Inputs'!$R$7,,,InputRows),$C99)*$T99*$V99</f>
        <v>0</v>
      </c>
      <c r="AI99" s="57">
        <f ca="1">INDEX(OFFSET('Measure Inputs'!$O$7,,,InputRows),$C99)*$T99</f>
        <v>35000</v>
      </c>
      <c r="AJ99" s="57">
        <f ca="1">INDEX(OFFSET('Measure Inputs'!$S$7,,,InputRows),$C99)*$T99</f>
        <v>0</v>
      </c>
      <c r="AK99" s="63">
        <f ca="1">INDEX(OFFSET('Measure Inputs'!$M$7,,,InputRows),$C99)</f>
        <v>8</v>
      </c>
      <c r="AL99" s="88">
        <f ca="1">INDEX(OFFSET('Measure Inputs'!$N$7,,,InputRows),$C99)</f>
        <v>0</v>
      </c>
      <c r="AM99" s="57">
        <f ca="1">SUMIFS(OFFSET('Program Inputs'!$N$5,,,TotalPrograms),OFFSET('Program Inputs'!$B$5,,,TotalPrograms),SUBSTITUTE($B99,"All","*"))+AF99</f>
        <v>0</v>
      </c>
      <c r="AN99" s="57">
        <f t="shared" ca="1" si="297"/>
        <v>35000</v>
      </c>
      <c r="AO99" s="55"/>
      <c r="AP99" s="59">
        <f t="shared" ca="1" si="298"/>
        <v>66882.309356059006</v>
      </c>
      <c r="AQ99" s="59">
        <f t="shared" ca="1" si="299"/>
        <v>97750</v>
      </c>
      <c r="AR99" s="59">
        <f ca="1">SUMPRODUCT($CA99:$DI99,'General Inputs'!$F$32:$AN$32,'General Inputs'!$F$51:$AN$51)/(1-Loss_ElectricEnergy)</f>
        <v>56169.938604133014</v>
      </c>
      <c r="AS99" s="59">
        <f ca="1">SUMPRODUCT($DK99:$ES99,'General Inputs'!$F$33:$AN$33,'General Inputs'!$F$51:$AN$51)/(1-Loss_ElectricDemand)</f>
        <v>10712.370751925991</v>
      </c>
      <c r="AT99" s="59">
        <f ca="1">SUMPRODUCT($EU99:$GC99,'General Inputs'!$F$34:$AN$34,'General Inputs'!$F$51:$AN$51)/(1-Loss_GasEnergy)</f>
        <v>0</v>
      </c>
      <c r="AU99" s="59">
        <f ca="1">INDEX('General Inputs'!$F$51:$AN$51,MATCH($H99,'General Inputs'!$F$50:$AN$50,0))*$AJ99</f>
        <v>0</v>
      </c>
      <c r="AV99" s="59">
        <f ca="1">INDEX('General Inputs'!$F$51:$AN$51,MATCH($H99,'General Inputs'!$F$50:$AN$50,0))*$AI99</f>
        <v>35000</v>
      </c>
      <c r="AW99" s="59">
        <f ca="1">INDEX('General Inputs'!$F$51:$AN$51,MATCH($H99,'General Inputs'!$F$50:$AN$50,0))*$AM99</f>
        <v>0</v>
      </c>
      <c r="AX99" s="59">
        <f ca="1">SUM(INDEX('General Inputs'!$F$51:$AN$51,MATCH($H99,'General Inputs'!$F$50:$AN$50,0))*$AG99,INDEX('General Inputs'!$F$51:$AN$51,MATCH($H99+$AL99,'General Inputs'!$F$50:$AN$50,0))*-$AH99)</f>
        <v>97750</v>
      </c>
      <c r="AY99" s="55"/>
      <c r="AZ99" s="59">
        <f ca="1">SUMPRODUCT($CA99:$DI99,'General Inputs'!$F$32:$AN$32,'General Inputs'!$F$52:$AN$52)/(1-Loss_ElectricEnergy)</f>
        <v>56169.938604133014</v>
      </c>
      <c r="BA99" s="59">
        <f ca="1">SUMPRODUCT($DK99:$ES99,'General Inputs'!$F$33:$AN$33,'General Inputs'!$F$52:$AN$52)/(1-Loss_ElectricDemand)</f>
        <v>10712.370751925991</v>
      </c>
      <c r="BB99" s="59">
        <f ca="1">SUMPRODUCT($EU99:$GC99,'General Inputs'!$F$34:$AN$34,'General Inputs'!$F$52:$AN$52)/(1-Loss_GasEnergy)</f>
        <v>0</v>
      </c>
      <c r="BC99" s="59">
        <f ca="1">INDEX('General Inputs'!$F$52:$AN$52,MATCH($H99,'General Inputs'!$F$50:$AN$50,0))*$AI99</f>
        <v>35000</v>
      </c>
      <c r="BD99" s="59">
        <f ca="1">INDEX('General Inputs'!$F$52:$AN$52,MATCH($H99,'General Inputs'!$F$50:$AN$50,0))*$AM99</f>
        <v>0</v>
      </c>
      <c r="BE99" s="55"/>
      <c r="BF99" s="59">
        <f ca="1">SUMPRODUCT($CA99:$DI99,OFFSET('General Inputs'!$F$40:$AN$40,MATCH($D99&amp;" Electric ($/kWh)",'General Inputs'!$E$40:$E$46,0),),'General Inputs'!$F$54:$AN$54)</f>
        <v>0</v>
      </c>
      <c r="BG99" s="59">
        <f ca="1">SUMPRODUCT($EU99:$GC99,OFFSET('General Inputs'!$F$40:$AN$40,MATCH($D99&amp;" Natural Gas ($/therm)",'General Inputs'!$E$40:$E$46,0),),'General Inputs'!$F$54:$AN$54)</f>
        <v>0</v>
      </c>
      <c r="BH99" s="59">
        <f ca="1">INDEX('General Inputs'!$F$54:$AN$54,MATCH($H99,'General Inputs'!$F$50:$AN$50,0))*$AI99</f>
        <v>35000</v>
      </c>
      <c r="BI99" s="59">
        <f ca="1">SUM(INDEX('General Inputs'!$F$54:$AN$54,MATCH($H99,'General Inputs'!$F$50:$AN$50,0))*$AG99,INDEX('General Inputs'!$F$51:$AN$51,MATCH($H99+$AL99,'General Inputs'!$F$50:$AN$50,0))*-$AH99)</f>
        <v>97750</v>
      </c>
      <c r="BJ99" s="55"/>
      <c r="BK99" s="59">
        <f ca="1">SUMPRODUCT($CA99:$DI99,'General Inputs'!$F$32:$AN$32,'General Inputs'!$F$53:$AN$53)/(1-Loss_ElectricEnergy)</f>
        <v>56169.938604133014</v>
      </c>
      <c r="BL99" s="59">
        <f ca="1">SUMPRODUCT($DK99:$ES99,'General Inputs'!$F$33:$AN$33,'General Inputs'!$F$53:$AN$53)/(1-Loss_ElectricDemand)</f>
        <v>10712.370751925991</v>
      </c>
      <c r="BM99" s="59">
        <f ca="1">SUMPRODUCT($EU99:$GC99,'General Inputs'!$F$34:$AN$34,'General Inputs'!$F$53:$AN$53)/(1-Loss_GasEnergy)</f>
        <v>0</v>
      </c>
      <c r="BN99" s="59">
        <f ca="1">INDEX('General Inputs'!$F$53:$AN$53,MATCH($H99,'General Inputs'!$F$50:$AN$50,0))*$AJ99</f>
        <v>0</v>
      </c>
      <c r="BO99" s="59">
        <f ca="1">SUMPRODUCT($CA99:$DI99,'General Inputs'!$F$35:$AN$35,'General Inputs'!$F$53:$AN$53)/(1-Loss_ElectricEnergy)</f>
        <v>22235.703272915132</v>
      </c>
      <c r="BP99" s="59">
        <f ca="1">INDEX('General Inputs'!$F$51:$AN$51,MATCH($H99,'General Inputs'!$F$50:$AN$50,0))*$AM99</f>
        <v>0</v>
      </c>
      <c r="BQ99" s="59">
        <f ca="1">SUM(INDEX('General Inputs'!$F$53:$AN$53,MATCH($H99,'General Inputs'!$F$50:$AN$50,0))*$AG99,INDEX('General Inputs'!$F$53:$AN$53,MATCH($H99+$AL99,'General Inputs'!$F$50:$AN$50,0))*-$AH99)</f>
        <v>97750</v>
      </c>
      <c r="BR99" s="55"/>
      <c r="BS99" s="59">
        <f ca="1">SUMPRODUCT($CA99:$DI99,'General Inputs'!$F$32:$AN$32,'General Inputs'!$F$55:$AN$55)/(1-Loss_ElectricEnergy)</f>
        <v>56169.938604133014</v>
      </c>
      <c r="BT99" s="59">
        <f ca="1">SUMPRODUCT($DK99:$ES99,'General Inputs'!$F$33:$AN$33,'General Inputs'!$F$55:$AN$55)/(1-Loss_ElectricDemand)</f>
        <v>10712.370751925991</v>
      </c>
      <c r="BU99" s="59">
        <f ca="1">SUMPRODUCT($EU99:$GC99,'General Inputs'!$F$34:$AN$34,'General Inputs'!$F$55:$AN$55)/(1-Loss_GasEnergy)</f>
        <v>0</v>
      </c>
      <c r="BV99" s="59">
        <f ca="1">SUMPRODUCT($CA99:$DI99,OFFSET('General Inputs'!$F$40:$AN$40,MATCH($D99&amp;" Electric ($/kWh)",'General Inputs'!$E$40:$E$46,0),),'General Inputs'!$F$55:$AN$55)</f>
        <v>0</v>
      </c>
      <c r="BW99" s="59">
        <f ca="1">SUMPRODUCT($EU99:$GC99,OFFSET('General Inputs'!$F$40:$AN$40,MATCH($D99&amp;" Natural Gas ($/therm)",'General Inputs'!$E$40:$E$46,0),),'General Inputs'!$F$55:$AN$55)</f>
        <v>0</v>
      </c>
      <c r="BX99" s="59">
        <f ca="1">INDEX('General Inputs'!$F$55:$AN$55,MATCH($H99,'General Inputs'!$F$50:$AN$50,0))*$AI99</f>
        <v>35000</v>
      </c>
      <c r="BY99" s="59">
        <f ca="1">INDEX('General Inputs'!$F$51:$AN$51,MATCH($H99,'General Inputs'!$F$50:$AN$50,0))*$AM99</f>
        <v>0</v>
      </c>
      <c r="BZ99" s="55"/>
      <c r="CA99" s="88">
        <f t="shared" ref="CA99:CJ105" ca="1" si="300">IF(AND($H99&lt;=CA$8,$H99+$AK99&gt;CA$8),IF(AND($H99+$AL99&lt;=CA$8,$AL99&gt;0),$AB99,$X99),0)</f>
        <v>306732.6804999999</v>
      </c>
      <c r="CB99" s="88">
        <f t="shared" ca="1" si="300"/>
        <v>306732.6804999999</v>
      </c>
      <c r="CC99" s="88">
        <f t="shared" ca="1" si="300"/>
        <v>306732.6804999999</v>
      </c>
      <c r="CD99" s="88">
        <f t="shared" ca="1" si="300"/>
        <v>306732.6804999999</v>
      </c>
      <c r="CE99" s="88">
        <f t="shared" ca="1" si="300"/>
        <v>306732.6804999999</v>
      </c>
      <c r="CF99" s="88">
        <f t="shared" ca="1" si="300"/>
        <v>306732.6804999999</v>
      </c>
      <c r="CG99" s="88">
        <f t="shared" ca="1" si="300"/>
        <v>306732.6804999999</v>
      </c>
      <c r="CH99" s="88">
        <f t="shared" ca="1" si="300"/>
        <v>306732.6804999999</v>
      </c>
      <c r="CI99" s="88">
        <f t="shared" ca="1" si="300"/>
        <v>0</v>
      </c>
      <c r="CJ99" s="88">
        <f t="shared" ca="1" si="300"/>
        <v>0</v>
      </c>
      <c r="CK99" s="88">
        <f t="shared" ref="CK99:CT105" ca="1" si="301">IF(AND($H99&lt;=CK$8,$H99+$AK99&gt;CK$8),IF(AND($H99+$AL99&lt;=CK$8,$AL99&gt;0),$AB99,$X99),0)</f>
        <v>0</v>
      </c>
      <c r="CL99" s="88">
        <f t="shared" ca="1" si="301"/>
        <v>0</v>
      </c>
      <c r="CM99" s="88">
        <f t="shared" ca="1" si="301"/>
        <v>0</v>
      </c>
      <c r="CN99" s="88">
        <f t="shared" ca="1" si="301"/>
        <v>0</v>
      </c>
      <c r="CO99" s="88">
        <f t="shared" ca="1" si="301"/>
        <v>0</v>
      </c>
      <c r="CP99" s="88">
        <f t="shared" ca="1" si="301"/>
        <v>0</v>
      </c>
      <c r="CQ99" s="88">
        <f t="shared" ca="1" si="301"/>
        <v>0</v>
      </c>
      <c r="CR99" s="88">
        <f t="shared" ca="1" si="301"/>
        <v>0</v>
      </c>
      <c r="CS99" s="88">
        <f t="shared" ca="1" si="301"/>
        <v>0</v>
      </c>
      <c r="CT99" s="88">
        <f t="shared" ca="1" si="301"/>
        <v>0</v>
      </c>
      <c r="CU99" s="88">
        <f t="shared" ref="CU99:DI105" ca="1" si="302">IF(AND($H99&lt;=CU$8,$H99+$AK99&gt;CU$8),IF(AND($H99+$AL99&lt;=CU$8,$AL99&gt;0),$AB99,$X99),0)</f>
        <v>0</v>
      </c>
      <c r="CV99" s="88">
        <f t="shared" ca="1" si="302"/>
        <v>0</v>
      </c>
      <c r="CW99" s="88">
        <f t="shared" ca="1" si="302"/>
        <v>0</v>
      </c>
      <c r="CX99" s="88">
        <f t="shared" ca="1" si="302"/>
        <v>0</v>
      </c>
      <c r="CY99" s="88">
        <f t="shared" ca="1" si="302"/>
        <v>0</v>
      </c>
      <c r="CZ99" s="88">
        <f t="shared" ca="1" si="302"/>
        <v>0</v>
      </c>
      <c r="DA99" s="88">
        <f t="shared" ca="1" si="302"/>
        <v>0</v>
      </c>
      <c r="DB99" s="88">
        <f t="shared" ca="1" si="302"/>
        <v>0</v>
      </c>
      <c r="DC99" s="88">
        <f t="shared" ca="1" si="302"/>
        <v>0</v>
      </c>
      <c r="DD99" s="88">
        <f t="shared" ca="1" si="302"/>
        <v>0</v>
      </c>
      <c r="DE99" s="88">
        <f t="shared" ca="1" si="302"/>
        <v>0</v>
      </c>
      <c r="DF99" s="88">
        <f t="shared" ca="1" si="302"/>
        <v>0</v>
      </c>
      <c r="DG99" s="88">
        <f t="shared" ca="1" si="302"/>
        <v>0</v>
      </c>
      <c r="DH99" s="88">
        <f t="shared" ca="1" si="302"/>
        <v>0</v>
      </c>
      <c r="DI99" s="88">
        <f t="shared" ca="1" si="302"/>
        <v>0</v>
      </c>
      <c r="DJ99" s="169"/>
      <c r="DK99" s="88">
        <f t="shared" ref="DK99:DT105" ca="1" si="303">IF(AND($H99&lt;=DK$8,$H99+$AK99&gt;DK$8),IF(AND($H99+$AL99&lt;=DK$8,$AL99&gt;0),$AC99,$Y99),0)</f>
        <v>81.329499999999982</v>
      </c>
      <c r="DL99" s="88">
        <f t="shared" ca="1" si="303"/>
        <v>81.329499999999982</v>
      </c>
      <c r="DM99" s="88">
        <f t="shared" ca="1" si="303"/>
        <v>81.329499999999982</v>
      </c>
      <c r="DN99" s="88">
        <f t="shared" ca="1" si="303"/>
        <v>81.329499999999982</v>
      </c>
      <c r="DO99" s="88">
        <f t="shared" ca="1" si="303"/>
        <v>81.329499999999982</v>
      </c>
      <c r="DP99" s="88">
        <f t="shared" ca="1" si="303"/>
        <v>81.329499999999982</v>
      </c>
      <c r="DQ99" s="88">
        <f t="shared" ca="1" si="303"/>
        <v>81.329499999999982</v>
      </c>
      <c r="DR99" s="88">
        <f t="shared" ca="1" si="303"/>
        <v>81.329499999999982</v>
      </c>
      <c r="DS99" s="88">
        <f t="shared" ca="1" si="303"/>
        <v>0</v>
      </c>
      <c r="DT99" s="88">
        <f t="shared" ca="1" si="303"/>
        <v>0</v>
      </c>
      <c r="DU99" s="88">
        <f t="shared" ref="DU99:ED105" ca="1" si="304">IF(AND($H99&lt;=DU$8,$H99+$AK99&gt;DU$8),IF(AND($H99+$AL99&lt;=DU$8,$AL99&gt;0),$AC99,$Y99),0)</f>
        <v>0</v>
      </c>
      <c r="DV99" s="88">
        <f t="shared" ca="1" si="304"/>
        <v>0</v>
      </c>
      <c r="DW99" s="88">
        <f t="shared" ca="1" si="304"/>
        <v>0</v>
      </c>
      <c r="DX99" s="88">
        <f t="shared" ca="1" si="304"/>
        <v>0</v>
      </c>
      <c r="DY99" s="88">
        <f t="shared" ca="1" si="304"/>
        <v>0</v>
      </c>
      <c r="DZ99" s="88">
        <f t="shared" ca="1" si="304"/>
        <v>0</v>
      </c>
      <c r="EA99" s="88">
        <f t="shared" ca="1" si="304"/>
        <v>0</v>
      </c>
      <c r="EB99" s="88">
        <f t="shared" ca="1" si="304"/>
        <v>0</v>
      </c>
      <c r="EC99" s="88">
        <f t="shared" ca="1" si="304"/>
        <v>0</v>
      </c>
      <c r="ED99" s="88">
        <f t="shared" ca="1" si="304"/>
        <v>0</v>
      </c>
      <c r="EE99" s="88">
        <f t="shared" ref="EE99:ES105" ca="1" si="305">IF(AND($H99&lt;=EE$8,$H99+$AK99&gt;EE$8),IF(AND($H99+$AL99&lt;=EE$8,$AL99&gt;0),$AC99,$Y99),0)</f>
        <v>0</v>
      </c>
      <c r="EF99" s="88">
        <f t="shared" ca="1" si="305"/>
        <v>0</v>
      </c>
      <c r="EG99" s="88">
        <f t="shared" ca="1" si="305"/>
        <v>0</v>
      </c>
      <c r="EH99" s="88">
        <f t="shared" ca="1" si="305"/>
        <v>0</v>
      </c>
      <c r="EI99" s="88">
        <f t="shared" ca="1" si="305"/>
        <v>0</v>
      </c>
      <c r="EJ99" s="88">
        <f t="shared" ca="1" si="305"/>
        <v>0</v>
      </c>
      <c r="EK99" s="88">
        <f t="shared" ca="1" si="305"/>
        <v>0</v>
      </c>
      <c r="EL99" s="88">
        <f t="shared" ca="1" si="305"/>
        <v>0</v>
      </c>
      <c r="EM99" s="88">
        <f t="shared" ca="1" si="305"/>
        <v>0</v>
      </c>
      <c r="EN99" s="88">
        <f t="shared" ca="1" si="305"/>
        <v>0</v>
      </c>
      <c r="EO99" s="88">
        <f t="shared" ca="1" si="305"/>
        <v>0</v>
      </c>
      <c r="EP99" s="88">
        <f t="shared" ca="1" si="305"/>
        <v>0</v>
      </c>
      <c r="EQ99" s="88">
        <f t="shared" ca="1" si="305"/>
        <v>0</v>
      </c>
      <c r="ER99" s="88">
        <f t="shared" ca="1" si="305"/>
        <v>0</v>
      </c>
      <c r="ES99" s="88">
        <f t="shared" ca="1" si="305"/>
        <v>0</v>
      </c>
      <c r="ET99" s="169"/>
      <c r="EU99" s="88">
        <f t="shared" ref="EU99:FD105" ca="1" si="306">IF(AND($H99&lt;=EU$8,$H99+$AK99&gt;EU$8),IF(AND($H99+$AL99&lt;=EU$8,$AL99&gt;0),$AD99,$Z99),0)</f>
        <v>0</v>
      </c>
      <c r="EV99" s="88">
        <f t="shared" ca="1" si="306"/>
        <v>0</v>
      </c>
      <c r="EW99" s="88">
        <f t="shared" ca="1" si="306"/>
        <v>0</v>
      </c>
      <c r="EX99" s="88">
        <f t="shared" ca="1" si="306"/>
        <v>0</v>
      </c>
      <c r="EY99" s="88">
        <f t="shared" ca="1" si="306"/>
        <v>0</v>
      </c>
      <c r="EZ99" s="88">
        <f t="shared" ca="1" si="306"/>
        <v>0</v>
      </c>
      <c r="FA99" s="88">
        <f t="shared" ca="1" si="306"/>
        <v>0</v>
      </c>
      <c r="FB99" s="88">
        <f t="shared" ca="1" si="306"/>
        <v>0</v>
      </c>
      <c r="FC99" s="88">
        <f t="shared" ca="1" si="306"/>
        <v>0</v>
      </c>
      <c r="FD99" s="88">
        <f t="shared" ca="1" si="306"/>
        <v>0</v>
      </c>
      <c r="FE99" s="88">
        <f t="shared" ref="FE99:FN105" ca="1" si="307">IF(AND($H99&lt;=FE$8,$H99+$AK99&gt;FE$8),IF(AND($H99+$AL99&lt;=FE$8,$AL99&gt;0),$AD99,$Z99),0)</f>
        <v>0</v>
      </c>
      <c r="FF99" s="88">
        <f t="shared" ca="1" si="307"/>
        <v>0</v>
      </c>
      <c r="FG99" s="88">
        <f t="shared" ca="1" si="307"/>
        <v>0</v>
      </c>
      <c r="FH99" s="88">
        <f t="shared" ca="1" si="307"/>
        <v>0</v>
      </c>
      <c r="FI99" s="88">
        <f t="shared" ca="1" si="307"/>
        <v>0</v>
      </c>
      <c r="FJ99" s="88">
        <f t="shared" ca="1" si="307"/>
        <v>0</v>
      </c>
      <c r="FK99" s="88">
        <f t="shared" ca="1" si="307"/>
        <v>0</v>
      </c>
      <c r="FL99" s="88">
        <f t="shared" ca="1" si="307"/>
        <v>0</v>
      </c>
      <c r="FM99" s="88">
        <f t="shared" ca="1" si="307"/>
        <v>0</v>
      </c>
      <c r="FN99" s="88">
        <f t="shared" ca="1" si="307"/>
        <v>0</v>
      </c>
      <c r="FO99" s="88">
        <f t="shared" ref="FO99:GC105" ca="1" si="308">IF(AND($H99&lt;=FO$8,$H99+$AK99&gt;FO$8),IF(AND($H99+$AL99&lt;=FO$8,$AL99&gt;0),$AD99,$Z99),0)</f>
        <v>0</v>
      </c>
      <c r="FP99" s="88">
        <f t="shared" ca="1" si="308"/>
        <v>0</v>
      </c>
      <c r="FQ99" s="88">
        <f t="shared" ca="1" si="308"/>
        <v>0</v>
      </c>
      <c r="FR99" s="88">
        <f t="shared" ca="1" si="308"/>
        <v>0</v>
      </c>
      <c r="FS99" s="88">
        <f t="shared" ca="1" si="308"/>
        <v>0</v>
      </c>
      <c r="FT99" s="88">
        <f t="shared" ca="1" si="308"/>
        <v>0</v>
      </c>
      <c r="FU99" s="88">
        <f t="shared" ca="1" si="308"/>
        <v>0</v>
      </c>
      <c r="FV99" s="88">
        <f t="shared" ca="1" si="308"/>
        <v>0</v>
      </c>
      <c r="FW99" s="88">
        <f t="shared" ca="1" si="308"/>
        <v>0</v>
      </c>
      <c r="FX99" s="88">
        <f t="shared" ca="1" si="308"/>
        <v>0</v>
      </c>
      <c r="FY99" s="88">
        <f t="shared" ca="1" si="308"/>
        <v>0</v>
      </c>
      <c r="FZ99" s="88">
        <f t="shared" ca="1" si="308"/>
        <v>0</v>
      </c>
      <c r="GA99" s="88">
        <f t="shared" ca="1" si="308"/>
        <v>0</v>
      </c>
      <c r="GB99" s="88">
        <f t="shared" ca="1" si="308"/>
        <v>0</v>
      </c>
      <c r="GC99" s="88">
        <f t="shared" ca="1" si="308"/>
        <v>0</v>
      </c>
      <c r="GD99" s="60"/>
    </row>
    <row r="100" spans="1:186" s="54" customFormat="1" ht="14.45" customHeight="1">
      <c r="A100" s="61"/>
      <c r="B100" s="100" t="str">
        <f t="shared" si="277"/>
        <v>C&amp;I_C&amp;I Prescriptive_0_LED Linear Replacement Lamp (≤4ft)_2017</v>
      </c>
      <c r="C100" s="100">
        <f>INDEX('Measure Inputs'!$D:$D,MATCH($B100,'Measure Inputs'!$B:$B,0))</f>
        <v>52</v>
      </c>
      <c r="D100" s="101" t="s">
        <v>256</v>
      </c>
      <c r="E100" s="101" t="s">
        <v>255</v>
      </c>
      <c r="F100" s="101">
        <v>0</v>
      </c>
      <c r="G100" s="101" t="s">
        <v>299</v>
      </c>
      <c r="H100" s="101">
        <v>2017</v>
      </c>
      <c r="I100" s="55"/>
      <c r="J100" s="58">
        <f t="shared" ca="1" si="229"/>
        <v>0.79731892527965142</v>
      </c>
      <c r="K100" s="58">
        <f t="shared" ca="1" si="246"/>
        <v>3.1892757011186057</v>
      </c>
      <c r="L100" s="58">
        <f t="shared" ca="1" si="230"/>
        <v>0.25</v>
      </c>
      <c r="M100" s="58">
        <f t="shared" ca="1" si="231"/>
        <v>1.0593665225661464</v>
      </c>
      <c r="N100" s="58">
        <f t="shared" ca="1" si="232"/>
        <v>3.1892757011186057</v>
      </c>
      <c r="O100" s="55"/>
      <c r="P100" s="175">
        <f ca="1">IFERROR(($AW100+AV100)/SUMPRODUCT($CA100:$DI100,'General Inputs'!$F$51:$AN$51),"n/a")</f>
        <v>1.1412263151722064E-2</v>
      </c>
      <c r="Q100" s="175">
        <f t="shared" ca="1" si="233"/>
        <v>8.0278896378716644E-2</v>
      </c>
      <c r="R100" s="56">
        <f t="shared" ca="1" si="296"/>
        <v>2989.5777200000002</v>
      </c>
      <c r="S100" s="55"/>
      <c r="T100" s="56">
        <f ca="1">INDEX(OFFSET('Measure Inputs'!$L$7,,,InputRows),$C100)</f>
        <v>4000</v>
      </c>
      <c r="U100" s="134">
        <f ca="1">INDEX(OFFSET('Measure Inputs'!$T$7,,,InputRows),$C100)</f>
        <v>1</v>
      </c>
      <c r="V100" s="134">
        <f ca="1">INDEX(OFFSET('Measure Inputs'!$U$7,,,InputRows),$C100)</f>
        <v>1</v>
      </c>
      <c r="W100" s="55"/>
      <c r="X100" s="96">
        <f ca="1">INDEX(OFFSET('Measure Inputs'!$V$7,,,InputRows),$C100)*$T100*$V100*$U100</f>
        <v>298957.77200000006</v>
      </c>
      <c r="Y100" s="96">
        <f ca="1">INDEX(OFFSET('Measure Inputs'!$W$7,,,InputRows),$C100)*$T100*$V100*$U100</f>
        <v>79.268000000000015</v>
      </c>
      <c r="Z100" s="96">
        <f ca="1">INDEX(OFFSET('Measure Inputs'!$X$7,,,InputRows),$C100)*$T100*$V100*$U100</f>
        <v>0</v>
      </c>
      <c r="AA100" s="55"/>
      <c r="AB100" s="96">
        <f ca="1">INDEX(OFFSET('Measure Inputs'!$Z$7,,,InputRows),$C100)*$T100*$V100*$U100</f>
        <v>0</v>
      </c>
      <c r="AC100" s="96">
        <f ca="1">INDEX(OFFSET('Measure Inputs'!$AA$7,,,InputRows),$C100)*$T100*$V100*$U100</f>
        <v>0</v>
      </c>
      <c r="AD100" s="96">
        <f ca="1">INDEX(OFFSET('Measure Inputs'!$AB$7,,,InputRows),$C100)*$T100*$V100*$U100</f>
        <v>0</v>
      </c>
      <c r="AE100" s="55"/>
      <c r="AF100" s="57">
        <f ca="1">INDEX(OFFSET('Measure Inputs'!$Q$7,,,InputRows),$C100)*$T100</f>
        <v>0</v>
      </c>
      <c r="AG100" s="57">
        <f ca="1">INDEX(OFFSET('Measure Inputs'!$P$7,,,InputRows),$C100)*$T100*$V100</f>
        <v>96000</v>
      </c>
      <c r="AH100" s="57">
        <f ca="1">INDEX(OFFSET('Measure Inputs'!$R$7,,,InputRows),$C100)*$T100*$V100</f>
        <v>0</v>
      </c>
      <c r="AI100" s="57">
        <f ca="1">INDEX(OFFSET('Measure Inputs'!$O$7,,,InputRows),$C100)*$T100</f>
        <v>24000</v>
      </c>
      <c r="AJ100" s="57">
        <f ca="1">INDEX(OFFSET('Measure Inputs'!$S$7,,,InputRows),$C100)*$T100</f>
        <v>0</v>
      </c>
      <c r="AK100" s="63">
        <f ca="1">INDEX(OFFSET('Measure Inputs'!$M$7,,,InputRows),$C100)</f>
        <v>10</v>
      </c>
      <c r="AL100" s="88">
        <f ca="1">INDEX(OFFSET('Measure Inputs'!$N$7,,,InputRows),$C100)</f>
        <v>0</v>
      </c>
      <c r="AM100" s="57">
        <f ca="1">SUMIFS(OFFSET('Program Inputs'!$N$5,,,TotalPrograms),OFFSET('Program Inputs'!$B$5,,,TotalPrograms),SUBSTITUTE($B100,"All","*"))+AF100</f>
        <v>0</v>
      </c>
      <c r="AN100" s="57">
        <f t="shared" ca="1" si="297"/>
        <v>24000</v>
      </c>
      <c r="AO100" s="55"/>
      <c r="AP100" s="59">
        <f t="shared" ca="1" si="298"/>
        <v>76542.616826846541</v>
      </c>
      <c r="AQ100" s="59">
        <f t="shared" ca="1" si="299"/>
        <v>96000</v>
      </c>
      <c r="AR100" s="59">
        <f ca="1">SUMPRODUCT($CA100:$DI100,'General Inputs'!$F$32:$AN$32,'General Inputs'!$F$51:$AN$51)/(1-Loss_ElectricEnergy)</f>
        <v>64282.978999351166</v>
      </c>
      <c r="AS100" s="59">
        <f ca="1">SUMPRODUCT($DK100:$ES100,'General Inputs'!$F$33:$AN$33,'General Inputs'!$F$51:$AN$51)/(1-Loss_ElectricDemand)</f>
        <v>12259.63782749538</v>
      </c>
      <c r="AT100" s="59">
        <f ca="1">SUMPRODUCT($EU100:$GC100,'General Inputs'!$F$34:$AN$34,'General Inputs'!$F$51:$AN$51)/(1-Loss_GasEnergy)</f>
        <v>0</v>
      </c>
      <c r="AU100" s="59">
        <f ca="1">INDEX('General Inputs'!$F$51:$AN$51,MATCH($H100,'General Inputs'!$F$50:$AN$50,0))*$AJ100</f>
        <v>0</v>
      </c>
      <c r="AV100" s="59">
        <f ca="1">INDEX('General Inputs'!$F$51:$AN$51,MATCH($H100,'General Inputs'!$F$50:$AN$50,0))*$AI100</f>
        <v>24000</v>
      </c>
      <c r="AW100" s="59">
        <f ca="1">INDEX('General Inputs'!$F$51:$AN$51,MATCH($H100,'General Inputs'!$F$50:$AN$50,0))*$AM100</f>
        <v>0</v>
      </c>
      <c r="AX100" s="59">
        <f ca="1">SUM(INDEX('General Inputs'!$F$51:$AN$51,MATCH($H100,'General Inputs'!$F$50:$AN$50,0))*$AG100,INDEX('General Inputs'!$F$51:$AN$51,MATCH($H100+$AL100,'General Inputs'!$F$50:$AN$50,0))*-$AH100)</f>
        <v>96000</v>
      </c>
      <c r="AY100" s="55"/>
      <c r="AZ100" s="59">
        <f ca="1">SUMPRODUCT($CA100:$DI100,'General Inputs'!$F$32:$AN$32,'General Inputs'!$F$52:$AN$52)/(1-Loss_ElectricEnergy)</f>
        <v>64282.978999351166</v>
      </c>
      <c r="BA100" s="59">
        <f ca="1">SUMPRODUCT($DK100:$ES100,'General Inputs'!$F$33:$AN$33,'General Inputs'!$F$52:$AN$52)/(1-Loss_ElectricDemand)</f>
        <v>12259.63782749538</v>
      </c>
      <c r="BB100" s="59">
        <f ca="1">SUMPRODUCT($EU100:$GC100,'General Inputs'!$F$34:$AN$34,'General Inputs'!$F$52:$AN$52)/(1-Loss_GasEnergy)</f>
        <v>0</v>
      </c>
      <c r="BC100" s="59">
        <f ca="1">INDEX('General Inputs'!$F$52:$AN$52,MATCH($H100,'General Inputs'!$F$50:$AN$50,0))*$AI100</f>
        <v>24000</v>
      </c>
      <c r="BD100" s="59">
        <f ca="1">INDEX('General Inputs'!$F$52:$AN$52,MATCH($H100,'General Inputs'!$F$50:$AN$50,0))*$AM100</f>
        <v>0</v>
      </c>
      <c r="BE100" s="55"/>
      <c r="BF100" s="59">
        <f ca="1">SUMPRODUCT($CA100:$DI100,OFFSET('General Inputs'!$F$40:$AN$40,MATCH($D100&amp;" Electric ($/kWh)",'General Inputs'!$E$40:$E$46,0),),'General Inputs'!$F$54:$AN$54)</f>
        <v>0</v>
      </c>
      <c r="BG100" s="59">
        <f ca="1">SUMPRODUCT($EU100:$GC100,OFFSET('General Inputs'!$F$40:$AN$40,MATCH($D100&amp;" Natural Gas ($/therm)",'General Inputs'!$E$40:$E$46,0),),'General Inputs'!$F$54:$AN$54)</f>
        <v>0</v>
      </c>
      <c r="BH100" s="59">
        <f ca="1">INDEX('General Inputs'!$F$54:$AN$54,MATCH($H100,'General Inputs'!$F$50:$AN$50,0))*$AI100</f>
        <v>24000</v>
      </c>
      <c r="BI100" s="59">
        <f ca="1">SUM(INDEX('General Inputs'!$F$54:$AN$54,MATCH($H100,'General Inputs'!$F$50:$AN$50,0))*$AG100,INDEX('General Inputs'!$F$51:$AN$51,MATCH($H100+$AL100,'General Inputs'!$F$50:$AN$50,0))*-$AH100)</f>
        <v>96000</v>
      </c>
      <c r="BJ100" s="55"/>
      <c r="BK100" s="59">
        <f ca="1">SUMPRODUCT($CA100:$DI100,'General Inputs'!$F$32:$AN$32,'General Inputs'!$F$53:$AN$53)/(1-Loss_ElectricEnergy)</f>
        <v>64282.978999351166</v>
      </c>
      <c r="BL100" s="59">
        <f ca="1">SUMPRODUCT($DK100:$ES100,'General Inputs'!$F$33:$AN$33,'General Inputs'!$F$53:$AN$53)/(1-Loss_ElectricDemand)</f>
        <v>12259.63782749538</v>
      </c>
      <c r="BM100" s="59">
        <f ca="1">SUMPRODUCT($EU100:$GC100,'General Inputs'!$F$34:$AN$34,'General Inputs'!$F$53:$AN$53)/(1-Loss_GasEnergy)</f>
        <v>0</v>
      </c>
      <c r="BN100" s="59">
        <f ca="1">INDEX('General Inputs'!$F$53:$AN$53,MATCH($H100,'General Inputs'!$F$50:$AN$50,0))*$AJ100</f>
        <v>0</v>
      </c>
      <c r="BO100" s="59">
        <f ca="1">SUMPRODUCT($CA100:$DI100,'General Inputs'!$F$35:$AN$35,'General Inputs'!$F$53:$AN$53)/(1-Loss_ElectricEnergy)</f>
        <v>25156.569339503501</v>
      </c>
      <c r="BP100" s="59">
        <f ca="1">INDEX('General Inputs'!$F$51:$AN$51,MATCH($H100,'General Inputs'!$F$50:$AN$50,0))*$AM100</f>
        <v>0</v>
      </c>
      <c r="BQ100" s="59">
        <f ca="1">SUM(INDEX('General Inputs'!$F$53:$AN$53,MATCH($H100,'General Inputs'!$F$50:$AN$50,0))*$AG100,INDEX('General Inputs'!$F$53:$AN$53,MATCH($H100+$AL100,'General Inputs'!$F$50:$AN$50,0))*-$AH100)</f>
        <v>96000</v>
      </c>
      <c r="BR100" s="55"/>
      <c r="BS100" s="59">
        <f ca="1">SUMPRODUCT($CA100:$DI100,'General Inputs'!$F$32:$AN$32,'General Inputs'!$F$55:$AN$55)/(1-Loss_ElectricEnergy)</f>
        <v>64282.978999351166</v>
      </c>
      <c r="BT100" s="59">
        <f ca="1">SUMPRODUCT($DK100:$ES100,'General Inputs'!$F$33:$AN$33,'General Inputs'!$F$55:$AN$55)/(1-Loss_ElectricDemand)</f>
        <v>12259.63782749538</v>
      </c>
      <c r="BU100" s="59">
        <f ca="1">SUMPRODUCT($EU100:$GC100,'General Inputs'!$F$34:$AN$34,'General Inputs'!$F$55:$AN$55)/(1-Loss_GasEnergy)</f>
        <v>0</v>
      </c>
      <c r="BV100" s="59">
        <f ca="1">SUMPRODUCT($CA100:$DI100,OFFSET('General Inputs'!$F$40:$AN$40,MATCH($D100&amp;" Electric ($/kWh)",'General Inputs'!$E$40:$E$46,0),),'General Inputs'!$F$55:$AN$55)</f>
        <v>0</v>
      </c>
      <c r="BW100" s="59">
        <f ca="1">SUMPRODUCT($EU100:$GC100,OFFSET('General Inputs'!$F$40:$AN$40,MATCH($D100&amp;" Natural Gas ($/therm)",'General Inputs'!$E$40:$E$46,0),),'General Inputs'!$F$55:$AN$55)</f>
        <v>0</v>
      </c>
      <c r="BX100" s="59">
        <f ca="1">INDEX('General Inputs'!$F$55:$AN$55,MATCH($H100,'General Inputs'!$F$50:$AN$50,0))*$AI100</f>
        <v>24000</v>
      </c>
      <c r="BY100" s="59">
        <f ca="1">INDEX('General Inputs'!$F$51:$AN$51,MATCH($H100,'General Inputs'!$F$50:$AN$50,0))*$AM100</f>
        <v>0</v>
      </c>
      <c r="BZ100" s="55"/>
      <c r="CA100" s="88">
        <f t="shared" ca="1" si="300"/>
        <v>298957.77200000006</v>
      </c>
      <c r="CB100" s="88">
        <f t="shared" ca="1" si="300"/>
        <v>298957.77200000006</v>
      </c>
      <c r="CC100" s="88">
        <f t="shared" ca="1" si="300"/>
        <v>298957.77200000006</v>
      </c>
      <c r="CD100" s="88">
        <f t="shared" ca="1" si="300"/>
        <v>298957.77200000006</v>
      </c>
      <c r="CE100" s="88">
        <f t="shared" ca="1" si="300"/>
        <v>298957.77200000006</v>
      </c>
      <c r="CF100" s="88">
        <f t="shared" ca="1" si="300"/>
        <v>298957.77200000006</v>
      </c>
      <c r="CG100" s="88">
        <f t="shared" ca="1" si="300"/>
        <v>298957.77200000006</v>
      </c>
      <c r="CH100" s="88">
        <f t="shared" ca="1" si="300"/>
        <v>298957.77200000006</v>
      </c>
      <c r="CI100" s="88">
        <f t="shared" ca="1" si="300"/>
        <v>298957.77200000006</v>
      </c>
      <c r="CJ100" s="88">
        <f t="shared" ca="1" si="300"/>
        <v>298957.77200000006</v>
      </c>
      <c r="CK100" s="88">
        <f t="shared" ca="1" si="301"/>
        <v>0</v>
      </c>
      <c r="CL100" s="88">
        <f t="shared" ca="1" si="301"/>
        <v>0</v>
      </c>
      <c r="CM100" s="88">
        <f t="shared" ca="1" si="301"/>
        <v>0</v>
      </c>
      <c r="CN100" s="88">
        <f t="shared" ca="1" si="301"/>
        <v>0</v>
      </c>
      <c r="CO100" s="88">
        <f t="shared" ca="1" si="301"/>
        <v>0</v>
      </c>
      <c r="CP100" s="88">
        <f t="shared" ca="1" si="301"/>
        <v>0</v>
      </c>
      <c r="CQ100" s="88">
        <f t="shared" ca="1" si="301"/>
        <v>0</v>
      </c>
      <c r="CR100" s="88">
        <f t="shared" ca="1" si="301"/>
        <v>0</v>
      </c>
      <c r="CS100" s="88">
        <f t="shared" ca="1" si="301"/>
        <v>0</v>
      </c>
      <c r="CT100" s="88">
        <f t="shared" ca="1" si="301"/>
        <v>0</v>
      </c>
      <c r="CU100" s="88">
        <f t="shared" ca="1" si="302"/>
        <v>0</v>
      </c>
      <c r="CV100" s="88">
        <f t="shared" ca="1" si="302"/>
        <v>0</v>
      </c>
      <c r="CW100" s="88">
        <f t="shared" ca="1" si="302"/>
        <v>0</v>
      </c>
      <c r="CX100" s="88">
        <f t="shared" ca="1" si="302"/>
        <v>0</v>
      </c>
      <c r="CY100" s="88">
        <f t="shared" ca="1" si="302"/>
        <v>0</v>
      </c>
      <c r="CZ100" s="88">
        <f t="shared" ca="1" si="302"/>
        <v>0</v>
      </c>
      <c r="DA100" s="88">
        <f t="shared" ca="1" si="302"/>
        <v>0</v>
      </c>
      <c r="DB100" s="88">
        <f t="shared" ca="1" si="302"/>
        <v>0</v>
      </c>
      <c r="DC100" s="88">
        <f t="shared" ca="1" si="302"/>
        <v>0</v>
      </c>
      <c r="DD100" s="88">
        <f t="shared" ca="1" si="302"/>
        <v>0</v>
      </c>
      <c r="DE100" s="88">
        <f t="shared" ca="1" si="302"/>
        <v>0</v>
      </c>
      <c r="DF100" s="88">
        <f t="shared" ca="1" si="302"/>
        <v>0</v>
      </c>
      <c r="DG100" s="88">
        <f t="shared" ca="1" si="302"/>
        <v>0</v>
      </c>
      <c r="DH100" s="88">
        <f t="shared" ca="1" si="302"/>
        <v>0</v>
      </c>
      <c r="DI100" s="88">
        <f t="shared" ca="1" si="302"/>
        <v>0</v>
      </c>
      <c r="DJ100" s="169"/>
      <c r="DK100" s="88">
        <f t="shared" ca="1" si="303"/>
        <v>79.268000000000015</v>
      </c>
      <c r="DL100" s="88">
        <f t="shared" ca="1" si="303"/>
        <v>79.268000000000015</v>
      </c>
      <c r="DM100" s="88">
        <f t="shared" ca="1" si="303"/>
        <v>79.268000000000015</v>
      </c>
      <c r="DN100" s="88">
        <f t="shared" ca="1" si="303"/>
        <v>79.268000000000015</v>
      </c>
      <c r="DO100" s="88">
        <f t="shared" ca="1" si="303"/>
        <v>79.268000000000015</v>
      </c>
      <c r="DP100" s="88">
        <f t="shared" ca="1" si="303"/>
        <v>79.268000000000015</v>
      </c>
      <c r="DQ100" s="88">
        <f t="shared" ca="1" si="303"/>
        <v>79.268000000000015</v>
      </c>
      <c r="DR100" s="88">
        <f t="shared" ca="1" si="303"/>
        <v>79.268000000000015</v>
      </c>
      <c r="DS100" s="88">
        <f t="shared" ca="1" si="303"/>
        <v>79.268000000000015</v>
      </c>
      <c r="DT100" s="88">
        <f t="shared" ca="1" si="303"/>
        <v>79.268000000000015</v>
      </c>
      <c r="DU100" s="88">
        <f t="shared" ca="1" si="304"/>
        <v>0</v>
      </c>
      <c r="DV100" s="88">
        <f t="shared" ca="1" si="304"/>
        <v>0</v>
      </c>
      <c r="DW100" s="88">
        <f t="shared" ca="1" si="304"/>
        <v>0</v>
      </c>
      <c r="DX100" s="88">
        <f t="shared" ca="1" si="304"/>
        <v>0</v>
      </c>
      <c r="DY100" s="88">
        <f t="shared" ca="1" si="304"/>
        <v>0</v>
      </c>
      <c r="DZ100" s="88">
        <f t="shared" ca="1" si="304"/>
        <v>0</v>
      </c>
      <c r="EA100" s="88">
        <f t="shared" ca="1" si="304"/>
        <v>0</v>
      </c>
      <c r="EB100" s="88">
        <f t="shared" ca="1" si="304"/>
        <v>0</v>
      </c>
      <c r="EC100" s="88">
        <f t="shared" ca="1" si="304"/>
        <v>0</v>
      </c>
      <c r="ED100" s="88">
        <f t="shared" ca="1" si="304"/>
        <v>0</v>
      </c>
      <c r="EE100" s="88">
        <f t="shared" ca="1" si="305"/>
        <v>0</v>
      </c>
      <c r="EF100" s="88">
        <f t="shared" ca="1" si="305"/>
        <v>0</v>
      </c>
      <c r="EG100" s="88">
        <f t="shared" ca="1" si="305"/>
        <v>0</v>
      </c>
      <c r="EH100" s="88">
        <f t="shared" ca="1" si="305"/>
        <v>0</v>
      </c>
      <c r="EI100" s="88">
        <f t="shared" ca="1" si="305"/>
        <v>0</v>
      </c>
      <c r="EJ100" s="88">
        <f t="shared" ca="1" si="305"/>
        <v>0</v>
      </c>
      <c r="EK100" s="88">
        <f t="shared" ca="1" si="305"/>
        <v>0</v>
      </c>
      <c r="EL100" s="88">
        <f t="shared" ca="1" si="305"/>
        <v>0</v>
      </c>
      <c r="EM100" s="88">
        <f t="shared" ca="1" si="305"/>
        <v>0</v>
      </c>
      <c r="EN100" s="88">
        <f t="shared" ca="1" si="305"/>
        <v>0</v>
      </c>
      <c r="EO100" s="88">
        <f t="shared" ca="1" si="305"/>
        <v>0</v>
      </c>
      <c r="EP100" s="88">
        <f t="shared" ca="1" si="305"/>
        <v>0</v>
      </c>
      <c r="EQ100" s="88">
        <f t="shared" ca="1" si="305"/>
        <v>0</v>
      </c>
      <c r="ER100" s="88">
        <f t="shared" ca="1" si="305"/>
        <v>0</v>
      </c>
      <c r="ES100" s="88">
        <f t="shared" ca="1" si="305"/>
        <v>0</v>
      </c>
      <c r="ET100" s="169"/>
      <c r="EU100" s="88">
        <f t="shared" ca="1" si="306"/>
        <v>0</v>
      </c>
      <c r="EV100" s="88">
        <f t="shared" ca="1" si="306"/>
        <v>0</v>
      </c>
      <c r="EW100" s="88">
        <f t="shared" ca="1" si="306"/>
        <v>0</v>
      </c>
      <c r="EX100" s="88">
        <f t="shared" ca="1" si="306"/>
        <v>0</v>
      </c>
      <c r="EY100" s="88">
        <f t="shared" ca="1" si="306"/>
        <v>0</v>
      </c>
      <c r="EZ100" s="88">
        <f t="shared" ca="1" si="306"/>
        <v>0</v>
      </c>
      <c r="FA100" s="88">
        <f t="shared" ca="1" si="306"/>
        <v>0</v>
      </c>
      <c r="FB100" s="88">
        <f t="shared" ca="1" si="306"/>
        <v>0</v>
      </c>
      <c r="FC100" s="88">
        <f t="shared" ca="1" si="306"/>
        <v>0</v>
      </c>
      <c r="FD100" s="88">
        <f t="shared" ca="1" si="306"/>
        <v>0</v>
      </c>
      <c r="FE100" s="88">
        <f t="shared" ca="1" si="307"/>
        <v>0</v>
      </c>
      <c r="FF100" s="88">
        <f t="shared" ca="1" si="307"/>
        <v>0</v>
      </c>
      <c r="FG100" s="88">
        <f t="shared" ca="1" si="307"/>
        <v>0</v>
      </c>
      <c r="FH100" s="88">
        <f t="shared" ca="1" si="307"/>
        <v>0</v>
      </c>
      <c r="FI100" s="88">
        <f t="shared" ca="1" si="307"/>
        <v>0</v>
      </c>
      <c r="FJ100" s="88">
        <f t="shared" ca="1" si="307"/>
        <v>0</v>
      </c>
      <c r="FK100" s="88">
        <f t="shared" ca="1" si="307"/>
        <v>0</v>
      </c>
      <c r="FL100" s="88">
        <f t="shared" ca="1" si="307"/>
        <v>0</v>
      </c>
      <c r="FM100" s="88">
        <f t="shared" ca="1" si="307"/>
        <v>0</v>
      </c>
      <c r="FN100" s="88">
        <f t="shared" ca="1" si="307"/>
        <v>0</v>
      </c>
      <c r="FO100" s="88">
        <f t="shared" ca="1" si="308"/>
        <v>0</v>
      </c>
      <c r="FP100" s="88">
        <f t="shared" ca="1" si="308"/>
        <v>0</v>
      </c>
      <c r="FQ100" s="88">
        <f t="shared" ca="1" si="308"/>
        <v>0</v>
      </c>
      <c r="FR100" s="88">
        <f t="shared" ca="1" si="308"/>
        <v>0</v>
      </c>
      <c r="FS100" s="88">
        <f t="shared" ca="1" si="308"/>
        <v>0</v>
      </c>
      <c r="FT100" s="88">
        <f t="shared" ca="1" si="308"/>
        <v>0</v>
      </c>
      <c r="FU100" s="88">
        <f t="shared" ca="1" si="308"/>
        <v>0</v>
      </c>
      <c r="FV100" s="88">
        <f t="shared" ca="1" si="308"/>
        <v>0</v>
      </c>
      <c r="FW100" s="88">
        <f t="shared" ca="1" si="308"/>
        <v>0</v>
      </c>
      <c r="FX100" s="88">
        <f t="shared" ca="1" si="308"/>
        <v>0</v>
      </c>
      <c r="FY100" s="88">
        <f t="shared" ca="1" si="308"/>
        <v>0</v>
      </c>
      <c r="FZ100" s="88">
        <f t="shared" ca="1" si="308"/>
        <v>0</v>
      </c>
      <c r="GA100" s="88">
        <f t="shared" ca="1" si="308"/>
        <v>0</v>
      </c>
      <c r="GB100" s="88">
        <f t="shared" ca="1" si="308"/>
        <v>0</v>
      </c>
      <c r="GC100" s="88">
        <f t="shared" ca="1" si="308"/>
        <v>0</v>
      </c>
      <c r="GD100" s="60"/>
    </row>
    <row r="101" spans="1:186" s="54" customFormat="1" ht="14.45" customHeight="1">
      <c r="A101" s="61"/>
      <c r="B101" s="100" t="str">
        <f t="shared" si="277"/>
        <v>C&amp;I_C&amp;I Prescriptive_0_LED Linear Replacement Lamp (5-8ft)_2017</v>
      </c>
      <c r="C101" s="100">
        <f>INDEX('Measure Inputs'!$D:$D,MATCH($B101,'Measure Inputs'!$B:$B,0))</f>
        <v>53</v>
      </c>
      <c r="D101" s="101" t="s">
        <v>256</v>
      </c>
      <c r="E101" s="101" t="s">
        <v>255</v>
      </c>
      <c r="F101" s="101">
        <v>0</v>
      </c>
      <c r="G101" s="101" t="s">
        <v>300</v>
      </c>
      <c r="H101" s="101">
        <v>2017</v>
      </c>
      <c r="I101" s="55"/>
      <c r="J101" s="58">
        <f t="shared" ca="1" si="229"/>
        <v>1.1772494198759951</v>
      </c>
      <c r="K101" s="58">
        <f t="shared" ca="1" si="246"/>
        <v>2.8253986077023883</v>
      </c>
      <c r="L101" s="58">
        <f t="shared" ca="1" si="230"/>
        <v>0.41666666666666669</v>
      </c>
      <c r="M101" s="58">
        <f t="shared" ca="1" si="231"/>
        <v>1.5641653353325646</v>
      </c>
      <c r="N101" s="58">
        <f t="shared" ca="1" si="232"/>
        <v>2.8253986077023883</v>
      </c>
      <c r="O101" s="55"/>
      <c r="P101" s="175">
        <f ca="1">IFERROR(($AW101+AV101)/SUMPRODUCT($CA101:$DI101,'General Inputs'!$F$51:$AN$51),"n/a")</f>
        <v>1.2882024315201426E-2</v>
      </c>
      <c r="Q101" s="175">
        <f t="shared" ca="1" si="233"/>
        <v>9.061784515476351E-2</v>
      </c>
      <c r="R101" s="56">
        <f t="shared" ca="1" si="296"/>
        <v>579.35608499999989</v>
      </c>
      <c r="S101" s="55"/>
      <c r="T101" s="56">
        <f ca="1">INDEX(OFFSET('Measure Inputs'!$L$7,,,InputRows),$C101)</f>
        <v>350</v>
      </c>
      <c r="U101" s="134">
        <f ca="1">INDEX(OFFSET('Measure Inputs'!$T$7,,,InputRows),$C101)</f>
        <v>1</v>
      </c>
      <c r="V101" s="134">
        <f ca="1">INDEX(OFFSET('Measure Inputs'!$U$7,,,InputRows),$C101)</f>
        <v>1</v>
      </c>
      <c r="W101" s="55"/>
      <c r="X101" s="96">
        <f ca="1">INDEX(OFFSET('Measure Inputs'!$V$7,,,InputRows),$C101)*$T101*$V101*$U101</f>
        <v>57935.608499999995</v>
      </c>
      <c r="Y101" s="96">
        <f ca="1">INDEX(OFFSET('Measure Inputs'!$W$7,,,InputRows),$C101)*$T101*$V101*$U101</f>
        <v>15.361500000000001</v>
      </c>
      <c r="Z101" s="96">
        <f ca="1">INDEX(OFFSET('Measure Inputs'!$X$7,,,InputRows),$C101)*$T101*$V101*$U101</f>
        <v>0</v>
      </c>
      <c r="AA101" s="55"/>
      <c r="AB101" s="96">
        <f ca="1">INDEX(OFFSET('Measure Inputs'!$Z$7,,,InputRows),$C101)*$T101*$V101*$U101</f>
        <v>0</v>
      </c>
      <c r="AC101" s="96">
        <f ca="1">INDEX(OFFSET('Measure Inputs'!$AA$7,,,InputRows),$C101)*$T101*$V101*$U101</f>
        <v>0</v>
      </c>
      <c r="AD101" s="96">
        <f ca="1">INDEX(OFFSET('Measure Inputs'!$AB$7,,,InputRows),$C101)*$T101*$V101*$U101</f>
        <v>0</v>
      </c>
      <c r="AE101" s="55"/>
      <c r="AF101" s="57">
        <f ca="1">INDEX(OFFSET('Measure Inputs'!$Q$7,,,InputRows),$C101)*$T101</f>
        <v>0</v>
      </c>
      <c r="AG101" s="57">
        <f ca="1">INDEX(OFFSET('Measure Inputs'!$P$7,,,InputRows),$C101)*$T101*$V101</f>
        <v>12600</v>
      </c>
      <c r="AH101" s="57">
        <f ca="1">INDEX(OFFSET('Measure Inputs'!$R$7,,,InputRows),$C101)*$T101*$V101</f>
        <v>0</v>
      </c>
      <c r="AI101" s="57">
        <f ca="1">INDEX(OFFSET('Measure Inputs'!$O$7,,,InputRows),$C101)*$T101</f>
        <v>5250</v>
      </c>
      <c r="AJ101" s="57">
        <f ca="1">INDEX(OFFSET('Measure Inputs'!$S$7,,,InputRows),$C101)*$T101</f>
        <v>0</v>
      </c>
      <c r="AK101" s="63">
        <f ca="1">INDEX(OFFSET('Measure Inputs'!$M$7,,,InputRows),$C101)</f>
        <v>10</v>
      </c>
      <c r="AL101" s="88">
        <f ca="1">INDEX(OFFSET('Measure Inputs'!$N$7,,,InputRows),$C101)</f>
        <v>0</v>
      </c>
      <c r="AM101" s="57">
        <f ca="1">SUMIFS(OFFSET('Program Inputs'!$N$5,,,TotalPrograms),OFFSET('Program Inputs'!$B$5,,,TotalPrograms),SUBSTITUTE($B101,"All","*"))+AF101</f>
        <v>0</v>
      </c>
      <c r="AN101" s="57">
        <f t="shared" ca="1" si="297"/>
        <v>5250</v>
      </c>
      <c r="AO101" s="55"/>
      <c r="AP101" s="59">
        <f t="shared" ca="1" si="298"/>
        <v>14833.342690437537</v>
      </c>
      <c r="AQ101" s="59">
        <f t="shared" ca="1" si="299"/>
        <v>12600</v>
      </c>
      <c r="AR101" s="59">
        <f ca="1">SUMPRODUCT($CA101:$DI101,'General Inputs'!$F$32:$AN$32,'General Inputs'!$F$51:$AN$51)/(1-Loss_ElectricEnergy)</f>
        <v>12457.523614807142</v>
      </c>
      <c r="AS101" s="59">
        <f ca="1">SUMPRODUCT($DK101:$ES101,'General Inputs'!$F$33:$AN$33,'General Inputs'!$F$51:$AN$51)/(1-Loss_ElectricDemand)</f>
        <v>2375.8190756303966</v>
      </c>
      <c r="AT101" s="59">
        <f ca="1">SUMPRODUCT($EU101:$GC101,'General Inputs'!$F$34:$AN$34,'General Inputs'!$F$51:$AN$51)/(1-Loss_GasEnergy)</f>
        <v>0</v>
      </c>
      <c r="AU101" s="59">
        <f ca="1">INDEX('General Inputs'!$F$51:$AN$51,MATCH($H101,'General Inputs'!$F$50:$AN$50,0))*$AJ101</f>
        <v>0</v>
      </c>
      <c r="AV101" s="59">
        <f ca="1">INDEX('General Inputs'!$F$51:$AN$51,MATCH($H101,'General Inputs'!$F$50:$AN$50,0))*$AI101</f>
        <v>5250</v>
      </c>
      <c r="AW101" s="59">
        <f ca="1">INDEX('General Inputs'!$F$51:$AN$51,MATCH($H101,'General Inputs'!$F$50:$AN$50,0))*$AM101</f>
        <v>0</v>
      </c>
      <c r="AX101" s="59">
        <f ca="1">SUM(INDEX('General Inputs'!$F$51:$AN$51,MATCH($H101,'General Inputs'!$F$50:$AN$50,0))*$AG101,INDEX('General Inputs'!$F$51:$AN$51,MATCH($H101+$AL101,'General Inputs'!$F$50:$AN$50,0))*-$AH101)</f>
        <v>12600</v>
      </c>
      <c r="AY101" s="55"/>
      <c r="AZ101" s="59">
        <f ca="1">SUMPRODUCT($CA101:$DI101,'General Inputs'!$F$32:$AN$32,'General Inputs'!$F$52:$AN$52)/(1-Loss_ElectricEnergy)</f>
        <v>12457.523614807142</v>
      </c>
      <c r="BA101" s="59">
        <f ca="1">SUMPRODUCT($DK101:$ES101,'General Inputs'!$F$33:$AN$33,'General Inputs'!$F$52:$AN$52)/(1-Loss_ElectricDemand)</f>
        <v>2375.8190756303966</v>
      </c>
      <c r="BB101" s="59">
        <f ca="1">SUMPRODUCT($EU101:$GC101,'General Inputs'!$F$34:$AN$34,'General Inputs'!$F$52:$AN$52)/(1-Loss_GasEnergy)</f>
        <v>0</v>
      </c>
      <c r="BC101" s="59">
        <f ca="1">INDEX('General Inputs'!$F$52:$AN$52,MATCH($H101,'General Inputs'!$F$50:$AN$50,0))*$AI101</f>
        <v>5250</v>
      </c>
      <c r="BD101" s="59">
        <f ca="1">INDEX('General Inputs'!$F$52:$AN$52,MATCH($H101,'General Inputs'!$F$50:$AN$50,0))*$AM101</f>
        <v>0</v>
      </c>
      <c r="BE101" s="55"/>
      <c r="BF101" s="59">
        <f ca="1">SUMPRODUCT($CA101:$DI101,OFFSET('General Inputs'!$F$40:$AN$40,MATCH($D101&amp;" Electric ($/kWh)",'General Inputs'!$E$40:$E$46,0),),'General Inputs'!$F$54:$AN$54)</f>
        <v>0</v>
      </c>
      <c r="BG101" s="59">
        <f ca="1">SUMPRODUCT($EU101:$GC101,OFFSET('General Inputs'!$F$40:$AN$40,MATCH($D101&amp;" Natural Gas ($/therm)",'General Inputs'!$E$40:$E$46,0),),'General Inputs'!$F$54:$AN$54)</f>
        <v>0</v>
      </c>
      <c r="BH101" s="59">
        <f ca="1">INDEX('General Inputs'!$F$54:$AN$54,MATCH($H101,'General Inputs'!$F$50:$AN$50,0))*$AI101</f>
        <v>5250</v>
      </c>
      <c r="BI101" s="59">
        <f ca="1">SUM(INDEX('General Inputs'!$F$54:$AN$54,MATCH($H101,'General Inputs'!$F$50:$AN$50,0))*$AG101,INDEX('General Inputs'!$F$51:$AN$51,MATCH($H101+$AL101,'General Inputs'!$F$50:$AN$50,0))*-$AH101)</f>
        <v>12600</v>
      </c>
      <c r="BJ101" s="55"/>
      <c r="BK101" s="59">
        <f ca="1">SUMPRODUCT($CA101:$DI101,'General Inputs'!$F$32:$AN$32,'General Inputs'!$F$53:$AN$53)/(1-Loss_ElectricEnergy)</f>
        <v>12457.523614807142</v>
      </c>
      <c r="BL101" s="59">
        <f ca="1">SUMPRODUCT($DK101:$ES101,'General Inputs'!$F$33:$AN$33,'General Inputs'!$F$53:$AN$53)/(1-Loss_ElectricDemand)</f>
        <v>2375.8190756303966</v>
      </c>
      <c r="BM101" s="59">
        <f ca="1">SUMPRODUCT($EU101:$GC101,'General Inputs'!$F$34:$AN$34,'General Inputs'!$F$53:$AN$53)/(1-Loss_GasEnergy)</f>
        <v>0</v>
      </c>
      <c r="BN101" s="59">
        <f ca="1">INDEX('General Inputs'!$F$53:$AN$53,MATCH($H101,'General Inputs'!$F$50:$AN$50,0))*$AJ101</f>
        <v>0</v>
      </c>
      <c r="BO101" s="59">
        <f ca="1">SUMPRODUCT($CA101:$DI101,'General Inputs'!$F$35:$AN$35,'General Inputs'!$F$53:$AN$53)/(1-Loss_ElectricEnergy)</f>
        <v>4875.1405347527752</v>
      </c>
      <c r="BP101" s="59">
        <f ca="1">INDEX('General Inputs'!$F$51:$AN$51,MATCH($H101,'General Inputs'!$F$50:$AN$50,0))*$AM101</f>
        <v>0</v>
      </c>
      <c r="BQ101" s="59">
        <f ca="1">SUM(INDEX('General Inputs'!$F$53:$AN$53,MATCH($H101,'General Inputs'!$F$50:$AN$50,0))*$AG101,INDEX('General Inputs'!$F$53:$AN$53,MATCH($H101+$AL101,'General Inputs'!$F$50:$AN$50,0))*-$AH101)</f>
        <v>12600</v>
      </c>
      <c r="BR101" s="55"/>
      <c r="BS101" s="59">
        <f ca="1">SUMPRODUCT($CA101:$DI101,'General Inputs'!$F$32:$AN$32,'General Inputs'!$F$55:$AN$55)/(1-Loss_ElectricEnergy)</f>
        <v>12457.523614807142</v>
      </c>
      <c r="BT101" s="59">
        <f ca="1">SUMPRODUCT($DK101:$ES101,'General Inputs'!$F$33:$AN$33,'General Inputs'!$F$55:$AN$55)/(1-Loss_ElectricDemand)</f>
        <v>2375.8190756303966</v>
      </c>
      <c r="BU101" s="59">
        <f ca="1">SUMPRODUCT($EU101:$GC101,'General Inputs'!$F$34:$AN$34,'General Inputs'!$F$55:$AN$55)/(1-Loss_GasEnergy)</f>
        <v>0</v>
      </c>
      <c r="BV101" s="59">
        <f ca="1">SUMPRODUCT($CA101:$DI101,OFFSET('General Inputs'!$F$40:$AN$40,MATCH($D101&amp;" Electric ($/kWh)",'General Inputs'!$E$40:$E$46,0),),'General Inputs'!$F$55:$AN$55)</f>
        <v>0</v>
      </c>
      <c r="BW101" s="59">
        <f ca="1">SUMPRODUCT($EU101:$GC101,OFFSET('General Inputs'!$F$40:$AN$40,MATCH($D101&amp;" Natural Gas ($/therm)",'General Inputs'!$E$40:$E$46,0),),'General Inputs'!$F$55:$AN$55)</f>
        <v>0</v>
      </c>
      <c r="BX101" s="59">
        <f ca="1">INDEX('General Inputs'!$F$55:$AN$55,MATCH($H101,'General Inputs'!$F$50:$AN$50,0))*$AI101</f>
        <v>5250</v>
      </c>
      <c r="BY101" s="59">
        <f ca="1">INDEX('General Inputs'!$F$51:$AN$51,MATCH($H101,'General Inputs'!$F$50:$AN$50,0))*$AM101</f>
        <v>0</v>
      </c>
      <c r="BZ101" s="55"/>
      <c r="CA101" s="88">
        <f t="shared" ca="1" si="300"/>
        <v>57935.608499999995</v>
      </c>
      <c r="CB101" s="88">
        <f t="shared" ca="1" si="300"/>
        <v>57935.608499999995</v>
      </c>
      <c r="CC101" s="88">
        <f t="shared" ca="1" si="300"/>
        <v>57935.608499999995</v>
      </c>
      <c r="CD101" s="88">
        <f t="shared" ca="1" si="300"/>
        <v>57935.608499999995</v>
      </c>
      <c r="CE101" s="88">
        <f t="shared" ca="1" si="300"/>
        <v>57935.608499999995</v>
      </c>
      <c r="CF101" s="88">
        <f t="shared" ca="1" si="300"/>
        <v>57935.608499999995</v>
      </c>
      <c r="CG101" s="88">
        <f t="shared" ca="1" si="300"/>
        <v>57935.608499999995</v>
      </c>
      <c r="CH101" s="88">
        <f t="shared" ca="1" si="300"/>
        <v>57935.608499999995</v>
      </c>
      <c r="CI101" s="88">
        <f t="shared" ca="1" si="300"/>
        <v>57935.608499999995</v>
      </c>
      <c r="CJ101" s="88">
        <f t="shared" ca="1" si="300"/>
        <v>57935.608499999995</v>
      </c>
      <c r="CK101" s="88">
        <f t="shared" ca="1" si="301"/>
        <v>0</v>
      </c>
      <c r="CL101" s="88">
        <f t="shared" ca="1" si="301"/>
        <v>0</v>
      </c>
      <c r="CM101" s="88">
        <f t="shared" ca="1" si="301"/>
        <v>0</v>
      </c>
      <c r="CN101" s="88">
        <f t="shared" ca="1" si="301"/>
        <v>0</v>
      </c>
      <c r="CO101" s="88">
        <f t="shared" ca="1" si="301"/>
        <v>0</v>
      </c>
      <c r="CP101" s="88">
        <f t="shared" ca="1" si="301"/>
        <v>0</v>
      </c>
      <c r="CQ101" s="88">
        <f t="shared" ca="1" si="301"/>
        <v>0</v>
      </c>
      <c r="CR101" s="88">
        <f t="shared" ca="1" si="301"/>
        <v>0</v>
      </c>
      <c r="CS101" s="88">
        <f t="shared" ca="1" si="301"/>
        <v>0</v>
      </c>
      <c r="CT101" s="88">
        <f t="shared" ca="1" si="301"/>
        <v>0</v>
      </c>
      <c r="CU101" s="88">
        <f t="shared" ca="1" si="302"/>
        <v>0</v>
      </c>
      <c r="CV101" s="88">
        <f t="shared" ca="1" si="302"/>
        <v>0</v>
      </c>
      <c r="CW101" s="88">
        <f t="shared" ca="1" si="302"/>
        <v>0</v>
      </c>
      <c r="CX101" s="88">
        <f t="shared" ca="1" si="302"/>
        <v>0</v>
      </c>
      <c r="CY101" s="88">
        <f t="shared" ca="1" si="302"/>
        <v>0</v>
      </c>
      <c r="CZ101" s="88">
        <f t="shared" ca="1" si="302"/>
        <v>0</v>
      </c>
      <c r="DA101" s="88">
        <f t="shared" ca="1" si="302"/>
        <v>0</v>
      </c>
      <c r="DB101" s="88">
        <f t="shared" ca="1" si="302"/>
        <v>0</v>
      </c>
      <c r="DC101" s="88">
        <f t="shared" ca="1" si="302"/>
        <v>0</v>
      </c>
      <c r="DD101" s="88">
        <f t="shared" ca="1" si="302"/>
        <v>0</v>
      </c>
      <c r="DE101" s="88">
        <f t="shared" ca="1" si="302"/>
        <v>0</v>
      </c>
      <c r="DF101" s="88">
        <f t="shared" ca="1" si="302"/>
        <v>0</v>
      </c>
      <c r="DG101" s="88">
        <f t="shared" ca="1" si="302"/>
        <v>0</v>
      </c>
      <c r="DH101" s="88">
        <f t="shared" ca="1" si="302"/>
        <v>0</v>
      </c>
      <c r="DI101" s="88">
        <f t="shared" ca="1" si="302"/>
        <v>0</v>
      </c>
      <c r="DJ101" s="169"/>
      <c r="DK101" s="88">
        <f t="shared" ca="1" si="303"/>
        <v>15.361500000000001</v>
      </c>
      <c r="DL101" s="88">
        <f t="shared" ca="1" si="303"/>
        <v>15.361500000000001</v>
      </c>
      <c r="DM101" s="88">
        <f t="shared" ca="1" si="303"/>
        <v>15.361500000000001</v>
      </c>
      <c r="DN101" s="88">
        <f t="shared" ca="1" si="303"/>
        <v>15.361500000000001</v>
      </c>
      <c r="DO101" s="88">
        <f t="shared" ca="1" si="303"/>
        <v>15.361500000000001</v>
      </c>
      <c r="DP101" s="88">
        <f t="shared" ca="1" si="303"/>
        <v>15.361500000000001</v>
      </c>
      <c r="DQ101" s="88">
        <f t="shared" ca="1" si="303"/>
        <v>15.361500000000001</v>
      </c>
      <c r="DR101" s="88">
        <f t="shared" ca="1" si="303"/>
        <v>15.361500000000001</v>
      </c>
      <c r="DS101" s="88">
        <f t="shared" ca="1" si="303"/>
        <v>15.361500000000001</v>
      </c>
      <c r="DT101" s="88">
        <f t="shared" ca="1" si="303"/>
        <v>15.361500000000001</v>
      </c>
      <c r="DU101" s="88">
        <f t="shared" ca="1" si="304"/>
        <v>0</v>
      </c>
      <c r="DV101" s="88">
        <f t="shared" ca="1" si="304"/>
        <v>0</v>
      </c>
      <c r="DW101" s="88">
        <f t="shared" ca="1" si="304"/>
        <v>0</v>
      </c>
      <c r="DX101" s="88">
        <f t="shared" ca="1" si="304"/>
        <v>0</v>
      </c>
      <c r="DY101" s="88">
        <f t="shared" ca="1" si="304"/>
        <v>0</v>
      </c>
      <c r="DZ101" s="88">
        <f t="shared" ca="1" si="304"/>
        <v>0</v>
      </c>
      <c r="EA101" s="88">
        <f t="shared" ca="1" si="304"/>
        <v>0</v>
      </c>
      <c r="EB101" s="88">
        <f t="shared" ca="1" si="304"/>
        <v>0</v>
      </c>
      <c r="EC101" s="88">
        <f t="shared" ca="1" si="304"/>
        <v>0</v>
      </c>
      <c r="ED101" s="88">
        <f t="shared" ca="1" si="304"/>
        <v>0</v>
      </c>
      <c r="EE101" s="88">
        <f t="shared" ca="1" si="305"/>
        <v>0</v>
      </c>
      <c r="EF101" s="88">
        <f t="shared" ca="1" si="305"/>
        <v>0</v>
      </c>
      <c r="EG101" s="88">
        <f t="shared" ca="1" si="305"/>
        <v>0</v>
      </c>
      <c r="EH101" s="88">
        <f t="shared" ca="1" si="305"/>
        <v>0</v>
      </c>
      <c r="EI101" s="88">
        <f t="shared" ca="1" si="305"/>
        <v>0</v>
      </c>
      <c r="EJ101" s="88">
        <f t="shared" ca="1" si="305"/>
        <v>0</v>
      </c>
      <c r="EK101" s="88">
        <f t="shared" ca="1" si="305"/>
        <v>0</v>
      </c>
      <c r="EL101" s="88">
        <f t="shared" ca="1" si="305"/>
        <v>0</v>
      </c>
      <c r="EM101" s="88">
        <f t="shared" ca="1" si="305"/>
        <v>0</v>
      </c>
      <c r="EN101" s="88">
        <f t="shared" ca="1" si="305"/>
        <v>0</v>
      </c>
      <c r="EO101" s="88">
        <f t="shared" ca="1" si="305"/>
        <v>0</v>
      </c>
      <c r="EP101" s="88">
        <f t="shared" ca="1" si="305"/>
        <v>0</v>
      </c>
      <c r="EQ101" s="88">
        <f t="shared" ca="1" si="305"/>
        <v>0</v>
      </c>
      <c r="ER101" s="88">
        <f t="shared" ca="1" si="305"/>
        <v>0</v>
      </c>
      <c r="ES101" s="88">
        <f t="shared" ca="1" si="305"/>
        <v>0</v>
      </c>
      <c r="ET101" s="169"/>
      <c r="EU101" s="88">
        <f t="shared" ca="1" si="306"/>
        <v>0</v>
      </c>
      <c r="EV101" s="88">
        <f t="shared" ca="1" si="306"/>
        <v>0</v>
      </c>
      <c r="EW101" s="88">
        <f t="shared" ca="1" si="306"/>
        <v>0</v>
      </c>
      <c r="EX101" s="88">
        <f t="shared" ca="1" si="306"/>
        <v>0</v>
      </c>
      <c r="EY101" s="88">
        <f t="shared" ca="1" si="306"/>
        <v>0</v>
      </c>
      <c r="EZ101" s="88">
        <f t="shared" ca="1" si="306"/>
        <v>0</v>
      </c>
      <c r="FA101" s="88">
        <f t="shared" ca="1" si="306"/>
        <v>0</v>
      </c>
      <c r="FB101" s="88">
        <f t="shared" ca="1" si="306"/>
        <v>0</v>
      </c>
      <c r="FC101" s="88">
        <f t="shared" ca="1" si="306"/>
        <v>0</v>
      </c>
      <c r="FD101" s="88">
        <f t="shared" ca="1" si="306"/>
        <v>0</v>
      </c>
      <c r="FE101" s="88">
        <f t="shared" ca="1" si="307"/>
        <v>0</v>
      </c>
      <c r="FF101" s="88">
        <f t="shared" ca="1" si="307"/>
        <v>0</v>
      </c>
      <c r="FG101" s="88">
        <f t="shared" ca="1" si="307"/>
        <v>0</v>
      </c>
      <c r="FH101" s="88">
        <f t="shared" ca="1" si="307"/>
        <v>0</v>
      </c>
      <c r="FI101" s="88">
        <f t="shared" ca="1" si="307"/>
        <v>0</v>
      </c>
      <c r="FJ101" s="88">
        <f t="shared" ca="1" si="307"/>
        <v>0</v>
      </c>
      <c r="FK101" s="88">
        <f t="shared" ca="1" si="307"/>
        <v>0</v>
      </c>
      <c r="FL101" s="88">
        <f t="shared" ca="1" si="307"/>
        <v>0</v>
      </c>
      <c r="FM101" s="88">
        <f t="shared" ca="1" si="307"/>
        <v>0</v>
      </c>
      <c r="FN101" s="88">
        <f t="shared" ca="1" si="307"/>
        <v>0</v>
      </c>
      <c r="FO101" s="88">
        <f t="shared" ca="1" si="308"/>
        <v>0</v>
      </c>
      <c r="FP101" s="88">
        <f t="shared" ca="1" si="308"/>
        <v>0</v>
      </c>
      <c r="FQ101" s="88">
        <f t="shared" ca="1" si="308"/>
        <v>0</v>
      </c>
      <c r="FR101" s="88">
        <f t="shared" ca="1" si="308"/>
        <v>0</v>
      </c>
      <c r="FS101" s="88">
        <f t="shared" ca="1" si="308"/>
        <v>0</v>
      </c>
      <c r="FT101" s="88">
        <f t="shared" ca="1" si="308"/>
        <v>0</v>
      </c>
      <c r="FU101" s="88">
        <f t="shared" ca="1" si="308"/>
        <v>0</v>
      </c>
      <c r="FV101" s="88">
        <f t="shared" ca="1" si="308"/>
        <v>0</v>
      </c>
      <c r="FW101" s="88">
        <f t="shared" ca="1" si="308"/>
        <v>0</v>
      </c>
      <c r="FX101" s="88">
        <f t="shared" ca="1" si="308"/>
        <v>0</v>
      </c>
      <c r="FY101" s="88">
        <f t="shared" ca="1" si="308"/>
        <v>0</v>
      </c>
      <c r="FZ101" s="88">
        <f t="shared" ca="1" si="308"/>
        <v>0</v>
      </c>
      <c r="GA101" s="88">
        <f t="shared" ca="1" si="308"/>
        <v>0</v>
      </c>
      <c r="GB101" s="88">
        <f t="shared" ca="1" si="308"/>
        <v>0</v>
      </c>
      <c r="GC101" s="88">
        <f t="shared" ca="1" si="308"/>
        <v>0</v>
      </c>
      <c r="GD101" s="60"/>
    </row>
    <row r="102" spans="1:186" s="54" customFormat="1" ht="14.45" customHeight="1">
      <c r="A102" s="61"/>
      <c r="B102" s="100" t="str">
        <f t="shared" si="277"/>
        <v>C&amp;I_C&amp;I Prescriptive_0_Ceiling Mount Occupancy_2017</v>
      </c>
      <c r="C102" s="100">
        <f>INDEX('Measure Inputs'!$D:$D,MATCH($B102,'Measure Inputs'!$B:$B,0))</f>
        <v>54</v>
      </c>
      <c r="D102" s="101" t="s">
        <v>256</v>
      </c>
      <c r="E102" s="101" t="s">
        <v>255</v>
      </c>
      <c r="F102" s="101">
        <v>0</v>
      </c>
      <c r="G102" s="101" t="s">
        <v>307</v>
      </c>
      <c r="H102" s="101">
        <v>2017</v>
      </c>
      <c r="I102" s="55"/>
      <c r="J102" s="58">
        <f t="shared" ca="1" si="229"/>
        <v>2.0053327017694458</v>
      </c>
      <c r="K102" s="58">
        <f t="shared" ca="1" si="246"/>
        <v>6.8181311860161156</v>
      </c>
      <c r="L102" s="58">
        <f t="shared" ca="1" si="230"/>
        <v>0.29411764705882354</v>
      </c>
      <c r="M102" s="58">
        <f t="shared" ca="1" si="231"/>
        <v>2.4476725061885549</v>
      </c>
      <c r="N102" s="58">
        <f t="shared" ca="1" si="232"/>
        <v>6.8181311860161156</v>
      </c>
      <c r="O102" s="55"/>
      <c r="P102" s="175">
        <f ca="1">IFERROR(($AW102+AV102)/SUMPRODUCT($CA102:$DI102,'General Inputs'!$F$51:$AN$51),"n/a")</f>
        <v>7.9538429602640116E-3</v>
      </c>
      <c r="Q102" s="175">
        <f t="shared" ca="1" si="233"/>
        <v>4.8200981465299747E-2</v>
      </c>
      <c r="R102" s="56">
        <f t="shared" ca="1" si="296"/>
        <v>149.37455174399997</v>
      </c>
      <c r="S102" s="55"/>
      <c r="T102" s="56">
        <f ca="1">INDEX(OFFSET('Measure Inputs'!$L$7,,,InputRows),$C102)</f>
        <v>30</v>
      </c>
      <c r="U102" s="134">
        <f ca="1">INDEX(OFFSET('Measure Inputs'!$T$7,,,InputRows),$C102)</f>
        <v>1</v>
      </c>
      <c r="V102" s="134">
        <f ca="1">INDEX(OFFSET('Measure Inputs'!$U$7,,,InputRows),$C102)</f>
        <v>1</v>
      </c>
      <c r="W102" s="55"/>
      <c r="X102" s="96">
        <f ca="1">INDEX(OFFSET('Measure Inputs'!$V$7,,,InputRows),$C102)*$T102*$V102*$U102</f>
        <v>18671.818967999996</v>
      </c>
      <c r="Y102" s="96">
        <f ca="1">INDEX(OFFSET('Measure Inputs'!$W$7,,,InputRows),$C102)*$T102*$V102*$U102</f>
        <v>20.628300000000003</v>
      </c>
      <c r="Z102" s="96">
        <f ca="1">INDEX(OFFSET('Measure Inputs'!$X$7,,,InputRows),$C102)*$T102*$V102*$U102</f>
        <v>0</v>
      </c>
      <c r="AA102" s="55"/>
      <c r="AB102" s="96">
        <f ca="1">INDEX(OFFSET('Measure Inputs'!$Z$7,,,InputRows),$C102)*$T102*$V102*$U102</f>
        <v>0</v>
      </c>
      <c r="AC102" s="96">
        <f ca="1">INDEX(OFFSET('Measure Inputs'!$AA$7,,,InputRows),$C102)*$T102*$V102*$U102</f>
        <v>0</v>
      </c>
      <c r="AD102" s="96">
        <f ca="1">INDEX(OFFSET('Measure Inputs'!$AB$7,,,InputRows),$C102)*$T102*$V102*$U102</f>
        <v>0</v>
      </c>
      <c r="AE102" s="55"/>
      <c r="AF102" s="57">
        <f ca="1">INDEX(OFFSET('Measure Inputs'!$Q$7,,,InputRows),$C102)*$T102</f>
        <v>0</v>
      </c>
      <c r="AG102" s="57">
        <f ca="1">INDEX(OFFSET('Measure Inputs'!$P$7,,,InputRows),$C102)*$T102*$V102</f>
        <v>3060</v>
      </c>
      <c r="AH102" s="57">
        <f ca="1">INDEX(OFFSET('Measure Inputs'!$R$7,,,InputRows),$C102)*$T102*$V102</f>
        <v>0</v>
      </c>
      <c r="AI102" s="57">
        <f ca="1">INDEX(OFFSET('Measure Inputs'!$O$7,,,InputRows),$C102)*$T102</f>
        <v>900</v>
      </c>
      <c r="AJ102" s="57">
        <f ca="1">INDEX(OFFSET('Measure Inputs'!$S$7,,,InputRows),$C102)*$T102</f>
        <v>0</v>
      </c>
      <c r="AK102" s="63">
        <f ca="1">INDEX(OFFSET('Measure Inputs'!$M$7,,,InputRows),$C102)</f>
        <v>8</v>
      </c>
      <c r="AL102" s="88">
        <f ca="1">INDEX(OFFSET('Measure Inputs'!$N$7,,,InputRows),$C102)</f>
        <v>0</v>
      </c>
      <c r="AM102" s="57">
        <f ca="1">SUMIFS(OFFSET('Program Inputs'!$N$5,,,TotalPrograms),OFFSET('Program Inputs'!$B$5,,,TotalPrograms),SUBSTITUTE($B102,"All","*"))+AF102</f>
        <v>0</v>
      </c>
      <c r="AN102" s="57">
        <f t="shared" ca="1" si="297"/>
        <v>900</v>
      </c>
      <c r="AO102" s="55"/>
      <c r="AP102" s="59">
        <f t="shared" ca="1" si="298"/>
        <v>6136.3180674145042</v>
      </c>
      <c r="AQ102" s="59">
        <f t="shared" ca="1" si="299"/>
        <v>3060</v>
      </c>
      <c r="AR102" s="59">
        <f ca="1">SUMPRODUCT($CA102:$DI102,'General Inputs'!$F$32:$AN$32,'General Inputs'!$F$51:$AN$51)/(1-Loss_ElectricEnergy)</f>
        <v>3419.2474155359728</v>
      </c>
      <c r="AS102" s="59">
        <f ca="1">SUMPRODUCT($DK102:$ES102,'General Inputs'!$F$33:$AN$33,'General Inputs'!$F$51:$AN$51)/(1-Loss_ElectricDemand)</f>
        <v>2717.0706518785319</v>
      </c>
      <c r="AT102" s="59">
        <f ca="1">SUMPRODUCT($EU102:$GC102,'General Inputs'!$F$34:$AN$34,'General Inputs'!$F$51:$AN$51)/(1-Loss_GasEnergy)</f>
        <v>0</v>
      </c>
      <c r="AU102" s="59">
        <f ca="1">INDEX('General Inputs'!$F$51:$AN$51,MATCH($H102,'General Inputs'!$F$50:$AN$50,0))*$AJ102</f>
        <v>0</v>
      </c>
      <c r="AV102" s="59">
        <f ca="1">INDEX('General Inputs'!$F$51:$AN$51,MATCH($H102,'General Inputs'!$F$50:$AN$50,0))*$AI102</f>
        <v>900</v>
      </c>
      <c r="AW102" s="59">
        <f ca="1">INDEX('General Inputs'!$F$51:$AN$51,MATCH($H102,'General Inputs'!$F$50:$AN$50,0))*$AM102</f>
        <v>0</v>
      </c>
      <c r="AX102" s="59">
        <f ca="1">SUM(INDEX('General Inputs'!$F$51:$AN$51,MATCH($H102,'General Inputs'!$F$50:$AN$50,0))*$AG102,INDEX('General Inputs'!$F$51:$AN$51,MATCH($H102+$AL102,'General Inputs'!$F$50:$AN$50,0))*-$AH102)</f>
        <v>3060</v>
      </c>
      <c r="AY102" s="55"/>
      <c r="AZ102" s="59">
        <f ca="1">SUMPRODUCT($CA102:$DI102,'General Inputs'!$F$32:$AN$32,'General Inputs'!$F$52:$AN$52)/(1-Loss_ElectricEnergy)</f>
        <v>3419.2474155359728</v>
      </c>
      <c r="BA102" s="59">
        <f ca="1">SUMPRODUCT($DK102:$ES102,'General Inputs'!$F$33:$AN$33,'General Inputs'!$F$52:$AN$52)/(1-Loss_ElectricDemand)</f>
        <v>2717.0706518785319</v>
      </c>
      <c r="BB102" s="59">
        <f ca="1">SUMPRODUCT($EU102:$GC102,'General Inputs'!$F$34:$AN$34,'General Inputs'!$F$52:$AN$52)/(1-Loss_GasEnergy)</f>
        <v>0</v>
      </c>
      <c r="BC102" s="59">
        <f ca="1">INDEX('General Inputs'!$F$52:$AN$52,MATCH($H102,'General Inputs'!$F$50:$AN$50,0))*$AI102</f>
        <v>900</v>
      </c>
      <c r="BD102" s="59">
        <f ca="1">INDEX('General Inputs'!$F$52:$AN$52,MATCH($H102,'General Inputs'!$F$50:$AN$50,0))*$AM102</f>
        <v>0</v>
      </c>
      <c r="BE102" s="55"/>
      <c r="BF102" s="59">
        <f ca="1">SUMPRODUCT($CA102:$DI102,OFFSET('General Inputs'!$F$40:$AN$40,MATCH($D102&amp;" Electric ($/kWh)",'General Inputs'!$E$40:$E$46,0),),'General Inputs'!$F$54:$AN$54)</f>
        <v>0</v>
      </c>
      <c r="BG102" s="59">
        <f ca="1">SUMPRODUCT($EU102:$GC102,OFFSET('General Inputs'!$F$40:$AN$40,MATCH($D102&amp;" Natural Gas ($/therm)",'General Inputs'!$E$40:$E$46,0),),'General Inputs'!$F$54:$AN$54)</f>
        <v>0</v>
      </c>
      <c r="BH102" s="59">
        <f ca="1">INDEX('General Inputs'!$F$54:$AN$54,MATCH($H102,'General Inputs'!$F$50:$AN$50,0))*$AI102</f>
        <v>900</v>
      </c>
      <c r="BI102" s="59">
        <f ca="1">SUM(INDEX('General Inputs'!$F$54:$AN$54,MATCH($H102,'General Inputs'!$F$50:$AN$50,0))*$AG102,INDEX('General Inputs'!$F$51:$AN$51,MATCH($H102+$AL102,'General Inputs'!$F$50:$AN$50,0))*-$AH102)</f>
        <v>3060</v>
      </c>
      <c r="BJ102" s="55"/>
      <c r="BK102" s="59">
        <f ca="1">SUMPRODUCT($CA102:$DI102,'General Inputs'!$F$32:$AN$32,'General Inputs'!$F$53:$AN$53)/(1-Loss_ElectricEnergy)</f>
        <v>3419.2474155359728</v>
      </c>
      <c r="BL102" s="59">
        <f ca="1">SUMPRODUCT($DK102:$ES102,'General Inputs'!$F$33:$AN$33,'General Inputs'!$F$53:$AN$53)/(1-Loss_ElectricDemand)</f>
        <v>2717.0706518785319</v>
      </c>
      <c r="BM102" s="59">
        <f ca="1">SUMPRODUCT($EU102:$GC102,'General Inputs'!$F$34:$AN$34,'General Inputs'!$F$53:$AN$53)/(1-Loss_GasEnergy)</f>
        <v>0</v>
      </c>
      <c r="BN102" s="59">
        <f ca="1">INDEX('General Inputs'!$F$53:$AN$53,MATCH($H102,'General Inputs'!$F$50:$AN$50,0))*$AJ102</f>
        <v>0</v>
      </c>
      <c r="BO102" s="59">
        <f ca="1">SUMPRODUCT($CA102:$DI102,'General Inputs'!$F$35:$AN$35,'General Inputs'!$F$53:$AN$53)/(1-Loss_ElectricEnergy)</f>
        <v>1353.5598015224743</v>
      </c>
      <c r="BP102" s="59">
        <f ca="1">INDEX('General Inputs'!$F$51:$AN$51,MATCH($H102,'General Inputs'!$F$50:$AN$50,0))*$AM102</f>
        <v>0</v>
      </c>
      <c r="BQ102" s="59">
        <f ca="1">SUM(INDEX('General Inputs'!$F$53:$AN$53,MATCH($H102,'General Inputs'!$F$50:$AN$50,0))*$AG102,INDEX('General Inputs'!$F$53:$AN$53,MATCH($H102+$AL102,'General Inputs'!$F$50:$AN$50,0))*-$AH102)</f>
        <v>3060</v>
      </c>
      <c r="BR102" s="55"/>
      <c r="BS102" s="59">
        <f ca="1">SUMPRODUCT($CA102:$DI102,'General Inputs'!$F$32:$AN$32,'General Inputs'!$F$55:$AN$55)/(1-Loss_ElectricEnergy)</f>
        <v>3419.2474155359728</v>
      </c>
      <c r="BT102" s="59">
        <f ca="1">SUMPRODUCT($DK102:$ES102,'General Inputs'!$F$33:$AN$33,'General Inputs'!$F$55:$AN$55)/(1-Loss_ElectricDemand)</f>
        <v>2717.0706518785319</v>
      </c>
      <c r="BU102" s="59">
        <f ca="1">SUMPRODUCT($EU102:$GC102,'General Inputs'!$F$34:$AN$34,'General Inputs'!$F$55:$AN$55)/(1-Loss_GasEnergy)</f>
        <v>0</v>
      </c>
      <c r="BV102" s="59">
        <f ca="1">SUMPRODUCT($CA102:$DI102,OFFSET('General Inputs'!$F$40:$AN$40,MATCH($D102&amp;" Electric ($/kWh)",'General Inputs'!$E$40:$E$46,0),),'General Inputs'!$F$55:$AN$55)</f>
        <v>0</v>
      </c>
      <c r="BW102" s="59">
        <f ca="1">SUMPRODUCT($EU102:$GC102,OFFSET('General Inputs'!$F$40:$AN$40,MATCH($D102&amp;" Natural Gas ($/therm)",'General Inputs'!$E$40:$E$46,0),),'General Inputs'!$F$55:$AN$55)</f>
        <v>0</v>
      </c>
      <c r="BX102" s="59">
        <f ca="1">INDEX('General Inputs'!$F$55:$AN$55,MATCH($H102,'General Inputs'!$F$50:$AN$50,0))*$AI102</f>
        <v>900</v>
      </c>
      <c r="BY102" s="59">
        <f ca="1">INDEX('General Inputs'!$F$51:$AN$51,MATCH($H102,'General Inputs'!$F$50:$AN$50,0))*$AM102</f>
        <v>0</v>
      </c>
      <c r="BZ102" s="55"/>
      <c r="CA102" s="88">
        <f t="shared" ca="1" si="300"/>
        <v>18671.818967999996</v>
      </c>
      <c r="CB102" s="88">
        <f t="shared" ca="1" si="300"/>
        <v>18671.818967999996</v>
      </c>
      <c r="CC102" s="88">
        <f t="shared" ca="1" si="300"/>
        <v>18671.818967999996</v>
      </c>
      <c r="CD102" s="88">
        <f t="shared" ca="1" si="300"/>
        <v>18671.818967999996</v>
      </c>
      <c r="CE102" s="88">
        <f t="shared" ca="1" si="300"/>
        <v>18671.818967999996</v>
      </c>
      <c r="CF102" s="88">
        <f t="shared" ca="1" si="300"/>
        <v>18671.818967999996</v>
      </c>
      <c r="CG102" s="88">
        <f t="shared" ca="1" si="300"/>
        <v>18671.818967999996</v>
      </c>
      <c r="CH102" s="88">
        <f t="shared" ca="1" si="300"/>
        <v>18671.818967999996</v>
      </c>
      <c r="CI102" s="88">
        <f t="shared" ca="1" si="300"/>
        <v>0</v>
      </c>
      <c r="CJ102" s="88">
        <f t="shared" ca="1" si="300"/>
        <v>0</v>
      </c>
      <c r="CK102" s="88">
        <f t="shared" ca="1" si="301"/>
        <v>0</v>
      </c>
      <c r="CL102" s="88">
        <f t="shared" ca="1" si="301"/>
        <v>0</v>
      </c>
      <c r="CM102" s="88">
        <f t="shared" ca="1" si="301"/>
        <v>0</v>
      </c>
      <c r="CN102" s="88">
        <f t="shared" ca="1" si="301"/>
        <v>0</v>
      </c>
      <c r="CO102" s="88">
        <f t="shared" ca="1" si="301"/>
        <v>0</v>
      </c>
      <c r="CP102" s="88">
        <f t="shared" ca="1" si="301"/>
        <v>0</v>
      </c>
      <c r="CQ102" s="88">
        <f t="shared" ca="1" si="301"/>
        <v>0</v>
      </c>
      <c r="CR102" s="88">
        <f t="shared" ca="1" si="301"/>
        <v>0</v>
      </c>
      <c r="CS102" s="88">
        <f t="shared" ca="1" si="301"/>
        <v>0</v>
      </c>
      <c r="CT102" s="88">
        <f t="shared" ca="1" si="301"/>
        <v>0</v>
      </c>
      <c r="CU102" s="88">
        <f t="shared" ca="1" si="302"/>
        <v>0</v>
      </c>
      <c r="CV102" s="88">
        <f t="shared" ca="1" si="302"/>
        <v>0</v>
      </c>
      <c r="CW102" s="88">
        <f t="shared" ca="1" si="302"/>
        <v>0</v>
      </c>
      <c r="CX102" s="88">
        <f t="shared" ca="1" si="302"/>
        <v>0</v>
      </c>
      <c r="CY102" s="88">
        <f t="shared" ca="1" si="302"/>
        <v>0</v>
      </c>
      <c r="CZ102" s="88">
        <f t="shared" ca="1" si="302"/>
        <v>0</v>
      </c>
      <c r="DA102" s="88">
        <f t="shared" ca="1" si="302"/>
        <v>0</v>
      </c>
      <c r="DB102" s="88">
        <f t="shared" ca="1" si="302"/>
        <v>0</v>
      </c>
      <c r="DC102" s="88">
        <f t="shared" ca="1" si="302"/>
        <v>0</v>
      </c>
      <c r="DD102" s="88">
        <f t="shared" ca="1" si="302"/>
        <v>0</v>
      </c>
      <c r="DE102" s="88">
        <f t="shared" ca="1" si="302"/>
        <v>0</v>
      </c>
      <c r="DF102" s="88">
        <f t="shared" ca="1" si="302"/>
        <v>0</v>
      </c>
      <c r="DG102" s="88">
        <f t="shared" ca="1" si="302"/>
        <v>0</v>
      </c>
      <c r="DH102" s="88">
        <f t="shared" ca="1" si="302"/>
        <v>0</v>
      </c>
      <c r="DI102" s="88">
        <f t="shared" ca="1" si="302"/>
        <v>0</v>
      </c>
      <c r="DJ102" s="169"/>
      <c r="DK102" s="88">
        <f t="shared" ca="1" si="303"/>
        <v>20.628300000000003</v>
      </c>
      <c r="DL102" s="88">
        <f t="shared" ca="1" si="303"/>
        <v>20.628300000000003</v>
      </c>
      <c r="DM102" s="88">
        <f t="shared" ca="1" si="303"/>
        <v>20.628300000000003</v>
      </c>
      <c r="DN102" s="88">
        <f t="shared" ca="1" si="303"/>
        <v>20.628300000000003</v>
      </c>
      <c r="DO102" s="88">
        <f t="shared" ca="1" si="303"/>
        <v>20.628300000000003</v>
      </c>
      <c r="DP102" s="88">
        <f t="shared" ca="1" si="303"/>
        <v>20.628300000000003</v>
      </c>
      <c r="DQ102" s="88">
        <f t="shared" ca="1" si="303"/>
        <v>20.628300000000003</v>
      </c>
      <c r="DR102" s="88">
        <f t="shared" ca="1" si="303"/>
        <v>20.628300000000003</v>
      </c>
      <c r="DS102" s="88">
        <f t="shared" ca="1" si="303"/>
        <v>0</v>
      </c>
      <c r="DT102" s="88">
        <f t="shared" ca="1" si="303"/>
        <v>0</v>
      </c>
      <c r="DU102" s="88">
        <f t="shared" ca="1" si="304"/>
        <v>0</v>
      </c>
      <c r="DV102" s="88">
        <f t="shared" ca="1" si="304"/>
        <v>0</v>
      </c>
      <c r="DW102" s="88">
        <f t="shared" ca="1" si="304"/>
        <v>0</v>
      </c>
      <c r="DX102" s="88">
        <f t="shared" ca="1" si="304"/>
        <v>0</v>
      </c>
      <c r="DY102" s="88">
        <f t="shared" ca="1" si="304"/>
        <v>0</v>
      </c>
      <c r="DZ102" s="88">
        <f t="shared" ca="1" si="304"/>
        <v>0</v>
      </c>
      <c r="EA102" s="88">
        <f t="shared" ca="1" si="304"/>
        <v>0</v>
      </c>
      <c r="EB102" s="88">
        <f t="shared" ca="1" si="304"/>
        <v>0</v>
      </c>
      <c r="EC102" s="88">
        <f t="shared" ca="1" si="304"/>
        <v>0</v>
      </c>
      <c r="ED102" s="88">
        <f t="shared" ca="1" si="304"/>
        <v>0</v>
      </c>
      <c r="EE102" s="88">
        <f t="shared" ca="1" si="305"/>
        <v>0</v>
      </c>
      <c r="EF102" s="88">
        <f t="shared" ca="1" si="305"/>
        <v>0</v>
      </c>
      <c r="EG102" s="88">
        <f t="shared" ca="1" si="305"/>
        <v>0</v>
      </c>
      <c r="EH102" s="88">
        <f t="shared" ca="1" si="305"/>
        <v>0</v>
      </c>
      <c r="EI102" s="88">
        <f t="shared" ca="1" si="305"/>
        <v>0</v>
      </c>
      <c r="EJ102" s="88">
        <f t="shared" ca="1" si="305"/>
        <v>0</v>
      </c>
      <c r="EK102" s="88">
        <f t="shared" ca="1" si="305"/>
        <v>0</v>
      </c>
      <c r="EL102" s="88">
        <f t="shared" ca="1" si="305"/>
        <v>0</v>
      </c>
      <c r="EM102" s="88">
        <f t="shared" ca="1" si="305"/>
        <v>0</v>
      </c>
      <c r="EN102" s="88">
        <f t="shared" ca="1" si="305"/>
        <v>0</v>
      </c>
      <c r="EO102" s="88">
        <f t="shared" ca="1" si="305"/>
        <v>0</v>
      </c>
      <c r="EP102" s="88">
        <f t="shared" ca="1" si="305"/>
        <v>0</v>
      </c>
      <c r="EQ102" s="88">
        <f t="shared" ca="1" si="305"/>
        <v>0</v>
      </c>
      <c r="ER102" s="88">
        <f t="shared" ca="1" si="305"/>
        <v>0</v>
      </c>
      <c r="ES102" s="88">
        <f t="shared" ca="1" si="305"/>
        <v>0</v>
      </c>
      <c r="ET102" s="169"/>
      <c r="EU102" s="88">
        <f t="shared" ca="1" si="306"/>
        <v>0</v>
      </c>
      <c r="EV102" s="88">
        <f t="shared" ca="1" si="306"/>
        <v>0</v>
      </c>
      <c r="EW102" s="88">
        <f t="shared" ca="1" si="306"/>
        <v>0</v>
      </c>
      <c r="EX102" s="88">
        <f t="shared" ca="1" si="306"/>
        <v>0</v>
      </c>
      <c r="EY102" s="88">
        <f t="shared" ca="1" si="306"/>
        <v>0</v>
      </c>
      <c r="EZ102" s="88">
        <f t="shared" ca="1" si="306"/>
        <v>0</v>
      </c>
      <c r="FA102" s="88">
        <f t="shared" ca="1" si="306"/>
        <v>0</v>
      </c>
      <c r="FB102" s="88">
        <f t="shared" ca="1" si="306"/>
        <v>0</v>
      </c>
      <c r="FC102" s="88">
        <f t="shared" ca="1" si="306"/>
        <v>0</v>
      </c>
      <c r="FD102" s="88">
        <f t="shared" ca="1" si="306"/>
        <v>0</v>
      </c>
      <c r="FE102" s="88">
        <f t="shared" ca="1" si="307"/>
        <v>0</v>
      </c>
      <c r="FF102" s="88">
        <f t="shared" ca="1" si="307"/>
        <v>0</v>
      </c>
      <c r="FG102" s="88">
        <f t="shared" ca="1" si="307"/>
        <v>0</v>
      </c>
      <c r="FH102" s="88">
        <f t="shared" ca="1" si="307"/>
        <v>0</v>
      </c>
      <c r="FI102" s="88">
        <f t="shared" ca="1" si="307"/>
        <v>0</v>
      </c>
      <c r="FJ102" s="88">
        <f t="shared" ca="1" si="307"/>
        <v>0</v>
      </c>
      <c r="FK102" s="88">
        <f t="shared" ca="1" si="307"/>
        <v>0</v>
      </c>
      <c r="FL102" s="88">
        <f t="shared" ca="1" si="307"/>
        <v>0</v>
      </c>
      <c r="FM102" s="88">
        <f t="shared" ca="1" si="307"/>
        <v>0</v>
      </c>
      <c r="FN102" s="88">
        <f t="shared" ca="1" si="307"/>
        <v>0</v>
      </c>
      <c r="FO102" s="88">
        <f t="shared" ca="1" si="308"/>
        <v>0</v>
      </c>
      <c r="FP102" s="88">
        <f t="shared" ca="1" si="308"/>
        <v>0</v>
      </c>
      <c r="FQ102" s="88">
        <f t="shared" ca="1" si="308"/>
        <v>0</v>
      </c>
      <c r="FR102" s="88">
        <f t="shared" ca="1" si="308"/>
        <v>0</v>
      </c>
      <c r="FS102" s="88">
        <f t="shared" ca="1" si="308"/>
        <v>0</v>
      </c>
      <c r="FT102" s="88">
        <f t="shared" ca="1" si="308"/>
        <v>0</v>
      </c>
      <c r="FU102" s="88">
        <f t="shared" ca="1" si="308"/>
        <v>0</v>
      </c>
      <c r="FV102" s="88">
        <f t="shared" ca="1" si="308"/>
        <v>0</v>
      </c>
      <c r="FW102" s="88">
        <f t="shared" ca="1" si="308"/>
        <v>0</v>
      </c>
      <c r="FX102" s="88">
        <f t="shared" ca="1" si="308"/>
        <v>0</v>
      </c>
      <c r="FY102" s="88">
        <f t="shared" ca="1" si="308"/>
        <v>0</v>
      </c>
      <c r="FZ102" s="88">
        <f t="shared" ca="1" si="308"/>
        <v>0</v>
      </c>
      <c r="GA102" s="88">
        <f t="shared" ca="1" si="308"/>
        <v>0</v>
      </c>
      <c r="GB102" s="88">
        <f t="shared" ca="1" si="308"/>
        <v>0</v>
      </c>
      <c r="GC102" s="88">
        <f t="shared" ca="1" si="308"/>
        <v>0</v>
      </c>
      <c r="GD102" s="60"/>
    </row>
    <row r="103" spans="1:186" s="54" customFormat="1" ht="14.45" customHeight="1">
      <c r="A103" s="61"/>
      <c r="B103" s="100" t="str">
        <f t="shared" si="277"/>
        <v>C&amp;I_C&amp;I Prescriptive_0_Wall Mount Occupancy_2017</v>
      </c>
      <c r="C103" s="100">
        <f>INDEX('Measure Inputs'!$D:$D,MATCH($B103,'Measure Inputs'!$B:$B,0))</f>
        <v>55</v>
      </c>
      <c r="D103" s="101" t="s">
        <v>256</v>
      </c>
      <c r="E103" s="101" t="s">
        <v>255</v>
      </c>
      <c r="F103" s="101">
        <v>0</v>
      </c>
      <c r="G103" s="101" t="s">
        <v>308</v>
      </c>
      <c r="H103" s="101">
        <v>2017</v>
      </c>
      <c r="I103" s="55"/>
      <c r="J103" s="58">
        <f t="shared" ca="1" si="229"/>
        <v>2.3660598608885151</v>
      </c>
      <c r="K103" s="58">
        <f t="shared" ca="1" si="246"/>
        <v>10.055754408776188</v>
      </c>
      <c r="L103" s="58">
        <f t="shared" ca="1" si="230"/>
        <v>0.23529411764705882</v>
      </c>
      <c r="M103" s="58">
        <f t="shared" ca="1" si="231"/>
        <v>2.8879694947292434</v>
      </c>
      <c r="N103" s="58">
        <f t="shared" ca="1" si="232"/>
        <v>10.055754408776188</v>
      </c>
      <c r="O103" s="55"/>
      <c r="P103" s="175">
        <f ca="1">IFERROR(($AW103+AV103)/SUMPRODUCT($CA103:$DI103,'General Inputs'!$F$51:$AN$51),"n/a")</f>
        <v>5.3929663087954015E-3</v>
      </c>
      <c r="Q103" s="175">
        <f t="shared" ca="1" si="233"/>
        <v>3.2681845793521264E-2</v>
      </c>
      <c r="R103" s="56">
        <f t="shared" ca="1" si="296"/>
        <v>58.748211839999996</v>
      </c>
      <c r="S103" s="55"/>
      <c r="T103" s="56">
        <f ca="1">INDEX(OFFSET('Measure Inputs'!$L$7,,,InputRows),$C103)</f>
        <v>20</v>
      </c>
      <c r="U103" s="134">
        <f ca="1">INDEX(OFFSET('Measure Inputs'!$T$7,,,InputRows),$C103)</f>
        <v>1</v>
      </c>
      <c r="V103" s="134">
        <f ca="1">INDEX(OFFSET('Measure Inputs'!$U$7,,,InputRows),$C103)</f>
        <v>1</v>
      </c>
      <c r="W103" s="55"/>
      <c r="X103" s="96">
        <f ca="1">INDEX(OFFSET('Measure Inputs'!$V$7,,,InputRows),$C103)*$T103*$V103*$U103</f>
        <v>7343.5264799999995</v>
      </c>
      <c r="Y103" s="96">
        <f ca="1">INDEX(OFFSET('Measure Inputs'!$W$7,,,InputRows),$C103)*$T103*$V103*$U103</f>
        <v>8.1129999999999995</v>
      </c>
      <c r="Z103" s="96">
        <f ca="1">INDEX(OFFSET('Measure Inputs'!$X$7,,,InputRows),$C103)*$T103*$V103*$U103</f>
        <v>0</v>
      </c>
      <c r="AA103" s="55"/>
      <c r="AB103" s="96">
        <f ca="1">INDEX(OFFSET('Measure Inputs'!$Z$7,,,InputRows),$C103)*$T103*$V103*$U103</f>
        <v>0</v>
      </c>
      <c r="AC103" s="96">
        <f ca="1">INDEX(OFFSET('Measure Inputs'!$AA$7,,,InputRows),$C103)*$T103*$V103*$U103</f>
        <v>0</v>
      </c>
      <c r="AD103" s="96">
        <f ca="1">INDEX(OFFSET('Measure Inputs'!$AB$7,,,InputRows),$C103)*$T103*$V103*$U103</f>
        <v>0</v>
      </c>
      <c r="AE103" s="55"/>
      <c r="AF103" s="57">
        <f ca="1">INDEX(OFFSET('Measure Inputs'!$Q$7,,,InputRows),$C103)*$T103</f>
        <v>0</v>
      </c>
      <c r="AG103" s="57">
        <f ca="1">INDEX(OFFSET('Measure Inputs'!$P$7,,,InputRows),$C103)*$T103*$V103</f>
        <v>1020</v>
      </c>
      <c r="AH103" s="57">
        <f ca="1">INDEX(OFFSET('Measure Inputs'!$R$7,,,InputRows),$C103)*$T103*$V103</f>
        <v>0</v>
      </c>
      <c r="AI103" s="57">
        <f ca="1">INDEX(OFFSET('Measure Inputs'!$O$7,,,InputRows),$C103)*$T103</f>
        <v>240</v>
      </c>
      <c r="AJ103" s="57">
        <f ca="1">INDEX(OFFSET('Measure Inputs'!$S$7,,,InputRows),$C103)*$T103</f>
        <v>0</v>
      </c>
      <c r="AK103" s="63">
        <f ca="1">INDEX(OFFSET('Measure Inputs'!$M$7,,,InputRows),$C103)</f>
        <v>8</v>
      </c>
      <c r="AL103" s="88">
        <f ca="1">INDEX(OFFSET('Measure Inputs'!$N$7,,,InputRows),$C103)</f>
        <v>0</v>
      </c>
      <c r="AM103" s="57">
        <f ca="1">SUMIFS(OFFSET('Program Inputs'!$N$5,,,TotalPrograms),OFFSET('Program Inputs'!$B$5,,,TotalPrograms),SUBSTITUTE($B103,"All","*"))+AF103</f>
        <v>0</v>
      </c>
      <c r="AN103" s="57">
        <f t="shared" ca="1" si="297"/>
        <v>240</v>
      </c>
      <c r="AO103" s="55"/>
      <c r="AP103" s="59">
        <f t="shared" ca="1" si="298"/>
        <v>2413.3810581062853</v>
      </c>
      <c r="AQ103" s="59">
        <f t="shared" ca="1" si="299"/>
        <v>1020</v>
      </c>
      <c r="AR103" s="59">
        <f ca="1">SUMPRODUCT($CA103:$DI103,'General Inputs'!$F$32:$AN$32,'General Inputs'!$F$51:$AN$51)/(1-Loss_ElectricEnergy)</f>
        <v>1344.7717108168563</v>
      </c>
      <c r="AS103" s="59">
        <f ca="1">SUMPRODUCT($DK103:$ES103,'General Inputs'!$F$33:$AN$33,'General Inputs'!$F$51:$AN$51)/(1-Loss_ElectricDemand)</f>
        <v>1068.609347289429</v>
      </c>
      <c r="AT103" s="59">
        <f ca="1">SUMPRODUCT($EU103:$GC103,'General Inputs'!$F$34:$AN$34,'General Inputs'!$F$51:$AN$51)/(1-Loss_GasEnergy)</f>
        <v>0</v>
      </c>
      <c r="AU103" s="59">
        <f ca="1">INDEX('General Inputs'!$F$51:$AN$51,MATCH($H103,'General Inputs'!$F$50:$AN$50,0))*$AJ103</f>
        <v>0</v>
      </c>
      <c r="AV103" s="59">
        <f ca="1">INDEX('General Inputs'!$F$51:$AN$51,MATCH($H103,'General Inputs'!$F$50:$AN$50,0))*$AI103</f>
        <v>240</v>
      </c>
      <c r="AW103" s="59">
        <f ca="1">INDEX('General Inputs'!$F$51:$AN$51,MATCH($H103,'General Inputs'!$F$50:$AN$50,0))*$AM103</f>
        <v>0</v>
      </c>
      <c r="AX103" s="59">
        <f ca="1">SUM(INDEX('General Inputs'!$F$51:$AN$51,MATCH($H103,'General Inputs'!$F$50:$AN$50,0))*$AG103,INDEX('General Inputs'!$F$51:$AN$51,MATCH($H103+$AL103,'General Inputs'!$F$50:$AN$50,0))*-$AH103)</f>
        <v>1020</v>
      </c>
      <c r="AY103" s="55"/>
      <c r="AZ103" s="59">
        <f ca="1">SUMPRODUCT($CA103:$DI103,'General Inputs'!$F$32:$AN$32,'General Inputs'!$F$52:$AN$52)/(1-Loss_ElectricEnergy)</f>
        <v>1344.7717108168563</v>
      </c>
      <c r="BA103" s="59">
        <f ca="1">SUMPRODUCT($DK103:$ES103,'General Inputs'!$F$33:$AN$33,'General Inputs'!$F$52:$AN$52)/(1-Loss_ElectricDemand)</f>
        <v>1068.609347289429</v>
      </c>
      <c r="BB103" s="59">
        <f ca="1">SUMPRODUCT($EU103:$GC103,'General Inputs'!$F$34:$AN$34,'General Inputs'!$F$52:$AN$52)/(1-Loss_GasEnergy)</f>
        <v>0</v>
      </c>
      <c r="BC103" s="59">
        <f ca="1">INDEX('General Inputs'!$F$52:$AN$52,MATCH($H103,'General Inputs'!$F$50:$AN$50,0))*$AI103</f>
        <v>240</v>
      </c>
      <c r="BD103" s="59">
        <f ca="1">INDEX('General Inputs'!$F$52:$AN$52,MATCH($H103,'General Inputs'!$F$50:$AN$50,0))*$AM103</f>
        <v>0</v>
      </c>
      <c r="BE103" s="55"/>
      <c r="BF103" s="59">
        <f ca="1">SUMPRODUCT($CA103:$DI103,OFFSET('General Inputs'!$F$40:$AN$40,MATCH($D103&amp;" Electric ($/kWh)",'General Inputs'!$E$40:$E$46,0),),'General Inputs'!$F$54:$AN$54)</f>
        <v>0</v>
      </c>
      <c r="BG103" s="59">
        <f ca="1">SUMPRODUCT($EU103:$GC103,OFFSET('General Inputs'!$F$40:$AN$40,MATCH($D103&amp;" Natural Gas ($/therm)",'General Inputs'!$E$40:$E$46,0),),'General Inputs'!$F$54:$AN$54)</f>
        <v>0</v>
      </c>
      <c r="BH103" s="59">
        <f ca="1">INDEX('General Inputs'!$F$54:$AN$54,MATCH($H103,'General Inputs'!$F$50:$AN$50,0))*$AI103</f>
        <v>240</v>
      </c>
      <c r="BI103" s="59">
        <f ca="1">SUM(INDEX('General Inputs'!$F$54:$AN$54,MATCH($H103,'General Inputs'!$F$50:$AN$50,0))*$AG103,INDEX('General Inputs'!$F$51:$AN$51,MATCH($H103+$AL103,'General Inputs'!$F$50:$AN$50,0))*-$AH103)</f>
        <v>1020</v>
      </c>
      <c r="BJ103" s="55"/>
      <c r="BK103" s="59">
        <f ca="1">SUMPRODUCT($CA103:$DI103,'General Inputs'!$F$32:$AN$32,'General Inputs'!$F$53:$AN$53)/(1-Loss_ElectricEnergy)</f>
        <v>1344.7717108168563</v>
      </c>
      <c r="BL103" s="59">
        <f ca="1">SUMPRODUCT($DK103:$ES103,'General Inputs'!$F$33:$AN$33,'General Inputs'!$F$53:$AN$53)/(1-Loss_ElectricDemand)</f>
        <v>1068.609347289429</v>
      </c>
      <c r="BM103" s="59">
        <f ca="1">SUMPRODUCT($EU103:$GC103,'General Inputs'!$F$34:$AN$34,'General Inputs'!$F$53:$AN$53)/(1-Loss_GasEnergy)</f>
        <v>0</v>
      </c>
      <c r="BN103" s="59">
        <f ca="1">INDEX('General Inputs'!$F$53:$AN$53,MATCH($H103,'General Inputs'!$F$50:$AN$50,0))*$AJ103</f>
        <v>0</v>
      </c>
      <c r="BO103" s="59">
        <f ca="1">SUMPRODUCT($CA103:$DI103,'General Inputs'!$F$35:$AN$35,'General Inputs'!$F$53:$AN$53)/(1-Loss_ElectricEnergy)</f>
        <v>532.34782651754313</v>
      </c>
      <c r="BP103" s="59">
        <f ca="1">INDEX('General Inputs'!$F$51:$AN$51,MATCH($H103,'General Inputs'!$F$50:$AN$50,0))*$AM103</f>
        <v>0</v>
      </c>
      <c r="BQ103" s="59">
        <f ca="1">SUM(INDEX('General Inputs'!$F$53:$AN$53,MATCH($H103,'General Inputs'!$F$50:$AN$50,0))*$AG103,INDEX('General Inputs'!$F$53:$AN$53,MATCH($H103+$AL103,'General Inputs'!$F$50:$AN$50,0))*-$AH103)</f>
        <v>1020</v>
      </c>
      <c r="BR103" s="55"/>
      <c r="BS103" s="59">
        <f ca="1">SUMPRODUCT($CA103:$DI103,'General Inputs'!$F$32:$AN$32,'General Inputs'!$F$55:$AN$55)/(1-Loss_ElectricEnergy)</f>
        <v>1344.7717108168563</v>
      </c>
      <c r="BT103" s="59">
        <f ca="1">SUMPRODUCT($DK103:$ES103,'General Inputs'!$F$33:$AN$33,'General Inputs'!$F$55:$AN$55)/(1-Loss_ElectricDemand)</f>
        <v>1068.609347289429</v>
      </c>
      <c r="BU103" s="59">
        <f ca="1">SUMPRODUCT($EU103:$GC103,'General Inputs'!$F$34:$AN$34,'General Inputs'!$F$55:$AN$55)/(1-Loss_GasEnergy)</f>
        <v>0</v>
      </c>
      <c r="BV103" s="59">
        <f ca="1">SUMPRODUCT($CA103:$DI103,OFFSET('General Inputs'!$F$40:$AN$40,MATCH($D103&amp;" Electric ($/kWh)",'General Inputs'!$E$40:$E$46,0),),'General Inputs'!$F$55:$AN$55)</f>
        <v>0</v>
      </c>
      <c r="BW103" s="59">
        <f ca="1">SUMPRODUCT($EU103:$GC103,OFFSET('General Inputs'!$F$40:$AN$40,MATCH($D103&amp;" Natural Gas ($/therm)",'General Inputs'!$E$40:$E$46,0),),'General Inputs'!$F$55:$AN$55)</f>
        <v>0</v>
      </c>
      <c r="BX103" s="59">
        <f ca="1">INDEX('General Inputs'!$F$55:$AN$55,MATCH($H103,'General Inputs'!$F$50:$AN$50,0))*$AI103</f>
        <v>240</v>
      </c>
      <c r="BY103" s="59">
        <f ca="1">INDEX('General Inputs'!$F$51:$AN$51,MATCH($H103,'General Inputs'!$F$50:$AN$50,0))*$AM103</f>
        <v>0</v>
      </c>
      <c r="BZ103" s="55"/>
      <c r="CA103" s="88">
        <f t="shared" ca="1" si="300"/>
        <v>7343.5264799999995</v>
      </c>
      <c r="CB103" s="88">
        <f t="shared" ca="1" si="300"/>
        <v>7343.5264799999995</v>
      </c>
      <c r="CC103" s="88">
        <f t="shared" ca="1" si="300"/>
        <v>7343.5264799999995</v>
      </c>
      <c r="CD103" s="88">
        <f t="shared" ca="1" si="300"/>
        <v>7343.5264799999995</v>
      </c>
      <c r="CE103" s="88">
        <f t="shared" ca="1" si="300"/>
        <v>7343.5264799999995</v>
      </c>
      <c r="CF103" s="88">
        <f t="shared" ca="1" si="300"/>
        <v>7343.5264799999995</v>
      </c>
      <c r="CG103" s="88">
        <f t="shared" ca="1" si="300"/>
        <v>7343.5264799999995</v>
      </c>
      <c r="CH103" s="88">
        <f t="shared" ca="1" si="300"/>
        <v>7343.5264799999995</v>
      </c>
      <c r="CI103" s="88">
        <f t="shared" ca="1" si="300"/>
        <v>0</v>
      </c>
      <c r="CJ103" s="88">
        <f t="shared" ca="1" si="300"/>
        <v>0</v>
      </c>
      <c r="CK103" s="88">
        <f t="shared" ca="1" si="301"/>
        <v>0</v>
      </c>
      <c r="CL103" s="88">
        <f t="shared" ca="1" si="301"/>
        <v>0</v>
      </c>
      <c r="CM103" s="88">
        <f t="shared" ca="1" si="301"/>
        <v>0</v>
      </c>
      <c r="CN103" s="88">
        <f t="shared" ca="1" si="301"/>
        <v>0</v>
      </c>
      <c r="CO103" s="88">
        <f t="shared" ca="1" si="301"/>
        <v>0</v>
      </c>
      <c r="CP103" s="88">
        <f t="shared" ca="1" si="301"/>
        <v>0</v>
      </c>
      <c r="CQ103" s="88">
        <f t="shared" ca="1" si="301"/>
        <v>0</v>
      </c>
      <c r="CR103" s="88">
        <f t="shared" ca="1" si="301"/>
        <v>0</v>
      </c>
      <c r="CS103" s="88">
        <f t="shared" ca="1" si="301"/>
        <v>0</v>
      </c>
      <c r="CT103" s="88">
        <f t="shared" ca="1" si="301"/>
        <v>0</v>
      </c>
      <c r="CU103" s="88">
        <f t="shared" ca="1" si="302"/>
        <v>0</v>
      </c>
      <c r="CV103" s="88">
        <f t="shared" ca="1" si="302"/>
        <v>0</v>
      </c>
      <c r="CW103" s="88">
        <f t="shared" ca="1" si="302"/>
        <v>0</v>
      </c>
      <c r="CX103" s="88">
        <f t="shared" ca="1" si="302"/>
        <v>0</v>
      </c>
      <c r="CY103" s="88">
        <f t="shared" ca="1" si="302"/>
        <v>0</v>
      </c>
      <c r="CZ103" s="88">
        <f t="shared" ca="1" si="302"/>
        <v>0</v>
      </c>
      <c r="DA103" s="88">
        <f t="shared" ca="1" si="302"/>
        <v>0</v>
      </c>
      <c r="DB103" s="88">
        <f t="shared" ca="1" si="302"/>
        <v>0</v>
      </c>
      <c r="DC103" s="88">
        <f t="shared" ca="1" si="302"/>
        <v>0</v>
      </c>
      <c r="DD103" s="88">
        <f t="shared" ca="1" si="302"/>
        <v>0</v>
      </c>
      <c r="DE103" s="88">
        <f t="shared" ca="1" si="302"/>
        <v>0</v>
      </c>
      <c r="DF103" s="88">
        <f t="shared" ca="1" si="302"/>
        <v>0</v>
      </c>
      <c r="DG103" s="88">
        <f t="shared" ca="1" si="302"/>
        <v>0</v>
      </c>
      <c r="DH103" s="88">
        <f t="shared" ca="1" si="302"/>
        <v>0</v>
      </c>
      <c r="DI103" s="88">
        <f t="shared" ca="1" si="302"/>
        <v>0</v>
      </c>
      <c r="DJ103" s="169"/>
      <c r="DK103" s="88">
        <f t="shared" ca="1" si="303"/>
        <v>8.1129999999999995</v>
      </c>
      <c r="DL103" s="88">
        <f t="shared" ca="1" si="303"/>
        <v>8.1129999999999995</v>
      </c>
      <c r="DM103" s="88">
        <f t="shared" ca="1" si="303"/>
        <v>8.1129999999999995</v>
      </c>
      <c r="DN103" s="88">
        <f t="shared" ca="1" si="303"/>
        <v>8.1129999999999995</v>
      </c>
      <c r="DO103" s="88">
        <f t="shared" ca="1" si="303"/>
        <v>8.1129999999999995</v>
      </c>
      <c r="DP103" s="88">
        <f t="shared" ca="1" si="303"/>
        <v>8.1129999999999995</v>
      </c>
      <c r="DQ103" s="88">
        <f t="shared" ca="1" si="303"/>
        <v>8.1129999999999995</v>
      </c>
      <c r="DR103" s="88">
        <f t="shared" ca="1" si="303"/>
        <v>8.1129999999999995</v>
      </c>
      <c r="DS103" s="88">
        <f t="shared" ca="1" si="303"/>
        <v>0</v>
      </c>
      <c r="DT103" s="88">
        <f t="shared" ca="1" si="303"/>
        <v>0</v>
      </c>
      <c r="DU103" s="88">
        <f t="shared" ca="1" si="304"/>
        <v>0</v>
      </c>
      <c r="DV103" s="88">
        <f t="shared" ca="1" si="304"/>
        <v>0</v>
      </c>
      <c r="DW103" s="88">
        <f t="shared" ca="1" si="304"/>
        <v>0</v>
      </c>
      <c r="DX103" s="88">
        <f t="shared" ca="1" si="304"/>
        <v>0</v>
      </c>
      <c r="DY103" s="88">
        <f t="shared" ca="1" si="304"/>
        <v>0</v>
      </c>
      <c r="DZ103" s="88">
        <f t="shared" ca="1" si="304"/>
        <v>0</v>
      </c>
      <c r="EA103" s="88">
        <f t="shared" ca="1" si="304"/>
        <v>0</v>
      </c>
      <c r="EB103" s="88">
        <f t="shared" ca="1" si="304"/>
        <v>0</v>
      </c>
      <c r="EC103" s="88">
        <f t="shared" ca="1" si="304"/>
        <v>0</v>
      </c>
      <c r="ED103" s="88">
        <f t="shared" ca="1" si="304"/>
        <v>0</v>
      </c>
      <c r="EE103" s="88">
        <f t="shared" ca="1" si="305"/>
        <v>0</v>
      </c>
      <c r="EF103" s="88">
        <f t="shared" ca="1" si="305"/>
        <v>0</v>
      </c>
      <c r="EG103" s="88">
        <f t="shared" ca="1" si="305"/>
        <v>0</v>
      </c>
      <c r="EH103" s="88">
        <f t="shared" ca="1" si="305"/>
        <v>0</v>
      </c>
      <c r="EI103" s="88">
        <f t="shared" ca="1" si="305"/>
        <v>0</v>
      </c>
      <c r="EJ103" s="88">
        <f t="shared" ca="1" si="305"/>
        <v>0</v>
      </c>
      <c r="EK103" s="88">
        <f t="shared" ca="1" si="305"/>
        <v>0</v>
      </c>
      <c r="EL103" s="88">
        <f t="shared" ca="1" si="305"/>
        <v>0</v>
      </c>
      <c r="EM103" s="88">
        <f t="shared" ca="1" si="305"/>
        <v>0</v>
      </c>
      <c r="EN103" s="88">
        <f t="shared" ca="1" si="305"/>
        <v>0</v>
      </c>
      <c r="EO103" s="88">
        <f t="shared" ca="1" si="305"/>
        <v>0</v>
      </c>
      <c r="EP103" s="88">
        <f t="shared" ca="1" si="305"/>
        <v>0</v>
      </c>
      <c r="EQ103" s="88">
        <f t="shared" ca="1" si="305"/>
        <v>0</v>
      </c>
      <c r="ER103" s="88">
        <f t="shared" ca="1" si="305"/>
        <v>0</v>
      </c>
      <c r="ES103" s="88">
        <f t="shared" ca="1" si="305"/>
        <v>0</v>
      </c>
      <c r="ET103" s="169"/>
      <c r="EU103" s="88">
        <f t="shared" ca="1" si="306"/>
        <v>0</v>
      </c>
      <c r="EV103" s="88">
        <f t="shared" ca="1" si="306"/>
        <v>0</v>
      </c>
      <c r="EW103" s="88">
        <f t="shared" ca="1" si="306"/>
        <v>0</v>
      </c>
      <c r="EX103" s="88">
        <f t="shared" ca="1" si="306"/>
        <v>0</v>
      </c>
      <c r="EY103" s="88">
        <f t="shared" ca="1" si="306"/>
        <v>0</v>
      </c>
      <c r="EZ103" s="88">
        <f t="shared" ca="1" si="306"/>
        <v>0</v>
      </c>
      <c r="FA103" s="88">
        <f t="shared" ca="1" si="306"/>
        <v>0</v>
      </c>
      <c r="FB103" s="88">
        <f t="shared" ca="1" si="306"/>
        <v>0</v>
      </c>
      <c r="FC103" s="88">
        <f t="shared" ca="1" si="306"/>
        <v>0</v>
      </c>
      <c r="FD103" s="88">
        <f t="shared" ca="1" si="306"/>
        <v>0</v>
      </c>
      <c r="FE103" s="88">
        <f t="shared" ca="1" si="307"/>
        <v>0</v>
      </c>
      <c r="FF103" s="88">
        <f t="shared" ca="1" si="307"/>
        <v>0</v>
      </c>
      <c r="FG103" s="88">
        <f t="shared" ca="1" si="307"/>
        <v>0</v>
      </c>
      <c r="FH103" s="88">
        <f t="shared" ca="1" si="307"/>
        <v>0</v>
      </c>
      <c r="FI103" s="88">
        <f t="shared" ca="1" si="307"/>
        <v>0</v>
      </c>
      <c r="FJ103" s="88">
        <f t="shared" ca="1" si="307"/>
        <v>0</v>
      </c>
      <c r="FK103" s="88">
        <f t="shared" ca="1" si="307"/>
        <v>0</v>
      </c>
      <c r="FL103" s="88">
        <f t="shared" ca="1" si="307"/>
        <v>0</v>
      </c>
      <c r="FM103" s="88">
        <f t="shared" ca="1" si="307"/>
        <v>0</v>
      </c>
      <c r="FN103" s="88">
        <f t="shared" ca="1" si="307"/>
        <v>0</v>
      </c>
      <c r="FO103" s="88">
        <f t="shared" ca="1" si="308"/>
        <v>0</v>
      </c>
      <c r="FP103" s="88">
        <f t="shared" ca="1" si="308"/>
        <v>0</v>
      </c>
      <c r="FQ103" s="88">
        <f t="shared" ca="1" si="308"/>
        <v>0</v>
      </c>
      <c r="FR103" s="88">
        <f t="shared" ca="1" si="308"/>
        <v>0</v>
      </c>
      <c r="FS103" s="88">
        <f t="shared" ca="1" si="308"/>
        <v>0</v>
      </c>
      <c r="FT103" s="88">
        <f t="shared" ca="1" si="308"/>
        <v>0</v>
      </c>
      <c r="FU103" s="88">
        <f t="shared" ca="1" si="308"/>
        <v>0</v>
      </c>
      <c r="FV103" s="88">
        <f t="shared" ca="1" si="308"/>
        <v>0</v>
      </c>
      <c r="FW103" s="88">
        <f t="shared" ca="1" si="308"/>
        <v>0</v>
      </c>
      <c r="FX103" s="88">
        <f t="shared" ca="1" si="308"/>
        <v>0</v>
      </c>
      <c r="FY103" s="88">
        <f t="shared" ca="1" si="308"/>
        <v>0</v>
      </c>
      <c r="FZ103" s="88">
        <f t="shared" ca="1" si="308"/>
        <v>0</v>
      </c>
      <c r="GA103" s="88">
        <f t="shared" ca="1" si="308"/>
        <v>0</v>
      </c>
      <c r="GB103" s="88">
        <f t="shared" ca="1" si="308"/>
        <v>0</v>
      </c>
      <c r="GC103" s="88">
        <f t="shared" ca="1" si="308"/>
        <v>0</v>
      </c>
      <c r="GD103" s="60"/>
    </row>
    <row r="104" spans="1:186" s="54" customFormat="1" ht="14.45" customHeight="1">
      <c r="A104" s="61"/>
      <c r="B104" s="100" t="str">
        <f t="shared" si="277"/>
        <v>C&amp;I_C&amp;I Prescriptive_0_Fixture Mount Occupancy_2017</v>
      </c>
      <c r="C104" s="100">
        <f>INDEX('Measure Inputs'!$D:$D,MATCH($B104,'Measure Inputs'!$B:$B,0))</f>
        <v>56</v>
      </c>
      <c r="D104" s="101" t="s">
        <v>256</v>
      </c>
      <c r="E104" s="101" t="s">
        <v>255</v>
      </c>
      <c r="F104" s="101">
        <v>0</v>
      </c>
      <c r="G104" s="101" t="s">
        <v>309</v>
      </c>
      <c r="H104" s="101">
        <v>2017</v>
      </c>
      <c r="I104" s="55"/>
      <c r="J104" s="58">
        <f t="shared" ca="1" si="229"/>
        <v>0.77407090245746835</v>
      </c>
      <c r="K104" s="58">
        <f t="shared" ca="1" si="246"/>
        <v>5.9345435855072575</v>
      </c>
      <c r="L104" s="58">
        <f t="shared" ca="1" si="230"/>
        <v>0.13043478260869565</v>
      </c>
      <c r="M104" s="58">
        <f t="shared" ca="1" si="231"/>
        <v>0.9448168197296668</v>
      </c>
      <c r="N104" s="58">
        <f t="shared" ca="1" si="232"/>
        <v>5.9345435855072575</v>
      </c>
      <c r="O104" s="55"/>
      <c r="P104" s="175">
        <f ca="1">IFERROR(($AW104+AV104)/SUMPRODUCT($CA104:$DI104,'General Inputs'!$F$51:$AN$51),"n/a")</f>
        <v>9.1380818010144312E-3</v>
      </c>
      <c r="Q104" s="175">
        <f t="shared" ca="1" si="233"/>
        <v>5.5377572039022153E-2</v>
      </c>
      <c r="R104" s="56">
        <f t="shared" ca="1" si="296"/>
        <v>34.67107584</v>
      </c>
      <c r="S104" s="55"/>
      <c r="T104" s="56">
        <f ca="1">INDEX(OFFSET('Measure Inputs'!$L$7,,,InputRows),$C104)</f>
        <v>20</v>
      </c>
      <c r="U104" s="134">
        <f ca="1">INDEX(OFFSET('Measure Inputs'!$T$7,,,InputRows),$C104)</f>
        <v>1</v>
      </c>
      <c r="V104" s="134">
        <f ca="1">INDEX(OFFSET('Measure Inputs'!$U$7,,,InputRows),$C104)</f>
        <v>1</v>
      </c>
      <c r="W104" s="55"/>
      <c r="X104" s="96">
        <f ca="1">INDEX(OFFSET('Measure Inputs'!$V$7,,,InputRows),$C104)*$T104*$V104*$U104</f>
        <v>4333.8844799999988</v>
      </c>
      <c r="Y104" s="96">
        <f ca="1">INDEX(OFFSET('Measure Inputs'!$W$7,,,InputRows),$C104)*$T104*$V104*$U104</f>
        <v>4.7880000000000003</v>
      </c>
      <c r="Z104" s="96">
        <f ca="1">INDEX(OFFSET('Measure Inputs'!$X$7,,,InputRows),$C104)*$T104*$V104*$U104</f>
        <v>0</v>
      </c>
      <c r="AA104" s="55"/>
      <c r="AB104" s="96">
        <f ca="1">INDEX(OFFSET('Measure Inputs'!$Z$7,,,InputRows),$C104)*$T104*$V104*$U104</f>
        <v>0</v>
      </c>
      <c r="AC104" s="96">
        <f ca="1">INDEX(OFFSET('Measure Inputs'!$AA$7,,,InputRows),$C104)*$T104*$V104*$U104</f>
        <v>0</v>
      </c>
      <c r="AD104" s="96">
        <f ca="1">INDEX(OFFSET('Measure Inputs'!$AB$7,,,InputRows),$C104)*$T104*$V104*$U104</f>
        <v>0</v>
      </c>
      <c r="AE104" s="55"/>
      <c r="AF104" s="57">
        <f ca="1">INDEX(OFFSET('Measure Inputs'!$Q$7,,,InputRows),$C104)*$T104</f>
        <v>0</v>
      </c>
      <c r="AG104" s="57">
        <f ca="1">INDEX(OFFSET('Measure Inputs'!$P$7,,,InputRows),$C104)*$T104*$V104</f>
        <v>1840</v>
      </c>
      <c r="AH104" s="57">
        <f ca="1">INDEX(OFFSET('Measure Inputs'!$R$7,,,InputRows),$C104)*$T104*$V104</f>
        <v>0</v>
      </c>
      <c r="AI104" s="57">
        <f ca="1">INDEX(OFFSET('Measure Inputs'!$O$7,,,InputRows),$C104)*$T104</f>
        <v>240</v>
      </c>
      <c r="AJ104" s="57">
        <f ca="1">INDEX(OFFSET('Measure Inputs'!$S$7,,,InputRows),$C104)*$T104</f>
        <v>0</v>
      </c>
      <c r="AK104" s="63">
        <f ca="1">INDEX(OFFSET('Measure Inputs'!$M$7,,,InputRows),$C104)</f>
        <v>8</v>
      </c>
      <c r="AL104" s="88">
        <f ca="1">INDEX(OFFSET('Measure Inputs'!$N$7,,,InputRows),$C104)</f>
        <v>0</v>
      </c>
      <c r="AM104" s="57">
        <f ca="1">SUMIFS(OFFSET('Program Inputs'!$N$5,,,TotalPrograms),OFFSET('Program Inputs'!$B$5,,,TotalPrograms),SUBSTITUTE($B104,"All","*"))+AF104</f>
        <v>0</v>
      </c>
      <c r="AN104" s="57">
        <f t="shared" ca="1" si="297"/>
        <v>240</v>
      </c>
      <c r="AO104" s="55"/>
      <c r="AP104" s="59">
        <f t="shared" ca="1" si="298"/>
        <v>1424.2904605217418</v>
      </c>
      <c r="AQ104" s="59">
        <f t="shared" ca="1" si="299"/>
        <v>1840</v>
      </c>
      <c r="AR104" s="59">
        <f ca="1">SUMPRODUCT($CA104:$DI104,'General Inputs'!$F$32:$AN$32,'General Inputs'!$F$51:$AN$51)/(1-Loss_ElectricEnergy)</f>
        <v>793.6357637607673</v>
      </c>
      <c r="AS104" s="59">
        <f ca="1">SUMPRODUCT($DK104:$ES104,'General Inputs'!$F$33:$AN$33,'General Inputs'!$F$51:$AN$51)/(1-Loss_ElectricDemand)</f>
        <v>630.65469676097439</v>
      </c>
      <c r="AT104" s="59">
        <f ca="1">SUMPRODUCT($EU104:$GC104,'General Inputs'!$F$34:$AN$34,'General Inputs'!$F$51:$AN$51)/(1-Loss_GasEnergy)</f>
        <v>0</v>
      </c>
      <c r="AU104" s="59">
        <f ca="1">INDEX('General Inputs'!$F$51:$AN$51,MATCH($H104,'General Inputs'!$F$50:$AN$50,0))*$AJ104</f>
        <v>0</v>
      </c>
      <c r="AV104" s="59">
        <f ca="1">INDEX('General Inputs'!$F$51:$AN$51,MATCH($H104,'General Inputs'!$F$50:$AN$50,0))*$AI104</f>
        <v>240</v>
      </c>
      <c r="AW104" s="59">
        <f ca="1">INDEX('General Inputs'!$F$51:$AN$51,MATCH($H104,'General Inputs'!$F$50:$AN$50,0))*$AM104</f>
        <v>0</v>
      </c>
      <c r="AX104" s="59">
        <f ca="1">SUM(INDEX('General Inputs'!$F$51:$AN$51,MATCH($H104,'General Inputs'!$F$50:$AN$50,0))*$AG104,INDEX('General Inputs'!$F$51:$AN$51,MATCH($H104+$AL104,'General Inputs'!$F$50:$AN$50,0))*-$AH104)</f>
        <v>1840</v>
      </c>
      <c r="AY104" s="55"/>
      <c r="AZ104" s="59">
        <f ca="1">SUMPRODUCT($CA104:$DI104,'General Inputs'!$F$32:$AN$32,'General Inputs'!$F$52:$AN$52)/(1-Loss_ElectricEnergy)</f>
        <v>793.6357637607673</v>
      </c>
      <c r="BA104" s="59">
        <f ca="1">SUMPRODUCT($DK104:$ES104,'General Inputs'!$F$33:$AN$33,'General Inputs'!$F$52:$AN$52)/(1-Loss_ElectricDemand)</f>
        <v>630.65469676097439</v>
      </c>
      <c r="BB104" s="59">
        <f ca="1">SUMPRODUCT($EU104:$GC104,'General Inputs'!$F$34:$AN$34,'General Inputs'!$F$52:$AN$52)/(1-Loss_GasEnergy)</f>
        <v>0</v>
      </c>
      <c r="BC104" s="59">
        <f ca="1">INDEX('General Inputs'!$F$52:$AN$52,MATCH($H104,'General Inputs'!$F$50:$AN$50,0))*$AI104</f>
        <v>240</v>
      </c>
      <c r="BD104" s="59">
        <f ca="1">INDEX('General Inputs'!$F$52:$AN$52,MATCH($H104,'General Inputs'!$F$50:$AN$50,0))*$AM104</f>
        <v>0</v>
      </c>
      <c r="BE104" s="55"/>
      <c r="BF104" s="59">
        <f ca="1">SUMPRODUCT($CA104:$DI104,OFFSET('General Inputs'!$F$40:$AN$40,MATCH($D104&amp;" Electric ($/kWh)",'General Inputs'!$E$40:$E$46,0),),'General Inputs'!$F$54:$AN$54)</f>
        <v>0</v>
      </c>
      <c r="BG104" s="59">
        <f ca="1">SUMPRODUCT($EU104:$GC104,OFFSET('General Inputs'!$F$40:$AN$40,MATCH($D104&amp;" Natural Gas ($/therm)",'General Inputs'!$E$40:$E$46,0),),'General Inputs'!$F$54:$AN$54)</f>
        <v>0</v>
      </c>
      <c r="BH104" s="59">
        <f ca="1">INDEX('General Inputs'!$F$54:$AN$54,MATCH($H104,'General Inputs'!$F$50:$AN$50,0))*$AI104</f>
        <v>240</v>
      </c>
      <c r="BI104" s="59">
        <f ca="1">SUM(INDEX('General Inputs'!$F$54:$AN$54,MATCH($H104,'General Inputs'!$F$50:$AN$50,0))*$AG104,INDEX('General Inputs'!$F$51:$AN$51,MATCH($H104+$AL104,'General Inputs'!$F$50:$AN$50,0))*-$AH104)</f>
        <v>1840</v>
      </c>
      <c r="BJ104" s="55"/>
      <c r="BK104" s="59">
        <f ca="1">SUMPRODUCT($CA104:$DI104,'General Inputs'!$F$32:$AN$32,'General Inputs'!$F$53:$AN$53)/(1-Loss_ElectricEnergy)</f>
        <v>793.6357637607673</v>
      </c>
      <c r="BL104" s="59">
        <f ca="1">SUMPRODUCT($DK104:$ES104,'General Inputs'!$F$33:$AN$33,'General Inputs'!$F$53:$AN$53)/(1-Loss_ElectricDemand)</f>
        <v>630.65469676097439</v>
      </c>
      <c r="BM104" s="59">
        <f ca="1">SUMPRODUCT($EU104:$GC104,'General Inputs'!$F$34:$AN$34,'General Inputs'!$F$53:$AN$53)/(1-Loss_GasEnergy)</f>
        <v>0</v>
      </c>
      <c r="BN104" s="59">
        <f ca="1">INDEX('General Inputs'!$F$53:$AN$53,MATCH($H104,'General Inputs'!$F$50:$AN$50,0))*$AJ104</f>
        <v>0</v>
      </c>
      <c r="BO104" s="59">
        <f ca="1">SUMPRODUCT($CA104:$DI104,'General Inputs'!$F$35:$AN$35,'General Inputs'!$F$53:$AN$53)/(1-Loss_ElectricEnergy)</f>
        <v>314.17248778084507</v>
      </c>
      <c r="BP104" s="59">
        <f ca="1">INDEX('General Inputs'!$F$51:$AN$51,MATCH($H104,'General Inputs'!$F$50:$AN$50,0))*$AM104</f>
        <v>0</v>
      </c>
      <c r="BQ104" s="59">
        <f ca="1">SUM(INDEX('General Inputs'!$F$53:$AN$53,MATCH($H104,'General Inputs'!$F$50:$AN$50,0))*$AG104,INDEX('General Inputs'!$F$53:$AN$53,MATCH($H104+$AL104,'General Inputs'!$F$50:$AN$50,0))*-$AH104)</f>
        <v>1840</v>
      </c>
      <c r="BR104" s="55"/>
      <c r="BS104" s="59">
        <f ca="1">SUMPRODUCT($CA104:$DI104,'General Inputs'!$F$32:$AN$32,'General Inputs'!$F$55:$AN$55)/(1-Loss_ElectricEnergy)</f>
        <v>793.6357637607673</v>
      </c>
      <c r="BT104" s="59">
        <f ca="1">SUMPRODUCT($DK104:$ES104,'General Inputs'!$F$33:$AN$33,'General Inputs'!$F$55:$AN$55)/(1-Loss_ElectricDemand)</f>
        <v>630.65469676097439</v>
      </c>
      <c r="BU104" s="59">
        <f ca="1">SUMPRODUCT($EU104:$GC104,'General Inputs'!$F$34:$AN$34,'General Inputs'!$F$55:$AN$55)/(1-Loss_GasEnergy)</f>
        <v>0</v>
      </c>
      <c r="BV104" s="59">
        <f ca="1">SUMPRODUCT($CA104:$DI104,OFFSET('General Inputs'!$F$40:$AN$40,MATCH($D104&amp;" Electric ($/kWh)",'General Inputs'!$E$40:$E$46,0),),'General Inputs'!$F$55:$AN$55)</f>
        <v>0</v>
      </c>
      <c r="BW104" s="59">
        <f ca="1">SUMPRODUCT($EU104:$GC104,OFFSET('General Inputs'!$F$40:$AN$40,MATCH($D104&amp;" Natural Gas ($/therm)",'General Inputs'!$E$40:$E$46,0),),'General Inputs'!$F$55:$AN$55)</f>
        <v>0</v>
      </c>
      <c r="BX104" s="59">
        <f ca="1">INDEX('General Inputs'!$F$55:$AN$55,MATCH($H104,'General Inputs'!$F$50:$AN$50,0))*$AI104</f>
        <v>240</v>
      </c>
      <c r="BY104" s="59">
        <f ca="1">INDEX('General Inputs'!$F$51:$AN$51,MATCH($H104,'General Inputs'!$F$50:$AN$50,0))*$AM104</f>
        <v>0</v>
      </c>
      <c r="BZ104" s="55"/>
      <c r="CA104" s="88">
        <f t="shared" ca="1" si="300"/>
        <v>4333.8844799999988</v>
      </c>
      <c r="CB104" s="88">
        <f t="shared" ca="1" si="300"/>
        <v>4333.8844799999988</v>
      </c>
      <c r="CC104" s="88">
        <f t="shared" ca="1" si="300"/>
        <v>4333.8844799999988</v>
      </c>
      <c r="CD104" s="88">
        <f t="shared" ca="1" si="300"/>
        <v>4333.8844799999988</v>
      </c>
      <c r="CE104" s="88">
        <f t="shared" ca="1" si="300"/>
        <v>4333.8844799999988</v>
      </c>
      <c r="CF104" s="88">
        <f t="shared" ca="1" si="300"/>
        <v>4333.8844799999988</v>
      </c>
      <c r="CG104" s="88">
        <f t="shared" ca="1" si="300"/>
        <v>4333.8844799999988</v>
      </c>
      <c r="CH104" s="88">
        <f t="shared" ca="1" si="300"/>
        <v>4333.8844799999988</v>
      </c>
      <c r="CI104" s="88">
        <f t="shared" ca="1" si="300"/>
        <v>0</v>
      </c>
      <c r="CJ104" s="88">
        <f t="shared" ca="1" si="300"/>
        <v>0</v>
      </c>
      <c r="CK104" s="88">
        <f t="shared" ca="1" si="301"/>
        <v>0</v>
      </c>
      <c r="CL104" s="88">
        <f t="shared" ca="1" si="301"/>
        <v>0</v>
      </c>
      <c r="CM104" s="88">
        <f t="shared" ca="1" si="301"/>
        <v>0</v>
      </c>
      <c r="CN104" s="88">
        <f t="shared" ca="1" si="301"/>
        <v>0</v>
      </c>
      <c r="CO104" s="88">
        <f t="shared" ca="1" si="301"/>
        <v>0</v>
      </c>
      <c r="CP104" s="88">
        <f t="shared" ca="1" si="301"/>
        <v>0</v>
      </c>
      <c r="CQ104" s="88">
        <f t="shared" ca="1" si="301"/>
        <v>0</v>
      </c>
      <c r="CR104" s="88">
        <f t="shared" ca="1" si="301"/>
        <v>0</v>
      </c>
      <c r="CS104" s="88">
        <f t="shared" ca="1" si="301"/>
        <v>0</v>
      </c>
      <c r="CT104" s="88">
        <f t="shared" ca="1" si="301"/>
        <v>0</v>
      </c>
      <c r="CU104" s="88">
        <f t="shared" ca="1" si="302"/>
        <v>0</v>
      </c>
      <c r="CV104" s="88">
        <f t="shared" ca="1" si="302"/>
        <v>0</v>
      </c>
      <c r="CW104" s="88">
        <f t="shared" ca="1" si="302"/>
        <v>0</v>
      </c>
      <c r="CX104" s="88">
        <f t="shared" ca="1" si="302"/>
        <v>0</v>
      </c>
      <c r="CY104" s="88">
        <f t="shared" ca="1" si="302"/>
        <v>0</v>
      </c>
      <c r="CZ104" s="88">
        <f t="shared" ca="1" si="302"/>
        <v>0</v>
      </c>
      <c r="DA104" s="88">
        <f t="shared" ca="1" si="302"/>
        <v>0</v>
      </c>
      <c r="DB104" s="88">
        <f t="shared" ca="1" si="302"/>
        <v>0</v>
      </c>
      <c r="DC104" s="88">
        <f t="shared" ca="1" si="302"/>
        <v>0</v>
      </c>
      <c r="DD104" s="88">
        <f t="shared" ca="1" si="302"/>
        <v>0</v>
      </c>
      <c r="DE104" s="88">
        <f t="shared" ca="1" si="302"/>
        <v>0</v>
      </c>
      <c r="DF104" s="88">
        <f t="shared" ca="1" si="302"/>
        <v>0</v>
      </c>
      <c r="DG104" s="88">
        <f t="shared" ca="1" si="302"/>
        <v>0</v>
      </c>
      <c r="DH104" s="88">
        <f t="shared" ca="1" si="302"/>
        <v>0</v>
      </c>
      <c r="DI104" s="88">
        <f t="shared" ca="1" si="302"/>
        <v>0</v>
      </c>
      <c r="DJ104" s="169"/>
      <c r="DK104" s="88">
        <f t="shared" ca="1" si="303"/>
        <v>4.7880000000000003</v>
      </c>
      <c r="DL104" s="88">
        <f t="shared" ca="1" si="303"/>
        <v>4.7880000000000003</v>
      </c>
      <c r="DM104" s="88">
        <f t="shared" ca="1" si="303"/>
        <v>4.7880000000000003</v>
      </c>
      <c r="DN104" s="88">
        <f t="shared" ca="1" si="303"/>
        <v>4.7880000000000003</v>
      </c>
      <c r="DO104" s="88">
        <f t="shared" ca="1" si="303"/>
        <v>4.7880000000000003</v>
      </c>
      <c r="DP104" s="88">
        <f t="shared" ca="1" si="303"/>
        <v>4.7880000000000003</v>
      </c>
      <c r="DQ104" s="88">
        <f t="shared" ca="1" si="303"/>
        <v>4.7880000000000003</v>
      </c>
      <c r="DR104" s="88">
        <f t="shared" ca="1" si="303"/>
        <v>4.7880000000000003</v>
      </c>
      <c r="DS104" s="88">
        <f t="shared" ca="1" si="303"/>
        <v>0</v>
      </c>
      <c r="DT104" s="88">
        <f t="shared" ca="1" si="303"/>
        <v>0</v>
      </c>
      <c r="DU104" s="88">
        <f t="shared" ca="1" si="304"/>
        <v>0</v>
      </c>
      <c r="DV104" s="88">
        <f t="shared" ca="1" si="304"/>
        <v>0</v>
      </c>
      <c r="DW104" s="88">
        <f t="shared" ca="1" si="304"/>
        <v>0</v>
      </c>
      <c r="DX104" s="88">
        <f t="shared" ca="1" si="304"/>
        <v>0</v>
      </c>
      <c r="DY104" s="88">
        <f t="shared" ca="1" si="304"/>
        <v>0</v>
      </c>
      <c r="DZ104" s="88">
        <f t="shared" ca="1" si="304"/>
        <v>0</v>
      </c>
      <c r="EA104" s="88">
        <f t="shared" ca="1" si="304"/>
        <v>0</v>
      </c>
      <c r="EB104" s="88">
        <f t="shared" ca="1" si="304"/>
        <v>0</v>
      </c>
      <c r="EC104" s="88">
        <f t="shared" ca="1" si="304"/>
        <v>0</v>
      </c>
      <c r="ED104" s="88">
        <f t="shared" ca="1" si="304"/>
        <v>0</v>
      </c>
      <c r="EE104" s="88">
        <f t="shared" ca="1" si="305"/>
        <v>0</v>
      </c>
      <c r="EF104" s="88">
        <f t="shared" ca="1" si="305"/>
        <v>0</v>
      </c>
      <c r="EG104" s="88">
        <f t="shared" ca="1" si="305"/>
        <v>0</v>
      </c>
      <c r="EH104" s="88">
        <f t="shared" ca="1" si="305"/>
        <v>0</v>
      </c>
      <c r="EI104" s="88">
        <f t="shared" ca="1" si="305"/>
        <v>0</v>
      </c>
      <c r="EJ104" s="88">
        <f t="shared" ca="1" si="305"/>
        <v>0</v>
      </c>
      <c r="EK104" s="88">
        <f t="shared" ca="1" si="305"/>
        <v>0</v>
      </c>
      <c r="EL104" s="88">
        <f t="shared" ca="1" si="305"/>
        <v>0</v>
      </c>
      <c r="EM104" s="88">
        <f t="shared" ca="1" si="305"/>
        <v>0</v>
      </c>
      <c r="EN104" s="88">
        <f t="shared" ca="1" si="305"/>
        <v>0</v>
      </c>
      <c r="EO104" s="88">
        <f t="shared" ca="1" si="305"/>
        <v>0</v>
      </c>
      <c r="EP104" s="88">
        <f t="shared" ca="1" si="305"/>
        <v>0</v>
      </c>
      <c r="EQ104" s="88">
        <f t="shared" ca="1" si="305"/>
        <v>0</v>
      </c>
      <c r="ER104" s="88">
        <f t="shared" ca="1" si="305"/>
        <v>0</v>
      </c>
      <c r="ES104" s="88">
        <f t="shared" ca="1" si="305"/>
        <v>0</v>
      </c>
      <c r="ET104" s="169"/>
      <c r="EU104" s="88">
        <f t="shared" ca="1" si="306"/>
        <v>0</v>
      </c>
      <c r="EV104" s="88">
        <f t="shared" ca="1" si="306"/>
        <v>0</v>
      </c>
      <c r="EW104" s="88">
        <f t="shared" ca="1" si="306"/>
        <v>0</v>
      </c>
      <c r="EX104" s="88">
        <f t="shared" ca="1" si="306"/>
        <v>0</v>
      </c>
      <c r="EY104" s="88">
        <f t="shared" ca="1" si="306"/>
        <v>0</v>
      </c>
      <c r="EZ104" s="88">
        <f t="shared" ca="1" si="306"/>
        <v>0</v>
      </c>
      <c r="FA104" s="88">
        <f t="shared" ca="1" si="306"/>
        <v>0</v>
      </c>
      <c r="FB104" s="88">
        <f t="shared" ca="1" si="306"/>
        <v>0</v>
      </c>
      <c r="FC104" s="88">
        <f t="shared" ca="1" si="306"/>
        <v>0</v>
      </c>
      <c r="FD104" s="88">
        <f t="shared" ca="1" si="306"/>
        <v>0</v>
      </c>
      <c r="FE104" s="88">
        <f t="shared" ca="1" si="307"/>
        <v>0</v>
      </c>
      <c r="FF104" s="88">
        <f t="shared" ca="1" si="307"/>
        <v>0</v>
      </c>
      <c r="FG104" s="88">
        <f t="shared" ca="1" si="307"/>
        <v>0</v>
      </c>
      <c r="FH104" s="88">
        <f t="shared" ca="1" si="307"/>
        <v>0</v>
      </c>
      <c r="FI104" s="88">
        <f t="shared" ca="1" si="307"/>
        <v>0</v>
      </c>
      <c r="FJ104" s="88">
        <f t="shared" ca="1" si="307"/>
        <v>0</v>
      </c>
      <c r="FK104" s="88">
        <f t="shared" ca="1" si="307"/>
        <v>0</v>
      </c>
      <c r="FL104" s="88">
        <f t="shared" ca="1" si="307"/>
        <v>0</v>
      </c>
      <c r="FM104" s="88">
        <f t="shared" ca="1" si="307"/>
        <v>0</v>
      </c>
      <c r="FN104" s="88">
        <f t="shared" ca="1" si="307"/>
        <v>0</v>
      </c>
      <c r="FO104" s="88">
        <f t="shared" ca="1" si="308"/>
        <v>0</v>
      </c>
      <c r="FP104" s="88">
        <f t="shared" ca="1" si="308"/>
        <v>0</v>
      </c>
      <c r="FQ104" s="88">
        <f t="shared" ca="1" si="308"/>
        <v>0</v>
      </c>
      <c r="FR104" s="88">
        <f t="shared" ca="1" si="308"/>
        <v>0</v>
      </c>
      <c r="FS104" s="88">
        <f t="shared" ca="1" si="308"/>
        <v>0</v>
      </c>
      <c r="FT104" s="88">
        <f t="shared" ca="1" si="308"/>
        <v>0</v>
      </c>
      <c r="FU104" s="88">
        <f t="shared" ca="1" si="308"/>
        <v>0</v>
      </c>
      <c r="FV104" s="88">
        <f t="shared" ca="1" si="308"/>
        <v>0</v>
      </c>
      <c r="FW104" s="88">
        <f t="shared" ca="1" si="308"/>
        <v>0</v>
      </c>
      <c r="FX104" s="88">
        <f t="shared" ca="1" si="308"/>
        <v>0</v>
      </c>
      <c r="FY104" s="88">
        <f t="shared" ca="1" si="308"/>
        <v>0</v>
      </c>
      <c r="FZ104" s="88">
        <f t="shared" ca="1" si="308"/>
        <v>0</v>
      </c>
      <c r="GA104" s="88">
        <f t="shared" ca="1" si="308"/>
        <v>0</v>
      </c>
      <c r="GB104" s="88">
        <f t="shared" ca="1" si="308"/>
        <v>0</v>
      </c>
      <c r="GC104" s="88">
        <f t="shared" ca="1" si="308"/>
        <v>0</v>
      </c>
      <c r="GD104" s="60"/>
    </row>
    <row r="105" spans="1:186" s="54" customFormat="1" ht="14.45" customHeight="1">
      <c r="A105" s="61"/>
      <c r="B105" s="100" t="str">
        <f t="shared" si="277"/>
        <v>C&amp;I_C&amp;I Prescriptive_0_Exit Sign_2017</v>
      </c>
      <c r="C105" s="100">
        <f>INDEX('Measure Inputs'!$D:$D,MATCH($B105,'Measure Inputs'!$B:$B,0))</f>
        <v>57</v>
      </c>
      <c r="D105" s="101" t="s">
        <v>256</v>
      </c>
      <c r="E105" s="101" t="s">
        <v>255</v>
      </c>
      <c r="F105" s="101">
        <v>0</v>
      </c>
      <c r="G105" s="101" t="s">
        <v>311</v>
      </c>
      <c r="H105" s="101">
        <v>2017</v>
      </c>
      <c r="I105" s="55"/>
      <c r="J105" s="58">
        <f t="shared" ca="1" si="229"/>
        <v>5.5000292383769374</v>
      </c>
      <c r="K105" s="58">
        <f t="shared" ca="1" si="246"/>
        <v>22.916788493237238</v>
      </c>
      <c r="L105" s="58">
        <f t="shared" ca="1" si="230"/>
        <v>0.24</v>
      </c>
      <c r="M105" s="58">
        <f t="shared" ca="1" si="231"/>
        <v>7.4043033036019095</v>
      </c>
      <c r="N105" s="58">
        <f t="shared" ca="1" si="232"/>
        <v>22.916788493237238</v>
      </c>
      <c r="O105" s="55"/>
      <c r="P105" s="175">
        <f ca="1">IFERROR(($AW105+AV105)/SUMPRODUCT($CA105:$DI105,'General Inputs'!$F$51:$AN$51),"n/a")</f>
        <v>1.5076264206908667E-3</v>
      </c>
      <c r="Q105" s="175">
        <f t="shared" ca="1" si="233"/>
        <v>1.3775774474040934E-2</v>
      </c>
      <c r="R105" s="56">
        <f t="shared" ca="1" si="296"/>
        <v>1115.0008319999999</v>
      </c>
      <c r="S105" s="55"/>
      <c r="T105" s="56">
        <f ca="1">INDEX(OFFSET('Measure Inputs'!$L$7,,,InputRows),$C105)</f>
        <v>160</v>
      </c>
      <c r="U105" s="134">
        <f ca="1">INDEX(OFFSET('Measure Inputs'!$T$7,,,InputRows),$C105)</f>
        <v>1</v>
      </c>
      <c r="V105" s="134">
        <f ca="1">INDEX(OFFSET('Measure Inputs'!$U$7,,,InputRows),$C105)</f>
        <v>1</v>
      </c>
      <c r="W105" s="55"/>
      <c r="X105" s="96">
        <f ca="1">INDEX(OFFSET('Measure Inputs'!$V$7,,,InputRows),$C105)*$T105*$V105*$U105</f>
        <v>69687.551999999981</v>
      </c>
      <c r="Y105" s="96">
        <f ca="1">INDEX(OFFSET('Measure Inputs'!$W$7,,,InputRows),$C105)*$T105*$V105*$U105</f>
        <v>9.3632000000000009</v>
      </c>
      <c r="Z105" s="96">
        <f ca="1">INDEX(OFFSET('Measure Inputs'!$X$7,,,InputRows),$C105)*$T105*$V105*$U105</f>
        <v>0</v>
      </c>
      <c r="AA105" s="55"/>
      <c r="AB105" s="96">
        <f ca="1">INDEX(OFFSET('Measure Inputs'!$Z$7,,,InputRows),$C105)*$T105*$V105*$U105</f>
        <v>0</v>
      </c>
      <c r="AC105" s="96">
        <f ca="1">INDEX(OFFSET('Measure Inputs'!$AA$7,,,InputRows),$C105)*$T105*$V105*$U105</f>
        <v>0</v>
      </c>
      <c r="AD105" s="96">
        <f ca="1">INDEX(OFFSET('Measure Inputs'!$AB$7,,,InputRows),$C105)*$T105*$V105*$U105</f>
        <v>0</v>
      </c>
      <c r="AE105" s="55"/>
      <c r="AF105" s="57">
        <f ca="1">INDEX(OFFSET('Measure Inputs'!$Q$7,,,InputRows),$C105)*$T105</f>
        <v>0</v>
      </c>
      <c r="AG105" s="57">
        <f ca="1">INDEX(OFFSET('Measure Inputs'!$P$7,,,InputRows),$C105)*$T105*$V105</f>
        <v>4000</v>
      </c>
      <c r="AH105" s="57">
        <f ca="1">INDEX(OFFSET('Measure Inputs'!$R$7,,,InputRows),$C105)*$T105*$V105</f>
        <v>0</v>
      </c>
      <c r="AI105" s="57">
        <f ca="1">INDEX(OFFSET('Measure Inputs'!$O$7,,,InputRows),$C105)*$T105</f>
        <v>960</v>
      </c>
      <c r="AJ105" s="57">
        <f ca="1">INDEX(OFFSET('Measure Inputs'!$S$7,,,InputRows),$C105)*$T105</f>
        <v>0</v>
      </c>
      <c r="AK105" s="63">
        <f ca="1">INDEX(OFFSET('Measure Inputs'!$M$7,,,InputRows),$C105)</f>
        <v>16</v>
      </c>
      <c r="AL105" s="88">
        <f ca="1">INDEX(OFFSET('Measure Inputs'!$N$7,,,InputRows),$C105)</f>
        <v>0</v>
      </c>
      <c r="AM105" s="57">
        <f ca="1">SUMIFS(OFFSET('Program Inputs'!$N$5,,,TotalPrograms),OFFSET('Program Inputs'!$B$5,,,TotalPrograms),SUBSTITUTE($B105,"All","*"))+AF105</f>
        <v>0</v>
      </c>
      <c r="AN105" s="57">
        <f t="shared" ca="1" si="297"/>
        <v>960</v>
      </c>
      <c r="AO105" s="55"/>
      <c r="AP105" s="59">
        <f t="shared" ca="1" si="298"/>
        <v>22000.11695350775</v>
      </c>
      <c r="AQ105" s="59">
        <f t="shared" ca="1" si="299"/>
        <v>4000</v>
      </c>
      <c r="AR105" s="59">
        <f ca="1">SUMPRODUCT($CA105:$DI105,'General Inputs'!$F$32:$AN$32,'General Inputs'!$F$51:$AN$51)/(1-Loss_ElectricEnergy)</f>
        <v>20061.361271417074</v>
      </c>
      <c r="AS105" s="59">
        <f ca="1">SUMPRODUCT($DK105:$ES105,'General Inputs'!$F$33:$AN$33,'General Inputs'!$F$51:$AN$51)/(1-Loss_ElectricDemand)</f>
        <v>1938.7556820906768</v>
      </c>
      <c r="AT105" s="59">
        <f ca="1">SUMPRODUCT($EU105:$GC105,'General Inputs'!$F$34:$AN$34,'General Inputs'!$F$51:$AN$51)/(1-Loss_GasEnergy)</f>
        <v>0</v>
      </c>
      <c r="AU105" s="59">
        <f ca="1">INDEX('General Inputs'!$F$51:$AN$51,MATCH($H105,'General Inputs'!$F$50:$AN$50,0))*$AJ105</f>
        <v>0</v>
      </c>
      <c r="AV105" s="59">
        <f ca="1">INDEX('General Inputs'!$F$51:$AN$51,MATCH($H105,'General Inputs'!$F$50:$AN$50,0))*$AI105</f>
        <v>960</v>
      </c>
      <c r="AW105" s="59">
        <f ca="1">INDEX('General Inputs'!$F$51:$AN$51,MATCH($H105,'General Inputs'!$F$50:$AN$50,0))*$AM105</f>
        <v>0</v>
      </c>
      <c r="AX105" s="59">
        <f ca="1">SUM(INDEX('General Inputs'!$F$51:$AN$51,MATCH($H105,'General Inputs'!$F$50:$AN$50,0))*$AG105,INDEX('General Inputs'!$F$51:$AN$51,MATCH($H105+$AL105,'General Inputs'!$F$50:$AN$50,0))*-$AH105)</f>
        <v>4000</v>
      </c>
      <c r="AY105" s="55"/>
      <c r="AZ105" s="59">
        <f ca="1">SUMPRODUCT($CA105:$DI105,'General Inputs'!$F$32:$AN$32,'General Inputs'!$F$52:$AN$52)/(1-Loss_ElectricEnergy)</f>
        <v>20061.361271417074</v>
      </c>
      <c r="BA105" s="59">
        <f ca="1">SUMPRODUCT($DK105:$ES105,'General Inputs'!$F$33:$AN$33,'General Inputs'!$F$52:$AN$52)/(1-Loss_ElectricDemand)</f>
        <v>1938.7556820906768</v>
      </c>
      <c r="BB105" s="59">
        <f ca="1">SUMPRODUCT($EU105:$GC105,'General Inputs'!$F$34:$AN$34,'General Inputs'!$F$52:$AN$52)/(1-Loss_GasEnergy)</f>
        <v>0</v>
      </c>
      <c r="BC105" s="59">
        <f ca="1">INDEX('General Inputs'!$F$52:$AN$52,MATCH($H105,'General Inputs'!$F$50:$AN$50,0))*$AI105</f>
        <v>960</v>
      </c>
      <c r="BD105" s="59">
        <f ca="1">INDEX('General Inputs'!$F$52:$AN$52,MATCH($H105,'General Inputs'!$F$50:$AN$50,0))*$AM105</f>
        <v>0</v>
      </c>
      <c r="BE105" s="55"/>
      <c r="BF105" s="59">
        <f ca="1">SUMPRODUCT($CA105:$DI105,OFFSET('General Inputs'!$F$40:$AN$40,MATCH($D105&amp;" Electric ($/kWh)",'General Inputs'!$E$40:$E$46,0),),'General Inputs'!$F$54:$AN$54)</f>
        <v>0</v>
      </c>
      <c r="BG105" s="59">
        <f ca="1">SUMPRODUCT($EU105:$GC105,OFFSET('General Inputs'!$F$40:$AN$40,MATCH($D105&amp;" Natural Gas ($/therm)",'General Inputs'!$E$40:$E$46,0),),'General Inputs'!$F$54:$AN$54)</f>
        <v>0</v>
      </c>
      <c r="BH105" s="59">
        <f ca="1">INDEX('General Inputs'!$F$54:$AN$54,MATCH($H105,'General Inputs'!$F$50:$AN$50,0))*$AI105</f>
        <v>960</v>
      </c>
      <c r="BI105" s="59">
        <f ca="1">SUM(INDEX('General Inputs'!$F$54:$AN$54,MATCH($H105,'General Inputs'!$F$50:$AN$50,0))*$AG105,INDEX('General Inputs'!$F$51:$AN$51,MATCH($H105+$AL105,'General Inputs'!$F$50:$AN$50,0))*-$AH105)</f>
        <v>4000</v>
      </c>
      <c r="BJ105" s="55"/>
      <c r="BK105" s="59">
        <f ca="1">SUMPRODUCT($CA105:$DI105,'General Inputs'!$F$32:$AN$32,'General Inputs'!$F$53:$AN$53)/(1-Loss_ElectricEnergy)</f>
        <v>20061.361271417074</v>
      </c>
      <c r="BL105" s="59">
        <f ca="1">SUMPRODUCT($DK105:$ES105,'General Inputs'!$F$33:$AN$33,'General Inputs'!$F$53:$AN$53)/(1-Loss_ElectricDemand)</f>
        <v>1938.7556820906768</v>
      </c>
      <c r="BM105" s="59">
        <f ca="1">SUMPRODUCT($EU105:$GC105,'General Inputs'!$F$34:$AN$34,'General Inputs'!$F$53:$AN$53)/(1-Loss_GasEnergy)</f>
        <v>0</v>
      </c>
      <c r="BN105" s="59">
        <f ca="1">INDEX('General Inputs'!$F$53:$AN$53,MATCH($H105,'General Inputs'!$F$50:$AN$50,0))*$AJ105</f>
        <v>0</v>
      </c>
      <c r="BO105" s="59">
        <f ca="1">SUMPRODUCT($CA105:$DI105,'General Inputs'!$F$35:$AN$35,'General Inputs'!$F$53:$AN$53)/(1-Loss_ElectricEnergy)</f>
        <v>7617.096260899888</v>
      </c>
      <c r="BP105" s="59">
        <f ca="1">INDEX('General Inputs'!$F$51:$AN$51,MATCH($H105,'General Inputs'!$F$50:$AN$50,0))*$AM105</f>
        <v>0</v>
      </c>
      <c r="BQ105" s="59">
        <f ca="1">SUM(INDEX('General Inputs'!$F$53:$AN$53,MATCH($H105,'General Inputs'!$F$50:$AN$50,0))*$AG105,INDEX('General Inputs'!$F$53:$AN$53,MATCH($H105+$AL105,'General Inputs'!$F$50:$AN$50,0))*-$AH105)</f>
        <v>4000</v>
      </c>
      <c r="BR105" s="55"/>
      <c r="BS105" s="59">
        <f ca="1">SUMPRODUCT($CA105:$DI105,'General Inputs'!$F$32:$AN$32,'General Inputs'!$F$55:$AN$55)/(1-Loss_ElectricEnergy)</f>
        <v>20061.361271417074</v>
      </c>
      <c r="BT105" s="59">
        <f ca="1">SUMPRODUCT($DK105:$ES105,'General Inputs'!$F$33:$AN$33,'General Inputs'!$F$55:$AN$55)/(1-Loss_ElectricDemand)</f>
        <v>1938.7556820906768</v>
      </c>
      <c r="BU105" s="59">
        <f ca="1">SUMPRODUCT($EU105:$GC105,'General Inputs'!$F$34:$AN$34,'General Inputs'!$F$55:$AN$55)/(1-Loss_GasEnergy)</f>
        <v>0</v>
      </c>
      <c r="BV105" s="59">
        <f ca="1">SUMPRODUCT($CA105:$DI105,OFFSET('General Inputs'!$F$40:$AN$40,MATCH($D105&amp;" Electric ($/kWh)",'General Inputs'!$E$40:$E$46,0),),'General Inputs'!$F$55:$AN$55)</f>
        <v>0</v>
      </c>
      <c r="BW105" s="59">
        <f ca="1">SUMPRODUCT($EU105:$GC105,OFFSET('General Inputs'!$F$40:$AN$40,MATCH($D105&amp;" Natural Gas ($/therm)",'General Inputs'!$E$40:$E$46,0),),'General Inputs'!$F$55:$AN$55)</f>
        <v>0</v>
      </c>
      <c r="BX105" s="59">
        <f ca="1">INDEX('General Inputs'!$F$55:$AN$55,MATCH($H105,'General Inputs'!$F$50:$AN$50,0))*$AI105</f>
        <v>960</v>
      </c>
      <c r="BY105" s="59">
        <f ca="1">INDEX('General Inputs'!$F$51:$AN$51,MATCH($H105,'General Inputs'!$F$50:$AN$50,0))*$AM105</f>
        <v>0</v>
      </c>
      <c r="BZ105" s="55"/>
      <c r="CA105" s="88">
        <f t="shared" ca="1" si="300"/>
        <v>69687.551999999981</v>
      </c>
      <c r="CB105" s="88">
        <f t="shared" ca="1" si="300"/>
        <v>69687.551999999981</v>
      </c>
      <c r="CC105" s="88">
        <f t="shared" ca="1" si="300"/>
        <v>69687.551999999981</v>
      </c>
      <c r="CD105" s="88">
        <f t="shared" ca="1" si="300"/>
        <v>69687.551999999981</v>
      </c>
      <c r="CE105" s="88">
        <f t="shared" ca="1" si="300"/>
        <v>69687.551999999981</v>
      </c>
      <c r="CF105" s="88">
        <f t="shared" ca="1" si="300"/>
        <v>69687.551999999981</v>
      </c>
      <c r="CG105" s="88">
        <f t="shared" ca="1" si="300"/>
        <v>69687.551999999981</v>
      </c>
      <c r="CH105" s="88">
        <f t="shared" ca="1" si="300"/>
        <v>69687.551999999981</v>
      </c>
      <c r="CI105" s="88">
        <f t="shared" ca="1" si="300"/>
        <v>69687.551999999981</v>
      </c>
      <c r="CJ105" s="88">
        <f t="shared" ca="1" si="300"/>
        <v>69687.551999999981</v>
      </c>
      <c r="CK105" s="88">
        <f t="shared" ca="1" si="301"/>
        <v>69687.551999999981</v>
      </c>
      <c r="CL105" s="88">
        <f t="shared" ca="1" si="301"/>
        <v>69687.551999999981</v>
      </c>
      <c r="CM105" s="88">
        <f t="shared" ca="1" si="301"/>
        <v>69687.551999999981</v>
      </c>
      <c r="CN105" s="88">
        <f t="shared" ca="1" si="301"/>
        <v>69687.551999999981</v>
      </c>
      <c r="CO105" s="88">
        <f t="shared" ca="1" si="301"/>
        <v>69687.551999999981</v>
      </c>
      <c r="CP105" s="88">
        <f t="shared" ca="1" si="301"/>
        <v>69687.551999999981</v>
      </c>
      <c r="CQ105" s="88">
        <f t="shared" ca="1" si="301"/>
        <v>0</v>
      </c>
      <c r="CR105" s="88">
        <f t="shared" ca="1" si="301"/>
        <v>0</v>
      </c>
      <c r="CS105" s="88">
        <f t="shared" ca="1" si="301"/>
        <v>0</v>
      </c>
      <c r="CT105" s="88">
        <f t="shared" ca="1" si="301"/>
        <v>0</v>
      </c>
      <c r="CU105" s="88">
        <f t="shared" ca="1" si="302"/>
        <v>0</v>
      </c>
      <c r="CV105" s="88">
        <f t="shared" ca="1" si="302"/>
        <v>0</v>
      </c>
      <c r="CW105" s="88">
        <f t="shared" ca="1" si="302"/>
        <v>0</v>
      </c>
      <c r="CX105" s="88">
        <f t="shared" ca="1" si="302"/>
        <v>0</v>
      </c>
      <c r="CY105" s="88">
        <f t="shared" ca="1" si="302"/>
        <v>0</v>
      </c>
      <c r="CZ105" s="88">
        <f t="shared" ca="1" si="302"/>
        <v>0</v>
      </c>
      <c r="DA105" s="88">
        <f t="shared" ca="1" si="302"/>
        <v>0</v>
      </c>
      <c r="DB105" s="88">
        <f t="shared" ca="1" si="302"/>
        <v>0</v>
      </c>
      <c r="DC105" s="88">
        <f t="shared" ca="1" si="302"/>
        <v>0</v>
      </c>
      <c r="DD105" s="88">
        <f t="shared" ca="1" si="302"/>
        <v>0</v>
      </c>
      <c r="DE105" s="88">
        <f t="shared" ca="1" si="302"/>
        <v>0</v>
      </c>
      <c r="DF105" s="88">
        <f t="shared" ca="1" si="302"/>
        <v>0</v>
      </c>
      <c r="DG105" s="88">
        <f t="shared" ca="1" si="302"/>
        <v>0</v>
      </c>
      <c r="DH105" s="88">
        <f t="shared" ca="1" si="302"/>
        <v>0</v>
      </c>
      <c r="DI105" s="88">
        <f t="shared" ca="1" si="302"/>
        <v>0</v>
      </c>
      <c r="DJ105" s="169"/>
      <c r="DK105" s="88">
        <f t="shared" ca="1" si="303"/>
        <v>9.3632000000000009</v>
      </c>
      <c r="DL105" s="88">
        <f t="shared" ca="1" si="303"/>
        <v>9.3632000000000009</v>
      </c>
      <c r="DM105" s="88">
        <f t="shared" ca="1" si="303"/>
        <v>9.3632000000000009</v>
      </c>
      <c r="DN105" s="88">
        <f t="shared" ca="1" si="303"/>
        <v>9.3632000000000009</v>
      </c>
      <c r="DO105" s="88">
        <f t="shared" ca="1" si="303"/>
        <v>9.3632000000000009</v>
      </c>
      <c r="DP105" s="88">
        <f t="shared" ca="1" si="303"/>
        <v>9.3632000000000009</v>
      </c>
      <c r="DQ105" s="88">
        <f t="shared" ca="1" si="303"/>
        <v>9.3632000000000009</v>
      </c>
      <c r="DR105" s="88">
        <f t="shared" ca="1" si="303"/>
        <v>9.3632000000000009</v>
      </c>
      <c r="DS105" s="88">
        <f t="shared" ca="1" si="303"/>
        <v>9.3632000000000009</v>
      </c>
      <c r="DT105" s="88">
        <f t="shared" ca="1" si="303"/>
        <v>9.3632000000000009</v>
      </c>
      <c r="DU105" s="88">
        <f t="shared" ca="1" si="304"/>
        <v>9.3632000000000009</v>
      </c>
      <c r="DV105" s="88">
        <f t="shared" ca="1" si="304"/>
        <v>9.3632000000000009</v>
      </c>
      <c r="DW105" s="88">
        <f t="shared" ca="1" si="304"/>
        <v>9.3632000000000009</v>
      </c>
      <c r="DX105" s="88">
        <f t="shared" ca="1" si="304"/>
        <v>9.3632000000000009</v>
      </c>
      <c r="DY105" s="88">
        <f t="shared" ca="1" si="304"/>
        <v>9.3632000000000009</v>
      </c>
      <c r="DZ105" s="88">
        <f t="shared" ca="1" si="304"/>
        <v>9.3632000000000009</v>
      </c>
      <c r="EA105" s="88">
        <f t="shared" ca="1" si="304"/>
        <v>0</v>
      </c>
      <c r="EB105" s="88">
        <f t="shared" ca="1" si="304"/>
        <v>0</v>
      </c>
      <c r="EC105" s="88">
        <f t="shared" ca="1" si="304"/>
        <v>0</v>
      </c>
      <c r="ED105" s="88">
        <f t="shared" ca="1" si="304"/>
        <v>0</v>
      </c>
      <c r="EE105" s="88">
        <f t="shared" ca="1" si="305"/>
        <v>0</v>
      </c>
      <c r="EF105" s="88">
        <f t="shared" ca="1" si="305"/>
        <v>0</v>
      </c>
      <c r="EG105" s="88">
        <f t="shared" ca="1" si="305"/>
        <v>0</v>
      </c>
      <c r="EH105" s="88">
        <f t="shared" ca="1" si="305"/>
        <v>0</v>
      </c>
      <c r="EI105" s="88">
        <f t="shared" ca="1" si="305"/>
        <v>0</v>
      </c>
      <c r="EJ105" s="88">
        <f t="shared" ca="1" si="305"/>
        <v>0</v>
      </c>
      <c r="EK105" s="88">
        <f t="shared" ca="1" si="305"/>
        <v>0</v>
      </c>
      <c r="EL105" s="88">
        <f t="shared" ca="1" si="305"/>
        <v>0</v>
      </c>
      <c r="EM105" s="88">
        <f t="shared" ca="1" si="305"/>
        <v>0</v>
      </c>
      <c r="EN105" s="88">
        <f t="shared" ca="1" si="305"/>
        <v>0</v>
      </c>
      <c r="EO105" s="88">
        <f t="shared" ca="1" si="305"/>
        <v>0</v>
      </c>
      <c r="EP105" s="88">
        <f t="shared" ca="1" si="305"/>
        <v>0</v>
      </c>
      <c r="EQ105" s="88">
        <f t="shared" ca="1" si="305"/>
        <v>0</v>
      </c>
      <c r="ER105" s="88">
        <f t="shared" ca="1" si="305"/>
        <v>0</v>
      </c>
      <c r="ES105" s="88">
        <f t="shared" ca="1" si="305"/>
        <v>0</v>
      </c>
      <c r="ET105" s="169"/>
      <c r="EU105" s="88">
        <f t="shared" ca="1" si="306"/>
        <v>0</v>
      </c>
      <c r="EV105" s="88">
        <f t="shared" ca="1" si="306"/>
        <v>0</v>
      </c>
      <c r="EW105" s="88">
        <f t="shared" ca="1" si="306"/>
        <v>0</v>
      </c>
      <c r="EX105" s="88">
        <f t="shared" ca="1" si="306"/>
        <v>0</v>
      </c>
      <c r="EY105" s="88">
        <f t="shared" ca="1" si="306"/>
        <v>0</v>
      </c>
      <c r="EZ105" s="88">
        <f t="shared" ca="1" si="306"/>
        <v>0</v>
      </c>
      <c r="FA105" s="88">
        <f t="shared" ca="1" si="306"/>
        <v>0</v>
      </c>
      <c r="FB105" s="88">
        <f t="shared" ca="1" si="306"/>
        <v>0</v>
      </c>
      <c r="FC105" s="88">
        <f t="shared" ca="1" si="306"/>
        <v>0</v>
      </c>
      <c r="FD105" s="88">
        <f t="shared" ca="1" si="306"/>
        <v>0</v>
      </c>
      <c r="FE105" s="88">
        <f t="shared" ca="1" si="307"/>
        <v>0</v>
      </c>
      <c r="FF105" s="88">
        <f t="shared" ca="1" si="307"/>
        <v>0</v>
      </c>
      <c r="FG105" s="88">
        <f t="shared" ca="1" si="307"/>
        <v>0</v>
      </c>
      <c r="FH105" s="88">
        <f t="shared" ca="1" si="307"/>
        <v>0</v>
      </c>
      <c r="FI105" s="88">
        <f t="shared" ca="1" si="307"/>
        <v>0</v>
      </c>
      <c r="FJ105" s="88">
        <f t="shared" ca="1" si="307"/>
        <v>0</v>
      </c>
      <c r="FK105" s="88">
        <f t="shared" ca="1" si="307"/>
        <v>0</v>
      </c>
      <c r="FL105" s="88">
        <f t="shared" ca="1" si="307"/>
        <v>0</v>
      </c>
      <c r="FM105" s="88">
        <f t="shared" ca="1" si="307"/>
        <v>0</v>
      </c>
      <c r="FN105" s="88">
        <f t="shared" ca="1" si="307"/>
        <v>0</v>
      </c>
      <c r="FO105" s="88">
        <f t="shared" ca="1" si="308"/>
        <v>0</v>
      </c>
      <c r="FP105" s="88">
        <f t="shared" ca="1" si="308"/>
        <v>0</v>
      </c>
      <c r="FQ105" s="88">
        <f t="shared" ca="1" si="308"/>
        <v>0</v>
      </c>
      <c r="FR105" s="88">
        <f t="shared" ca="1" si="308"/>
        <v>0</v>
      </c>
      <c r="FS105" s="88">
        <f t="shared" ca="1" si="308"/>
        <v>0</v>
      </c>
      <c r="FT105" s="88">
        <f t="shared" ca="1" si="308"/>
        <v>0</v>
      </c>
      <c r="FU105" s="88">
        <f t="shared" ca="1" si="308"/>
        <v>0</v>
      </c>
      <c r="FV105" s="88">
        <f t="shared" ca="1" si="308"/>
        <v>0</v>
      </c>
      <c r="FW105" s="88">
        <f t="shared" ca="1" si="308"/>
        <v>0</v>
      </c>
      <c r="FX105" s="88">
        <f t="shared" ca="1" si="308"/>
        <v>0</v>
      </c>
      <c r="FY105" s="88">
        <f t="shared" ca="1" si="308"/>
        <v>0</v>
      </c>
      <c r="FZ105" s="88">
        <f t="shared" ca="1" si="308"/>
        <v>0</v>
      </c>
      <c r="GA105" s="88">
        <f t="shared" ca="1" si="308"/>
        <v>0</v>
      </c>
      <c r="GB105" s="88">
        <f t="shared" ca="1" si="308"/>
        <v>0</v>
      </c>
      <c r="GC105" s="88">
        <f t="shared" ca="1" si="308"/>
        <v>0</v>
      </c>
      <c r="GD105" s="60"/>
    </row>
    <row r="106" spans="1:186" s="54" customFormat="1" ht="14.45" customHeight="1">
      <c r="A106" s="61"/>
      <c r="B106" s="100" t="str">
        <f t="shared" si="277"/>
        <v>C&amp;I_C&amp;I Prescriptive_0_LED wall mounted area lights (wallpacks) (&lt;30W)_2017</v>
      </c>
      <c r="C106" s="100">
        <f>INDEX('Measure Inputs'!$D:$D,MATCH($B106,'Measure Inputs'!$B:$B,0))</f>
        <v>58</v>
      </c>
      <c r="D106" s="101" t="s">
        <v>256</v>
      </c>
      <c r="E106" s="101" t="s">
        <v>255</v>
      </c>
      <c r="F106" s="101">
        <v>0</v>
      </c>
      <c r="G106" s="101" t="s">
        <v>359</v>
      </c>
      <c r="H106" s="101">
        <v>2017</v>
      </c>
      <c r="I106" s="55"/>
      <c r="J106" s="58">
        <f t="shared" ca="1" si="229"/>
        <v>0.66808812618718239</v>
      </c>
      <c r="K106" s="58">
        <f t="shared" ca="1" si="246"/>
        <v>3.6267641135875612</v>
      </c>
      <c r="L106" s="58">
        <f t="shared" ca="1" si="230"/>
        <v>0.18421052631578946</v>
      </c>
      <c r="M106" s="58">
        <f t="shared" ca="1" si="231"/>
        <v>0.89609038951469333</v>
      </c>
      <c r="N106" s="58">
        <f t="shared" ca="1" si="232"/>
        <v>3.6267641135875612</v>
      </c>
      <c r="O106" s="55"/>
      <c r="P106" s="175">
        <f ca="1">IFERROR(($AW106+AV106)/SUMPRODUCT($CA106:$DI106,'General Inputs'!$F$51:$AN$51),"n/a")</f>
        <v>9.6646745907169301E-3</v>
      </c>
      <c r="Q106" s="175">
        <f t="shared" ref="Q106:Q165" ca="1" si="309">IFERROR($AN106/X106,"n/a")</f>
        <v>6.7985587055544236E-2</v>
      </c>
      <c r="R106" s="56">
        <f t="shared" ref="R106:R149" ca="1" si="310">SUM(CA106:DI106)/1000</f>
        <v>154.44450000000001</v>
      </c>
      <c r="S106" s="55"/>
      <c r="T106" s="56">
        <f ca="1">INDEX(OFFSET('Measure Inputs'!$L$7,,,InputRows),$C106)</f>
        <v>30</v>
      </c>
      <c r="U106" s="134">
        <f ca="1">INDEX(OFFSET('Measure Inputs'!$T$7,,,InputRows),$C106)</f>
        <v>1</v>
      </c>
      <c r="V106" s="134">
        <f ca="1">INDEX(OFFSET('Measure Inputs'!$U$7,,,InputRows),$C106)</f>
        <v>1</v>
      </c>
      <c r="W106" s="55"/>
      <c r="X106" s="96">
        <f ca="1">INDEX(OFFSET('Measure Inputs'!$V$7,,,InputRows),$C106)*$T106*$V106*$U106</f>
        <v>15444.449999999999</v>
      </c>
      <c r="Y106" s="96">
        <f ca="1">INDEX(OFFSET('Measure Inputs'!$W$7,,,InputRows),$C106)*$T106*$V106*$U106</f>
        <v>3.15</v>
      </c>
      <c r="Z106" s="96">
        <f ca="1">INDEX(OFFSET('Measure Inputs'!$X$7,,,InputRows),$C106)*$T106*$V106*$U106</f>
        <v>0</v>
      </c>
      <c r="AA106" s="55"/>
      <c r="AB106" s="96">
        <f ca="1">INDEX(OFFSET('Measure Inputs'!$Z$7,,,InputRows),$C106)*$T106*$V106*$U106</f>
        <v>0</v>
      </c>
      <c r="AC106" s="96">
        <f ca="1">INDEX(OFFSET('Measure Inputs'!$AA$7,,,InputRows),$C106)*$T106*$V106*$U106</f>
        <v>0</v>
      </c>
      <c r="AD106" s="96">
        <f ca="1">INDEX(OFFSET('Measure Inputs'!$AB$7,,,InputRows),$C106)*$T106*$V106*$U106</f>
        <v>0</v>
      </c>
      <c r="AE106" s="55"/>
      <c r="AF106" s="57">
        <f ca="1">INDEX(OFFSET('Measure Inputs'!$Q$7,,,InputRows),$C106)*$T106</f>
        <v>0</v>
      </c>
      <c r="AG106" s="57">
        <f ca="1">INDEX(OFFSET('Measure Inputs'!$P$7,,,InputRows),$C106)*$T106*$V106</f>
        <v>5700</v>
      </c>
      <c r="AH106" s="57">
        <f ca="1">INDEX(OFFSET('Measure Inputs'!$R$7,,,InputRows),$C106)*$T106*$V106</f>
        <v>0</v>
      </c>
      <c r="AI106" s="57">
        <f ca="1">INDEX(OFFSET('Measure Inputs'!$O$7,,,InputRows),$C106)*$T106</f>
        <v>1050</v>
      </c>
      <c r="AJ106" s="57">
        <f ca="1">INDEX(OFFSET('Measure Inputs'!$S$7,,,InputRows),$C106)*$T106</f>
        <v>0</v>
      </c>
      <c r="AK106" s="63">
        <f ca="1">INDEX(OFFSET('Measure Inputs'!$M$7,,,InputRows),$C106)</f>
        <v>10</v>
      </c>
      <c r="AL106" s="88">
        <f ca="1">INDEX(OFFSET('Measure Inputs'!$N$7,,,InputRows),$C106)</f>
        <v>0</v>
      </c>
      <c r="AM106" s="57">
        <f ca="1">SUMIFS(OFFSET('Program Inputs'!$N$5,,,TotalPrograms),OFFSET('Program Inputs'!$B$5,,,TotalPrograms),SUBSTITUTE($B106,"All","*"))+AF106</f>
        <v>0</v>
      </c>
      <c r="AN106" s="57">
        <f t="shared" ref="AN106:AN149" ca="1" si="311">AM106+AI106</f>
        <v>1050</v>
      </c>
      <c r="AO106" s="55"/>
      <c r="AP106" s="59">
        <f t="shared" ref="AP106:AP149" ca="1" si="312">SUMIFS(AR106:AX106,$AR$7:$AX$7,"BENEFIT")</f>
        <v>3808.1023192669395</v>
      </c>
      <c r="AQ106" s="59">
        <f t="shared" ref="AQ106:AQ149" ca="1" si="313">SUMIFS(AR106:AX106,$AR$7:$AX$7,"COST")</f>
        <v>5700</v>
      </c>
      <c r="AR106" s="59">
        <f ca="1">SUMPRODUCT($CA106:$DI106,'General Inputs'!$F$32:$AN$32,'General Inputs'!$F$51:$AN$51)/(1-Loss_ElectricEnergy)</f>
        <v>3320.9213741615949</v>
      </c>
      <c r="AS106" s="59">
        <f ca="1">SUMPRODUCT($DK106:$ES106,'General Inputs'!$F$33:$AN$33,'General Inputs'!$F$51:$AN$51)/(1-Loss_ElectricDemand)</f>
        <v>487.18094510534445</v>
      </c>
      <c r="AT106" s="59">
        <f ca="1">SUMPRODUCT($EU106:$GC106,'General Inputs'!$F$34:$AN$34,'General Inputs'!$F$51:$AN$51)/(1-Loss_GasEnergy)</f>
        <v>0</v>
      </c>
      <c r="AU106" s="59">
        <f ca="1">INDEX('General Inputs'!$F$51:$AN$51,MATCH($H106,'General Inputs'!$F$50:$AN$50,0))*$AJ106</f>
        <v>0</v>
      </c>
      <c r="AV106" s="59">
        <f ca="1">INDEX('General Inputs'!$F$51:$AN$51,MATCH($H106,'General Inputs'!$F$50:$AN$50,0))*$AI106</f>
        <v>1050</v>
      </c>
      <c r="AW106" s="59">
        <f ca="1">INDEX('General Inputs'!$F$51:$AN$51,MATCH($H106,'General Inputs'!$F$50:$AN$50,0))*$AM106</f>
        <v>0</v>
      </c>
      <c r="AX106" s="59">
        <f ca="1">SUM(INDEX('General Inputs'!$F$51:$AN$51,MATCH($H106,'General Inputs'!$F$50:$AN$50,0))*$AG106,INDEX('General Inputs'!$F$51:$AN$51,MATCH($H106+$AL106,'General Inputs'!$F$50:$AN$50,0))*-$AH106)</f>
        <v>5700</v>
      </c>
      <c r="AY106" s="55"/>
      <c r="AZ106" s="59">
        <f ca="1">SUMPRODUCT($CA106:$DI106,'General Inputs'!$F$32:$AN$32,'General Inputs'!$F$52:$AN$52)/(1-Loss_ElectricEnergy)</f>
        <v>3320.9213741615949</v>
      </c>
      <c r="BA106" s="59">
        <f ca="1">SUMPRODUCT($DK106:$ES106,'General Inputs'!$F$33:$AN$33,'General Inputs'!$F$52:$AN$52)/(1-Loss_ElectricDemand)</f>
        <v>487.18094510534445</v>
      </c>
      <c r="BB106" s="59">
        <f ca="1">SUMPRODUCT($EU106:$GC106,'General Inputs'!$F$34:$AN$34,'General Inputs'!$F$52:$AN$52)/(1-Loss_GasEnergy)</f>
        <v>0</v>
      </c>
      <c r="BC106" s="59">
        <f ca="1">INDEX('General Inputs'!$F$52:$AN$52,MATCH($H106,'General Inputs'!$F$50:$AN$50,0))*$AI106</f>
        <v>1050</v>
      </c>
      <c r="BD106" s="59">
        <f ca="1">INDEX('General Inputs'!$F$52:$AN$52,MATCH($H106,'General Inputs'!$F$50:$AN$50,0))*$AM106</f>
        <v>0</v>
      </c>
      <c r="BE106" s="55"/>
      <c r="BF106" s="59">
        <f ca="1">SUMPRODUCT($CA106:$DI106,OFFSET('General Inputs'!$F$40:$AN$40,MATCH($D106&amp;" Electric ($/kWh)",'General Inputs'!$E$40:$E$46,0),),'General Inputs'!$F$54:$AN$54)</f>
        <v>0</v>
      </c>
      <c r="BG106" s="59">
        <f ca="1">SUMPRODUCT($EU106:$GC106,OFFSET('General Inputs'!$F$40:$AN$40,MATCH($D106&amp;" Natural Gas ($/therm)",'General Inputs'!$E$40:$E$46,0),),'General Inputs'!$F$54:$AN$54)</f>
        <v>0</v>
      </c>
      <c r="BH106" s="59">
        <f ca="1">INDEX('General Inputs'!$F$54:$AN$54,MATCH($H106,'General Inputs'!$F$50:$AN$50,0))*$AI106</f>
        <v>1050</v>
      </c>
      <c r="BI106" s="59">
        <f ca="1">SUM(INDEX('General Inputs'!$F$54:$AN$54,MATCH($H106,'General Inputs'!$F$50:$AN$50,0))*$AG106,INDEX('General Inputs'!$F$51:$AN$51,MATCH($H106+$AL106,'General Inputs'!$F$50:$AN$50,0))*-$AH106)</f>
        <v>5700</v>
      </c>
      <c r="BJ106" s="55"/>
      <c r="BK106" s="59">
        <f ca="1">SUMPRODUCT($CA106:$DI106,'General Inputs'!$F$32:$AN$32,'General Inputs'!$F$53:$AN$53)/(1-Loss_ElectricEnergy)</f>
        <v>3320.9213741615949</v>
      </c>
      <c r="BL106" s="59">
        <f ca="1">SUMPRODUCT($DK106:$ES106,'General Inputs'!$F$33:$AN$33,'General Inputs'!$F$53:$AN$53)/(1-Loss_ElectricDemand)</f>
        <v>487.18094510534445</v>
      </c>
      <c r="BM106" s="59">
        <f ca="1">SUMPRODUCT($EU106:$GC106,'General Inputs'!$F$34:$AN$34,'General Inputs'!$F$53:$AN$53)/(1-Loss_GasEnergy)</f>
        <v>0</v>
      </c>
      <c r="BN106" s="59">
        <f ca="1">INDEX('General Inputs'!$F$53:$AN$53,MATCH($H106,'General Inputs'!$F$50:$AN$50,0))*$AJ106</f>
        <v>0</v>
      </c>
      <c r="BO106" s="59">
        <f ca="1">SUMPRODUCT($CA106:$DI106,'General Inputs'!$F$35:$AN$35,'General Inputs'!$F$53:$AN$53)/(1-Loss_ElectricEnergy)</f>
        <v>1299.6129009668123</v>
      </c>
      <c r="BP106" s="59">
        <f ca="1">INDEX('General Inputs'!$F$51:$AN$51,MATCH($H106,'General Inputs'!$F$50:$AN$50,0))*$AM106</f>
        <v>0</v>
      </c>
      <c r="BQ106" s="59">
        <f ca="1">SUM(INDEX('General Inputs'!$F$53:$AN$53,MATCH($H106,'General Inputs'!$F$50:$AN$50,0))*$AG106,INDEX('General Inputs'!$F$53:$AN$53,MATCH($H106+$AL106,'General Inputs'!$F$50:$AN$50,0))*-$AH106)</f>
        <v>5700</v>
      </c>
      <c r="BR106" s="55"/>
      <c r="BS106" s="59">
        <f ca="1">SUMPRODUCT($CA106:$DI106,'General Inputs'!$F$32:$AN$32,'General Inputs'!$F$55:$AN$55)/(1-Loss_ElectricEnergy)</f>
        <v>3320.9213741615949</v>
      </c>
      <c r="BT106" s="59">
        <f ca="1">SUMPRODUCT($DK106:$ES106,'General Inputs'!$F$33:$AN$33,'General Inputs'!$F$55:$AN$55)/(1-Loss_ElectricDemand)</f>
        <v>487.18094510534445</v>
      </c>
      <c r="BU106" s="59">
        <f ca="1">SUMPRODUCT($EU106:$GC106,'General Inputs'!$F$34:$AN$34,'General Inputs'!$F$55:$AN$55)/(1-Loss_GasEnergy)</f>
        <v>0</v>
      </c>
      <c r="BV106" s="59">
        <f ca="1">SUMPRODUCT($CA106:$DI106,OFFSET('General Inputs'!$F$40:$AN$40,MATCH($D106&amp;" Electric ($/kWh)",'General Inputs'!$E$40:$E$46,0),),'General Inputs'!$F$55:$AN$55)</f>
        <v>0</v>
      </c>
      <c r="BW106" s="59">
        <f ca="1">SUMPRODUCT($EU106:$GC106,OFFSET('General Inputs'!$F$40:$AN$40,MATCH($D106&amp;" Natural Gas ($/therm)",'General Inputs'!$E$40:$E$46,0),),'General Inputs'!$F$55:$AN$55)</f>
        <v>0</v>
      </c>
      <c r="BX106" s="59">
        <f ca="1">INDEX('General Inputs'!$F$55:$AN$55,MATCH($H106,'General Inputs'!$F$50:$AN$50,0))*$AI106</f>
        <v>1050</v>
      </c>
      <c r="BY106" s="59">
        <f ca="1">INDEX('General Inputs'!$F$51:$AN$51,MATCH($H106,'General Inputs'!$F$50:$AN$50,0))*$AM106</f>
        <v>0</v>
      </c>
      <c r="BZ106" s="55"/>
      <c r="CA106" s="88">
        <f t="shared" ref="CA106:CJ112" ca="1" si="314">IF(AND($H106&lt;=CA$8,$H106+$AK106&gt;CA$8),IF(AND($H106+$AL106&lt;=CA$8,$AL106&gt;0),$AB106,$X106),0)</f>
        <v>15444.449999999999</v>
      </c>
      <c r="CB106" s="88">
        <f t="shared" ca="1" si="314"/>
        <v>15444.449999999999</v>
      </c>
      <c r="CC106" s="88">
        <f t="shared" ca="1" si="314"/>
        <v>15444.449999999999</v>
      </c>
      <c r="CD106" s="88">
        <f t="shared" ca="1" si="314"/>
        <v>15444.449999999999</v>
      </c>
      <c r="CE106" s="88">
        <f t="shared" ca="1" si="314"/>
        <v>15444.449999999999</v>
      </c>
      <c r="CF106" s="88">
        <f t="shared" ca="1" si="314"/>
        <v>15444.449999999999</v>
      </c>
      <c r="CG106" s="88">
        <f t="shared" ca="1" si="314"/>
        <v>15444.449999999999</v>
      </c>
      <c r="CH106" s="88">
        <f t="shared" ca="1" si="314"/>
        <v>15444.449999999999</v>
      </c>
      <c r="CI106" s="88">
        <f t="shared" ca="1" si="314"/>
        <v>15444.449999999999</v>
      </c>
      <c r="CJ106" s="88">
        <f t="shared" ca="1" si="314"/>
        <v>15444.449999999999</v>
      </c>
      <c r="CK106" s="88">
        <f t="shared" ref="CK106:CT112" ca="1" si="315">IF(AND($H106&lt;=CK$8,$H106+$AK106&gt;CK$8),IF(AND($H106+$AL106&lt;=CK$8,$AL106&gt;0),$AB106,$X106),0)</f>
        <v>0</v>
      </c>
      <c r="CL106" s="88">
        <f t="shared" ca="1" si="315"/>
        <v>0</v>
      </c>
      <c r="CM106" s="88">
        <f t="shared" ca="1" si="315"/>
        <v>0</v>
      </c>
      <c r="CN106" s="88">
        <f t="shared" ca="1" si="315"/>
        <v>0</v>
      </c>
      <c r="CO106" s="88">
        <f t="shared" ca="1" si="315"/>
        <v>0</v>
      </c>
      <c r="CP106" s="88">
        <f t="shared" ca="1" si="315"/>
        <v>0</v>
      </c>
      <c r="CQ106" s="88">
        <f t="shared" ca="1" si="315"/>
        <v>0</v>
      </c>
      <c r="CR106" s="88">
        <f t="shared" ca="1" si="315"/>
        <v>0</v>
      </c>
      <c r="CS106" s="88">
        <f t="shared" ca="1" si="315"/>
        <v>0</v>
      </c>
      <c r="CT106" s="88">
        <f t="shared" ca="1" si="315"/>
        <v>0</v>
      </c>
      <c r="CU106" s="88">
        <f t="shared" ref="CU106:DI112" ca="1" si="316">IF(AND($H106&lt;=CU$8,$H106+$AK106&gt;CU$8),IF(AND($H106+$AL106&lt;=CU$8,$AL106&gt;0),$AB106,$X106),0)</f>
        <v>0</v>
      </c>
      <c r="CV106" s="88">
        <f t="shared" ca="1" si="316"/>
        <v>0</v>
      </c>
      <c r="CW106" s="88">
        <f t="shared" ca="1" si="316"/>
        <v>0</v>
      </c>
      <c r="CX106" s="88">
        <f t="shared" ca="1" si="316"/>
        <v>0</v>
      </c>
      <c r="CY106" s="88">
        <f t="shared" ca="1" si="316"/>
        <v>0</v>
      </c>
      <c r="CZ106" s="88">
        <f t="shared" ca="1" si="316"/>
        <v>0</v>
      </c>
      <c r="DA106" s="88">
        <f t="shared" ca="1" si="316"/>
        <v>0</v>
      </c>
      <c r="DB106" s="88">
        <f t="shared" ca="1" si="316"/>
        <v>0</v>
      </c>
      <c r="DC106" s="88">
        <f t="shared" ca="1" si="316"/>
        <v>0</v>
      </c>
      <c r="DD106" s="88">
        <f t="shared" ca="1" si="316"/>
        <v>0</v>
      </c>
      <c r="DE106" s="88">
        <f t="shared" ca="1" si="316"/>
        <v>0</v>
      </c>
      <c r="DF106" s="88">
        <f t="shared" ca="1" si="316"/>
        <v>0</v>
      </c>
      <c r="DG106" s="88">
        <f t="shared" ca="1" si="316"/>
        <v>0</v>
      </c>
      <c r="DH106" s="88">
        <f t="shared" ca="1" si="316"/>
        <v>0</v>
      </c>
      <c r="DI106" s="88">
        <f t="shared" ca="1" si="316"/>
        <v>0</v>
      </c>
      <c r="DJ106" s="169"/>
      <c r="DK106" s="88">
        <f t="shared" ref="DK106:DT112" ca="1" si="317">IF(AND($H106&lt;=DK$8,$H106+$AK106&gt;DK$8),IF(AND($H106+$AL106&lt;=DK$8,$AL106&gt;0),$AC106,$Y106),0)</f>
        <v>3.15</v>
      </c>
      <c r="DL106" s="88">
        <f t="shared" ca="1" si="317"/>
        <v>3.15</v>
      </c>
      <c r="DM106" s="88">
        <f t="shared" ca="1" si="317"/>
        <v>3.15</v>
      </c>
      <c r="DN106" s="88">
        <f t="shared" ca="1" si="317"/>
        <v>3.15</v>
      </c>
      <c r="DO106" s="88">
        <f t="shared" ca="1" si="317"/>
        <v>3.15</v>
      </c>
      <c r="DP106" s="88">
        <f t="shared" ca="1" si="317"/>
        <v>3.15</v>
      </c>
      <c r="DQ106" s="88">
        <f t="shared" ca="1" si="317"/>
        <v>3.15</v>
      </c>
      <c r="DR106" s="88">
        <f t="shared" ca="1" si="317"/>
        <v>3.15</v>
      </c>
      <c r="DS106" s="88">
        <f t="shared" ca="1" si="317"/>
        <v>3.15</v>
      </c>
      <c r="DT106" s="88">
        <f t="shared" ca="1" si="317"/>
        <v>3.15</v>
      </c>
      <c r="DU106" s="88">
        <f t="shared" ref="DU106:ED112" ca="1" si="318">IF(AND($H106&lt;=DU$8,$H106+$AK106&gt;DU$8),IF(AND($H106+$AL106&lt;=DU$8,$AL106&gt;0),$AC106,$Y106),0)</f>
        <v>0</v>
      </c>
      <c r="DV106" s="88">
        <f t="shared" ca="1" si="318"/>
        <v>0</v>
      </c>
      <c r="DW106" s="88">
        <f t="shared" ca="1" si="318"/>
        <v>0</v>
      </c>
      <c r="DX106" s="88">
        <f t="shared" ca="1" si="318"/>
        <v>0</v>
      </c>
      <c r="DY106" s="88">
        <f t="shared" ca="1" si="318"/>
        <v>0</v>
      </c>
      <c r="DZ106" s="88">
        <f t="shared" ca="1" si="318"/>
        <v>0</v>
      </c>
      <c r="EA106" s="88">
        <f t="shared" ca="1" si="318"/>
        <v>0</v>
      </c>
      <c r="EB106" s="88">
        <f t="shared" ca="1" si="318"/>
        <v>0</v>
      </c>
      <c r="EC106" s="88">
        <f t="shared" ca="1" si="318"/>
        <v>0</v>
      </c>
      <c r="ED106" s="88">
        <f t="shared" ca="1" si="318"/>
        <v>0</v>
      </c>
      <c r="EE106" s="88">
        <f t="shared" ref="EE106:ES112" ca="1" si="319">IF(AND($H106&lt;=EE$8,$H106+$AK106&gt;EE$8),IF(AND($H106+$AL106&lt;=EE$8,$AL106&gt;0),$AC106,$Y106),0)</f>
        <v>0</v>
      </c>
      <c r="EF106" s="88">
        <f t="shared" ca="1" si="319"/>
        <v>0</v>
      </c>
      <c r="EG106" s="88">
        <f t="shared" ca="1" si="319"/>
        <v>0</v>
      </c>
      <c r="EH106" s="88">
        <f t="shared" ca="1" si="319"/>
        <v>0</v>
      </c>
      <c r="EI106" s="88">
        <f t="shared" ca="1" si="319"/>
        <v>0</v>
      </c>
      <c r="EJ106" s="88">
        <f t="shared" ca="1" si="319"/>
        <v>0</v>
      </c>
      <c r="EK106" s="88">
        <f t="shared" ca="1" si="319"/>
        <v>0</v>
      </c>
      <c r="EL106" s="88">
        <f t="shared" ca="1" si="319"/>
        <v>0</v>
      </c>
      <c r="EM106" s="88">
        <f t="shared" ca="1" si="319"/>
        <v>0</v>
      </c>
      <c r="EN106" s="88">
        <f t="shared" ca="1" si="319"/>
        <v>0</v>
      </c>
      <c r="EO106" s="88">
        <f t="shared" ca="1" si="319"/>
        <v>0</v>
      </c>
      <c r="EP106" s="88">
        <f t="shared" ca="1" si="319"/>
        <v>0</v>
      </c>
      <c r="EQ106" s="88">
        <f t="shared" ca="1" si="319"/>
        <v>0</v>
      </c>
      <c r="ER106" s="88">
        <f t="shared" ca="1" si="319"/>
        <v>0</v>
      </c>
      <c r="ES106" s="88">
        <f t="shared" ca="1" si="319"/>
        <v>0</v>
      </c>
      <c r="ET106" s="169"/>
      <c r="EU106" s="88">
        <f t="shared" ref="EU106:FD112" ca="1" si="320">IF(AND($H106&lt;=EU$8,$H106+$AK106&gt;EU$8),IF(AND($H106+$AL106&lt;=EU$8,$AL106&gt;0),$AD106,$Z106),0)</f>
        <v>0</v>
      </c>
      <c r="EV106" s="88">
        <f t="shared" ca="1" si="320"/>
        <v>0</v>
      </c>
      <c r="EW106" s="88">
        <f t="shared" ca="1" si="320"/>
        <v>0</v>
      </c>
      <c r="EX106" s="88">
        <f t="shared" ca="1" si="320"/>
        <v>0</v>
      </c>
      <c r="EY106" s="88">
        <f t="shared" ca="1" si="320"/>
        <v>0</v>
      </c>
      <c r="EZ106" s="88">
        <f t="shared" ca="1" si="320"/>
        <v>0</v>
      </c>
      <c r="FA106" s="88">
        <f t="shared" ca="1" si="320"/>
        <v>0</v>
      </c>
      <c r="FB106" s="88">
        <f t="shared" ca="1" si="320"/>
        <v>0</v>
      </c>
      <c r="FC106" s="88">
        <f t="shared" ca="1" si="320"/>
        <v>0</v>
      </c>
      <c r="FD106" s="88">
        <f t="shared" ca="1" si="320"/>
        <v>0</v>
      </c>
      <c r="FE106" s="88">
        <f t="shared" ref="FE106:FN112" ca="1" si="321">IF(AND($H106&lt;=FE$8,$H106+$AK106&gt;FE$8),IF(AND($H106+$AL106&lt;=FE$8,$AL106&gt;0),$AD106,$Z106),0)</f>
        <v>0</v>
      </c>
      <c r="FF106" s="88">
        <f t="shared" ca="1" si="321"/>
        <v>0</v>
      </c>
      <c r="FG106" s="88">
        <f t="shared" ca="1" si="321"/>
        <v>0</v>
      </c>
      <c r="FH106" s="88">
        <f t="shared" ca="1" si="321"/>
        <v>0</v>
      </c>
      <c r="FI106" s="88">
        <f t="shared" ca="1" si="321"/>
        <v>0</v>
      </c>
      <c r="FJ106" s="88">
        <f t="shared" ca="1" si="321"/>
        <v>0</v>
      </c>
      <c r="FK106" s="88">
        <f t="shared" ca="1" si="321"/>
        <v>0</v>
      </c>
      <c r="FL106" s="88">
        <f t="shared" ca="1" si="321"/>
        <v>0</v>
      </c>
      <c r="FM106" s="88">
        <f t="shared" ca="1" si="321"/>
        <v>0</v>
      </c>
      <c r="FN106" s="88">
        <f t="shared" ca="1" si="321"/>
        <v>0</v>
      </c>
      <c r="FO106" s="88">
        <f t="shared" ref="FO106:GC112" ca="1" si="322">IF(AND($H106&lt;=FO$8,$H106+$AK106&gt;FO$8),IF(AND($H106+$AL106&lt;=FO$8,$AL106&gt;0),$AD106,$Z106),0)</f>
        <v>0</v>
      </c>
      <c r="FP106" s="88">
        <f t="shared" ca="1" si="322"/>
        <v>0</v>
      </c>
      <c r="FQ106" s="88">
        <f t="shared" ca="1" si="322"/>
        <v>0</v>
      </c>
      <c r="FR106" s="88">
        <f t="shared" ca="1" si="322"/>
        <v>0</v>
      </c>
      <c r="FS106" s="88">
        <f t="shared" ca="1" si="322"/>
        <v>0</v>
      </c>
      <c r="FT106" s="88">
        <f t="shared" ca="1" si="322"/>
        <v>0</v>
      </c>
      <c r="FU106" s="88">
        <f t="shared" ca="1" si="322"/>
        <v>0</v>
      </c>
      <c r="FV106" s="88">
        <f t="shared" ca="1" si="322"/>
        <v>0</v>
      </c>
      <c r="FW106" s="88">
        <f t="shared" ca="1" si="322"/>
        <v>0</v>
      </c>
      <c r="FX106" s="88">
        <f t="shared" ca="1" si="322"/>
        <v>0</v>
      </c>
      <c r="FY106" s="88">
        <f t="shared" ca="1" si="322"/>
        <v>0</v>
      </c>
      <c r="FZ106" s="88">
        <f t="shared" ca="1" si="322"/>
        <v>0</v>
      </c>
      <c r="GA106" s="88">
        <f t="shared" ca="1" si="322"/>
        <v>0</v>
      </c>
      <c r="GB106" s="88">
        <f t="shared" ca="1" si="322"/>
        <v>0</v>
      </c>
      <c r="GC106" s="88">
        <f t="shared" ca="1" si="322"/>
        <v>0</v>
      </c>
      <c r="GD106" s="60"/>
    </row>
    <row r="107" spans="1:186" s="54" customFormat="1" ht="14.45" customHeight="1">
      <c r="A107" s="61"/>
      <c r="B107" s="100" t="str">
        <f t="shared" si="277"/>
        <v>C&amp;I_C&amp;I Prescriptive_0_LED wall mounted area lights (wallpacks) (30 to 75W)_2017</v>
      </c>
      <c r="C107" s="100">
        <f>INDEX('Measure Inputs'!$D:$D,MATCH($B107,'Measure Inputs'!$B:$B,0))</f>
        <v>59</v>
      </c>
      <c r="D107" s="101" t="s">
        <v>256</v>
      </c>
      <c r="E107" s="101" t="s">
        <v>255</v>
      </c>
      <c r="F107" s="101">
        <v>0</v>
      </c>
      <c r="G107" s="101" t="s">
        <v>360</v>
      </c>
      <c r="H107" s="101">
        <v>2017</v>
      </c>
      <c r="I107" s="55"/>
      <c r="J107" s="58">
        <f t="shared" ca="1" si="229"/>
        <v>1.0530673965120678</v>
      </c>
      <c r="K107" s="58">
        <f t="shared" ca="1" si="246"/>
        <v>4.0297379039861791</v>
      </c>
      <c r="L107" s="58">
        <f t="shared" ca="1" si="230"/>
        <v>0.26132404181184671</v>
      </c>
      <c r="M107" s="58">
        <f t="shared" ca="1" si="231"/>
        <v>1.4124537415612388</v>
      </c>
      <c r="N107" s="58">
        <f t="shared" ca="1" si="232"/>
        <v>4.0297379039861791</v>
      </c>
      <c r="O107" s="55"/>
      <c r="P107" s="175">
        <f ca="1">IFERROR(($AW107+AV107)/SUMPRODUCT($CA107:$DI107,'General Inputs'!$F$51:$AN$51),"n/a")</f>
        <v>8.6982071316452376E-3</v>
      </c>
      <c r="Q107" s="175">
        <f t="shared" ca="1" si="309"/>
        <v>6.1187028349989805E-2</v>
      </c>
      <c r="R107" s="56">
        <f t="shared" ca="1" si="310"/>
        <v>245.15</v>
      </c>
      <c r="S107" s="55"/>
      <c r="T107" s="56">
        <f ca="1">INDEX(OFFSET('Measure Inputs'!$L$7,,,InputRows),$C107)</f>
        <v>20</v>
      </c>
      <c r="U107" s="134">
        <f ca="1">INDEX(OFFSET('Measure Inputs'!$T$7,,,InputRows),$C107)</f>
        <v>1</v>
      </c>
      <c r="V107" s="134">
        <f ca="1">INDEX(OFFSET('Measure Inputs'!$U$7,,,InputRows),$C107)</f>
        <v>1</v>
      </c>
      <c r="W107" s="55"/>
      <c r="X107" s="96">
        <f ca="1">INDEX(OFFSET('Measure Inputs'!$V$7,,,InputRows),$C107)*$T107*$V107*$U107</f>
        <v>24515</v>
      </c>
      <c r="Y107" s="96">
        <f ca="1">INDEX(OFFSET('Measure Inputs'!$W$7,,,InputRows),$C107)*$T107*$V107*$U107</f>
        <v>5</v>
      </c>
      <c r="Z107" s="96">
        <f ca="1">INDEX(OFFSET('Measure Inputs'!$X$7,,,InputRows),$C107)*$T107*$V107*$U107</f>
        <v>0</v>
      </c>
      <c r="AA107" s="55"/>
      <c r="AB107" s="96">
        <f ca="1">INDEX(OFFSET('Measure Inputs'!$Z$7,,,InputRows),$C107)*$T107*$V107*$U107</f>
        <v>0</v>
      </c>
      <c r="AC107" s="96">
        <f ca="1">INDEX(OFFSET('Measure Inputs'!$AA$7,,,InputRows),$C107)*$T107*$V107*$U107</f>
        <v>0</v>
      </c>
      <c r="AD107" s="96">
        <f ca="1">INDEX(OFFSET('Measure Inputs'!$AB$7,,,InputRows),$C107)*$T107*$V107*$U107</f>
        <v>0</v>
      </c>
      <c r="AE107" s="55"/>
      <c r="AF107" s="57">
        <f ca="1">INDEX(OFFSET('Measure Inputs'!$Q$7,,,InputRows),$C107)*$T107</f>
        <v>0</v>
      </c>
      <c r="AG107" s="57">
        <f ca="1">INDEX(OFFSET('Measure Inputs'!$P$7,,,InputRows),$C107)*$T107*$V107</f>
        <v>5740</v>
      </c>
      <c r="AH107" s="57">
        <f ca="1">INDEX(OFFSET('Measure Inputs'!$R$7,,,InputRows),$C107)*$T107*$V107</f>
        <v>0</v>
      </c>
      <c r="AI107" s="57">
        <f ca="1">INDEX(OFFSET('Measure Inputs'!$O$7,,,InputRows),$C107)*$T107</f>
        <v>1500</v>
      </c>
      <c r="AJ107" s="57">
        <f ca="1">INDEX(OFFSET('Measure Inputs'!$S$7,,,InputRows),$C107)*$T107</f>
        <v>0</v>
      </c>
      <c r="AK107" s="63">
        <f ca="1">INDEX(OFFSET('Measure Inputs'!$M$7,,,InputRows),$C107)</f>
        <v>10</v>
      </c>
      <c r="AL107" s="88">
        <f ca="1">INDEX(OFFSET('Measure Inputs'!$N$7,,,InputRows),$C107)</f>
        <v>0</v>
      </c>
      <c r="AM107" s="57">
        <f ca="1">SUMIFS(OFFSET('Program Inputs'!$N$5,,,TotalPrograms),OFFSET('Program Inputs'!$B$5,,,TotalPrograms),SUBSTITUTE($B107,"All","*"))+AF107</f>
        <v>0</v>
      </c>
      <c r="AN107" s="57">
        <f t="shared" ca="1" si="311"/>
        <v>1500</v>
      </c>
      <c r="AO107" s="55"/>
      <c r="AP107" s="59">
        <f t="shared" ca="1" si="312"/>
        <v>6044.6068559792693</v>
      </c>
      <c r="AQ107" s="59">
        <f t="shared" ca="1" si="313"/>
        <v>5740</v>
      </c>
      <c r="AR107" s="59">
        <f ca="1">SUMPRODUCT($CA107:$DI107,'General Inputs'!$F$32:$AN$32,'General Inputs'!$F$51:$AN$51)/(1-Loss_ElectricEnergy)</f>
        <v>5271.3037685104691</v>
      </c>
      <c r="AS107" s="59">
        <f ca="1">SUMPRODUCT($DK107:$ES107,'General Inputs'!$F$33:$AN$33,'General Inputs'!$F$51:$AN$51)/(1-Loss_ElectricDemand)</f>
        <v>773.30308746880064</v>
      </c>
      <c r="AT107" s="59">
        <f ca="1">SUMPRODUCT($EU107:$GC107,'General Inputs'!$F$34:$AN$34,'General Inputs'!$F$51:$AN$51)/(1-Loss_GasEnergy)</f>
        <v>0</v>
      </c>
      <c r="AU107" s="59">
        <f ca="1">INDEX('General Inputs'!$F$51:$AN$51,MATCH($H107,'General Inputs'!$F$50:$AN$50,0))*$AJ107</f>
        <v>0</v>
      </c>
      <c r="AV107" s="59">
        <f ca="1">INDEX('General Inputs'!$F$51:$AN$51,MATCH($H107,'General Inputs'!$F$50:$AN$50,0))*$AI107</f>
        <v>1500</v>
      </c>
      <c r="AW107" s="59">
        <f ca="1">INDEX('General Inputs'!$F$51:$AN$51,MATCH($H107,'General Inputs'!$F$50:$AN$50,0))*$AM107</f>
        <v>0</v>
      </c>
      <c r="AX107" s="59">
        <f ca="1">SUM(INDEX('General Inputs'!$F$51:$AN$51,MATCH($H107,'General Inputs'!$F$50:$AN$50,0))*$AG107,INDEX('General Inputs'!$F$51:$AN$51,MATCH($H107+$AL107,'General Inputs'!$F$50:$AN$50,0))*-$AH107)</f>
        <v>5740</v>
      </c>
      <c r="AY107" s="55"/>
      <c r="AZ107" s="59">
        <f ca="1">SUMPRODUCT($CA107:$DI107,'General Inputs'!$F$32:$AN$32,'General Inputs'!$F$52:$AN$52)/(1-Loss_ElectricEnergy)</f>
        <v>5271.3037685104691</v>
      </c>
      <c r="BA107" s="59">
        <f ca="1">SUMPRODUCT($DK107:$ES107,'General Inputs'!$F$33:$AN$33,'General Inputs'!$F$52:$AN$52)/(1-Loss_ElectricDemand)</f>
        <v>773.30308746880064</v>
      </c>
      <c r="BB107" s="59">
        <f ca="1">SUMPRODUCT($EU107:$GC107,'General Inputs'!$F$34:$AN$34,'General Inputs'!$F$52:$AN$52)/(1-Loss_GasEnergy)</f>
        <v>0</v>
      </c>
      <c r="BC107" s="59">
        <f ca="1">INDEX('General Inputs'!$F$52:$AN$52,MATCH($H107,'General Inputs'!$F$50:$AN$50,0))*$AI107</f>
        <v>1500</v>
      </c>
      <c r="BD107" s="59">
        <f ca="1">INDEX('General Inputs'!$F$52:$AN$52,MATCH($H107,'General Inputs'!$F$50:$AN$50,0))*$AM107</f>
        <v>0</v>
      </c>
      <c r="BE107" s="55"/>
      <c r="BF107" s="59">
        <f ca="1">SUMPRODUCT($CA107:$DI107,OFFSET('General Inputs'!$F$40:$AN$40,MATCH($D107&amp;" Electric ($/kWh)",'General Inputs'!$E$40:$E$46,0),),'General Inputs'!$F$54:$AN$54)</f>
        <v>0</v>
      </c>
      <c r="BG107" s="59">
        <f ca="1">SUMPRODUCT($EU107:$GC107,OFFSET('General Inputs'!$F$40:$AN$40,MATCH($D107&amp;" Natural Gas ($/therm)",'General Inputs'!$E$40:$E$46,0),),'General Inputs'!$F$54:$AN$54)</f>
        <v>0</v>
      </c>
      <c r="BH107" s="59">
        <f ca="1">INDEX('General Inputs'!$F$54:$AN$54,MATCH($H107,'General Inputs'!$F$50:$AN$50,0))*$AI107</f>
        <v>1500</v>
      </c>
      <c r="BI107" s="59">
        <f ca="1">SUM(INDEX('General Inputs'!$F$54:$AN$54,MATCH($H107,'General Inputs'!$F$50:$AN$50,0))*$AG107,INDEX('General Inputs'!$F$51:$AN$51,MATCH($H107+$AL107,'General Inputs'!$F$50:$AN$50,0))*-$AH107)</f>
        <v>5740</v>
      </c>
      <c r="BJ107" s="55"/>
      <c r="BK107" s="59">
        <f ca="1">SUMPRODUCT($CA107:$DI107,'General Inputs'!$F$32:$AN$32,'General Inputs'!$F$53:$AN$53)/(1-Loss_ElectricEnergy)</f>
        <v>5271.3037685104691</v>
      </c>
      <c r="BL107" s="59">
        <f ca="1">SUMPRODUCT($DK107:$ES107,'General Inputs'!$F$33:$AN$33,'General Inputs'!$F$53:$AN$53)/(1-Loss_ElectricDemand)</f>
        <v>773.30308746880064</v>
      </c>
      <c r="BM107" s="59">
        <f ca="1">SUMPRODUCT($EU107:$GC107,'General Inputs'!$F$34:$AN$34,'General Inputs'!$F$53:$AN$53)/(1-Loss_GasEnergy)</f>
        <v>0</v>
      </c>
      <c r="BN107" s="59">
        <f ca="1">INDEX('General Inputs'!$F$53:$AN$53,MATCH($H107,'General Inputs'!$F$50:$AN$50,0))*$AJ107</f>
        <v>0</v>
      </c>
      <c r="BO107" s="59">
        <f ca="1">SUMPRODUCT($CA107:$DI107,'General Inputs'!$F$35:$AN$35,'General Inputs'!$F$53:$AN$53)/(1-Loss_ElectricEnergy)</f>
        <v>2062.8776205822419</v>
      </c>
      <c r="BP107" s="59">
        <f ca="1">INDEX('General Inputs'!$F$51:$AN$51,MATCH($H107,'General Inputs'!$F$50:$AN$50,0))*$AM107</f>
        <v>0</v>
      </c>
      <c r="BQ107" s="59">
        <f ca="1">SUM(INDEX('General Inputs'!$F$53:$AN$53,MATCH($H107,'General Inputs'!$F$50:$AN$50,0))*$AG107,INDEX('General Inputs'!$F$53:$AN$53,MATCH($H107+$AL107,'General Inputs'!$F$50:$AN$50,0))*-$AH107)</f>
        <v>5740</v>
      </c>
      <c r="BR107" s="55"/>
      <c r="BS107" s="59">
        <f ca="1">SUMPRODUCT($CA107:$DI107,'General Inputs'!$F$32:$AN$32,'General Inputs'!$F$55:$AN$55)/(1-Loss_ElectricEnergy)</f>
        <v>5271.3037685104691</v>
      </c>
      <c r="BT107" s="59">
        <f ca="1">SUMPRODUCT($DK107:$ES107,'General Inputs'!$F$33:$AN$33,'General Inputs'!$F$55:$AN$55)/(1-Loss_ElectricDemand)</f>
        <v>773.30308746880064</v>
      </c>
      <c r="BU107" s="59">
        <f ca="1">SUMPRODUCT($EU107:$GC107,'General Inputs'!$F$34:$AN$34,'General Inputs'!$F$55:$AN$55)/(1-Loss_GasEnergy)</f>
        <v>0</v>
      </c>
      <c r="BV107" s="59">
        <f ca="1">SUMPRODUCT($CA107:$DI107,OFFSET('General Inputs'!$F$40:$AN$40,MATCH($D107&amp;" Electric ($/kWh)",'General Inputs'!$E$40:$E$46,0),),'General Inputs'!$F$55:$AN$55)</f>
        <v>0</v>
      </c>
      <c r="BW107" s="59">
        <f ca="1">SUMPRODUCT($EU107:$GC107,OFFSET('General Inputs'!$F$40:$AN$40,MATCH($D107&amp;" Natural Gas ($/therm)",'General Inputs'!$E$40:$E$46,0),),'General Inputs'!$F$55:$AN$55)</f>
        <v>0</v>
      </c>
      <c r="BX107" s="59">
        <f ca="1">INDEX('General Inputs'!$F$55:$AN$55,MATCH($H107,'General Inputs'!$F$50:$AN$50,0))*$AI107</f>
        <v>1500</v>
      </c>
      <c r="BY107" s="59">
        <f ca="1">INDEX('General Inputs'!$F$51:$AN$51,MATCH($H107,'General Inputs'!$F$50:$AN$50,0))*$AM107</f>
        <v>0</v>
      </c>
      <c r="BZ107" s="55"/>
      <c r="CA107" s="88">
        <f t="shared" ca="1" si="314"/>
        <v>24515</v>
      </c>
      <c r="CB107" s="88">
        <f t="shared" ca="1" si="314"/>
        <v>24515</v>
      </c>
      <c r="CC107" s="88">
        <f t="shared" ca="1" si="314"/>
        <v>24515</v>
      </c>
      <c r="CD107" s="88">
        <f t="shared" ca="1" si="314"/>
        <v>24515</v>
      </c>
      <c r="CE107" s="88">
        <f t="shared" ca="1" si="314"/>
        <v>24515</v>
      </c>
      <c r="CF107" s="88">
        <f t="shared" ca="1" si="314"/>
        <v>24515</v>
      </c>
      <c r="CG107" s="88">
        <f t="shared" ca="1" si="314"/>
        <v>24515</v>
      </c>
      <c r="CH107" s="88">
        <f t="shared" ca="1" si="314"/>
        <v>24515</v>
      </c>
      <c r="CI107" s="88">
        <f t="shared" ca="1" si="314"/>
        <v>24515</v>
      </c>
      <c r="CJ107" s="88">
        <f t="shared" ca="1" si="314"/>
        <v>24515</v>
      </c>
      <c r="CK107" s="88">
        <f t="shared" ca="1" si="315"/>
        <v>0</v>
      </c>
      <c r="CL107" s="88">
        <f t="shared" ca="1" si="315"/>
        <v>0</v>
      </c>
      <c r="CM107" s="88">
        <f t="shared" ca="1" si="315"/>
        <v>0</v>
      </c>
      <c r="CN107" s="88">
        <f t="shared" ca="1" si="315"/>
        <v>0</v>
      </c>
      <c r="CO107" s="88">
        <f t="shared" ca="1" si="315"/>
        <v>0</v>
      </c>
      <c r="CP107" s="88">
        <f t="shared" ca="1" si="315"/>
        <v>0</v>
      </c>
      <c r="CQ107" s="88">
        <f t="shared" ca="1" si="315"/>
        <v>0</v>
      </c>
      <c r="CR107" s="88">
        <f t="shared" ca="1" si="315"/>
        <v>0</v>
      </c>
      <c r="CS107" s="88">
        <f t="shared" ca="1" si="315"/>
        <v>0</v>
      </c>
      <c r="CT107" s="88">
        <f t="shared" ca="1" si="315"/>
        <v>0</v>
      </c>
      <c r="CU107" s="88">
        <f t="shared" ca="1" si="316"/>
        <v>0</v>
      </c>
      <c r="CV107" s="88">
        <f t="shared" ca="1" si="316"/>
        <v>0</v>
      </c>
      <c r="CW107" s="88">
        <f t="shared" ca="1" si="316"/>
        <v>0</v>
      </c>
      <c r="CX107" s="88">
        <f t="shared" ca="1" si="316"/>
        <v>0</v>
      </c>
      <c r="CY107" s="88">
        <f t="shared" ca="1" si="316"/>
        <v>0</v>
      </c>
      <c r="CZ107" s="88">
        <f t="shared" ca="1" si="316"/>
        <v>0</v>
      </c>
      <c r="DA107" s="88">
        <f t="shared" ca="1" si="316"/>
        <v>0</v>
      </c>
      <c r="DB107" s="88">
        <f t="shared" ca="1" si="316"/>
        <v>0</v>
      </c>
      <c r="DC107" s="88">
        <f t="shared" ca="1" si="316"/>
        <v>0</v>
      </c>
      <c r="DD107" s="88">
        <f t="shared" ca="1" si="316"/>
        <v>0</v>
      </c>
      <c r="DE107" s="88">
        <f t="shared" ca="1" si="316"/>
        <v>0</v>
      </c>
      <c r="DF107" s="88">
        <f t="shared" ca="1" si="316"/>
        <v>0</v>
      </c>
      <c r="DG107" s="88">
        <f t="shared" ca="1" si="316"/>
        <v>0</v>
      </c>
      <c r="DH107" s="88">
        <f t="shared" ca="1" si="316"/>
        <v>0</v>
      </c>
      <c r="DI107" s="88">
        <f t="shared" ca="1" si="316"/>
        <v>0</v>
      </c>
      <c r="DJ107" s="169"/>
      <c r="DK107" s="88">
        <f t="shared" ca="1" si="317"/>
        <v>5</v>
      </c>
      <c r="DL107" s="88">
        <f t="shared" ca="1" si="317"/>
        <v>5</v>
      </c>
      <c r="DM107" s="88">
        <f t="shared" ca="1" si="317"/>
        <v>5</v>
      </c>
      <c r="DN107" s="88">
        <f t="shared" ca="1" si="317"/>
        <v>5</v>
      </c>
      <c r="DO107" s="88">
        <f t="shared" ca="1" si="317"/>
        <v>5</v>
      </c>
      <c r="DP107" s="88">
        <f t="shared" ca="1" si="317"/>
        <v>5</v>
      </c>
      <c r="DQ107" s="88">
        <f t="shared" ca="1" si="317"/>
        <v>5</v>
      </c>
      <c r="DR107" s="88">
        <f t="shared" ca="1" si="317"/>
        <v>5</v>
      </c>
      <c r="DS107" s="88">
        <f t="shared" ca="1" si="317"/>
        <v>5</v>
      </c>
      <c r="DT107" s="88">
        <f t="shared" ca="1" si="317"/>
        <v>5</v>
      </c>
      <c r="DU107" s="88">
        <f t="shared" ca="1" si="318"/>
        <v>0</v>
      </c>
      <c r="DV107" s="88">
        <f t="shared" ca="1" si="318"/>
        <v>0</v>
      </c>
      <c r="DW107" s="88">
        <f t="shared" ca="1" si="318"/>
        <v>0</v>
      </c>
      <c r="DX107" s="88">
        <f t="shared" ca="1" si="318"/>
        <v>0</v>
      </c>
      <c r="DY107" s="88">
        <f t="shared" ca="1" si="318"/>
        <v>0</v>
      </c>
      <c r="DZ107" s="88">
        <f t="shared" ca="1" si="318"/>
        <v>0</v>
      </c>
      <c r="EA107" s="88">
        <f t="shared" ca="1" si="318"/>
        <v>0</v>
      </c>
      <c r="EB107" s="88">
        <f t="shared" ca="1" si="318"/>
        <v>0</v>
      </c>
      <c r="EC107" s="88">
        <f t="shared" ca="1" si="318"/>
        <v>0</v>
      </c>
      <c r="ED107" s="88">
        <f t="shared" ca="1" si="318"/>
        <v>0</v>
      </c>
      <c r="EE107" s="88">
        <f t="shared" ca="1" si="319"/>
        <v>0</v>
      </c>
      <c r="EF107" s="88">
        <f t="shared" ca="1" si="319"/>
        <v>0</v>
      </c>
      <c r="EG107" s="88">
        <f t="shared" ca="1" si="319"/>
        <v>0</v>
      </c>
      <c r="EH107" s="88">
        <f t="shared" ca="1" si="319"/>
        <v>0</v>
      </c>
      <c r="EI107" s="88">
        <f t="shared" ca="1" si="319"/>
        <v>0</v>
      </c>
      <c r="EJ107" s="88">
        <f t="shared" ca="1" si="319"/>
        <v>0</v>
      </c>
      <c r="EK107" s="88">
        <f t="shared" ca="1" si="319"/>
        <v>0</v>
      </c>
      <c r="EL107" s="88">
        <f t="shared" ca="1" si="319"/>
        <v>0</v>
      </c>
      <c r="EM107" s="88">
        <f t="shared" ca="1" si="319"/>
        <v>0</v>
      </c>
      <c r="EN107" s="88">
        <f t="shared" ca="1" si="319"/>
        <v>0</v>
      </c>
      <c r="EO107" s="88">
        <f t="shared" ca="1" si="319"/>
        <v>0</v>
      </c>
      <c r="EP107" s="88">
        <f t="shared" ca="1" si="319"/>
        <v>0</v>
      </c>
      <c r="EQ107" s="88">
        <f t="shared" ca="1" si="319"/>
        <v>0</v>
      </c>
      <c r="ER107" s="88">
        <f t="shared" ca="1" si="319"/>
        <v>0</v>
      </c>
      <c r="ES107" s="88">
        <f t="shared" ca="1" si="319"/>
        <v>0</v>
      </c>
      <c r="ET107" s="169"/>
      <c r="EU107" s="88">
        <f t="shared" ca="1" si="320"/>
        <v>0</v>
      </c>
      <c r="EV107" s="88">
        <f t="shared" ca="1" si="320"/>
        <v>0</v>
      </c>
      <c r="EW107" s="88">
        <f t="shared" ca="1" si="320"/>
        <v>0</v>
      </c>
      <c r="EX107" s="88">
        <f t="shared" ca="1" si="320"/>
        <v>0</v>
      </c>
      <c r="EY107" s="88">
        <f t="shared" ca="1" si="320"/>
        <v>0</v>
      </c>
      <c r="EZ107" s="88">
        <f t="shared" ca="1" si="320"/>
        <v>0</v>
      </c>
      <c r="FA107" s="88">
        <f t="shared" ca="1" si="320"/>
        <v>0</v>
      </c>
      <c r="FB107" s="88">
        <f t="shared" ca="1" si="320"/>
        <v>0</v>
      </c>
      <c r="FC107" s="88">
        <f t="shared" ca="1" si="320"/>
        <v>0</v>
      </c>
      <c r="FD107" s="88">
        <f t="shared" ca="1" si="320"/>
        <v>0</v>
      </c>
      <c r="FE107" s="88">
        <f t="shared" ca="1" si="321"/>
        <v>0</v>
      </c>
      <c r="FF107" s="88">
        <f t="shared" ca="1" si="321"/>
        <v>0</v>
      </c>
      <c r="FG107" s="88">
        <f t="shared" ca="1" si="321"/>
        <v>0</v>
      </c>
      <c r="FH107" s="88">
        <f t="shared" ca="1" si="321"/>
        <v>0</v>
      </c>
      <c r="FI107" s="88">
        <f t="shared" ca="1" si="321"/>
        <v>0</v>
      </c>
      <c r="FJ107" s="88">
        <f t="shared" ca="1" si="321"/>
        <v>0</v>
      </c>
      <c r="FK107" s="88">
        <f t="shared" ca="1" si="321"/>
        <v>0</v>
      </c>
      <c r="FL107" s="88">
        <f t="shared" ca="1" si="321"/>
        <v>0</v>
      </c>
      <c r="FM107" s="88">
        <f t="shared" ca="1" si="321"/>
        <v>0</v>
      </c>
      <c r="FN107" s="88">
        <f t="shared" ca="1" si="321"/>
        <v>0</v>
      </c>
      <c r="FO107" s="88">
        <f t="shared" ca="1" si="322"/>
        <v>0</v>
      </c>
      <c r="FP107" s="88">
        <f t="shared" ca="1" si="322"/>
        <v>0</v>
      </c>
      <c r="FQ107" s="88">
        <f t="shared" ca="1" si="322"/>
        <v>0</v>
      </c>
      <c r="FR107" s="88">
        <f t="shared" ca="1" si="322"/>
        <v>0</v>
      </c>
      <c r="FS107" s="88">
        <f t="shared" ca="1" si="322"/>
        <v>0</v>
      </c>
      <c r="FT107" s="88">
        <f t="shared" ca="1" si="322"/>
        <v>0</v>
      </c>
      <c r="FU107" s="88">
        <f t="shared" ca="1" si="322"/>
        <v>0</v>
      </c>
      <c r="FV107" s="88">
        <f t="shared" ca="1" si="322"/>
        <v>0</v>
      </c>
      <c r="FW107" s="88">
        <f t="shared" ca="1" si="322"/>
        <v>0</v>
      </c>
      <c r="FX107" s="88">
        <f t="shared" ca="1" si="322"/>
        <v>0</v>
      </c>
      <c r="FY107" s="88">
        <f t="shared" ca="1" si="322"/>
        <v>0</v>
      </c>
      <c r="FZ107" s="88">
        <f t="shared" ca="1" si="322"/>
        <v>0</v>
      </c>
      <c r="GA107" s="88">
        <f t="shared" ca="1" si="322"/>
        <v>0</v>
      </c>
      <c r="GB107" s="88">
        <f t="shared" ca="1" si="322"/>
        <v>0</v>
      </c>
      <c r="GC107" s="88">
        <f t="shared" ca="1" si="322"/>
        <v>0</v>
      </c>
      <c r="GD107" s="60"/>
    </row>
    <row r="108" spans="1:186" s="54" customFormat="1" ht="14.45" customHeight="1">
      <c r="A108" s="61"/>
      <c r="B108" s="100" t="str">
        <f t="shared" si="277"/>
        <v>C&amp;I_C&amp;I Prescriptive_0_LED wall mounted area lights (wallpacks) (≥75W)_2017</v>
      </c>
      <c r="C108" s="100">
        <f>INDEX('Measure Inputs'!$D:$D,MATCH($B108,'Measure Inputs'!$B:$B,0))</f>
        <v>60</v>
      </c>
      <c r="D108" s="101" t="s">
        <v>256</v>
      </c>
      <c r="E108" s="101" t="s">
        <v>255</v>
      </c>
      <c r="F108" s="101">
        <v>0</v>
      </c>
      <c r="G108" s="101" t="s">
        <v>361</v>
      </c>
      <c r="H108" s="101">
        <v>2017</v>
      </c>
      <c r="I108" s="55"/>
      <c r="J108" s="58">
        <f t="shared" ca="1" si="229"/>
        <v>0.75441640555444589</v>
      </c>
      <c r="K108" s="58">
        <f t="shared" ca="1" si="246"/>
        <v>2.9497681457178833</v>
      </c>
      <c r="L108" s="58">
        <f t="shared" ca="1" si="230"/>
        <v>0.25575447570332482</v>
      </c>
      <c r="M108" s="58">
        <f t="shared" ca="1" si="231"/>
        <v>1.0118804154890069</v>
      </c>
      <c r="N108" s="58">
        <f t="shared" ca="1" si="232"/>
        <v>2.9497681457178833</v>
      </c>
      <c r="O108" s="55"/>
      <c r="P108" s="175">
        <f ca="1">IFERROR(($AW108+AV108)/SUMPRODUCT($CA108:$DI108,'General Inputs'!$F$51:$AN$51),"n/a")</f>
        <v>1.1882796627930653E-2</v>
      </c>
      <c r="Q108" s="175">
        <f t="shared" ca="1" si="309"/>
        <v>8.3588836543701917E-2</v>
      </c>
      <c r="R108" s="56">
        <f t="shared" ca="1" si="310"/>
        <v>119.63320000000002</v>
      </c>
      <c r="S108" s="55"/>
      <c r="T108" s="56">
        <f ca="1">INDEX(OFFSET('Measure Inputs'!$L$7,,,InputRows),$C108)</f>
        <v>10</v>
      </c>
      <c r="U108" s="134">
        <f ca="1">INDEX(OFFSET('Measure Inputs'!$T$7,,,InputRows),$C108)</f>
        <v>1</v>
      </c>
      <c r="V108" s="134">
        <f ca="1">INDEX(OFFSET('Measure Inputs'!$U$7,,,InputRows),$C108)</f>
        <v>1</v>
      </c>
      <c r="W108" s="55"/>
      <c r="X108" s="96">
        <f ca="1">INDEX(OFFSET('Measure Inputs'!$V$7,,,InputRows),$C108)*$T108*$V108*$U108</f>
        <v>11963.32</v>
      </c>
      <c r="Y108" s="96">
        <f ca="1">INDEX(OFFSET('Measure Inputs'!$W$7,,,InputRows),$C108)*$T108*$V108*$U108</f>
        <v>2.44</v>
      </c>
      <c r="Z108" s="96">
        <f ca="1">INDEX(OFFSET('Measure Inputs'!$X$7,,,InputRows),$C108)*$T108*$V108*$U108</f>
        <v>0</v>
      </c>
      <c r="AA108" s="55"/>
      <c r="AB108" s="96">
        <f ca="1">INDEX(OFFSET('Measure Inputs'!$Z$7,,,InputRows),$C108)*$T108*$V108*$U108</f>
        <v>0</v>
      </c>
      <c r="AC108" s="96">
        <f ca="1">INDEX(OFFSET('Measure Inputs'!$AA$7,,,InputRows),$C108)*$T108*$V108*$U108</f>
        <v>0</v>
      </c>
      <c r="AD108" s="96">
        <f ca="1">INDEX(OFFSET('Measure Inputs'!$AB$7,,,InputRows),$C108)*$T108*$V108*$U108</f>
        <v>0</v>
      </c>
      <c r="AE108" s="55"/>
      <c r="AF108" s="57">
        <f ca="1">INDEX(OFFSET('Measure Inputs'!$Q$7,,,InputRows),$C108)*$T108</f>
        <v>0</v>
      </c>
      <c r="AG108" s="57">
        <f ca="1">INDEX(OFFSET('Measure Inputs'!$P$7,,,InputRows),$C108)*$T108*$V108</f>
        <v>3910</v>
      </c>
      <c r="AH108" s="57">
        <f ca="1">INDEX(OFFSET('Measure Inputs'!$R$7,,,InputRows),$C108)*$T108*$V108</f>
        <v>0</v>
      </c>
      <c r="AI108" s="57">
        <f ca="1">INDEX(OFFSET('Measure Inputs'!$O$7,,,InputRows),$C108)*$T108</f>
        <v>1000</v>
      </c>
      <c r="AJ108" s="57">
        <f ca="1">INDEX(OFFSET('Measure Inputs'!$S$7,,,InputRows),$C108)*$T108</f>
        <v>0</v>
      </c>
      <c r="AK108" s="63">
        <f ca="1">INDEX(OFFSET('Measure Inputs'!$M$7,,,InputRows),$C108)</f>
        <v>10</v>
      </c>
      <c r="AL108" s="88">
        <f ca="1">INDEX(OFFSET('Measure Inputs'!$N$7,,,InputRows),$C108)</f>
        <v>0</v>
      </c>
      <c r="AM108" s="57">
        <f ca="1">SUMIFS(OFFSET('Program Inputs'!$N$5,,,TotalPrograms),OFFSET('Program Inputs'!$B$5,,,TotalPrograms),SUBSTITUTE($B108,"All","*"))+AF108</f>
        <v>0</v>
      </c>
      <c r="AN108" s="57">
        <f t="shared" ca="1" si="311"/>
        <v>1000</v>
      </c>
      <c r="AO108" s="55"/>
      <c r="AP108" s="59">
        <f t="shared" ca="1" si="312"/>
        <v>2949.7681457178833</v>
      </c>
      <c r="AQ108" s="59">
        <f t="shared" ca="1" si="313"/>
        <v>3910</v>
      </c>
      <c r="AR108" s="59">
        <f ca="1">SUMPRODUCT($CA108:$DI108,'General Inputs'!$F$32:$AN$32,'General Inputs'!$F$51:$AN$51)/(1-Loss_ElectricEnergy)</f>
        <v>2572.3962390331085</v>
      </c>
      <c r="AS108" s="59">
        <f ca="1">SUMPRODUCT($DK108:$ES108,'General Inputs'!$F$33:$AN$33,'General Inputs'!$F$51:$AN$51)/(1-Loss_ElectricDemand)</f>
        <v>377.37190668477467</v>
      </c>
      <c r="AT108" s="59">
        <f ca="1">SUMPRODUCT($EU108:$GC108,'General Inputs'!$F$34:$AN$34,'General Inputs'!$F$51:$AN$51)/(1-Loss_GasEnergy)</f>
        <v>0</v>
      </c>
      <c r="AU108" s="59">
        <f ca="1">INDEX('General Inputs'!$F$51:$AN$51,MATCH($H108,'General Inputs'!$F$50:$AN$50,0))*$AJ108</f>
        <v>0</v>
      </c>
      <c r="AV108" s="59">
        <f ca="1">INDEX('General Inputs'!$F$51:$AN$51,MATCH($H108,'General Inputs'!$F$50:$AN$50,0))*$AI108</f>
        <v>1000</v>
      </c>
      <c r="AW108" s="59">
        <f ca="1">INDEX('General Inputs'!$F$51:$AN$51,MATCH($H108,'General Inputs'!$F$50:$AN$50,0))*$AM108</f>
        <v>0</v>
      </c>
      <c r="AX108" s="59">
        <f ca="1">SUM(INDEX('General Inputs'!$F$51:$AN$51,MATCH($H108,'General Inputs'!$F$50:$AN$50,0))*$AG108,INDEX('General Inputs'!$F$51:$AN$51,MATCH($H108+$AL108,'General Inputs'!$F$50:$AN$50,0))*-$AH108)</f>
        <v>3910</v>
      </c>
      <c r="AY108" s="55"/>
      <c r="AZ108" s="59">
        <f ca="1">SUMPRODUCT($CA108:$DI108,'General Inputs'!$F$32:$AN$32,'General Inputs'!$F$52:$AN$52)/(1-Loss_ElectricEnergy)</f>
        <v>2572.3962390331085</v>
      </c>
      <c r="BA108" s="59">
        <f ca="1">SUMPRODUCT($DK108:$ES108,'General Inputs'!$F$33:$AN$33,'General Inputs'!$F$52:$AN$52)/(1-Loss_ElectricDemand)</f>
        <v>377.37190668477467</v>
      </c>
      <c r="BB108" s="59">
        <f ca="1">SUMPRODUCT($EU108:$GC108,'General Inputs'!$F$34:$AN$34,'General Inputs'!$F$52:$AN$52)/(1-Loss_GasEnergy)</f>
        <v>0</v>
      </c>
      <c r="BC108" s="59">
        <f ca="1">INDEX('General Inputs'!$F$52:$AN$52,MATCH($H108,'General Inputs'!$F$50:$AN$50,0))*$AI108</f>
        <v>1000</v>
      </c>
      <c r="BD108" s="59">
        <f ca="1">INDEX('General Inputs'!$F$52:$AN$52,MATCH($H108,'General Inputs'!$F$50:$AN$50,0))*$AM108</f>
        <v>0</v>
      </c>
      <c r="BE108" s="55"/>
      <c r="BF108" s="59">
        <f ca="1">SUMPRODUCT($CA108:$DI108,OFFSET('General Inputs'!$F$40:$AN$40,MATCH($D108&amp;" Electric ($/kWh)",'General Inputs'!$E$40:$E$46,0),),'General Inputs'!$F$54:$AN$54)</f>
        <v>0</v>
      </c>
      <c r="BG108" s="59">
        <f ca="1">SUMPRODUCT($EU108:$GC108,OFFSET('General Inputs'!$F$40:$AN$40,MATCH($D108&amp;" Natural Gas ($/therm)",'General Inputs'!$E$40:$E$46,0),),'General Inputs'!$F$54:$AN$54)</f>
        <v>0</v>
      </c>
      <c r="BH108" s="59">
        <f ca="1">INDEX('General Inputs'!$F$54:$AN$54,MATCH($H108,'General Inputs'!$F$50:$AN$50,0))*$AI108</f>
        <v>1000</v>
      </c>
      <c r="BI108" s="59">
        <f ca="1">SUM(INDEX('General Inputs'!$F$54:$AN$54,MATCH($H108,'General Inputs'!$F$50:$AN$50,0))*$AG108,INDEX('General Inputs'!$F$51:$AN$51,MATCH($H108+$AL108,'General Inputs'!$F$50:$AN$50,0))*-$AH108)</f>
        <v>3910</v>
      </c>
      <c r="BJ108" s="55"/>
      <c r="BK108" s="59">
        <f ca="1">SUMPRODUCT($CA108:$DI108,'General Inputs'!$F$32:$AN$32,'General Inputs'!$F$53:$AN$53)/(1-Loss_ElectricEnergy)</f>
        <v>2572.3962390331085</v>
      </c>
      <c r="BL108" s="59">
        <f ca="1">SUMPRODUCT($DK108:$ES108,'General Inputs'!$F$33:$AN$33,'General Inputs'!$F$53:$AN$53)/(1-Loss_ElectricDemand)</f>
        <v>377.37190668477467</v>
      </c>
      <c r="BM108" s="59">
        <f ca="1">SUMPRODUCT($EU108:$GC108,'General Inputs'!$F$34:$AN$34,'General Inputs'!$F$53:$AN$53)/(1-Loss_GasEnergy)</f>
        <v>0</v>
      </c>
      <c r="BN108" s="59">
        <f ca="1">INDEX('General Inputs'!$F$53:$AN$53,MATCH($H108,'General Inputs'!$F$50:$AN$50,0))*$AJ108</f>
        <v>0</v>
      </c>
      <c r="BO108" s="59">
        <f ca="1">SUMPRODUCT($CA108:$DI108,'General Inputs'!$F$35:$AN$35,'General Inputs'!$F$53:$AN$53)/(1-Loss_ElectricEnergy)</f>
        <v>1006.6842788441338</v>
      </c>
      <c r="BP108" s="59">
        <f ca="1">INDEX('General Inputs'!$F$51:$AN$51,MATCH($H108,'General Inputs'!$F$50:$AN$50,0))*$AM108</f>
        <v>0</v>
      </c>
      <c r="BQ108" s="59">
        <f ca="1">SUM(INDEX('General Inputs'!$F$53:$AN$53,MATCH($H108,'General Inputs'!$F$50:$AN$50,0))*$AG108,INDEX('General Inputs'!$F$53:$AN$53,MATCH($H108+$AL108,'General Inputs'!$F$50:$AN$50,0))*-$AH108)</f>
        <v>3910</v>
      </c>
      <c r="BR108" s="55"/>
      <c r="BS108" s="59">
        <f ca="1">SUMPRODUCT($CA108:$DI108,'General Inputs'!$F$32:$AN$32,'General Inputs'!$F$55:$AN$55)/(1-Loss_ElectricEnergy)</f>
        <v>2572.3962390331085</v>
      </c>
      <c r="BT108" s="59">
        <f ca="1">SUMPRODUCT($DK108:$ES108,'General Inputs'!$F$33:$AN$33,'General Inputs'!$F$55:$AN$55)/(1-Loss_ElectricDemand)</f>
        <v>377.37190668477467</v>
      </c>
      <c r="BU108" s="59">
        <f ca="1">SUMPRODUCT($EU108:$GC108,'General Inputs'!$F$34:$AN$34,'General Inputs'!$F$55:$AN$55)/(1-Loss_GasEnergy)</f>
        <v>0</v>
      </c>
      <c r="BV108" s="59">
        <f ca="1">SUMPRODUCT($CA108:$DI108,OFFSET('General Inputs'!$F$40:$AN$40,MATCH($D108&amp;" Electric ($/kWh)",'General Inputs'!$E$40:$E$46,0),),'General Inputs'!$F$55:$AN$55)</f>
        <v>0</v>
      </c>
      <c r="BW108" s="59">
        <f ca="1">SUMPRODUCT($EU108:$GC108,OFFSET('General Inputs'!$F$40:$AN$40,MATCH($D108&amp;" Natural Gas ($/therm)",'General Inputs'!$E$40:$E$46,0),),'General Inputs'!$F$55:$AN$55)</f>
        <v>0</v>
      </c>
      <c r="BX108" s="59">
        <f ca="1">INDEX('General Inputs'!$F$55:$AN$55,MATCH($H108,'General Inputs'!$F$50:$AN$50,0))*$AI108</f>
        <v>1000</v>
      </c>
      <c r="BY108" s="59">
        <f ca="1">INDEX('General Inputs'!$F$51:$AN$51,MATCH($H108,'General Inputs'!$F$50:$AN$50,0))*$AM108</f>
        <v>0</v>
      </c>
      <c r="BZ108" s="55"/>
      <c r="CA108" s="88">
        <f t="shared" ca="1" si="314"/>
        <v>11963.32</v>
      </c>
      <c r="CB108" s="88">
        <f t="shared" ca="1" si="314"/>
        <v>11963.32</v>
      </c>
      <c r="CC108" s="88">
        <f t="shared" ca="1" si="314"/>
        <v>11963.32</v>
      </c>
      <c r="CD108" s="88">
        <f t="shared" ca="1" si="314"/>
        <v>11963.32</v>
      </c>
      <c r="CE108" s="88">
        <f t="shared" ca="1" si="314"/>
        <v>11963.32</v>
      </c>
      <c r="CF108" s="88">
        <f t="shared" ca="1" si="314"/>
        <v>11963.32</v>
      </c>
      <c r="CG108" s="88">
        <f t="shared" ca="1" si="314"/>
        <v>11963.32</v>
      </c>
      <c r="CH108" s="88">
        <f t="shared" ca="1" si="314"/>
        <v>11963.32</v>
      </c>
      <c r="CI108" s="88">
        <f t="shared" ca="1" si="314"/>
        <v>11963.32</v>
      </c>
      <c r="CJ108" s="88">
        <f t="shared" ca="1" si="314"/>
        <v>11963.32</v>
      </c>
      <c r="CK108" s="88">
        <f t="shared" ca="1" si="315"/>
        <v>0</v>
      </c>
      <c r="CL108" s="88">
        <f t="shared" ca="1" si="315"/>
        <v>0</v>
      </c>
      <c r="CM108" s="88">
        <f t="shared" ca="1" si="315"/>
        <v>0</v>
      </c>
      <c r="CN108" s="88">
        <f t="shared" ca="1" si="315"/>
        <v>0</v>
      </c>
      <c r="CO108" s="88">
        <f t="shared" ca="1" si="315"/>
        <v>0</v>
      </c>
      <c r="CP108" s="88">
        <f t="shared" ca="1" si="315"/>
        <v>0</v>
      </c>
      <c r="CQ108" s="88">
        <f t="shared" ca="1" si="315"/>
        <v>0</v>
      </c>
      <c r="CR108" s="88">
        <f t="shared" ca="1" si="315"/>
        <v>0</v>
      </c>
      <c r="CS108" s="88">
        <f t="shared" ca="1" si="315"/>
        <v>0</v>
      </c>
      <c r="CT108" s="88">
        <f t="shared" ca="1" si="315"/>
        <v>0</v>
      </c>
      <c r="CU108" s="88">
        <f t="shared" ca="1" si="316"/>
        <v>0</v>
      </c>
      <c r="CV108" s="88">
        <f t="shared" ca="1" si="316"/>
        <v>0</v>
      </c>
      <c r="CW108" s="88">
        <f t="shared" ca="1" si="316"/>
        <v>0</v>
      </c>
      <c r="CX108" s="88">
        <f t="shared" ca="1" si="316"/>
        <v>0</v>
      </c>
      <c r="CY108" s="88">
        <f t="shared" ca="1" si="316"/>
        <v>0</v>
      </c>
      <c r="CZ108" s="88">
        <f t="shared" ca="1" si="316"/>
        <v>0</v>
      </c>
      <c r="DA108" s="88">
        <f t="shared" ca="1" si="316"/>
        <v>0</v>
      </c>
      <c r="DB108" s="88">
        <f t="shared" ca="1" si="316"/>
        <v>0</v>
      </c>
      <c r="DC108" s="88">
        <f t="shared" ca="1" si="316"/>
        <v>0</v>
      </c>
      <c r="DD108" s="88">
        <f t="shared" ca="1" si="316"/>
        <v>0</v>
      </c>
      <c r="DE108" s="88">
        <f t="shared" ca="1" si="316"/>
        <v>0</v>
      </c>
      <c r="DF108" s="88">
        <f t="shared" ca="1" si="316"/>
        <v>0</v>
      </c>
      <c r="DG108" s="88">
        <f t="shared" ca="1" si="316"/>
        <v>0</v>
      </c>
      <c r="DH108" s="88">
        <f t="shared" ca="1" si="316"/>
        <v>0</v>
      </c>
      <c r="DI108" s="88">
        <f t="shared" ca="1" si="316"/>
        <v>0</v>
      </c>
      <c r="DJ108" s="169"/>
      <c r="DK108" s="88">
        <f t="shared" ca="1" si="317"/>
        <v>2.44</v>
      </c>
      <c r="DL108" s="88">
        <f t="shared" ca="1" si="317"/>
        <v>2.44</v>
      </c>
      <c r="DM108" s="88">
        <f t="shared" ca="1" si="317"/>
        <v>2.44</v>
      </c>
      <c r="DN108" s="88">
        <f t="shared" ca="1" si="317"/>
        <v>2.44</v>
      </c>
      <c r="DO108" s="88">
        <f t="shared" ca="1" si="317"/>
        <v>2.44</v>
      </c>
      <c r="DP108" s="88">
        <f t="shared" ca="1" si="317"/>
        <v>2.44</v>
      </c>
      <c r="DQ108" s="88">
        <f t="shared" ca="1" si="317"/>
        <v>2.44</v>
      </c>
      <c r="DR108" s="88">
        <f t="shared" ca="1" si="317"/>
        <v>2.44</v>
      </c>
      <c r="DS108" s="88">
        <f t="shared" ca="1" si="317"/>
        <v>2.44</v>
      </c>
      <c r="DT108" s="88">
        <f t="shared" ca="1" si="317"/>
        <v>2.44</v>
      </c>
      <c r="DU108" s="88">
        <f t="shared" ca="1" si="318"/>
        <v>0</v>
      </c>
      <c r="DV108" s="88">
        <f t="shared" ca="1" si="318"/>
        <v>0</v>
      </c>
      <c r="DW108" s="88">
        <f t="shared" ca="1" si="318"/>
        <v>0</v>
      </c>
      <c r="DX108" s="88">
        <f t="shared" ca="1" si="318"/>
        <v>0</v>
      </c>
      <c r="DY108" s="88">
        <f t="shared" ca="1" si="318"/>
        <v>0</v>
      </c>
      <c r="DZ108" s="88">
        <f t="shared" ca="1" si="318"/>
        <v>0</v>
      </c>
      <c r="EA108" s="88">
        <f t="shared" ca="1" si="318"/>
        <v>0</v>
      </c>
      <c r="EB108" s="88">
        <f t="shared" ca="1" si="318"/>
        <v>0</v>
      </c>
      <c r="EC108" s="88">
        <f t="shared" ca="1" si="318"/>
        <v>0</v>
      </c>
      <c r="ED108" s="88">
        <f t="shared" ca="1" si="318"/>
        <v>0</v>
      </c>
      <c r="EE108" s="88">
        <f t="shared" ca="1" si="319"/>
        <v>0</v>
      </c>
      <c r="EF108" s="88">
        <f t="shared" ca="1" si="319"/>
        <v>0</v>
      </c>
      <c r="EG108" s="88">
        <f t="shared" ca="1" si="319"/>
        <v>0</v>
      </c>
      <c r="EH108" s="88">
        <f t="shared" ca="1" si="319"/>
        <v>0</v>
      </c>
      <c r="EI108" s="88">
        <f t="shared" ca="1" si="319"/>
        <v>0</v>
      </c>
      <c r="EJ108" s="88">
        <f t="shared" ca="1" si="319"/>
        <v>0</v>
      </c>
      <c r="EK108" s="88">
        <f t="shared" ca="1" si="319"/>
        <v>0</v>
      </c>
      <c r="EL108" s="88">
        <f t="shared" ca="1" si="319"/>
        <v>0</v>
      </c>
      <c r="EM108" s="88">
        <f t="shared" ca="1" si="319"/>
        <v>0</v>
      </c>
      <c r="EN108" s="88">
        <f t="shared" ca="1" si="319"/>
        <v>0</v>
      </c>
      <c r="EO108" s="88">
        <f t="shared" ca="1" si="319"/>
        <v>0</v>
      </c>
      <c r="EP108" s="88">
        <f t="shared" ca="1" si="319"/>
        <v>0</v>
      </c>
      <c r="EQ108" s="88">
        <f t="shared" ca="1" si="319"/>
        <v>0</v>
      </c>
      <c r="ER108" s="88">
        <f t="shared" ca="1" si="319"/>
        <v>0</v>
      </c>
      <c r="ES108" s="88">
        <f t="shared" ca="1" si="319"/>
        <v>0</v>
      </c>
      <c r="ET108" s="169"/>
      <c r="EU108" s="88">
        <f t="shared" ca="1" si="320"/>
        <v>0</v>
      </c>
      <c r="EV108" s="88">
        <f t="shared" ca="1" si="320"/>
        <v>0</v>
      </c>
      <c r="EW108" s="88">
        <f t="shared" ca="1" si="320"/>
        <v>0</v>
      </c>
      <c r="EX108" s="88">
        <f t="shared" ca="1" si="320"/>
        <v>0</v>
      </c>
      <c r="EY108" s="88">
        <f t="shared" ca="1" si="320"/>
        <v>0</v>
      </c>
      <c r="EZ108" s="88">
        <f t="shared" ca="1" si="320"/>
        <v>0</v>
      </c>
      <c r="FA108" s="88">
        <f t="shared" ca="1" si="320"/>
        <v>0</v>
      </c>
      <c r="FB108" s="88">
        <f t="shared" ca="1" si="320"/>
        <v>0</v>
      </c>
      <c r="FC108" s="88">
        <f t="shared" ca="1" si="320"/>
        <v>0</v>
      </c>
      <c r="FD108" s="88">
        <f t="shared" ca="1" si="320"/>
        <v>0</v>
      </c>
      <c r="FE108" s="88">
        <f t="shared" ca="1" si="321"/>
        <v>0</v>
      </c>
      <c r="FF108" s="88">
        <f t="shared" ca="1" si="321"/>
        <v>0</v>
      </c>
      <c r="FG108" s="88">
        <f t="shared" ca="1" si="321"/>
        <v>0</v>
      </c>
      <c r="FH108" s="88">
        <f t="shared" ca="1" si="321"/>
        <v>0</v>
      </c>
      <c r="FI108" s="88">
        <f t="shared" ca="1" si="321"/>
        <v>0</v>
      </c>
      <c r="FJ108" s="88">
        <f t="shared" ca="1" si="321"/>
        <v>0</v>
      </c>
      <c r="FK108" s="88">
        <f t="shared" ca="1" si="321"/>
        <v>0</v>
      </c>
      <c r="FL108" s="88">
        <f t="shared" ca="1" si="321"/>
        <v>0</v>
      </c>
      <c r="FM108" s="88">
        <f t="shared" ca="1" si="321"/>
        <v>0</v>
      </c>
      <c r="FN108" s="88">
        <f t="shared" ca="1" si="321"/>
        <v>0</v>
      </c>
      <c r="FO108" s="88">
        <f t="shared" ca="1" si="322"/>
        <v>0</v>
      </c>
      <c r="FP108" s="88">
        <f t="shared" ca="1" si="322"/>
        <v>0</v>
      </c>
      <c r="FQ108" s="88">
        <f t="shared" ca="1" si="322"/>
        <v>0</v>
      </c>
      <c r="FR108" s="88">
        <f t="shared" ca="1" si="322"/>
        <v>0</v>
      </c>
      <c r="FS108" s="88">
        <f t="shared" ca="1" si="322"/>
        <v>0</v>
      </c>
      <c r="FT108" s="88">
        <f t="shared" ca="1" si="322"/>
        <v>0</v>
      </c>
      <c r="FU108" s="88">
        <f t="shared" ca="1" si="322"/>
        <v>0</v>
      </c>
      <c r="FV108" s="88">
        <f t="shared" ca="1" si="322"/>
        <v>0</v>
      </c>
      <c r="FW108" s="88">
        <f t="shared" ca="1" si="322"/>
        <v>0</v>
      </c>
      <c r="FX108" s="88">
        <f t="shared" ca="1" si="322"/>
        <v>0</v>
      </c>
      <c r="FY108" s="88">
        <f t="shared" ca="1" si="322"/>
        <v>0</v>
      </c>
      <c r="FZ108" s="88">
        <f t="shared" ca="1" si="322"/>
        <v>0</v>
      </c>
      <c r="GA108" s="88">
        <f t="shared" ca="1" si="322"/>
        <v>0</v>
      </c>
      <c r="GB108" s="88">
        <f t="shared" ca="1" si="322"/>
        <v>0</v>
      </c>
      <c r="GC108" s="88">
        <f t="shared" ca="1" si="322"/>
        <v>0</v>
      </c>
      <c r="GD108" s="60"/>
    </row>
    <row r="109" spans="1:186" s="54" customFormat="1" ht="14.45" customHeight="1">
      <c r="A109" s="61"/>
      <c r="B109" s="100" t="str">
        <f t="shared" si="277"/>
        <v>C&amp;I_C&amp;I Prescriptive_0_Energy Star LED downlights (new or retrofit) (50W or less)_2017</v>
      </c>
      <c r="C109" s="100">
        <f>INDEX('Measure Inputs'!$D:$D,MATCH($B109,'Measure Inputs'!$B:$B,0))</f>
        <v>61</v>
      </c>
      <c r="D109" s="101" t="s">
        <v>256</v>
      </c>
      <c r="E109" s="101" t="s">
        <v>255</v>
      </c>
      <c r="F109" s="101">
        <v>0</v>
      </c>
      <c r="G109" s="101" t="s">
        <v>362</v>
      </c>
      <c r="H109" s="101">
        <v>2017</v>
      </c>
      <c r="I109" s="55"/>
      <c r="J109" s="58">
        <f t="shared" ca="1" si="229"/>
        <v>3.2564025585009757</v>
      </c>
      <c r="K109" s="58">
        <f t="shared" ca="1" si="246"/>
        <v>2.5120819737007527</v>
      </c>
      <c r="L109" s="58">
        <f t="shared" ca="1" si="230"/>
        <v>1.2962962962962963</v>
      </c>
      <c r="M109" s="58">
        <f t="shared" ca="1" si="231"/>
        <v>4.2995878294378169</v>
      </c>
      <c r="N109" s="58">
        <f t="shared" ca="1" si="232"/>
        <v>2.5120819737007527</v>
      </c>
      <c r="O109" s="55"/>
      <c r="P109" s="175">
        <f ca="1">IFERROR(($AW109+AV109)/SUMPRODUCT($CA109:$DI109,'General Inputs'!$F$51:$AN$51),"n/a")</f>
        <v>1.4864653304528238E-2</v>
      </c>
      <c r="Q109" s="175">
        <f t="shared" ca="1" si="309"/>
        <v>0.1316523410739017</v>
      </c>
      <c r="R109" s="56">
        <f t="shared" ca="1" si="310"/>
        <v>239.26653899999988</v>
      </c>
      <c r="S109" s="55"/>
      <c r="T109" s="56">
        <f ca="1">INDEX(OFFSET('Measure Inputs'!$L$7,,,InputRows),$C109)</f>
        <v>60</v>
      </c>
      <c r="U109" s="134">
        <f ca="1">INDEX(OFFSET('Measure Inputs'!$T$7,,,InputRows),$C109)</f>
        <v>1</v>
      </c>
      <c r="V109" s="134">
        <f ca="1">INDEX(OFFSET('Measure Inputs'!$U$7,,,InputRows),$C109)</f>
        <v>1</v>
      </c>
      <c r="W109" s="55"/>
      <c r="X109" s="96">
        <f ca="1">INDEX(OFFSET('Measure Inputs'!$V$7,,,InputRows),$C109)*$T109*$V109*$U109</f>
        <v>15951.102599999998</v>
      </c>
      <c r="Y109" s="96">
        <f ca="1">INDEX(OFFSET('Measure Inputs'!$W$7,,,InputRows),$C109)*$T109*$V109*$U109</f>
        <v>4.2294</v>
      </c>
      <c r="Z109" s="96">
        <f ca="1">INDEX(OFFSET('Measure Inputs'!$X$7,,,InputRows),$C109)*$T109*$V109*$U109</f>
        <v>0</v>
      </c>
      <c r="AA109" s="55"/>
      <c r="AB109" s="96">
        <f ca="1">INDEX(OFFSET('Measure Inputs'!$Z$7,,,InputRows),$C109)*$T109*$V109*$U109</f>
        <v>0</v>
      </c>
      <c r="AC109" s="96">
        <f ca="1">INDEX(OFFSET('Measure Inputs'!$AA$7,,,InputRows),$C109)*$T109*$V109*$U109</f>
        <v>0</v>
      </c>
      <c r="AD109" s="96">
        <f ca="1">INDEX(OFFSET('Measure Inputs'!$AB$7,,,InputRows),$C109)*$T109*$V109*$U109</f>
        <v>0</v>
      </c>
      <c r="AE109" s="55"/>
      <c r="AF109" s="57">
        <f ca="1">INDEX(OFFSET('Measure Inputs'!$Q$7,,,InputRows),$C109)*$T109</f>
        <v>0</v>
      </c>
      <c r="AG109" s="57">
        <f ca="1">INDEX(OFFSET('Measure Inputs'!$P$7,,,InputRows),$C109)*$T109*$V109</f>
        <v>1620</v>
      </c>
      <c r="AH109" s="57">
        <f ca="1">INDEX(OFFSET('Measure Inputs'!$R$7,,,InputRows),$C109)*$T109*$V109</f>
        <v>0</v>
      </c>
      <c r="AI109" s="57">
        <f ca="1">INDEX(OFFSET('Measure Inputs'!$O$7,,,InputRows),$C109)*$T109</f>
        <v>2100</v>
      </c>
      <c r="AJ109" s="57">
        <f ca="1">INDEX(OFFSET('Measure Inputs'!$S$7,,,InputRows),$C109)*$T109</f>
        <v>0</v>
      </c>
      <c r="AK109" s="63">
        <f ca="1">INDEX(OFFSET('Measure Inputs'!$M$7,,,InputRows),$C109)</f>
        <v>15</v>
      </c>
      <c r="AL109" s="88">
        <f ca="1">INDEX(OFFSET('Measure Inputs'!$N$7,,,InputRows),$C109)</f>
        <v>0</v>
      </c>
      <c r="AM109" s="57">
        <f ca="1">SUMIFS(OFFSET('Program Inputs'!$N$5,,,TotalPrograms),OFFSET('Program Inputs'!$B$5,,,TotalPrograms),SUBSTITUTE($B109,"All","*"))+AF109</f>
        <v>0</v>
      </c>
      <c r="AN109" s="57">
        <f t="shared" ca="1" si="311"/>
        <v>2100</v>
      </c>
      <c r="AO109" s="55"/>
      <c r="AP109" s="59">
        <f t="shared" ca="1" si="312"/>
        <v>5275.3721447715807</v>
      </c>
      <c r="AQ109" s="59">
        <f t="shared" ca="1" si="313"/>
        <v>1620</v>
      </c>
      <c r="AR109" s="59">
        <f ca="1">SUMPRODUCT($CA109:$DI109,'General Inputs'!$F$32:$AN$32,'General Inputs'!$F$51:$AN$51)/(1-Loss_ElectricEnergy)</f>
        <v>4430.4290976000693</v>
      </c>
      <c r="AS109" s="59">
        <f ca="1">SUMPRODUCT($DK109:$ES109,'General Inputs'!$F$33:$AN$33,'General Inputs'!$F$51:$AN$51)/(1-Loss_ElectricDemand)</f>
        <v>844.94304717151135</v>
      </c>
      <c r="AT109" s="59">
        <f ca="1">SUMPRODUCT($EU109:$GC109,'General Inputs'!$F$34:$AN$34,'General Inputs'!$F$51:$AN$51)/(1-Loss_GasEnergy)</f>
        <v>0</v>
      </c>
      <c r="AU109" s="59">
        <f ca="1">INDEX('General Inputs'!$F$51:$AN$51,MATCH($H109,'General Inputs'!$F$50:$AN$50,0))*$AJ109</f>
        <v>0</v>
      </c>
      <c r="AV109" s="59">
        <f ca="1">INDEX('General Inputs'!$F$51:$AN$51,MATCH($H109,'General Inputs'!$F$50:$AN$50,0))*$AI109</f>
        <v>2100</v>
      </c>
      <c r="AW109" s="59">
        <f ca="1">INDEX('General Inputs'!$F$51:$AN$51,MATCH($H109,'General Inputs'!$F$50:$AN$50,0))*$AM109</f>
        <v>0</v>
      </c>
      <c r="AX109" s="59">
        <f ca="1">SUM(INDEX('General Inputs'!$F$51:$AN$51,MATCH($H109,'General Inputs'!$F$50:$AN$50,0))*$AG109,INDEX('General Inputs'!$F$51:$AN$51,MATCH($H109+$AL109,'General Inputs'!$F$50:$AN$50,0))*-$AH109)</f>
        <v>1620</v>
      </c>
      <c r="AY109" s="55"/>
      <c r="AZ109" s="59">
        <f ca="1">SUMPRODUCT($CA109:$DI109,'General Inputs'!$F$32:$AN$32,'General Inputs'!$F$52:$AN$52)/(1-Loss_ElectricEnergy)</f>
        <v>4430.4290976000693</v>
      </c>
      <c r="BA109" s="59">
        <f ca="1">SUMPRODUCT($DK109:$ES109,'General Inputs'!$F$33:$AN$33,'General Inputs'!$F$52:$AN$52)/(1-Loss_ElectricDemand)</f>
        <v>844.94304717151135</v>
      </c>
      <c r="BB109" s="59">
        <f ca="1">SUMPRODUCT($EU109:$GC109,'General Inputs'!$F$34:$AN$34,'General Inputs'!$F$52:$AN$52)/(1-Loss_GasEnergy)</f>
        <v>0</v>
      </c>
      <c r="BC109" s="59">
        <f ca="1">INDEX('General Inputs'!$F$52:$AN$52,MATCH($H109,'General Inputs'!$F$50:$AN$50,0))*$AI109</f>
        <v>2100</v>
      </c>
      <c r="BD109" s="59">
        <f ca="1">INDEX('General Inputs'!$F$52:$AN$52,MATCH($H109,'General Inputs'!$F$50:$AN$50,0))*$AM109</f>
        <v>0</v>
      </c>
      <c r="BE109" s="55"/>
      <c r="BF109" s="59">
        <f ca="1">SUMPRODUCT($CA109:$DI109,OFFSET('General Inputs'!$F$40:$AN$40,MATCH($D109&amp;" Electric ($/kWh)",'General Inputs'!$E$40:$E$46,0),),'General Inputs'!$F$54:$AN$54)</f>
        <v>0</v>
      </c>
      <c r="BG109" s="59">
        <f ca="1">SUMPRODUCT($EU109:$GC109,OFFSET('General Inputs'!$F$40:$AN$40,MATCH($D109&amp;" Natural Gas ($/therm)",'General Inputs'!$E$40:$E$46,0),),'General Inputs'!$F$54:$AN$54)</f>
        <v>0</v>
      </c>
      <c r="BH109" s="59">
        <f ca="1">INDEX('General Inputs'!$F$54:$AN$54,MATCH($H109,'General Inputs'!$F$50:$AN$50,0))*$AI109</f>
        <v>2100</v>
      </c>
      <c r="BI109" s="59">
        <f ca="1">SUM(INDEX('General Inputs'!$F$54:$AN$54,MATCH($H109,'General Inputs'!$F$50:$AN$50,0))*$AG109,INDEX('General Inputs'!$F$51:$AN$51,MATCH($H109+$AL109,'General Inputs'!$F$50:$AN$50,0))*-$AH109)</f>
        <v>1620</v>
      </c>
      <c r="BJ109" s="55"/>
      <c r="BK109" s="59">
        <f ca="1">SUMPRODUCT($CA109:$DI109,'General Inputs'!$F$32:$AN$32,'General Inputs'!$F$53:$AN$53)/(1-Loss_ElectricEnergy)</f>
        <v>4430.4290976000693</v>
      </c>
      <c r="BL109" s="59">
        <f ca="1">SUMPRODUCT($DK109:$ES109,'General Inputs'!$F$33:$AN$33,'General Inputs'!$F$53:$AN$53)/(1-Loss_ElectricDemand)</f>
        <v>844.94304717151135</v>
      </c>
      <c r="BM109" s="59">
        <f ca="1">SUMPRODUCT($EU109:$GC109,'General Inputs'!$F$34:$AN$34,'General Inputs'!$F$53:$AN$53)/(1-Loss_GasEnergy)</f>
        <v>0</v>
      </c>
      <c r="BN109" s="59">
        <f ca="1">INDEX('General Inputs'!$F$53:$AN$53,MATCH($H109,'General Inputs'!$F$50:$AN$50,0))*$AJ109</f>
        <v>0</v>
      </c>
      <c r="BO109" s="59">
        <f ca="1">SUMPRODUCT($CA109:$DI109,'General Inputs'!$F$35:$AN$35,'General Inputs'!$F$53:$AN$53)/(1-Loss_ElectricEnergy)</f>
        <v>1689.960138917683</v>
      </c>
      <c r="BP109" s="59">
        <f ca="1">INDEX('General Inputs'!$F$51:$AN$51,MATCH($H109,'General Inputs'!$F$50:$AN$50,0))*$AM109</f>
        <v>0</v>
      </c>
      <c r="BQ109" s="59">
        <f ca="1">SUM(INDEX('General Inputs'!$F$53:$AN$53,MATCH($H109,'General Inputs'!$F$50:$AN$50,0))*$AG109,INDEX('General Inputs'!$F$53:$AN$53,MATCH($H109+$AL109,'General Inputs'!$F$50:$AN$50,0))*-$AH109)</f>
        <v>1620</v>
      </c>
      <c r="BR109" s="55"/>
      <c r="BS109" s="59">
        <f ca="1">SUMPRODUCT($CA109:$DI109,'General Inputs'!$F$32:$AN$32,'General Inputs'!$F$55:$AN$55)/(1-Loss_ElectricEnergy)</f>
        <v>4430.4290976000693</v>
      </c>
      <c r="BT109" s="59">
        <f ca="1">SUMPRODUCT($DK109:$ES109,'General Inputs'!$F$33:$AN$33,'General Inputs'!$F$55:$AN$55)/(1-Loss_ElectricDemand)</f>
        <v>844.94304717151135</v>
      </c>
      <c r="BU109" s="59">
        <f ca="1">SUMPRODUCT($EU109:$GC109,'General Inputs'!$F$34:$AN$34,'General Inputs'!$F$55:$AN$55)/(1-Loss_GasEnergy)</f>
        <v>0</v>
      </c>
      <c r="BV109" s="59">
        <f ca="1">SUMPRODUCT($CA109:$DI109,OFFSET('General Inputs'!$F$40:$AN$40,MATCH($D109&amp;" Electric ($/kWh)",'General Inputs'!$E$40:$E$46,0),),'General Inputs'!$F$55:$AN$55)</f>
        <v>0</v>
      </c>
      <c r="BW109" s="59">
        <f ca="1">SUMPRODUCT($EU109:$GC109,OFFSET('General Inputs'!$F$40:$AN$40,MATCH($D109&amp;" Natural Gas ($/therm)",'General Inputs'!$E$40:$E$46,0),),'General Inputs'!$F$55:$AN$55)</f>
        <v>0</v>
      </c>
      <c r="BX109" s="59">
        <f ca="1">INDEX('General Inputs'!$F$55:$AN$55,MATCH($H109,'General Inputs'!$F$50:$AN$50,0))*$AI109</f>
        <v>2100</v>
      </c>
      <c r="BY109" s="59">
        <f ca="1">INDEX('General Inputs'!$F$51:$AN$51,MATCH($H109,'General Inputs'!$F$50:$AN$50,0))*$AM109</f>
        <v>0</v>
      </c>
      <c r="BZ109" s="55"/>
      <c r="CA109" s="88">
        <f t="shared" ca="1" si="314"/>
        <v>15951.102599999998</v>
      </c>
      <c r="CB109" s="88">
        <f t="shared" ca="1" si="314"/>
        <v>15951.102599999998</v>
      </c>
      <c r="CC109" s="88">
        <f t="shared" ca="1" si="314"/>
        <v>15951.102599999998</v>
      </c>
      <c r="CD109" s="88">
        <f t="shared" ca="1" si="314"/>
        <v>15951.102599999998</v>
      </c>
      <c r="CE109" s="88">
        <f t="shared" ca="1" si="314"/>
        <v>15951.102599999998</v>
      </c>
      <c r="CF109" s="88">
        <f t="shared" ca="1" si="314"/>
        <v>15951.102599999998</v>
      </c>
      <c r="CG109" s="88">
        <f t="shared" ca="1" si="314"/>
        <v>15951.102599999998</v>
      </c>
      <c r="CH109" s="88">
        <f t="shared" ca="1" si="314"/>
        <v>15951.102599999998</v>
      </c>
      <c r="CI109" s="88">
        <f t="shared" ca="1" si="314"/>
        <v>15951.102599999998</v>
      </c>
      <c r="CJ109" s="88">
        <f t="shared" ca="1" si="314"/>
        <v>15951.102599999998</v>
      </c>
      <c r="CK109" s="88">
        <f t="shared" ca="1" si="315"/>
        <v>15951.102599999998</v>
      </c>
      <c r="CL109" s="88">
        <f t="shared" ca="1" si="315"/>
        <v>15951.102599999998</v>
      </c>
      <c r="CM109" s="88">
        <f t="shared" ca="1" si="315"/>
        <v>15951.102599999998</v>
      </c>
      <c r="CN109" s="88">
        <f t="shared" ca="1" si="315"/>
        <v>15951.102599999998</v>
      </c>
      <c r="CO109" s="88">
        <f t="shared" ca="1" si="315"/>
        <v>15951.102599999998</v>
      </c>
      <c r="CP109" s="88">
        <f t="shared" ca="1" si="315"/>
        <v>0</v>
      </c>
      <c r="CQ109" s="88">
        <f t="shared" ca="1" si="315"/>
        <v>0</v>
      </c>
      <c r="CR109" s="88">
        <f t="shared" ca="1" si="315"/>
        <v>0</v>
      </c>
      <c r="CS109" s="88">
        <f t="shared" ca="1" si="315"/>
        <v>0</v>
      </c>
      <c r="CT109" s="88">
        <f t="shared" ca="1" si="315"/>
        <v>0</v>
      </c>
      <c r="CU109" s="88">
        <f t="shared" ca="1" si="316"/>
        <v>0</v>
      </c>
      <c r="CV109" s="88">
        <f t="shared" ca="1" si="316"/>
        <v>0</v>
      </c>
      <c r="CW109" s="88">
        <f t="shared" ca="1" si="316"/>
        <v>0</v>
      </c>
      <c r="CX109" s="88">
        <f t="shared" ca="1" si="316"/>
        <v>0</v>
      </c>
      <c r="CY109" s="88">
        <f t="shared" ca="1" si="316"/>
        <v>0</v>
      </c>
      <c r="CZ109" s="88">
        <f t="shared" ca="1" si="316"/>
        <v>0</v>
      </c>
      <c r="DA109" s="88">
        <f t="shared" ca="1" si="316"/>
        <v>0</v>
      </c>
      <c r="DB109" s="88">
        <f t="shared" ca="1" si="316"/>
        <v>0</v>
      </c>
      <c r="DC109" s="88">
        <f t="shared" ca="1" si="316"/>
        <v>0</v>
      </c>
      <c r="DD109" s="88">
        <f t="shared" ca="1" si="316"/>
        <v>0</v>
      </c>
      <c r="DE109" s="88">
        <f t="shared" ca="1" si="316"/>
        <v>0</v>
      </c>
      <c r="DF109" s="88">
        <f t="shared" ca="1" si="316"/>
        <v>0</v>
      </c>
      <c r="DG109" s="88">
        <f t="shared" ca="1" si="316"/>
        <v>0</v>
      </c>
      <c r="DH109" s="88">
        <f t="shared" ca="1" si="316"/>
        <v>0</v>
      </c>
      <c r="DI109" s="88">
        <f t="shared" ca="1" si="316"/>
        <v>0</v>
      </c>
      <c r="DJ109" s="169"/>
      <c r="DK109" s="88">
        <f t="shared" ca="1" si="317"/>
        <v>4.2294</v>
      </c>
      <c r="DL109" s="88">
        <f t="shared" ca="1" si="317"/>
        <v>4.2294</v>
      </c>
      <c r="DM109" s="88">
        <f t="shared" ca="1" si="317"/>
        <v>4.2294</v>
      </c>
      <c r="DN109" s="88">
        <f t="shared" ca="1" si="317"/>
        <v>4.2294</v>
      </c>
      <c r="DO109" s="88">
        <f t="shared" ca="1" si="317"/>
        <v>4.2294</v>
      </c>
      <c r="DP109" s="88">
        <f t="shared" ca="1" si="317"/>
        <v>4.2294</v>
      </c>
      <c r="DQ109" s="88">
        <f t="shared" ca="1" si="317"/>
        <v>4.2294</v>
      </c>
      <c r="DR109" s="88">
        <f t="shared" ca="1" si="317"/>
        <v>4.2294</v>
      </c>
      <c r="DS109" s="88">
        <f t="shared" ca="1" si="317"/>
        <v>4.2294</v>
      </c>
      <c r="DT109" s="88">
        <f t="shared" ca="1" si="317"/>
        <v>4.2294</v>
      </c>
      <c r="DU109" s="88">
        <f t="shared" ca="1" si="318"/>
        <v>4.2294</v>
      </c>
      <c r="DV109" s="88">
        <f t="shared" ca="1" si="318"/>
        <v>4.2294</v>
      </c>
      <c r="DW109" s="88">
        <f t="shared" ca="1" si="318"/>
        <v>4.2294</v>
      </c>
      <c r="DX109" s="88">
        <f t="shared" ca="1" si="318"/>
        <v>4.2294</v>
      </c>
      <c r="DY109" s="88">
        <f t="shared" ca="1" si="318"/>
        <v>4.2294</v>
      </c>
      <c r="DZ109" s="88">
        <f t="shared" ca="1" si="318"/>
        <v>0</v>
      </c>
      <c r="EA109" s="88">
        <f t="shared" ca="1" si="318"/>
        <v>0</v>
      </c>
      <c r="EB109" s="88">
        <f t="shared" ca="1" si="318"/>
        <v>0</v>
      </c>
      <c r="EC109" s="88">
        <f t="shared" ca="1" si="318"/>
        <v>0</v>
      </c>
      <c r="ED109" s="88">
        <f t="shared" ca="1" si="318"/>
        <v>0</v>
      </c>
      <c r="EE109" s="88">
        <f t="shared" ca="1" si="319"/>
        <v>0</v>
      </c>
      <c r="EF109" s="88">
        <f t="shared" ca="1" si="319"/>
        <v>0</v>
      </c>
      <c r="EG109" s="88">
        <f t="shared" ca="1" si="319"/>
        <v>0</v>
      </c>
      <c r="EH109" s="88">
        <f t="shared" ca="1" si="319"/>
        <v>0</v>
      </c>
      <c r="EI109" s="88">
        <f t="shared" ca="1" si="319"/>
        <v>0</v>
      </c>
      <c r="EJ109" s="88">
        <f t="shared" ca="1" si="319"/>
        <v>0</v>
      </c>
      <c r="EK109" s="88">
        <f t="shared" ca="1" si="319"/>
        <v>0</v>
      </c>
      <c r="EL109" s="88">
        <f t="shared" ca="1" si="319"/>
        <v>0</v>
      </c>
      <c r="EM109" s="88">
        <f t="shared" ca="1" si="319"/>
        <v>0</v>
      </c>
      <c r="EN109" s="88">
        <f t="shared" ca="1" si="319"/>
        <v>0</v>
      </c>
      <c r="EO109" s="88">
        <f t="shared" ca="1" si="319"/>
        <v>0</v>
      </c>
      <c r="EP109" s="88">
        <f t="shared" ca="1" si="319"/>
        <v>0</v>
      </c>
      <c r="EQ109" s="88">
        <f t="shared" ca="1" si="319"/>
        <v>0</v>
      </c>
      <c r="ER109" s="88">
        <f t="shared" ca="1" si="319"/>
        <v>0</v>
      </c>
      <c r="ES109" s="88">
        <f t="shared" ca="1" si="319"/>
        <v>0</v>
      </c>
      <c r="ET109" s="169"/>
      <c r="EU109" s="88">
        <f t="shared" ca="1" si="320"/>
        <v>0</v>
      </c>
      <c r="EV109" s="88">
        <f t="shared" ca="1" si="320"/>
        <v>0</v>
      </c>
      <c r="EW109" s="88">
        <f t="shared" ca="1" si="320"/>
        <v>0</v>
      </c>
      <c r="EX109" s="88">
        <f t="shared" ca="1" si="320"/>
        <v>0</v>
      </c>
      <c r="EY109" s="88">
        <f t="shared" ca="1" si="320"/>
        <v>0</v>
      </c>
      <c r="EZ109" s="88">
        <f t="shared" ca="1" si="320"/>
        <v>0</v>
      </c>
      <c r="FA109" s="88">
        <f t="shared" ca="1" si="320"/>
        <v>0</v>
      </c>
      <c r="FB109" s="88">
        <f t="shared" ca="1" si="320"/>
        <v>0</v>
      </c>
      <c r="FC109" s="88">
        <f t="shared" ca="1" si="320"/>
        <v>0</v>
      </c>
      <c r="FD109" s="88">
        <f t="shared" ca="1" si="320"/>
        <v>0</v>
      </c>
      <c r="FE109" s="88">
        <f t="shared" ca="1" si="321"/>
        <v>0</v>
      </c>
      <c r="FF109" s="88">
        <f t="shared" ca="1" si="321"/>
        <v>0</v>
      </c>
      <c r="FG109" s="88">
        <f t="shared" ca="1" si="321"/>
        <v>0</v>
      </c>
      <c r="FH109" s="88">
        <f t="shared" ca="1" si="321"/>
        <v>0</v>
      </c>
      <c r="FI109" s="88">
        <f t="shared" ca="1" si="321"/>
        <v>0</v>
      </c>
      <c r="FJ109" s="88">
        <f t="shared" ca="1" si="321"/>
        <v>0</v>
      </c>
      <c r="FK109" s="88">
        <f t="shared" ca="1" si="321"/>
        <v>0</v>
      </c>
      <c r="FL109" s="88">
        <f t="shared" ca="1" si="321"/>
        <v>0</v>
      </c>
      <c r="FM109" s="88">
        <f t="shared" ca="1" si="321"/>
        <v>0</v>
      </c>
      <c r="FN109" s="88">
        <f t="shared" ca="1" si="321"/>
        <v>0</v>
      </c>
      <c r="FO109" s="88">
        <f t="shared" ca="1" si="322"/>
        <v>0</v>
      </c>
      <c r="FP109" s="88">
        <f t="shared" ca="1" si="322"/>
        <v>0</v>
      </c>
      <c r="FQ109" s="88">
        <f t="shared" ca="1" si="322"/>
        <v>0</v>
      </c>
      <c r="FR109" s="88">
        <f t="shared" ca="1" si="322"/>
        <v>0</v>
      </c>
      <c r="FS109" s="88">
        <f t="shared" ca="1" si="322"/>
        <v>0</v>
      </c>
      <c r="FT109" s="88">
        <f t="shared" ca="1" si="322"/>
        <v>0</v>
      </c>
      <c r="FU109" s="88">
        <f t="shared" ca="1" si="322"/>
        <v>0</v>
      </c>
      <c r="FV109" s="88">
        <f t="shared" ca="1" si="322"/>
        <v>0</v>
      </c>
      <c r="FW109" s="88">
        <f t="shared" ca="1" si="322"/>
        <v>0</v>
      </c>
      <c r="FX109" s="88">
        <f t="shared" ca="1" si="322"/>
        <v>0</v>
      </c>
      <c r="FY109" s="88">
        <f t="shared" ca="1" si="322"/>
        <v>0</v>
      </c>
      <c r="FZ109" s="88">
        <f t="shared" ca="1" si="322"/>
        <v>0</v>
      </c>
      <c r="GA109" s="88">
        <f t="shared" ca="1" si="322"/>
        <v>0</v>
      </c>
      <c r="GB109" s="88">
        <f t="shared" ca="1" si="322"/>
        <v>0</v>
      </c>
      <c r="GC109" s="88">
        <f t="shared" ca="1" si="322"/>
        <v>0</v>
      </c>
      <c r="GD109" s="60"/>
    </row>
    <row r="110" spans="1:186" s="54" customFormat="1" ht="14.45" customHeight="1">
      <c r="A110" s="61"/>
      <c r="B110" s="100" t="str">
        <f t="shared" si="277"/>
        <v>C&amp;I_C&amp;I Prescriptive_0_Refrigerated LED Case Lighting 5- and 6-foot Doors_2017</v>
      </c>
      <c r="C110" s="100">
        <f>INDEX('Measure Inputs'!$D:$D,MATCH($B110,'Measure Inputs'!$B:$B,0))</f>
        <v>62</v>
      </c>
      <c r="D110" s="101" t="s">
        <v>256</v>
      </c>
      <c r="E110" s="101" t="s">
        <v>255</v>
      </c>
      <c r="F110" s="101">
        <v>0</v>
      </c>
      <c r="G110" s="101" t="s">
        <v>363</v>
      </c>
      <c r="H110" s="101">
        <v>2017</v>
      </c>
      <c r="I110" s="55"/>
      <c r="J110" s="58">
        <f t="shared" ca="1" si="229"/>
        <v>1.859146959011289</v>
      </c>
      <c r="K110" s="58">
        <f t="shared" ca="1" si="246"/>
        <v>2.0450616549124181</v>
      </c>
      <c r="L110" s="58">
        <f t="shared" ca="1" si="230"/>
        <v>0.90909090909090906</v>
      </c>
      <c r="M110" s="58">
        <f t="shared" ca="1" si="231"/>
        <v>2.5315013239760207</v>
      </c>
      <c r="N110" s="58">
        <f t="shared" ca="1" si="232"/>
        <v>2.0450616549124181</v>
      </c>
      <c r="O110" s="55"/>
      <c r="P110" s="175">
        <f ca="1">IFERROR(($AW110+AV110)/SUMPRODUCT($CA110:$DI110,'General Inputs'!$F$51:$AN$51),"n/a")</f>
        <v>1.6174134000233847E-2</v>
      </c>
      <c r="Q110" s="175">
        <f t="shared" ca="1" si="309"/>
        <v>0.11377599781550086</v>
      </c>
      <c r="R110" s="56">
        <f t="shared" ca="1" si="310"/>
        <v>316.41119999999989</v>
      </c>
      <c r="S110" s="55"/>
      <c r="T110" s="56">
        <f ca="1">INDEX(OFFSET('Measure Inputs'!$L$7,,,InputRows),$C110)</f>
        <v>60</v>
      </c>
      <c r="U110" s="134">
        <f ca="1">INDEX(OFFSET('Measure Inputs'!$T$7,,,InputRows),$C110)</f>
        <v>1</v>
      </c>
      <c r="V110" s="134">
        <f ca="1">INDEX(OFFSET('Measure Inputs'!$U$7,,,InputRows),$C110)</f>
        <v>1</v>
      </c>
      <c r="W110" s="55"/>
      <c r="X110" s="96">
        <f ca="1">INDEX(OFFSET('Measure Inputs'!$V$7,,,InputRows),$C110)*$T110*$V110*$U110</f>
        <v>31641.119999999992</v>
      </c>
      <c r="Y110" s="96">
        <f ca="1">INDEX(OFFSET('Measure Inputs'!$W$7,,,InputRows),$C110)*$T110*$V110*$U110</f>
        <v>3.6119999999999992</v>
      </c>
      <c r="Z110" s="96">
        <f ca="1">INDEX(OFFSET('Measure Inputs'!$X$7,,,InputRows),$C110)*$T110*$V110*$U110</f>
        <v>0</v>
      </c>
      <c r="AA110" s="55"/>
      <c r="AB110" s="96">
        <f ca="1">INDEX(OFFSET('Measure Inputs'!$Z$7,,,InputRows),$C110)*$T110*$V110*$U110</f>
        <v>0</v>
      </c>
      <c r="AC110" s="96">
        <f ca="1">INDEX(OFFSET('Measure Inputs'!$AA$7,,,InputRows),$C110)*$T110*$V110*$U110</f>
        <v>0</v>
      </c>
      <c r="AD110" s="96">
        <f ca="1">INDEX(OFFSET('Measure Inputs'!$AB$7,,,InputRows),$C110)*$T110*$V110*$U110</f>
        <v>0</v>
      </c>
      <c r="AE110" s="55"/>
      <c r="AF110" s="57">
        <f ca="1">INDEX(OFFSET('Measure Inputs'!$Q$7,,,InputRows),$C110)*$T110</f>
        <v>0</v>
      </c>
      <c r="AG110" s="57">
        <f ca="1">INDEX(OFFSET('Measure Inputs'!$P$7,,,InputRows),$C110)*$T110*$V110</f>
        <v>3960</v>
      </c>
      <c r="AH110" s="57">
        <f ca="1">INDEX(OFFSET('Measure Inputs'!$R$7,,,InputRows),$C110)*$T110*$V110</f>
        <v>0</v>
      </c>
      <c r="AI110" s="57">
        <f ca="1">INDEX(OFFSET('Measure Inputs'!$O$7,,,InputRows),$C110)*$T110</f>
        <v>3600</v>
      </c>
      <c r="AJ110" s="57">
        <f ca="1">INDEX(OFFSET('Measure Inputs'!$S$7,,,InputRows),$C110)*$T110</f>
        <v>0</v>
      </c>
      <c r="AK110" s="63">
        <f ca="1">INDEX(OFFSET('Measure Inputs'!$M$7,,,InputRows),$C110)</f>
        <v>10</v>
      </c>
      <c r="AL110" s="88">
        <f ca="1">INDEX(OFFSET('Measure Inputs'!$N$7,,,InputRows),$C110)</f>
        <v>0</v>
      </c>
      <c r="AM110" s="57">
        <f ca="1">SUMIFS(OFFSET('Program Inputs'!$N$5,,,TotalPrograms),OFFSET('Program Inputs'!$B$5,,,TotalPrograms),SUBSTITUTE($B110,"All","*"))+AF110</f>
        <v>0</v>
      </c>
      <c r="AN110" s="57">
        <f t="shared" ca="1" si="311"/>
        <v>3600</v>
      </c>
      <c r="AO110" s="55"/>
      <c r="AP110" s="59">
        <f t="shared" ca="1" si="312"/>
        <v>7362.2219576847046</v>
      </c>
      <c r="AQ110" s="59">
        <f t="shared" ca="1" si="313"/>
        <v>3960</v>
      </c>
      <c r="AR110" s="59">
        <f ca="1">SUMPRODUCT($CA110:$DI110,'General Inputs'!$F$32:$AN$32,'General Inputs'!$F$51:$AN$51)/(1-Loss_ElectricEnergy)</f>
        <v>6803.5878072972428</v>
      </c>
      <c r="AS110" s="59">
        <f ca="1">SUMPRODUCT($DK110:$ES110,'General Inputs'!$F$33:$AN$33,'General Inputs'!$F$51:$AN$51)/(1-Loss_ElectricDemand)</f>
        <v>558.63415038746155</v>
      </c>
      <c r="AT110" s="59">
        <f ca="1">SUMPRODUCT($EU110:$GC110,'General Inputs'!$F$34:$AN$34,'General Inputs'!$F$51:$AN$51)/(1-Loss_GasEnergy)</f>
        <v>0</v>
      </c>
      <c r="AU110" s="59">
        <f ca="1">INDEX('General Inputs'!$F$51:$AN$51,MATCH($H110,'General Inputs'!$F$50:$AN$50,0))*$AJ110</f>
        <v>0</v>
      </c>
      <c r="AV110" s="59">
        <f ca="1">INDEX('General Inputs'!$F$51:$AN$51,MATCH($H110,'General Inputs'!$F$50:$AN$50,0))*$AI110</f>
        <v>3600</v>
      </c>
      <c r="AW110" s="59">
        <f ca="1">INDEX('General Inputs'!$F$51:$AN$51,MATCH($H110,'General Inputs'!$F$50:$AN$50,0))*$AM110</f>
        <v>0</v>
      </c>
      <c r="AX110" s="59">
        <f ca="1">SUM(INDEX('General Inputs'!$F$51:$AN$51,MATCH($H110,'General Inputs'!$F$50:$AN$50,0))*$AG110,INDEX('General Inputs'!$F$51:$AN$51,MATCH($H110+$AL110,'General Inputs'!$F$50:$AN$50,0))*-$AH110)</f>
        <v>3960</v>
      </c>
      <c r="AY110" s="55"/>
      <c r="AZ110" s="59">
        <f ca="1">SUMPRODUCT($CA110:$DI110,'General Inputs'!$F$32:$AN$32,'General Inputs'!$F$52:$AN$52)/(1-Loss_ElectricEnergy)</f>
        <v>6803.5878072972428</v>
      </c>
      <c r="BA110" s="59">
        <f ca="1">SUMPRODUCT($DK110:$ES110,'General Inputs'!$F$33:$AN$33,'General Inputs'!$F$52:$AN$52)/(1-Loss_ElectricDemand)</f>
        <v>558.63415038746155</v>
      </c>
      <c r="BB110" s="59">
        <f ca="1">SUMPRODUCT($EU110:$GC110,'General Inputs'!$F$34:$AN$34,'General Inputs'!$F$52:$AN$52)/(1-Loss_GasEnergy)</f>
        <v>0</v>
      </c>
      <c r="BC110" s="59">
        <f ca="1">INDEX('General Inputs'!$F$52:$AN$52,MATCH($H110,'General Inputs'!$F$50:$AN$50,0))*$AI110</f>
        <v>3600</v>
      </c>
      <c r="BD110" s="59">
        <f ca="1">INDEX('General Inputs'!$F$52:$AN$52,MATCH($H110,'General Inputs'!$F$50:$AN$50,0))*$AM110</f>
        <v>0</v>
      </c>
      <c r="BE110" s="55"/>
      <c r="BF110" s="59">
        <f ca="1">SUMPRODUCT($CA110:$DI110,OFFSET('General Inputs'!$F$40:$AN$40,MATCH($D110&amp;" Electric ($/kWh)",'General Inputs'!$E$40:$E$46,0),),'General Inputs'!$F$54:$AN$54)</f>
        <v>0</v>
      </c>
      <c r="BG110" s="59">
        <f ca="1">SUMPRODUCT($EU110:$GC110,OFFSET('General Inputs'!$F$40:$AN$40,MATCH($D110&amp;" Natural Gas ($/therm)",'General Inputs'!$E$40:$E$46,0),),'General Inputs'!$F$54:$AN$54)</f>
        <v>0</v>
      </c>
      <c r="BH110" s="59">
        <f ca="1">INDEX('General Inputs'!$F$54:$AN$54,MATCH($H110,'General Inputs'!$F$50:$AN$50,0))*$AI110</f>
        <v>3600</v>
      </c>
      <c r="BI110" s="59">
        <f ca="1">SUM(INDEX('General Inputs'!$F$54:$AN$54,MATCH($H110,'General Inputs'!$F$50:$AN$50,0))*$AG110,INDEX('General Inputs'!$F$51:$AN$51,MATCH($H110+$AL110,'General Inputs'!$F$50:$AN$50,0))*-$AH110)</f>
        <v>3960</v>
      </c>
      <c r="BJ110" s="55"/>
      <c r="BK110" s="59">
        <f ca="1">SUMPRODUCT($CA110:$DI110,'General Inputs'!$F$32:$AN$32,'General Inputs'!$F$53:$AN$53)/(1-Loss_ElectricEnergy)</f>
        <v>6803.5878072972428</v>
      </c>
      <c r="BL110" s="59">
        <f ca="1">SUMPRODUCT($DK110:$ES110,'General Inputs'!$F$33:$AN$33,'General Inputs'!$F$53:$AN$53)/(1-Loss_ElectricDemand)</f>
        <v>558.63415038746155</v>
      </c>
      <c r="BM110" s="59">
        <f ca="1">SUMPRODUCT($EU110:$GC110,'General Inputs'!$F$34:$AN$34,'General Inputs'!$F$53:$AN$53)/(1-Loss_GasEnergy)</f>
        <v>0</v>
      </c>
      <c r="BN110" s="59">
        <f ca="1">INDEX('General Inputs'!$F$53:$AN$53,MATCH($H110,'General Inputs'!$F$50:$AN$50,0))*$AJ110</f>
        <v>0</v>
      </c>
      <c r="BO110" s="59">
        <f ca="1">SUMPRODUCT($CA110:$DI110,'General Inputs'!$F$35:$AN$35,'General Inputs'!$F$53:$AN$53)/(1-Loss_ElectricEnergy)</f>
        <v>2662.5232852603372</v>
      </c>
      <c r="BP110" s="59">
        <f ca="1">INDEX('General Inputs'!$F$51:$AN$51,MATCH($H110,'General Inputs'!$F$50:$AN$50,0))*$AM110</f>
        <v>0</v>
      </c>
      <c r="BQ110" s="59">
        <f ca="1">SUM(INDEX('General Inputs'!$F$53:$AN$53,MATCH($H110,'General Inputs'!$F$50:$AN$50,0))*$AG110,INDEX('General Inputs'!$F$53:$AN$53,MATCH($H110+$AL110,'General Inputs'!$F$50:$AN$50,0))*-$AH110)</f>
        <v>3960</v>
      </c>
      <c r="BR110" s="55"/>
      <c r="BS110" s="59">
        <f ca="1">SUMPRODUCT($CA110:$DI110,'General Inputs'!$F$32:$AN$32,'General Inputs'!$F$55:$AN$55)/(1-Loss_ElectricEnergy)</f>
        <v>6803.5878072972428</v>
      </c>
      <c r="BT110" s="59">
        <f ca="1">SUMPRODUCT($DK110:$ES110,'General Inputs'!$F$33:$AN$33,'General Inputs'!$F$55:$AN$55)/(1-Loss_ElectricDemand)</f>
        <v>558.63415038746155</v>
      </c>
      <c r="BU110" s="59">
        <f ca="1">SUMPRODUCT($EU110:$GC110,'General Inputs'!$F$34:$AN$34,'General Inputs'!$F$55:$AN$55)/(1-Loss_GasEnergy)</f>
        <v>0</v>
      </c>
      <c r="BV110" s="59">
        <f ca="1">SUMPRODUCT($CA110:$DI110,OFFSET('General Inputs'!$F$40:$AN$40,MATCH($D110&amp;" Electric ($/kWh)",'General Inputs'!$E$40:$E$46,0),),'General Inputs'!$F$55:$AN$55)</f>
        <v>0</v>
      </c>
      <c r="BW110" s="59">
        <f ca="1">SUMPRODUCT($EU110:$GC110,OFFSET('General Inputs'!$F$40:$AN$40,MATCH($D110&amp;" Natural Gas ($/therm)",'General Inputs'!$E$40:$E$46,0),),'General Inputs'!$F$55:$AN$55)</f>
        <v>0</v>
      </c>
      <c r="BX110" s="59">
        <f ca="1">INDEX('General Inputs'!$F$55:$AN$55,MATCH($H110,'General Inputs'!$F$50:$AN$50,0))*$AI110</f>
        <v>3600</v>
      </c>
      <c r="BY110" s="59">
        <f ca="1">INDEX('General Inputs'!$F$51:$AN$51,MATCH($H110,'General Inputs'!$F$50:$AN$50,0))*$AM110</f>
        <v>0</v>
      </c>
      <c r="BZ110" s="55"/>
      <c r="CA110" s="88">
        <f t="shared" ca="1" si="314"/>
        <v>31641.119999999992</v>
      </c>
      <c r="CB110" s="88">
        <f t="shared" ca="1" si="314"/>
        <v>31641.119999999992</v>
      </c>
      <c r="CC110" s="88">
        <f t="shared" ca="1" si="314"/>
        <v>31641.119999999992</v>
      </c>
      <c r="CD110" s="88">
        <f t="shared" ca="1" si="314"/>
        <v>31641.119999999992</v>
      </c>
      <c r="CE110" s="88">
        <f t="shared" ca="1" si="314"/>
        <v>31641.119999999992</v>
      </c>
      <c r="CF110" s="88">
        <f t="shared" ca="1" si="314"/>
        <v>31641.119999999992</v>
      </c>
      <c r="CG110" s="88">
        <f t="shared" ca="1" si="314"/>
        <v>31641.119999999992</v>
      </c>
      <c r="CH110" s="88">
        <f t="shared" ca="1" si="314"/>
        <v>31641.119999999992</v>
      </c>
      <c r="CI110" s="88">
        <f t="shared" ca="1" si="314"/>
        <v>31641.119999999992</v>
      </c>
      <c r="CJ110" s="88">
        <f t="shared" ca="1" si="314"/>
        <v>31641.119999999992</v>
      </c>
      <c r="CK110" s="88">
        <f t="shared" ca="1" si="315"/>
        <v>0</v>
      </c>
      <c r="CL110" s="88">
        <f t="shared" ca="1" si="315"/>
        <v>0</v>
      </c>
      <c r="CM110" s="88">
        <f t="shared" ca="1" si="315"/>
        <v>0</v>
      </c>
      <c r="CN110" s="88">
        <f t="shared" ca="1" si="315"/>
        <v>0</v>
      </c>
      <c r="CO110" s="88">
        <f t="shared" ca="1" si="315"/>
        <v>0</v>
      </c>
      <c r="CP110" s="88">
        <f t="shared" ca="1" si="315"/>
        <v>0</v>
      </c>
      <c r="CQ110" s="88">
        <f t="shared" ca="1" si="315"/>
        <v>0</v>
      </c>
      <c r="CR110" s="88">
        <f t="shared" ca="1" si="315"/>
        <v>0</v>
      </c>
      <c r="CS110" s="88">
        <f t="shared" ca="1" si="315"/>
        <v>0</v>
      </c>
      <c r="CT110" s="88">
        <f t="shared" ca="1" si="315"/>
        <v>0</v>
      </c>
      <c r="CU110" s="88">
        <f t="shared" ca="1" si="316"/>
        <v>0</v>
      </c>
      <c r="CV110" s="88">
        <f t="shared" ca="1" si="316"/>
        <v>0</v>
      </c>
      <c r="CW110" s="88">
        <f t="shared" ca="1" si="316"/>
        <v>0</v>
      </c>
      <c r="CX110" s="88">
        <f t="shared" ca="1" si="316"/>
        <v>0</v>
      </c>
      <c r="CY110" s="88">
        <f t="shared" ca="1" si="316"/>
        <v>0</v>
      </c>
      <c r="CZ110" s="88">
        <f t="shared" ca="1" si="316"/>
        <v>0</v>
      </c>
      <c r="DA110" s="88">
        <f t="shared" ca="1" si="316"/>
        <v>0</v>
      </c>
      <c r="DB110" s="88">
        <f t="shared" ca="1" si="316"/>
        <v>0</v>
      </c>
      <c r="DC110" s="88">
        <f t="shared" ca="1" si="316"/>
        <v>0</v>
      </c>
      <c r="DD110" s="88">
        <f t="shared" ca="1" si="316"/>
        <v>0</v>
      </c>
      <c r="DE110" s="88">
        <f t="shared" ca="1" si="316"/>
        <v>0</v>
      </c>
      <c r="DF110" s="88">
        <f t="shared" ca="1" si="316"/>
        <v>0</v>
      </c>
      <c r="DG110" s="88">
        <f t="shared" ca="1" si="316"/>
        <v>0</v>
      </c>
      <c r="DH110" s="88">
        <f t="shared" ca="1" si="316"/>
        <v>0</v>
      </c>
      <c r="DI110" s="88">
        <f t="shared" ca="1" si="316"/>
        <v>0</v>
      </c>
      <c r="DJ110" s="169"/>
      <c r="DK110" s="88">
        <f t="shared" ca="1" si="317"/>
        <v>3.6119999999999992</v>
      </c>
      <c r="DL110" s="88">
        <f t="shared" ca="1" si="317"/>
        <v>3.6119999999999992</v>
      </c>
      <c r="DM110" s="88">
        <f t="shared" ca="1" si="317"/>
        <v>3.6119999999999992</v>
      </c>
      <c r="DN110" s="88">
        <f t="shared" ca="1" si="317"/>
        <v>3.6119999999999992</v>
      </c>
      <c r="DO110" s="88">
        <f t="shared" ca="1" si="317"/>
        <v>3.6119999999999992</v>
      </c>
      <c r="DP110" s="88">
        <f t="shared" ca="1" si="317"/>
        <v>3.6119999999999992</v>
      </c>
      <c r="DQ110" s="88">
        <f t="shared" ca="1" si="317"/>
        <v>3.6119999999999992</v>
      </c>
      <c r="DR110" s="88">
        <f t="shared" ca="1" si="317"/>
        <v>3.6119999999999992</v>
      </c>
      <c r="DS110" s="88">
        <f t="shared" ca="1" si="317"/>
        <v>3.6119999999999992</v>
      </c>
      <c r="DT110" s="88">
        <f t="shared" ca="1" si="317"/>
        <v>3.6119999999999992</v>
      </c>
      <c r="DU110" s="88">
        <f t="shared" ca="1" si="318"/>
        <v>0</v>
      </c>
      <c r="DV110" s="88">
        <f t="shared" ca="1" si="318"/>
        <v>0</v>
      </c>
      <c r="DW110" s="88">
        <f t="shared" ca="1" si="318"/>
        <v>0</v>
      </c>
      <c r="DX110" s="88">
        <f t="shared" ca="1" si="318"/>
        <v>0</v>
      </c>
      <c r="DY110" s="88">
        <f t="shared" ca="1" si="318"/>
        <v>0</v>
      </c>
      <c r="DZ110" s="88">
        <f t="shared" ca="1" si="318"/>
        <v>0</v>
      </c>
      <c r="EA110" s="88">
        <f t="shared" ca="1" si="318"/>
        <v>0</v>
      </c>
      <c r="EB110" s="88">
        <f t="shared" ca="1" si="318"/>
        <v>0</v>
      </c>
      <c r="EC110" s="88">
        <f t="shared" ca="1" si="318"/>
        <v>0</v>
      </c>
      <c r="ED110" s="88">
        <f t="shared" ca="1" si="318"/>
        <v>0</v>
      </c>
      <c r="EE110" s="88">
        <f t="shared" ca="1" si="319"/>
        <v>0</v>
      </c>
      <c r="EF110" s="88">
        <f t="shared" ca="1" si="319"/>
        <v>0</v>
      </c>
      <c r="EG110" s="88">
        <f t="shared" ca="1" si="319"/>
        <v>0</v>
      </c>
      <c r="EH110" s="88">
        <f t="shared" ca="1" si="319"/>
        <v>0</v>
      </c>
      <c r="EI110" s="88">
        <f t="shared" ca="1" si="319"/>
        <v>0</v>
      </c>
      <c r="EJ110" s="88">
        <f t="shared" ca="1" si="319"/>
        <v>0</v>
      </c>
      <c r="EK110" s="88">
        <f t="shared" ca="1" si="319"/>
        <v>0</v>
      </c>
      <c r="EL110" s="88">
        <f t="shared" ca="1" si="319"/>
        <v>0</v>
      </c>
      <c r="EM110" s="88">
        <f t="shared" ca="1" si="319"/>
        <v>0</v>
      </c>
      <c r="EN110" s="88">
        <f t="shared" ca="1" si="319"/>
        <v>0</v>
      </c>
      <c r="EO110" s="88">
        <f t="shared" ca="1" si="319"/>
        <v>0</v>
      </c>
      <c r="EP110" s="88">
        <f t="shared" ca="1" si="319"/>
        <v>0</v>
      </c>
      <c r="EQ110" s="88">
        <f t="shared" ca="1" si="319"/>
        <v>0</v>
      </c>
      <c r="ER110" s="88">
        <f t="shared" ca="1" si="319"/>
        <v>0</v>
      </c>
      <c r="ES110" s="88">
        <f t="shared" ca="1" si="319"/>
        <v>0</v>
      </c>
      <c r="ET110" s="169"/>
      <c r="EU110" s="88">
        <f t="shared" ca="1" si="320"/>
        <v>0</v>
      </c>
      <c r="EV110" s="88">
        <f t="shared" ca="1" si="320"/>
        <v>0</v>
      </c>
      <c r="EW110" s="88">
        <f t="shared" ca="1" si="320"/>
        <v>0</v>
      </c>
      <c r="EX110" s="88">
        <f t="shared" ca="1" si="320"/>
        <v>0</v>
      </c>
      <c r="EY110" s="88">
        <f t="shared" ca="1" si="320"/>
        <v>0</v>
      </c>
      <c r="EZ110" s="88">
        <f t="shared" ca="1" si="320"/>
        <v>0</v>
      </c>
      <c r="FA110" s="88">
        <f t="shared" ca="1" si="320"/>
        <v>0</v>
      </c>
      <c r="FB110" s="88">
        <f t="shared" ca="1" si="320"/>
        <v>0</v>
      </c>
      <c r="FC110" s="88">
        <f t="shared" ca="1" si="320"/>
        <v>0</v>
      </c>
      <c r="FD110" s="88">
        <f t="shared" ca="1" si="320"/>
        <v>0</v>
      </c>
      <c r="FE110" s="88">
        <f t="shared" ca="1" si="321"/>
        <v>0</v>
      </c>
      <c r="FF110" s="88">
        <f t="shared" ca="1" si="321"/>
        <v>0</v>
      </c>
      <c r="FG110" s="88">
        <f t="shared" ca="1" si="321"/>
        <v>0</v>
      </c>
      <c r="FH110" s="88">
        <f t="shared" ca="1" si="321"/>
        <v>0</v>
      </c>
      <c r="FI110" s="88">
        <f t="shared" ca="1" si="321"/>
        <v>0</v>
      </c>
      <c r="FJ110" s="88">
        <f t="shared" ca="1" si="321"/>
        <v>0</v>
      </c>
      <c r="FK110" s="88">
        <f t="shared" ca="1" si="321"/>
        <v>0</v>
      </c>
      <c r="FL110" s="88">
        <f t="shared" ca="1" si="321"/>
        <v>0</v>
      </c>
      <c r="FM110" s="88">
        <f t="shared" ca="1" si="321"/>
        <v>0</v>
      </c>
      <c r="FN110" s="88">
        <f t="shared" ca="1" si="321"/>
        <v>0</v>
      </c>
      <c r="FO110" s="88">
        <f t="shared" ca="1" si="322"/>
        <v>0</v>
      </c>
      <c r="FP110" s="88">
        <f t="shared" ca="1" si="322"/>
        <v>0</v>
      </c>
      <c r="FQ110" s="88">
        <f t="shared" ca="1" si="322"/>
        <v>0</v>
      </c>
      <c r="FR110" s="88">
        <f t="shared" ca="1" si="322"/>
        <v>0</v>
      </c>
      <c r="FS110" s="88">
        <f t="shared" ca="1" si="322"/>
        <v>0</v>
      </c>
      <c r="FT110" s="88">
        <f t="shared" ca="1" si="322"/>
        <v>0</v>
      </c>
      <c r="FU110" s="88">
        <f t="shared" ca="1" si="322"/>
        <v>0</v>
      </c>
      <c r="FV110" s="88">
        <f t="shared" ca="1" si="322"/>
        <v>0</v>
      </c>
      <c r="FW110" s="88">
        <f t="shared" ca="1" si="322"/>
        <v>0</v>
      </c>
      <c r="FX110" s="88">
        <f t="shared" ca="1" si="322"/>
        <v>0</v>
      </c>
      <c r="FY110" s="88">
        <f t="shared" ca="1" si="322"/>
        <v>0</v>
      </c>
      <c r="FZ110" s="88">
        <f t="shared" ca="1" si="322"/>
        <v>0</v>
      </c>
      <c r="GA110" s="88">
        <f t="shared" ca="1" si="322"/>
        <v>0</v>
      </c>
      <c r="GB110" s="88">
        <f t="shared" ca="1" si="322"/>
        <v>0</v>
      </c>
      <c r="GC110" s="88">
        <f t="shared" ca="1" si="322"/>
        <v>0</v>
      </c>
      <c r="GD110" s="60"/>
    </row>
    <row r="111" spans="1:186" s="54" customFormat="1" ht="14.45" customHeight="1">
      <c r="A111" s="61"/>
      <c r="B111" s="100" t="str">
        <f t="shared" si="277"/>
        <v>C&amp;I_C&amp;I Prescriptive_0_Integral Occupancy Control Stairwell fixtures (2-3 lamp T8)_2017</v>
      </c>
      <c r="C111" s="100">
        <f>INDEX('Measure Inputs'!$D:$D,MATCH($B111,'Measure Inputs'!$B:$B,0))</f>
        <v>63</v>
      </c>
      <c r="D111" s="101" t="s">
        <v>256</v>
      </c>
      <c r="E111" s="101" t="s">
        <v>255</v>
      </c>
      <c r="F111" s="101">
        <v>0</v>
      </c>
      <c r="G111" s="101" t="s">
        <v>364</v>
      </c>
      <c r="H111" s="101">
        <v>2017</v>
      </c>
      <c r="I111" s="55"/>
      <c r="J111" s="58">
        <f t="shared" ca="1" si="229"/>
        <v>0.81184862896279875</v>
      </c>
      <c r="K111" s="58">
        <f t="shared" ca="1" si="246"/>
        <v>4.365039461723315</v>
      </c>
      <c r="L111" s="58">
        <f t="shared" ca="1" si="230"/>
        <v>0.18598884066955981</v>
      </c>
      <c r="M111" s="58">
        <f t="shared" ca="1" si="231"/>
        <v>1.0993959217308751</v>
      </c>
      <c r="N111" s="58">
        <f t="shared" ca="1" si="232"/>
        <v>4.365039461723315</v>
      </c>
      <c r="O111" s="55"/>
      <c r="P111" s="175">
        <f ca="1">IFERROR(($AW111+AV111)/SUMPRODUCT($CA111:$DI111,'General Inputs'!$F$51:$AN$51),"n/a")</f>
        <v>7.7373021154794287E-3</v>
      </c>
      <c r="Q111" s="175">
        <f t="shared" ca="1" si="309"/>
        <v>6.6163788352203809E-2</v>
      </c>
      <c r="R111" s="56">
        <f t="shared" ca="1" si="310"/>
        <v>126.95766383999998</v>
      </c>
      <c r="S111" s="55"/>
      <c r="T111" s="56">
        <f ca="1">INDEX(OFFSET('Measure Inputs'!$L$7,,,InputRows),$C111)</f>
        <v>20</v>
      </c>
      <c r="U111" s="134">
        <f ca="1">INDEX(OFFSET('Measure Inputs'!$T$7,,,InputRows),$C111)</f>
        <v>1</v>
      </c>
      <c r="V111" s="134">
        <f ca="1">INDEX(OFFSET('Measure Inputs'!$U$7,,,InputRows),$C111)</f>
        <v>1</v>
      </c>
      <c r="W111" s="55"/>
      <c r="X111" s="96">
        <f ca="1">INDEX(OFFSET('Measure Inputs'!$V$7,,,InputRows),$C111)*$T111*$V111*$U111</f>
        <v>9068.4045600000009</v>
      </c>
      <c r="Y111" s="96">
        <f ca="1">INDEX(OFFSET('Measure Inputs'!$W$7,,,InputRows),$C111)*$T111*$V111*$U111</f>
        <v>1.0352060000000001</v>
      </c>
      <c r="Z111" s="96">
        <f ca="1">INDEX(OFFSET('Measure Inputs'!$X$7,,,InputRows),$C111)*$T111*$V111*$U111</f>
        <v>0</v>
      </c>
      <c r="AA111" s="55"/>
      <c r="AB111" s="96">
        <f ca="1">INDEX(OFFSET('Measure Inputs'!$Z$7,,,InputRows),$C111)*$T111*$V111*$U111</f>
        <v>0</v>
      </c>
      <c r="AC111" s="96">
        <f ca="1">INDEX(OFFSET('Measure Inputs'!$AA$7,,,InputRows),$C111)*$T111*$V111*$U111</f>
        <v>0</v>
      </c>
      <c r="AD111" s="96">
        <f ca="1">INDEX(OFFSET('Measure Inputs'!$AB$7,,,InputRows),$C111)*$T111*$V111*$U111</f>
        <v>0</v>
      </c>
      <c r="AE111" s="55"/>
      <c r="AF111" s="57">
        <f ca="1">INDEX(OFFSET('Measure Inputs'!$Q$7,,,InputRows),$C111)*$T111</f>
        <v>0</v>
      </c>
      <c r="AG111" s="57">
        <f ca="1">INDEX(OFFSET('Measure Inputs'!$P$7,,,InputRows),$C111)*$T111*$V111</f>
        <v>3226</v>
      </c>
      <c r="AH111" s="57">
        <f ca="1">INDEX(OFFSET('Measure Inputs'!$R$7,,,InputRows),$C111)*$T111*$V111</f>
        <v>0</v>
      </c>
      <c r="AI111" s="57">
        <f ca="1">INDEX(OFFSET('Measure Inputs'!$O$7,,,InputRows),$C111)*$T111</f>
        <v>600</v>
      </c>
      <c r="AJ111" s="57">
        <f ca="1">INDEX(OFFSET('Measure Inputs'!$S$7,,,InputRows),$C111)*$T111</f>
        <v>0</v>
      </c>
      <c r="AK111" s="63">
        <f ca="1">INDEX(OFFSET('Measure Inputs'!$M$7,,,InputRows),$C111)</f>
        <v>14</v>
      </c>
      <c r="AL111" s="88">
        <f ca="1">INDEX(OFFSET('Measure Inputs'!$N$7,,,InputRows),$C111)</f>
        <v>0</v>
      </c>
      <c r="AM111" s="57">
        <f ca="1">SUMIFS(OFFSET('Program Inputs'!$N$5,,,TotalPrograms),OFFSET('Program Inputs'!$B$5,,,TotalPrograms),SUBSTITUTE($B111,"All","*"))+AF111</f>
        <v>0</v>
      </c>
      <c r="AN111" s="57">
        <f t="shared" ca="1" si="311"/>
        <v>600</v>
      </c>
      <c r="AO111" s="55"/>
      <c r="AP111" s="59">
        <f t="shared" ca="1" si="312"/>
        <v>2619.0236770339889</v>
      </c>
      <c r="AQ111" s="59">
        <f t="shared" ca="1" si="313"/>
        <v>3226</v>
      </c>
      <c r="AR111" s="59">
        <f ca="1">SUMPRODUCT($CA111:$DI111,'General Inputs'!$F$32:$AN$32,'General Inputs'!$F$51:$AN$51)/(1-Loss_ElectricEnergy)</f>
        <v>2420.2961631022245</v>
      </c>
      <c r="AS111" s="59">
        <f ca="1">SUMPRODUCT($DK111:$ES111,'General Inputs'!$F$33:$AN$33,'General Inputs'!$F$51:$AN$51)/(1-Loss_ElectricDemand)</f>
        <v>198.72751393176421</v>
      </c>
      <c r="AT111" s="59">
        <f ca="1">SUMPRODUCT($EU111:$GC111,'General Inputs'!$F$34:$AN$34,'General Inputs'!$F$51:$AN$51)/(1-Loss_GasEnergy)</f>
        <v>0</v>
      </c>
      <c r="AU111" s="59">
        <f ca="1">INDEX('General Inputs'!$F$51:$AN$51,MATCH($H111,'General Inputs'!$F$50:$AN$50,0))*$AJ111</f>
        <v>0</v>
      </c>
      <c r="AV111" s="59">
        <f ca="1">INDEX('General Inputs'!$F$51:$AN$51,MATCH($H111,'General Inputs'!$F$50:$AN$50,0))*$AI111</f>
        <v>600</v>
      </c>
      <c r="AW111" s="59">
        <f ca="1">INDEX('General Inputs'!$F$51:$AN$51,MATCH($H111,'General Inputs'!$F$50:$AN$50,0))*$AM111</f>
        <v>0</v>
      </c>
      <c r="AX111" s="59">
        <f ca="1">SUM(INDEX('General Inputs'!$F$51:$AN$51,MATCH($H111,'General Inputs'!$F$50:$AN$50,0))*$AG111,INDEX('General Inputs'!$F$51:$AN$51,MATCH($H111+$AL111,'General Inputs'!$F$50:$AN$50,0))*-$AH111)</f>
        <v>3226</v>
      </c>
      <c r="AY111" s="55"/>
      <c r="AZ111" s="59">
        <f ca="1">SUMPRODUCT($CA111:$DI111,'General Inputs'!$F$32:$AN$32,'General Inputs'!$F$52:$AN$52)/(1-Loss_ElectricEnergy)</f>
        <v>2420.2961631022245</v>
      </c>
      <c r="BA111" s="59">
        <f ca="1">SUMPRODUCT($DK111:$ES111,'General Inputs'!$F$33:$AN$33,'General Inputs'!$F$52:$AN$52)/(1-Loss_ElectricDemand)</f>
        <v>198.72751393176421</v>
      </c>
      <c r="BB111" s="59">
        <f ca="1">SUMPRODUCT($EU111:$GC111,'General Inputs'!$F$34:$AN$34,'General Inputs'!$F$52:$AN$52)/(1-Loss_GasEnergy)</f>
        <v>0</v>
      </c>
      <c r="BC111" s="59">
        <f ca="1">INDEX('General Inputs'!$F$52:$AN$52,MATCH($H111,'General Inputs'!$F$50:$AN$50,0))*$AI111</f>
        <v>600</v>
      </c>
      <c r="BD111" s="59">
        <f ca="1">INDEX('General Inputs'!$F$52:$AN$52,MATCH($H111,'General Inputs'!$F$50:$AN$50,0))*$AM111</f>
        <v>0</v>
      </c>
      <c r="BE111" s="55"/>
      <c r="BF111" s="59">
        <f ca="1">SUMPRODUCT($CA111:$DI111,OFFSET('General Inputs'!$F$40:$AN$40,MATCH($D111&amp;" Electric ($/kWh)",'General Inputs'!$E$40:$E$46,0),),'General Inputs'!$F$54:$AN$54)</f>
        <v>0</v>
      </c>
      <c r="BG111" s="59">
        <f ca="1">SUMPRODUCT($EU111:$GC111,OFFSET('General Inputs'!$F$40:$AN$40,MATCH($D111&amp;" Natural Gas ($/therm)",'General Inputs'!$E$40:$E$46,0),),'General Inputs'!$F$54:$AN$54)</f>
        <v>0</v>
      </c>
      <c r="BH111" s="59">
        <f ca="1">INDEX('General Inputs'!$F$54:$AN$54,MATCH($H111,'General Inputs'!$F$50:$AN$50,0))*$AI111</f>
        <v>600</v>
      </c>
      <c r="BI111" s="59">
        <f ca="1">SUM(INDEX('General Inputs'!$F$54:$AN$54,MATCH($H111,'General Inputs'!$F$50:$AN$50,0))*$AG111,INDEX('General Inputs'!$F$51:$AN$51,MATCH($H111+$AL111,'General Inputs'!$F$50:$AN$50,0))*-$AH111)</f>
        <v>3226</v>
      </c>
      <c r="BJ111" s="55"/>
      <c r="BK111" s="59">
        <f ca="1">SUMPRODUCT($CA111:$DI111,'General Inputs'!$F$32:$AN$32,'General Inputs'!$F$53:$AN$53)/(1-Loss_ElectricEnergy)</f>
        <v>2420.2961631022245</v>
      </c>
      <c r="BL111" s="59">
        <f ca="1">SUMPRODUCT($DK111:$ES111,'General Inputs'!$F$33:$AN$33,'General Inputs'!$F$53:$AN$53)/(1-Loss_ElectricDemand)</f>
        <v>198.72751393176421</v>
      </c>
      <c r="BM111" s="59">
        <f ca="1">SUMPRODUCT($EU111:$GC111,'General Inputs'!$F$34:$AN$34,'General Inputs'!$F$53:$AN$53)/(1-Loss_GasEnergy)</f>
        <v>0</v>
      </c>
      <c r="BN111" s="59">
        <f ca="1">INDEX('General Inputs'!$F$53:$AN$53,MATCH($H111,'General Inputs'!$F$50:$AN$50,0))*$AJ111</f>
        <v>0</v>
      </c>
      <c r="BO111" s="59">
        <f ca="1">SUMPRODUCT($CA111:$DI111,'General Inputs'!$F$35:$AN$35,'General Inputs'!$F$53:$AN$53)/(1-Loss_ElectricEnergy)</f>
        <v>927.62756646981393</v>
      </c>
      <c r="BP111" s="59">
        <f ca="1">INDEX('General Inputs'!$F$51:$AN$51,MATCH($H111,'General Inputs'!$F$50:$AN$50,0))*$AM111</f>
        <v>0</v>
      </c>
      <c r="BQ111" s="59">
        <f ca="1">SUM(INDEX('General Inputs'!$F$53:$AN$53,MATCH($H111,'General Inputs'!$F$50:$AN$50,0))*$AG111,INDEX('General Inputs'!$F$53:$AN$53,MATCH($H111+$AL111,'General Inputs'!$F$50:$AN$50,0))*-$AH111)</f>
        <v>3226</v>
      </c>
      <c r="BR111" s="55"/>
      <c r="BS111" s="59">
        <f ca="1">SUMPRODUCT($CA111:$DI111,'General Inputs'!$F$32:$AN$32,'General Inputs'!$F$55:$AN$55)/(1-Loss_ElectricEnergy)</f>
        <v>2420.2961631022245</v>
      </c>
      <c r="BT111" s="59">
        <f ca="1">SUMPRODUCT($DK111:$ES111,'General Inputs'!$F$33:$AN$33,'General Inputs'!$F$55:$AN$55)/(1-Loss_ElectricDemand)</f>
        <v>198.72751393176421</v>
      </c>
      <c r="BU111" s="59">
        <f ca="1">SUMPRODUCT($EU111:$GC111,'General Inputs'!$F$34:$AN$34,'General Inputs'!$F$55:$AN$55)/(1-Loss_GasEnergy)</f>
        <v>0</v>
      </c>
      <c r="BV111" s="59">
        <f ca="1">SUMPRODUCT($CA111:$DI111,OFFSET('General Inputs'!$F$40:$AN$40,MATCH($D111&amp;" Electric ($/kWh)",'General Inputs'!$E$40:$E$46,0),),'General Inputs'!$F$55:$AN$55)</f>
        <v>0</v>
      </c>
      <c r="BW111" s="59">
        <f ca="1">SUMPRODUCT($EU111:$GC111,OFFSET('General Inputs'!$F$40:$AN$40,MATCH($D111&amp;" Natural Gas ($/therm)",'General Inputs'!$E$40:$E$46,0),),'General Inputs'!$F$55:$AN$55)</f>
        <v>0</v>
      </c>
      <c r="BX111" s="59">
        <f ca="1">INDEX('General Inputs'!$F$55:$AN$55,MATCH($H111,'General Inputs'!$F$50:$AN$50,0))*$AI111</f>
        <v>600</v>
      </c>
      <c r="BY111" s="59">
        <f ca="1">INDEX('General Inputs'!$F$51:$AN$51,MATCH($H111,'General Inputs'!$F$50:$AN$50,0))*$AM111</f>
        <v>0</v>
      </c>
      <c r="BZ111" s="55"/>
      <c r="CA111" s="88">
        <f t="shared" ca="1" si="314"/>
        <v>9068.4045600000009</v>
      </c>
      <c r="CB111" s="88">
        <f t="shared" ca="1" si="314"/>
        <v>9068.4045600000009</v>
      </c>
      <c r="CC111" s="88">
        <f t="shared" ca="1" si="314"/>
        <v>9068.4045600000009</v>
      </c>
      <c r="CD111" s="88">
        <f t="shared" ca="1" si="314"/>
        <v>9068.4045600000009</v>
      </c>
      <c r="CE111" s="88">
        <f t="shared" ca="1" si="314"/>
        <v>9068.4045600000009</v>
      </c>
      <c r="CF111" s="88">
        <f t="shared" ca="1" si="314"/>
        <v>9068.4045600000009</v>
      </c>
      <c r="CG111" s="88">
        <f t="shared" ca="1" si="314"/>
        <v>9068.4045600000009</v>
      </c>
      <c r="CH111" s="88">
        <f t="shared" ca="1" si="314"/>
        <v>9068.4045600000009</v>
      </c>
      <c r="CI111" s="88">
        <f t="shared" ca="1" si="314"/>
        <v>9068.4045600000009</v>
      </c>
      <c r="CJ111" s="88">
        <f t="shared" ca="1" si="314"/>
        <v>9068.4045600000009</v>
      </c>
      <c r="CK111" s="88">
        <f t="shared" ca="1" si="315"/>
        <v>9068.4045600000009</v>
      </c>
      <c r="CL111" s="88">
        <f t="shared" ca="1" si="315"/>
        <v>9068.4045600000009</v>
      </c>
      <c r="CM111" s="88">
        <f t="shared" ca="1" si="315"/>
        <v>9068.4045600000009</v>
      </c>
      <c r="CN111" s="88">
        <f t="shared" ca="1" si="315"/>
        <v>9068.4045600000009</v>
      </c>
      <c r="CO111" s="88">
        <f t="shared" ca="1" si="315"/>
        <v>0</v>
      </c>
      <c r="CP111" s="88">
        <f t="shared" ca="1" si="315"/>
        <v>0</v>
      </c>
      <c r="CQ111" s="88">
        <f t="shared" ca="1" si="315"/>
        <v>0</v>
      </c>
      <c r="CR111" s="88">
        <f t="shared" ca="1" si="315"/>
        <v>0</v>
      </c>
      <c r="CS111" s="88">
        <f t="shared" ca="1" si="315"/>
        <v>0</v>
      </c>
      <c r="CT111" s="88">
        <f t="shared" ca="1" si="315"/>
        <v>0</v>
      </c>
      <c r="CU111" s="88">
        <f t="shared" ca="1" si="316"/>
        <v>0</v>
      </c>
      <c r="CV111" s="88">
        <f t="shared" ca="1" si="316"/>
        <v>0</v>
      </c>
      <c r="CW111" s="88">
        <f t="shared" ca="1" si="316"/>
        <v>0</v>
      </c>
      <c r="CX111" s="88">
        <f t="shared" ca="1" si="316"/>
        <v>0</v>
      </c>
      <c r="CY111" s="88">
        <f t="shared" ca="1" si="316"/>
        <v>0</v>
      </c>
      <c r="CZ111" s="88">
        <f t="shared" ca="1" si="316"/>
        <v>0</v>
      </c>
      <c r="DA111" s="88">
        <f t="shared" ca="1" si="316"/>
        <v>0</v>
      </c>
      <c r="DB111" s="88">
        <f t="shared" ca="1" si="316"/>
        <v>0</v>
      </c>
      <c r="DC111" s="88">
        <f t="shared" ca="1" si="316"/>
        <v>0</v>
      </c>
      <c r="DD111" s="88">
        <f t="shared" ca="1" si="316"/>
        <v>0</v>
      </c>
      <c r="DE111" s="88">
        <f t="shared" ca="1" si="316"/>
        <v>0</v>
      </c>
      <c r="DF111" s="88">
        <f t="shared" ca="1" si="316"/>
        <v>0</v>
      </c>
      <c r="DG111" s="88">
        <f t="shared" ca="1" si="316"/>
        <v>0</v>
      </c>
      <c r="DH111" s="88">
        <f t="shared" ca="1" si="316"/>
        <v>0</v>
      </c>
      <c r="DI111" s="88">
        <f t="shared" ca="1" si="316"/>
        <v>0</v>
      </c>
      <c r="DJ111" s="169"/>
      <c r="DK111" s="88">
        <f t="shared" ca="1" si="317"/>
        <v>1.0352060000000001</v>
      </c>
      <c r="DL111" s="88">
        <f t="shared" ca="1" si="317"/>
        <v>1.0352060000000001</v>
      </c>
      <c r="DM111" s="88">
        <f t="shared" ca="1" si="317"/>
        <v>1.0352060000000001</v>
      </c>
      <c r="DN111" s="88">
        <f t="shared" ca="1" si="317"/>
        <v>1.0352060000000001</v>
      </c>
      <c r="DO111" s="88">
        <f t="shared" ca="1" si="317"/>
        <v>1.0352060000000001</v>
      </c>
      <c r="DP111" s="88">
        <f t="shared" ca="1" si="317"/>
        <v>1.0352060000000001</v>
      </c>
      <c r="DQ111" s="88">
        <f t="shared" ca="1" si="317"/>
        <v>1.0352060000000001</v>
      </c>
      <c r="DR111" s="88">
        <f t="shared" ca="1" si="317"/>
        <v>1.0352060000000001</v>
      </c>
      <c r="DS111" s="88">
        <f t="shared" ca="1" si="317"/>
        <v>1.0352060000000001</v>
      </c>
      <c r="DT111" s="88">
        <f t="shared" ca="1" si="317"/>
        <v>1.0352060000000001</v>
      </c>
      <c r="DU111" s="88">
        <f t="shared" ca="1" si="318"/>
        <v>1.0352060000000001</v>
      </c>
      <c r="DV111" s="88">
        <f t="shared" ca="1" si="318"/>
        <v>1.0352060000000001</v>
      </c>
      <c r="DW111" s="88">
        <f t="shared" ca="1" si="318"/>
        <v>1.0352060000000001</v>
      </c>
      <c r="DX111" s="88">
        <f t="shared" ca="1" si="318"/>
        <v>1.0352060000000001</v>
      </c>
      <c r="DY111" s="88">
        <f t="shared" ca="1" si="318"/>
        <v>0</v>
      </c>
      <c r="DZ111" s="88">
        <f t="shared" ca="1" si="318"/>
        <v>0</v>
      </c>
      <c r="EA111" s="88">
        <f t="shared" ca="1" si="318"/>
        <v>0</v>
      </c>
      <c r="EB111" s="88">
        <f t="shared" ca="1" si="318"/>
        <v>0</v>
      </c>
      <c r="EC111" s="88">
        <f t="shared" ca="1" si="318"/>
        <v>0</v>
      </c>
      <c r="ED111" s="88">
        <f t="shared" ca="1" si="318"/>
        <v>0</v>
      </c>
      <c r="EE111" s="88">
        <f t="shared" ca="1" si="319"/>
        <v>0</v>
      </c>
      <c r="EF111" s="88">
        <f t="shared" ca="1" si="319"/>
        <v>0</v>
      </c>
      <c r="EG111" s="88">
        <f t="shared" ca="1" si="319"/>
        <v>0</v>
      </c>
      <c r="EH111" s="88">
        <f t="shared" ca="1" si="319"/>
        <v>0</v>
      </c>
      <c r="EI111" s="88">
        <f t="shared" ca="1" si="319"/>
        <v>0</v>
      </c>
      <c r="EJ111" s="88">
        <f t="shared" ca="1" si="319"/>
        <v>0</v>
      </c>
      <c r="EK111" s="88">
        <f t="shared" ca="1" si="319"/>
        <v>0</v>
      </c>
      <c r="EL111" s="88">
        <f t="shared" ca="1" si="319"/>
        <v>0</v>
      </c>
      <c r="EM111" s="88">
        <f t="shared" ca="1" si="319"/>
        <v>0</v>
      </c>
      <c r="EN111" s="88">
        <f t="shared" ca="1" si="319"/>
        <v>0</v>
      </c>
      <c r="EO111" s="88">
        <f t="shared" ca="1" si="319"/>
        <v>0</v>
      </c>
      <c r="EP111" s="88">
        <f t="shared" ca="1" si="319"/>
        <v>0</v>
      </c>
      <c r="EQ111" s="88">
        <f t="shared" ca="1" si="319"/>
        <v>0</v>
      </c>
      <c r="ER111" s="88">
        <f t="shared" ca="1" si="319"/>
        <v>0</v>
      </c>
      <c r="ES111" s="88">
        <f t="shared" ca="1" si="319"/>
        <v>0</v>
      </c>
      <c r="ET111" s="169"/>
      <c r="EU111" s="88">
        <f t="shared" ca="1" si="320"/>
        <v>0</v>
      </c>
      <c r="EV111" s="88">
        <f t="shared" ca="1" si="320"/>
        <v>0</v>
      </c>
      <c r="EW111" s="88">
        <f t="shared" ca="1" si="320"/>
        <v>0</v>
      </c>
      <c r="EX111" s="88">
        <f t="shared" ca="1" si="320"/>
        <v>0</v>
      </c>
      <c r="EY111" s="88">
        <f t="shared" ca="1" si="320"/>
        <v>0</v>
      </c>
      <c r="EZ111" s="88">
        <f t="shared" ca="1" si="320"/>
        <v>0</v>
      </c>
      <c r="FA111" s="88">
        <f t="shared" ca="1" si="320"/>
        <v>0</v>
      </c>
      <c r="FB111" s="88">
        <f t="shared" ca="1" si="320"/>
        <v>0</v>
      </c>
      <c r="FC111" s="88">
        <f t="shared" ca="1" si="320"/>
        <v>0</v>
      </c>
      <c r="FD111" s="88">
        <f t="shared" ca="1" si="320"/>
        <v>0</v>
      </c>
      <c r="FE111" s="88">
        <f t="shared" ca="1" si="321"/>
        <v>0</v>
      </c>
      <c r="FF111" s="88">
        <f t="shared" ca="1" si="321"/>
        <v>0</v>
      </c>
      <c r="FG111" s="88">
        <f t="shared" ca="1" si="321"/>
        <v>0</v>
      </c>
      <c r="FH111" s="88">
        <f t="shared" ca="1" si="321"/>
        <v>0</v>
      </c>
      <c r="FI111" s="88">
        <f t="shared" ca="1" si="321"/>
        <v>0</v>
      </c>
      <c r="FJ111" s="88">
        <f t="shared" ca="1" si="321"/>
        <v>0</v>
      </c>
      <c r="FK111" s="88">
        <f t="shared" ca="1" si="321"/>
        <v>0</v>
      </c>
      <c r="FL111" s="88">
        <f t="shared" ca="1" si="321"/>
        <v>0</v>
      </c>
      <c r="FM111" s="88">
        <f t="shared" ca="1" si="321"/>
        <v>0</v>
      </c>
      <c r="FN111" s="88">
        <f t="shared" ca="1" si="321"/>
        <v>0</v>
      </c>
      <c r="FO111" s="88">
        <f t="shared" ca="1" si="322"/>
        <v>0</v>
      </c>
      <c r="FP111" s="88">
        <f t="shared" ca="1" si="322"/>
        <v>0</v>
      </c>
      <c r="FQ111" s="88">
        <f t="shared" ca="1" si="322"/>
        <v>0</v>
      </c>
      <c r="FR111" s="88">
        <f t="shared" ca="1" si="322"/>
        <v>0</v>
      </c>
      <c r="FS111" s="88">
        <f t="shared" ca="1" si="322"/>
        <v>0</v>
      </c>
      <c r="FT111" s="88">
        <f t="shared" ca="1" si="322"/>
        <v>0</v>
      </c>
      <c r="FU111" s="88">
        <f t="shared" ca="1" si="322"/>
        <v>0</v>
      </c>
      <c r="FV111" s="88">
        <f t="shared" ca="1" si="322"/>
        <v>0</v>
      </c>
      <c r="FW111" s="88">
        <f t="shared" ca="1" si="322"/>
        <v>0</v>
      </c>
      <c r="FX111" s="88">
        <f t="shared" ca="1" si="322"/>
        <v>0</v>
      </c>
      <c r="FY111" s="88">
        <f t="shared" ca="1" si="322"/>
        <v>0</v>
      </c>
      <c r="FZ111" s="88">
        <f t="shared" ca="1" si="322"/>
        <v>0</v>
      </c>
      <c r="GA111" s="88">
        <f t="shared" ca="1" si="322"/>
        <v>0</v>
      </c>
      <c r="GB111" s="88">
        <f t="shared" ca="1" si="322"/>
        <v>0</v>
      </c>
      <c r="GC111" s="88">
        <f t="shared" ca="1" si="322"/>
        <v>0</v>
      </c>
      <c r="GD111" s="60"/>
    </row>
    <row r="112" spans="1:186" s="54" customFormat="1" ht="14.45" customHeight="1">
      <c r="A112" s="61"/>
      <c r="B112" s="100" t="str">
        <f t="shared" si="277"/>
        <v>C&amp;I_C&amp;I Prescriptive_0_Integral Occupancy Control Stairwell fixtures (20W-30W LED)_2017</v>
      </c>
      <c r="C112" s="100">
        <f>INDEX('Measure Inputs'!$D:$D,MATCH($B112,'Measure Inputs'!$B:$B,0))</f>
        <v>64</v>
      </c>
      <c r="D112" s="101" t="s">
        <v>256</v>
      </c>
      <c r="E112" s="101" t="s">
        <v>255</v>
      </c>
      <c r="F112" s="101">
        <v>0</v>
      </c>
      <c r="G112" s="101" t="s">
        <v>365</v>
      </c>
      <c r="H112" s="101">
        <v>2017</v>
      </c>
      <c r="I112" s="55"/>
      <c r="J112" s="58">
        <f t="shared" ca="1" si="229"/>
        <v>0.84988420691027522</v>
      </c>
      <c r="K112" s="58">
        <f t="shared" ca="1" si="246"/>
        <v>4.5695440858209126</v>
      </c>
      <c r="L112" s="58">
        <f t="shared" ca="1" si="230"/>
        <v>0.18598884066955981</v>
      </c>
      <c r="M112" s="58">
        <f t="shared" ca="1" si="231"/>
        <v>1.1509032566999025</v>
      </c>
      <c r="N112" s="58">
        <f t="shared" ca="1" si="232"/>
        <v>4.5695440858209126</v>
      </c>
      <c r="O112" s="55"/>
      <c r="P112" s="175">
        <f ca="1">IFERROR(($AW112+AV112)/SUMPRODUCT($CA112:$DI112,'General Inputs'!$F$51:$AN$51),"n/a")</f>
        <v>7.3910281697775948E-3</v>
      </c>
      <c r="Q112" s="175">
        <f t="shared" ca="1" si="309"/>
        <v>6.320270505555152E-2</v>
      </c>
      <c r="R112" s="56">
        <f t="shared" ca="1" si="310"/>
        <v>132.90570383999997</v>
      </c>
      <c r="S112" s="55"/>
      <c r="T112" s="56">
        <f ca="1">INDEX(OFFSET('Measure Inputs'!$L$7,,,InputRows),$C112)</f>
        <v>20</v>
      </c>
      <c r="U112" s="134">
        <f ca="1">INDEX(OFFSET('Measure Inputs'!$T$7,,,InputRows),$C112)</f>
        <v>1</v>
      </c>
      <c r="V112" s="134">
        <f ca="1">INDEX(OFFSET('Measure Inputs'!$U$7,,,InputRows),$C112)</f>
        <v>1</v>
      </c>
      <c r="W112" s="55"/>
      <c r="X112" s="96">
        <f ca="1">INDEX(OFFSET('Measure Inputs'!$V$7,,,InputRows),$C112)*$T112*$V112*$U112</f>
        <v>9493.2645599999996</v>
      </c>
      <c r="Y112" s="96">
        <f ca="1">INDEX(OFFSET('Measure Inputs'!$W$7,,,InputRows),$C112)*$T112*$V112*$U112</f>
        <v>1.0837060000000001</v>
      </c>
      <c r="Z112" s="96">
        <f ca="1">INDEX(OFFSET('Measure Inputs'!$X$7,,,InputRows),$C112)*$T112*$V112*$U112</f>
        <v>0</v>
      </c>
      <c r="AA112" s="55"/>
      <c r="AB112" s="96">
        <f ca="1">INDEX(OFFSET('Measure Inputs'!$Z$7,,,InputRows),$C112)*$T112*$V112*$U112</f>
        <v>0</v>
      </c>
      <c r="AC112" s="96">
        <f ca="1">INDEX(OFFSET('Measure Inputs'!$AA$7,,,InputRows),$C112)*$T112*$V112*$U112</f>
        <v>0</v>
      </c>
      <c r="AD112" s="96">
        <f ca="1">INDEX(OFFSET('Measure Inputs'!$AB$7,,,InputRows),$C112)*$T112*$V112*$U112</f>
        <v>0</v>
      </c>
      <c r="AE112" s="55"/>
      <c r="AF112" s="57">
        <f ca="1">INDEX(OFFSET('Measure Inputs'!$Q$7,,,InputRows),$C112)*$T112</f>
        <v>0</v>
      </c>
      <c r="AG112" s="57">
        <f ca="1">INDEX(OFFSET('Measure Inputs'!$P$7,,,InputRows),$C112)*$T112*$V112</f>
        <v>3226</v>
      </c>
      <c r="AH112" s="57">
        <f ca="1">INDEX(OFFSET('Measure Inputs'!$R$7,,,InputRows),$C112)*$T112*$V112</f>
        <v>0</v>
      </c>
      <c r="AI112" s="57">
        <f ca="1">INDEX(OFFSET('Measure Inputs'!$O$7,,,InputRows),$C112)*$T112</f>
        <v>600</v>
      </c>
      <c r="AJ112" s="57">
        <f ca="1">INDEX(OFFSET('Measure Inputs'!$S$7,,,InputRows),$C112)*$T112</f>
        <v>0</v>
      </c>
      <c r="AK112" s="63">
        <f ca="1">INDEX(OFFSET('Measure Inputs'!$M$7,,,InputRows),$C112)</f>
        <v>14</v>
      </c>
      <c r="AL112" s="88">
        <f ca="1">INDEX(OFFSET('Measure Inputs'!$N$7,,,InputRows),$C112)</f>
        <v>0</v>
      </c>
      <c r="AM112" s="57">
        <f ca="1">SUMIFS(OFFSET('Program Inputs'!$N$5,,,TotalPrograms),OFFSET('Program Inputs'!$B$5,,,TotalPrograms),SUBSTITUTE($B112,"All","*"))+AF112</f>
        <v>0</v>
      </c>
      <c r="AN112" s="57">
        <f t="shared" ca="1" si="311"/>
        <v>600</v>
      </c>
      <c r="AO112" s="55"/>
      <c r="AP112" s="59">
        <f t="shared" ca="1" si="312"/>
        <v>2741.7264514925478</v>
      </c>
      <c r="AQ112" s="59">
        <f t="shared" ca="1" si="313"/>
        <v>3226</v>
      </c>
      <c r="AR112" s="59">
        <f ca="1">SUMPRODUCT($CA112:$DI112,'General Inputs'!$F$32:$AN$32,'General Inputs'!$F$51:$AN$51)/(1-Loss_ElectricEnergy)</f>
        <v>2533.6884385628155</v>
      </c>
      <c r="AS112" s="59">
        <f ca="1">SUMPRODUCT($DK112:$ES112,'General Inputs'!$F$33:$AN$33,'General Inputs'!$F$51:$AN$51)/(1-Loss_ElectricDemand)</f>
        <v>208.03801292973228</v>
      </c>
      <c r="AT112" s="59">
        <f ca="1">SUMPRODUCT($EU112:$GC112,'General Inputs'!$F$34:$AN$34,'General Inputs'!$F$51:$AN$51)/(1-Loss_GasEnergy)</f>
        <v>0</v>
      </c>
      <c r="AU112" s="59">
        <f ca="1">INDEX('General Inputs'!$F$51:$AN$51,MATCH($H112,'General Inputs'!$F$50:$AN$50,0))*$AJ112</f>
        <v>0</v>
      </c>
      <c r="AV112" s="59">
        <f ca="1">INDEX('General Inputs'!$F$51:$AN$51,MATCH($H112,'General Inputs'!$F$50:$AN$50,0))*$AI112</f>
        <v>600</v>
      </c>
      <c r="AW112" s="59">
        <f ca="1">INDEX('General Inputs'!$F$51:$AN$51,MATCH($H112,'General Inputs'!$F$50:$AN$50,0))*$AM112</f>
        <v>0</v>
      </c>
      <c r="AX112" s="59">
        <f ca="1">SUM(INDEX('General Inputs'!$F$51:$AN$51,MATCH($H112,'General Inputs'!$F$50:$AN$50,0))*$AG112,INDEX('General Inputs'!$F$51:$AN$51,MATCH($H112+$AL112,'General Inputs'!$F$50:$AN$50,0))*-$AH112)</f>
        <v>3226</v>
      </c>
      <c r="AY112" s="55"/>
      <c r="AZ112" s="59">
        <f ca="1">SUMPRODUCT($CA112:$DI112,'General Inputs'!$F$32:$AN$32,'General Inputs'!$F$52:$AN$52)/(1-Loss_ElectricEnergy)</f>
        <v>2533.6884385628155</v>
      </c>
      <c r="BA112" s="59">
        <f ca="1">SUMPRODUCT($DK112:$ES112,'General Inputs'!$F$33:$AN$33,'General Inputs'!$F$52:$AN$52)/(1-Loss_ElectricDemand)</f>
        <v>208.03801292973228</v>
      </c>
      <c r="BB112" s="59">
        <f ca="1">SUMPRODUCT($EU112:$GC112,'General Inputs'!$F$34:$AN$34,'General Inputs'!$F$52:$AN$52)/(1-Loss_GasEnergy)</f>
        <v>0</v>
      </c>
      <c r="BC112" s="59">
        <f ca="1">INDEX('General Inputs'!$F$52:$AN$52,MATCH($H112,'General Inputs'!$F$50:$AN$50,0))*$AI112</f>
        <v>600</v>
      </c>
      <c r="BD112" s="59">
        <f ca="1">INDEX('General Inputs'!$F$52:$AN$52,MATCH($H112,'General Inputs'!$F$50:$AN$50,0))*$AM112</f>
        <v>0</v>
      </c>
      <c r="BE112" s="55"/>
      <c r="BF112" s="59">
        <f ca="1">SUMPRODUCT($CA112:$DI112,OFFSET('General Inputs'!$F$40:$AN$40,MATCH($D112&amp;" Electric ($/kWh)",'General Inputs'!$E$40:$E$46,0),),'General Inputs'!$F$54:$AN$54)</f>
        <v>0</v>
      </c>
      <c r="BG112" s="59">
        <f ca="1">SUMPRODUCT($EU112:$GC112,OFFSET('General Inputs'!$F$40:$AN$40,MATCH($D112&amp;" Natural Gas ($/therm)",'General Inputs'!$E$40:$E$46,0),),'General Inputs'!$F$54:$AN$54)</f>
        <v>0</v>
      </c>
      <c r="BH112" s="59">
        <f ca="1">INDEX('General Inputs'!$F$54:$AN$54,MATCH($H112,'General Inputs'!$F$50:$AN$50,0))*$AI112</f>
        <v>600</v>
      </c>
      <c r="BI112" s="59">
        <f ca="1">SUM(INDEX('General Inputs'!$F$54:$AN$54,MATCH($H112,'General Inputs'!$F$50:$AN$50,0))*$AG112,INDEX('General Inputs'!$F$51:$AN$51,MATCH($H112+$AL112,'General Inputs'!$F$50:$AN$50,0))*-$AH112)</f>
        <v>3226</v>
      </c>
      <c r="BJ112" s="55"/>
      <c r="BK112" s="59">
        <f ca="1">SUMPRODUCT($CA112:$DI112,'General Inputs'!$F$32:$AN$32,'General Inputs'!$F$53:$AN$53)/(1-Loss_ElectricEnergy)</f>
        <v>2533.6884385628155</v>
      </c>
      <c r="BL112" s="59">
        <f ca="1">SUMPRODUCT($DK112:$ES112,'General Inputs'!$F$33:$AN$33,'General Inputs'!$F$53:$AN$53)/(1-Loss_ElectricDemand)</f>
        <v>208.03801292973228</v>
      </c>
      <c r="BM112" s="59">
        <f ca="1">SUMPRODUCT($EU112:$GC112,'General Inputs'!$F$34:$AN$34,'General Inputs'!$F$53:$AN$53)/(1-Loss_GasEnergy)</f>
        <v>0</v>
      </c>
      <c r="BN112" s="59">
        <f ca="1">INDEX('General Inputs'!$F$53:$AN$53,MATCH($H112,'General Inputs'!$F$50:$AN$50,0))*$AJ112</f>
        <v>0</v>
      </c>
      <c r="BO112" s="59">
        <f ca="1">SUMPRODUCT($CA112:$DI112,'General Inputs'!$F$35:$AN$35,'General Inputs'!$F$53:$AN$53)/(1-Loss_ElectricEnergy)</f>
        <v>971.0874546213372</v>
      </c>
      <c r="BP112" s="59">
        <f ca="1">INDEX('General Inputs'!$F$51:$AN$51,MATCH($H112,'General Inputs'!$F$50:$AN$50,0))*$AM112</f>
        <v>0</v>
      </c>
      <c r="BQ112" s="59">
        <f ca="1">SUM(INDEX('General Inputs'!$F$53:$AN$53,MATCH($H112,'General Inputs'!$F$50:$AN$50,0))*$AG112,INDEX('General Inputs'!$F$53:$AN$53,MATCH($H112+$AL112,'General Inputs'!$F$50:$AN$50,0))*-$AH112)</f>
        <v>3226</v>
      </c>
      <c r="BR112" s="55"/>
      <c r="BS112" s="59">
        <f ca="1">SUMPRODUCT($CA112:$DI112,'General Inputs'!$F$32:$AN$32,'General Inputs'!$F$55:$AN$55)/(1-Loss_ElectricEnergy)</f>
        <v>2533.6884385628155</v>
      </c>
      <c r="BT112" s="59">
        <f ca="1">SUMPRODUCT($DK112:$ES112,'General Inputs'!$F$33:$AN$33,'General Inputs'!$F$55:$AN$55)/(1-Loss_ElectricDemand)</f>
        <v>208.03801292973228</v>
      </c>
      <c r="BU112" s="59">
        <f ca="1">SUMPRODUCT($EU112:$GC112,'General Inputs'!$F$34:$AN$34,'General Inputs'!$F$55:$AN$55)/(1-Loss_GasEnergy)</f>
        <v>0</v>
      </c>
      <c r="BV112" s="59">
        <f ca="1">SUMPRODUCT($CA112:$DI112,OFFSET('General Inputs'!$F$40:$AN$40,MATCH($D112&amp;" Electric ($/kWh)",'General Inputs'!$E$40:$E$46,0),),'General Inputs'!$F$55:$AN$55)</f>
        <v>0</v>
      </c>
      <c r="BW112" s="59">
        <f ca="1">SUMPRODUCT($EU112:$GC112,OFFSET('General Inputs'!$F$40:$AN$40,MATCH($D112&amp;" Natural Gas ($/therm)",'General Inputs'!$E$40:$E$46,0),),'General Inputs'!$F$55:$AN$55)</f>
        <v>0</v>
      </c>
      <c r="BX112" s="59">
        <f ca="1">INDEX('General Inputs'!$F$55:$AN$55,MATCH($H112,'General Inputs'!$F$50:$AN$50,0))*$AI112</f>
        <v>600</v>
      </c>
      <c r="BY112" s="59">
        <f ca="1">INDEX('General Inputs'!$F$51:$AN$51,MATCH($H112,'General Inputs'!$F$50:$AN$50,0))*$AM112</f>
        <v>0</v>
      </c>
      <c r="BZ112" s="55"/>
      <c r="CA112" s="88">
        <f t="shared" ca="1" si="314"/>
        <v>9493.2645599999996</v>
      </c>
      <c r="CB112" s="88">
        <f t="shared" ca="1" si="314"/>
        <v>9493.2645599999996</v>
      </c>
      <c r="CC112" s="88">
        <f t="shared" ca="1" si="314"/>
        <v>9493.2645599999996</v>
      </c>
      <c r="CD112" s="88">
        <f t="shared" ca="1" si="314"/>
        <v>9493.2645599999996</v>
      </c>
      <c r="CE112" s="88">
        <f t="shared" ca="1" si="314"/>
        <v>9493.2645599999996</v>
      </c>
      <c r="CF112" s="88">
        <f t="shared" ca="1" si="314"/>
        <v>9493.2645599999996</v>
      </c>
      <c r="CG112" s="88">
        <f t="shared" ca="1" si="314"/>
        <v>9493.2645599999996</v>
      </c>
      <c r="CH112" s="88">
        <f t="shared" ca="1" si="314"/>
        <v>9493.2645599999996</v>
      </c>
      <c r="CI112" s="88">
        <f t="shared" ca="1" si="314"/>
        <v>9493.2645599999996</v>
      </c>
      <c r="CJ112" s="88">
        <f t="shared" ca="1" si="314"/>
        <v>9493.2645599999996</v>
      </c>
      <c r="CK112" s="88">
        <f t="shared" ca="1" si="315"/>
        <v>9493.2645599999996</v>
      </c>
      <c r="CL112" s="88">
        <f t="shared" ca="1" si="315"/>
        <v>9493.2645599999996</v>
      </c>
      <c r="CM112" s="88">
        <f t="shared" ca="1" si="315"/>
        <v>9493.2645599999996</v>
      </c>
      <c r="CN112" s="88">
        <f t="shared" ca="1" si="315"/>
        <v>9493.2645599999996</v>
      </c>
      <c r="CO112" s="88">
        <f t="shared" ca="1" si="315"/>
        <v>0</v>
      </c>
      <c r="CP112" s="88">
        <f t="shared" ca="1" si="315"/>
        <v>0</v>
      </c>
      <c r="CQ112" s="88">
        <f t="shared" ca="1" si="315"/>
        <v>0</v>
      </c>
      <c r="CR112" s="88">
        <f t="shared" ca="1" si="315"/>
        <v>0</v>
      </c>
      <c r="CS112" s="88">
        <f t="shared" ca="1" si="315"/>
        <v>0</v>
      </c>
      <c r="CT112" s="88">
        <f t="shared" ca="1" si="315"/>
        <v>0</v>
      </c>
      <c r="CU112" s="88">
        <f t="shared" ca="1" si="316"/>
        <v>0</v>
      </c>
      <c r="CV112" s="88">
        <f t="shared" ca="1" si="316"/>
        <v>0</v>
      </c>
      <c r="CW112" s="88">
        <f t="shared" ca="1" si="316"/>
        <v>0</v>
      </c>
      <c r="CX112" s="88">
        <f t="shared" ca="1" si="316"/>
        <v>0</v>
      </c>
      <c r="CY112" s="88">
        <f t="shared" ca="1" si="316"/>
        <v>0</v>
      </c>
      <c r="CZ112" s="88">
        <f t="shared" ca="1" si="316"/>
        <v>0</v>
      </c>
      <c r="DA112" s="88">
        <f t="shared" ca="1" si="316"/>
        <v>0</v>
      </c>
      <c r="DB112" s="88">
        <f t="shared" ca="1" si="316"/>
        <v>0</v>
      </c>
      <c r="DC112" s="88">
        <f t="shared" ca="1" si="316"/>
        <v>0</v>
      </c>
      <c r="DD112" s="88">
        <f t="shared" ca="1" si="316"/>
        <v>0</v>
      </c>
      <c r="DE112" s="88">
        <f t="shared" ca="1" si="316"/>
        <v>0</v>
      </c>
      <c r="DF112" s="88">
        <f t="shared" ca="1" si="316"/>
        <v>0</v>
      </c>
      <c r="DG112" s="88">
        <f t="shared" ca="1" si="316"/>
        <v>0</v>
      </c>
      <c r="DH112" s="88">
        <f t="shared" ca="1" si="316"/>
        <v>0</v>
      </c>
      <c r="DI112" s="88">
        <f t="shared" ca="1" si="316"/>
        <v>0</v>
      </c>
      <c r="DJ112" s="169"/>
      <c r="DK112" s="88">
        <f t="shared" ca="1" si="317"/>
        <v>1.0837060000000001</v>
      </c>
      <c r="DL112" s="88">
        <f t="shared" ca="1" si="317"/>
        <v>1.0837060000000001</v>
      </c>
      <c r="DM112" s="88">
        <f t="shared" ca="1" si="317"/>
        <v>1.0837060000000001</v>
      </c>
      <c r="DN112" s="88">
        <f t="shared" ca="1" si="317"/>
        <v>1.0837060000000001</v>
      </c>
      <c r="DO112" s="88">
        <f t="shared" ca="1" si="317"/>
        <v>1.0837060000000001</v>
      </c>
      <c r="DP112" s="88">
        <f t="shared" ca="1" si="317"/>
        <v>1.0837060000000001</v>
      </c>
      <c r="DQ112" s="88">
        <f t="shared" ca="1" si="317"/>
        <v>1.0837060000000001</v>
      </c>
      <c r="DR112" s="88">
        <f t="shared" ca="1" si="317"/>
        <v>1.0837060000000001</v>
      </c>
      <c r="DS112" s="88">
        <f t="shared" ca="1" si="317"/>
        <v>1.0837060000000001</v>
      </c>
      <c r="DT112" s="88">
        <f t="shared" ca="1" si="317"/>
        <v>1.0837060000000001</v>
      </c>
      <c r="DU112" s="88">
        <f t="shared" ca="1" si="318"/>
        <v>1.0837060000000001</v>
      </c>
      <c r="DV112" s="88">
        <f t="shared" ca="1" si="318"/>
        <v>1.0837060000000001</v>
      </c>
      <c r="DW112" s="88">
        <f t="shared" ca="1" si="318"/>
        <v>1.0837060000000001</v>
      </c>
      <c r="DX112" s="88">
        <f t="shared" ca="1" si="318"/>
        <v>1.0837060000000001</v>
      </c>
      <c r="DY112" s="88">
        <f t="shared" ca="1" si="318"/>
        <v>0</v>
      </c>
      <c r="DZ112" s="88">
        <f t="shared" ca="1" si="318"/>
        <v>0</v>
      </c>
      <c r="EA112" s="88">
        <f t="shared" ca="1" si="318"/>
        <v>0</v>
      </c>
      <c r="EB112" s="88">
        <f t="shared" ca="1" si="318"/>
        <v>0</v>
      </c>
      <c r="EC112" s="88">
        <f t="shared" ca="1" si="318"/>
        <v>0</v>
      </c>
      <c r="ED112" s="88">
        <f t="shared" ca="1" si="318"/>
        <v>0</v>
      </c>
      <c r="EE112" s="88">
        <f t="shared" ca="1" si="319"/>
        <v>0</v>
      </c>
      <c r="EF112" s="88">
        <f t="shared" ca="1" si="319"/>
        <v>0</v>
      </c>
      <c r="EG112" s="88">
        <f t="shared" ca="1" si="319"/>
        <v>0</v>
      </c>
      <c r="EH112" s="88">
        <f t="shared" ca="1" si="319"/>
        <v>0</v>
      </c>
      <c r="EI112" s="88">
        <f t="shared" ca="1" si="319"/>
        <v>0</v>
      </c>
      <c r="EJ112" s="88">
        <f t="shared" ca="1" si="319"/>
        <v>0</v>
      </c>
      <c r="EK112" s="88">
        <f t="shared" ca="1" si="319"/>
        <v>0</v>
      </c>
      <c r="EL112" s="88">
        <f t="shared" ca="1" si="319"/>
        <v>0</v>
      </c>
      <c r="EM112" s="88">
        <f t="shared" ca="1" si="319"/>
        <v>0</v>
      </c>
      <c r="EN112" s="88">
        <f t="shared" ca="1" si="319"/>
        <v>0</v>
      </c>
      <c r="EO112" s="88">
        <f t="shared" ca="1" si="319"/>
        <v>0</v>
      </c>
      <c r="EP112" s="88">
        <f t="shared" ca="1" si="319"/>
        <v>0</v>
      </c>
      <c r="EQ112" s="88">
        <f t="shared" ca="1" si="319"/>
        <v>0</v>
      </c>
      <c r="ER112" s="88">
        <f t="shared" ca="1" si="319"/>
        <v>0</v>
      </c>
      <c r="ES112" s="88">
        <f t="shared" ca="1" si="319"/>
        <v>0</v>
      </c>
      <c r="ET112" s="169"/>
      <c r="EU112" s="88">
        <f t="shared" ca="1" si="320"/>
        <v>0</v>
      </c>
      <c r="EV112" s="88">
        <f t="shared" ca="1" si="320"/>
        <v>0</v>
      </c>
      <c r="EW112" s="88">
        <f t="shared" ca="1" si="320"/>
        <v>0</v>
      </c>
      <c r="EX112" s="88">
        <f t="shared" ca="1" si="320"/>
        <v>0</v>
      </c>
      <c r="EY112" s="88">
        <f t="shared" ca="1" si="320"/>
        <v>0</v>
      </c>
      <c r="EZ112" s="88">
        <f t="shared" ca="1" si="320"/>
        <v>0</v>
      </c>
      <c r="FA112" s="88">
        <f t="shared" ca="1" si="320"/>
        <v>0</v>
      </c>
      <c r="FB112" s="88">
        <f t="shared" ca="1" si="320"/>
        <v>0</v>
      </c>
      <c r="FC112" s="88">
        <f t="shared" ca="1" si="320"/>
        <v>0</v>
      </c>
      <c r="FD112" s="88">
        <f t="shared" ca="1" si="320"/>
        <v>0</v>
      </c>
      <c r="FE112" s="88">
        <f t="shared" ca="1" si="321"/>
        <v>0</v>
      </c>
      <c r="FF112" s="88">
        <f t="shared" ca="1" si="321"/>
        <v>0</v>
      </c>
      <c r="FG112" s="88">
        <f t="shared" ca="1" si="321"/>
        <v>0</v>
      </c>
      <c r="FH112" s="88">
        <f t="shared" ca="1" si="321"/>
        <v>0</v>
      </c>
      <c r="FI112" s="88">
        <f t="shared" ca="1" si="321"/>
        <v>0</v>
      </c>
      <c r="FJ112" s="88">
        <f t="shared" ca="1" si="321"/>
        <v>0</v>
      </c>
      <c r="FK112" s="88">
        <f t="shared" ca="1" si="321"/>
        <v>0</v>
      </c>
      <c r="FL112" s="88">
        <f t="shared" ca="1" si="321"/>
        <v>0</v>
      </c>
      <c r="FM112" s="88">
        <f t="shared" ca="1" si="321"/>
        <v>0</v>
      </c>
      <c r="FN112" s="88">
        <f t="shared" ca="1" si="321"/>
        <v>0</v>
      </c>
      <c r="FO112" s="88">
        <f t="shared" ca="1" si="322"/>
        <v>0</v>
      </c>
      <c r="FP112" s="88">
        <f t="shared" ca="1" si="322"/>
        <v>0</v>
      </c>
      <c r="FQ112" s="88">
        <f t="shared" ca="1" si="322"/>
        <v>0</v>
      </c>
      <c r="FR112" s="88">
        <f t="shared" ca="1" si="322"/>
        <v>0</v>
      </c>
      <c r="FS112" s="88">
        <f t="shared" ca="1" si="322"/>
        <v>0</v>
      </c>
      <c r="FT112" s="88">
        <f t="shared" ca="1" si="322"/>
        <v>0</v>
      </c>
      <c r="FU112" s="88">
        <f t="shared" ca="1" si="322"/>
        <v>0</v>
      </c>
      <c r="FV112" s="88">
        <f t="shared" ca="1" si="322"/>
        <v>0</v>
      </c>
      <c r="FW112" s="88">
        <f t="shared" ca="1" si="322"/>
        <v>0</v>
      </c>
      <c r="FX112" s="88">
        <f t="shared" ca="1" si="322"/>
        <v>0</v>
      </c>
      <c r="FY112" s="88">
        <f t="shared" ca="1" si="322"/>
        <v>0</v>
      </c>
      <c r="FZ112" s="88">
        <f t="shared" ca="1" si="322"/>
        <v>0</v>
      </c>
      <c r="GA112" s="88">
        <f t="shared" ca="1" si="322"/>
        <v>0</v>
      </c>
      <c r="GB112" s="88">
        <f t="shared" ca="1" si="322"/>
        <v>0</v>
      </c>
      <c r="GC112" s="88">
        <f t="shared" ca="1" si="322"/>
        <v>0</v>
      </c>
      <c r="GD112" s="60"/>
    </row>
    <row r="113" spans="1:186" s="54" customFormat="1" ht="14.45" customHeight="1">
      <c r="A113" s="61"/>
      <c r="B113" s="100" t="str">
        <f t="shared" si="277"/>
        <v>C&amp;I_C&amp;I Prescriptive_0_LED Exterior Flood Lights (15W or less)_2017</v>
      </c>
      <c r="C113" s="100">
        <f>INDEX('Measure Inputs'!$D:$D,MATCH($B113,'Measure Inputs'!$B:$B,0))</f>
        <v>65</v>
      </c>
      <c r="D113" s="101" t="s">
        <v>256</v>
      </c>
      <c r="E113" s="101" t="s">
        <v>255</v>
      </c>
      <c r="F113" s="101">
        <v>0</v>
      </c>
      <c r="G113" s="101" t="s">
        <v>366</v>
      </c>
      <c r="H113" s="101">
        <v>2017</v>
      </c>
      <c r="I113" s="55"/>
      <c r="J113" s="58">
        <f t="shared" ca="1" si="229"/>
        <v>1.6913844645056917</v>
      </c>
      <c r="K113" s="58">
        <f t="shared" ca="1" si="246"/>
        <v>3.9465637505132807</v>
      </c>
      <c r="L113" s="58">
        <f t="shared" ca="1" si="230"/>
        <v>0.42857142857142855</v>
      </c>
      <c r="M113" s="58">
        <f t="shared" ca="1" si="231"/>
        <v>2.2492484378951332</v>
      </c>
      <c r="N113" s="58">
        <f t="shared" ca="1" si="232"/>
        <v>3.9465637505132807</v>
      </c>
      <c r="O113" s="55"/>
      <c r="P113" s="175">
        <f ca="1">IFERROR(($AW113+AV113)/SUMPRODUCT($CA113:$DI113,'General Inputs'!$F$51:$AN$51),"n/a")</f>
        <v>9.1898167126096015E-3</v>
      </c>
      <c r="Q113" s="175">
        <f t="shared" ca="1" si="309"/>
        <v>7.8584638274910024E-2</v>
      </c>
      <c r="R113" s="56">
        <f t="shared" ca="1" si="310"/>
        <v>320.67335999999995</v>
      </c>
      <c r="S113" s="55"/>
      <c r="T113" s="56">
        <f ca="1">INDEX(OFFSET('Measure Inputs'!$L$7,,,InputRows),$C113)</f>
        <v>120</v>
      </c>
      <c r="U113" s="134">
        <f ca="1">INDEX(OFFSET('Measure Inputs'!$T$7,,,InputRows),$C113)</f>
        <v>1</v>
      </c>
      <c r="V113" s="134">
        <f ca="1">INDEX(OFFSET('Measure Inputs'!$U$7,,,InputRows),$C113)</f>
        <v>1</v>
      </c>
      <c r="W113" s="55"/>
      <c r="X113" s="96">
        <f ca="1">INDEX(OFFSET('Measure Inputs'!$V$7,,,InputRows),$C113)*$T113*$V113*$U113</f>
        <v>22905.239999999998</v>
      </c>
      <c r="Y113" s="96">
        <f ca="1">INDEX(OFFSET('Measure Inputs'!$W$7,,,InputRows),$C113)*$T113*$V113*$U113</f>
        <v>5.1599999999999993</v>
      </c>
      <c r="Z113" s="96">
        <f ca="1">INDEX(OFFSET('Measure Inputs'!$X$7,,,InputRows),$C113)*$T113*$V113*$U113</f>
        <v>0</v>
      </c>
      <c r="AA113" s="55"/>
      <c r="AB113" s="96">
        <f ca="1">INDEX(OFFSET('Measure Inputs'!$Z$7,,,InputRows),$C113)*$T113*$V113*$U113</f>
        <v>0</v>
      </c>
      <c r="AC113" s="96">
        <f ca="1">INDEX(OFFSET('Measure Inputs'!$AA$7,,,InputRows),$C113)*$T113*$V113*$U113</f>
        <v>0</v>
      </c>
      <c r="AD113" s="96">
        <f ca="1">INDEX(OFFSET('Measure Inputs'!$AB$7,,,InputRows),$C113)*$T113*$V113*$U113</f>
        <v>0</v>
      </c>
      <c r="AE113" s="55"/>
      <c r="AF113" s="57">
        <f ca="1">INDEX(OFFSET('Measure Inputs'!$Q$7,,,InputRows),$C113)*$T113</f>
        <v>0</v>
      </c>
      <c r="AG113" s="57">
        <f ca="1">INDEX(OFFSET('Measure Inputs'!$P$7,,,InputRows),$C113)*$T113*$V113</f>
        <v>4200</v>
      </c>
      <c r="AH113" s="57">
        <f ca="1">INDEX(OFFSET('Measure Inputs'!$R$7,,,InputRows),$C113)*$T113*$V113</f>
        <v>0</v>
      </c>
      <c r="AI113" s="57">
        <f ca="1">INDEX(OFFSET('Measure Inputs'!$O$7,,,InputRows),$C113)*$T113</f>
        <v>1800</v>
      </c>
      <c r="AJ113" s="57">
        <f ca="1">INDEX(OFFSET('Measure Inputs'!$S$7,,,InputRows),$C113)*$T113</f>
        <v>0</v>
      </c>
      <c r="AK113" s="63">
        <f ca="1">INDEX(OFFSET('Measure Inputs'!$M$7,,,InputRows),$C113)</f>
        <v>14</v>
      </c>
      <c r="AL113" s="88">
        <f ca="1">INDEX(OFFSET('Measure Inputs'!$N$7,,,InputRows),$C113)</f>
        <v>0</v>
      </c>
      <c r="AM113" s="57">
        <f ca="1">SUMIFS(OFFSET('Program Inputs'!$N$5,,,TotalPrograms),OFFSET('Program Inputs'!$B$5,,,TotalPrograms),SUBSTITUTE($B113,"All","*"))+AF113</f>
        <v>0</v>
      </c>
      <c r="AN113" s="57">
        <f t="shared" ca="1" si="311"/>
        <v>1800</v>
      </c>
      <c r="AO113" s="55"/>
      <c r="AP113" s="59">
        <f t="shared" ca="1" si="312"/>
        <v>7103.8147509239052</v>
      </c>
      <c r="AQ113" s="59">
        <f t="shared" ca="1" si="313"/>
        <v>4200</v>
      </c>
      <c r="AR113" s="59">
        <f ca="1">SUMPRODUCT($CA113:$DI113,'General Inputs'!$F$32:$AN$32,'General Inputs'!$F$51:$AN$51)/(1-Loss_ElectricEnergy)</f>
        <v>6113.2544451607018</v>
      </c>
      <c r="AS113" s="59">
        <f ca="1">SUMPRODUCT($DK113:$ES113,'General Inputs'!$F$33:$AN$33,'General Inputs'!$F$51:$AN$51)/(1-Loss_ElectricDemand)</f>
        <v>990.5603057632037</v>
      </c>
      <c r="AT113" s="59">
        <f ca="1">SUMPRODUCT($EU113:$GC113,'General Inputs'!$F$34:$AN$34,'General Inputs'!$F$51:$AN$51)/(1-Loss_GasEnergy)</f>
        <v>0</v>
      </c>
      <c r="AU113" s="59">
        <f ca="1">INDEX('General Inputs'!$F$51:$AN$51,MATCH($H113,'General Inputs'!$F$50:$AN$50,0))*$AJ113</f>
        <v>0</v>
      </c>
      <c r="AV113" s="59">
        <f ca="1">INDEX('General Inputs'!$F$51:$AN$51,MATCH($H113,'General Inputs'!$F$50:$AN$50,0))*$AI113</f>
        <v>1800</v>
      </c>
      <c r="AW113" s="59">
        <f ca="1">INDEX('General Inputs'!$F$51:$AN$51,MATCH($H113,'General Inputs'!$F$50:$AN$50,0))*$AM113</f>
        <v>0</v>
      </c>
      <c r="AX113" s="59">
        <f ca="1">SUM(INDEX('General Inputs'!$F$51:$AN$51,MATCH($H113,'General Inputs'!$F$50:$AN$50,0))*$AG113,INDEX('General Inputs'!$F$51:$AN$51,MATCH($H113+$AL113,'General Inputs'!$F$50:$AN$50,0))*-$AH113)</f>
        <v>4200</v>
      </c>
      <c r="AY113" s="55"/>
      <c r="AZ113" s="59">
        <f ca="1">SUMPRODUCT($CA113:$DI113,'General Inputs'!$F$32:$AN$32,'General Inputs'!$F$52:$AN$52)/(1-Loss_ElectricEnergy)</f>
        <v>6113.2544451607018</v>
      </c>
      <c r="BA113" s="59">
        <f ca="1">SUMPRODUCT($DK113:$ES113,'General Inputs'!$F$33:$AN$33,'General Inputs'!$F$52:$AN$52)/(1-Loss_ElectricDemand)</f>
        <v>990.5603057632037</v>
      </c>
      <c r="BB113" s="59">
        <f ca="1">SUMPRODUCT($EU113:$GC113,'General Inputs'!$F$34:$AN$34,'General Inputs'!$F$52:$AN$52)/(1-Loss_GasEnergy)</f>
        <v>0</v>
      </c>
      <c r="BC113" s="59">
        <f ca="1">INDEX('General Inputs'!$F$52:$AN$52,MATCH($H113,'General Inputs'!$F$50:$AN$50,0))*$AI113</f>
        <v>1800</v>
      </c>
      <c r="BD113" s="59">
        <f ca="1">INDEX('General Inputs'!$F$52:$AN$52,MATCH($H113,'General Inputs'!$F$50:$AN$50,0))*$AM113</f>
        <v>0</v>
      </c>
      <c r="BE113" s="55"/>
      <c r="BF113" s="59">
        <f ca="1">SUMPRODUCT($CA113:$DI113,OFFSET('General Inputs'!$F$40:$AN$40,MATCH($D113&amp;" Electric ($/kWh)",'General Inputs'!$E$40:$E$46,0),),'General Inputs'!$F$54:$AN$54)</f>
        <v>0</v>
      </c>
      <c r="BG113" s="59">
        <f ca="1">SUMPRODUCT($EU113:$GC113,OFFSET('General Inputs'!$F$40:$AN$40,MATCH($D113&amp;" Natural Gas ($/therm)",'General Inputs'!$E$40:$E$46,0),),'General Inputs'!$F$54:$AN$54)</f>
        <v>0</v>
      </c>
      <c r="BH113" s="59">
        <f ca="1">INDEX('General Inputs'!$F$54:$AN$54,MATCH($H113,'General Inputs'!$F$50:$AN$50,0))*$AI113</f>
        <v>1800</v>
      </c>
      <c r="BI113" s="59">
        <f ca="1">SUM(INDEX('General Inputs'!$F$54:$AN$54,MATCH($H113,'General Inputs'!$F$50:$AN$50,0))*$AG113,INDEX('General Inputs'!$F$51:$AN$51,MATCH($H113+$AL113,'General Inputs'!$F$50:$AN$50,0))*-$AH113)</f>
        <v>4200</v>
      </c>
      <c r="BJ113" s="55"/>
      <c r="BK113" s="59">
        <f ca="1">SUMPRODUCT($CA113:$DI113,'General Inputs'!$F$32:$AN$32,'General Inputs'!$F$53:$AN$53)/(1-Loss_ElectricEnergy)</f>
        <v>6113.2544451607018</v>
      </c>
      <c r="BL113" s="59">
        <f ca="1">SUMPRODUCT($DK113:$ES113,'General Inputs'!$F$33:$AN$33,'General Inputs'!$F$53:$AN$53)/(1-Loss_ElectricDemand)</f>
        <v>990.5603057632037</v>
      </c>
      <c r="BM113" s="59">
        <f ca="1">SUMPRODUCT($EU113:$GC113,'General Inputs'!$F$34:$AN$34,'General Inputs'!$F$53:$AN$53)/(1-Loss_GasEnergy)</f>
        <v>0</v>
      </c>
      <c r="BN113" s="59">
        <f ca="1">INDEX('General Inputs'!$F$53:$AN$53,MATCH($H113,'General Inputs'!$F$50:$AN$50,0))*$AJ113</f>
        <v>0</v>
      </c>
      <c r="BO113" s="59">
        <f ca="1">SUMPRODUCT($CA113:$DI113,'General Inputs'!$F$35:$AN$35,'General Inputs'!$F$53:$AN$53)/(1-Loss_ElectricEnergy)</f>
        <v>2343.0286882356554</v>
      </c>
      <c r="BP113" s="59">
        <f ca="1">INDEX('General Inputs'!$F$51:$AN$51,MATCH($H113,'General Inputs'!$F$50:$AN$50,0))*$AM113</f>
        <v>0</v>
      </c>
      <c r="BQ113" s="59">
        <f ca="1">SUM(INDEX('General Inputs'!$F$53:$AN$53,MATCH($H113,'General Inputs'!$F$50:$AN$50,0))*$AG113,INDEX('General Inputs'!$F$53:$AN$53,MATCH($H113+$AL113,'General Inputs'!$F$50:$AN$50,0))*-$AH113)</f>
        <v>4200</v>
      </c>
      <c r="BR113" s="55"/>
      <c r="BS113" s="59">
        <f ca="1">SUMPRODUCT($CA113:$DI113,'General Inputs'!$F$32:$AN$32,'General Inputs'!$F$55:$AN$55)/(1-Loss_ElectricEnergy)</f>
        <v>6113.2544451607018</v>
      </c>
      <c r="BT113" s="59">
        <f ca="1">SUMPRODUCT($DK113:$ES113,'General Inputs'!$F$33:$AN$33,'General Inputs'!$F$55:$AN$55)/(1-Loss_ElectricDemand)</f>
        <v>990.5603057632037</v>
      </c>
      <c r="BU113" s="59">
        <f ca="1">SUMPRODUCT($EU113:$GC113,'General Inputs'!$F$34:$AN$34,'General Inputs'!$F$55:$AN$55)/(1-Loss_GasEnergy)</f>
        <v>0</v>
      </c>
      <c r="BV113" s="59">
        <f ca="1">SUMPRODUCT($CA113:$DI113,OFFSET('General Inputs'!$F$40:$AN$40,MATCH($D113&amp;" Electric ($/kWh)",'General Inputs'!$E$40:$E$46,0),),'General Inputs'!$F$55:$AN$55)</f>
        <v>0</v>
      </c>
      <c r="BW113" s="59">
        <f ca="1">SUMPRODUCT($EU113:$GC113,OFFSET('General Inputs'!$F$40:$AN$40,MATCH($D113&amp;" Natural Gas ($/therm)",'General Inputs'!$E$40:$E$46,0),),'General Inputs'!$F$55:$AN$55)</f>
        <v>0</v>
      </c>
      <c r="BX113" s="59">
        <f ca="1">INDEX('General Inputs'!$F$55:$AN$55,MATCH($H113,'General Inputs'!$F$50:$AN$50,0))*$AI113</f>
        <v>1800</v>
      </c>
      <c r="BY113" s="59">
        <f ca="1">INDEX('General Inputs'!$F$51:$AN$51,MATCH($H113,'General Inputs'!$F$50:$AN$50,0))*$AM113</f>
        <v>0</v>
      </c>
      <c r="BZ113" s="55"/>
      <c r="CA113" s="88">
        <f t="shared" ref="CA113:CJ122" ca="1" si="323">IF(AND($H113&lt;=CA$8,$H113+$AK113&gt;CA$8),IF(AND($H113+$AL113&lt;=CA$8,$AL113&gt;0),$AB113,$X113),0)</f>
        <v>22905.239999999998</v>
      </c>
      <c r="CB113" s="88">
        <f t="shared" ca="1" si="323"/>
        <v>22905.239999999998</v>
      </c>
      <c r="CC113" s="88">
        <f t="shared" ca="1" si="323"/>
        <v>22905.239999999998</v>
      </c>
      <c r="CD113" s="88">
        <f t="shared" ca="1" si="323"/>
        <v>22905.239999999998</v>
      </c>
      <c r="CE113" s="88">
        <f t="shared" ca="1" si="323"/>
        <v>22905.239999999998</v>
      </c>
      <c r="CF113" s="88">
        <f t="shared" ca="1" si="323"/>
        <v>22905.239999999998</v>
      </c>
      <c r="CG113" s="88">
        <f t="shared" ca="1" si="323"/>
        <v>22905.239999999998</v>
      </c>
      <c r="CH113" s="88">
        <f t="shared" ca="1" si="323"/>
        <v>22905.239999999998</v>
      </c>
      <c r="CI113" s="88">
        <f t="shared" ca="1" si="323"/>
        <v>22905.239999999998</v>
      </c>
      <c r="CJ113" s="88">
        <f t="shared" ca="1" si="323"/>
        <v>22905.239999999998</v>
      </c>
      <c r="CK113" s="88">
        <f t="shared" ref="CK113:CT122" ca="1" si="324">IF(AND($H113&lt;=CK$8,$H113+$AK113&gt;CK$8),IF(AND($H113+$AL113&lt;=CK$8,$AL113&gt;0),$AB113,$X113),0)</f>
        <v>22905.239999999998</v>
      </c>
      <c r="CL113" s="88">
        <f t="shared" ca="1" si="324"/>
        <v>22905.239999999998</v>
      </c>
      <c r="CM113" s="88">
        <f t="shared" ca="1" si="324"/>
        <v>22905.239999999998</v>
      </c>
      <c r="CN113" s="88">
        <f t="shared" ca="1" si="324"/>
        <v>22905.239999999998</v>
      </c>
      <c r="CO113" s="88">
        <f t="shared" ca="1" si="324"/>
        <v>0</v>
      </c>
      <c r="CP113" s="88">
        <f t="shared" ca="1" si="324"/>
        <v>0</v>
      </c>
      <c r="CQ113" s="88">
        <f t="shared" ca="1" si="324"/>
        <v>0</v>
      </c>
      <c r="CR113" s="88">
        <f t="shared" ca="1" si="324"/>
        <v>0</v>
      </c>
      <c r="CS113" s="88">
        <f t="shared" ca="1" si="324"/>
        <v>0</v>
      </c>
      <c r="CT113" s="88">
        <f t="shared" ca="1" si="324"/>
        <v>0</v>
      </c>
      <c r="CU113" s="88">
        <f t="shared" ref="CU113:DI122" ca="1" si="325">IF(AND($H113&lt;=CU$8,$H113+$AK113&gt;CU$8),IF(AND($H113+$AL113&lt;=CU$8,$AL113&gt;0),$AB113,$X113),0)</f>
        <v>0</v>
      </c>
      <c r="CV113" s="88">
        <f t="shared" ca="1" si="325"/>
        <v>0</v>
      </c>
      <c r="CW113" s="88">
        <f t="shared" ca="1" si="325"/>
        <v>0</v>
      </c>
      <c r="CX113" s="88">
        <f t="shared" ca="1" si="325"/>
        <v>0</v>
      </c>
      <c r="CY113" s="88">
        <f t="shared" ca="1" si="325"/>
        <v>0</v>
      </c>
      <c r="CZ113" s="88">
        <f t="shared" ca="1" si="325"/>
        <v>0</v>
      </c>
      <c r="DA113" s="88">
        <f t="shared" ca="1" si="325"/>
        <v>0</v>
      </c>
      <c r="DB113" s="88">
        <f t="shared" ca="1" si="325"/>
        <v>0</v>
      </c>
      <c r="DC113" s="88">
        <f t="shared" ca="1" si="325"/>
        <v>0</v>
      </c>
      <c r="DD113" s="88">
        <f t="shared" ca="1" si="325"/>
        <v>0</v>
      </c>
      <c r="DE113" s="88">
        <f t="shared" ca="1" si="325"/>
        <v>0</v>
      </c>
      <c r="DF113" s="88">
        <f t="shared" ca="1" si="325"/>
        <v>0</v>
      </c>
      <c r="DG113" s="88">
        <f t="shared" ca="1" si="325"/>
        <v>0</v>
      </c>
      <c r="DH113" s="88">
        <f t="shared" ca="1" si="325"/>
        <v>0</v>
      </c>
      <c r="DI113" s="88">
        <f t="shared" ca="1" si="325"/>
        <v>0</v>
      </c>
      <c r="DJ113" s="169"/>
      <c r="DK113" s="88">
        <f t="shared" ref="DK113:DT122" ca="1" si="326">IF(AND($H113&lt;=DK$8,$H113+$AK113&gt;DK$8),IF(AND($H113+$AL113&lt;=DK$8,$AL113&gt;0),$AC113,$Y113),0)</f>
        <v>5.1599999999999993</v>
      </c>
      <c r="DL113" s="88">
        <f t="shared" ca="1" si="326"/>
        <v>5.1599999999999993</v>
      </c>
      <c r="DM113" s="88">
        <f t="shared" ca="1" si="326"/>
        <v>5.1599999999999993</v>
      </c>
      <c r="DN113" s="88">
        <f t="shared" ca="1" si="326"/>
        <v>5.1599999999999993</v>
      </c>
      <c r="DO113" s="88">
        <f t="shared" ca="1" si="326"/>
        <v>5.1599999999999993</v>
      </c>
      <c r="DP113" s="88">
        <f t="shared" ca="1" si="326"/>
        <v>5.1599999999999993</v>
      </c>
      <c r="DQ113" s="88">
        <f t="shared" ca="1" si="326"/>
        <v>5.1599999999999993</v>
      </c>
      <c r="DR113" s="88">
        <f t="shared" ca="1" si="326"/>
        <v>5.1599999999999993</v>
      </c>
      <c r="DS113" s="88">
        <f t="shared" ca="1" si="326"/>
        <v>5.1599999999999993</v>
      </c>
      <c r="DT113" s="88">
        <f t="shared" ca="1" si="326"/>
        <v>5.1599999999999993</v>
      </c>
      <c r="DU113" s="88">
        <f t="shared" ref="DU113:ED122" ca="1" si="327">IF(AND($H113&lt;=DU$8,$H113+$AK113&gt;DU$8),IF(AND($H113+$AL113&lt;=DU$8,$AL113&gt;0),$AC113,$Y113),0)</f>
        <v>5.1599999999999993</v>
      </c>
      <c r="DV113" s="88">
        <f t="shared" ca="1" si="327"/>
        <v>5.1599999999999993</v>
      </c>
      <c r="DW113" s="88">
        <f t="shared" ca="1" si="327"/>
        <v>5.1599999999999993</v>
      </c>
      <c r="DX113" s="88">
        <f t="shared" ca="1" si="327"/>
        <v>5.1599999999999993</v>
      </c>
      <c r="DY113" s="88">
        <f t="shared" ca="1" si="327"/>
        <v>0</v>
      </c>
      <c r="DZ113" s="88">
        <f t="shared" ca="1" si="327"/>
        <v>0</v>
      </c>
      <c r="EA113" s="88">
        <f t="shared" ca="1" si="327"/>
        <v>0</v>
      </c>
      <c r="EB113" s="88">
        <f t="shared" ca="1" si="327"/>
        <v>0</v>
      </c>
      <c r="EC113" s="88">
        <f t="shared" ca="1" si="327"/>
        <v>0</v>
      </c>
      <c r="ED113" s="88">
        <f t="shared" ca="1" si="327"/>
        <v>0</v>
      </c>
      <c r="EE113" s="88">
        <f t="shared" ref="EE113:ES122" ca="1" si="328">IF(AND($H113&lt;=EE$8,$H113+$AK113&gt;EE$8),IF(AND($H113+$AL113&lt;=EE$8,$AL113&gt;0),$AC113,$Y113),0)</f>
        <v>0</v>
      </c>
      <c r="EF113" s="88">
        <f t="shared" ca="1" si="328"/>
        <v>0</v>
      </c>
      <c r="EG113" s="88">
        <f t="shared" ca="1" si="328"/>
        <v>0</v>
      </c>
      <c r="EH113" s="88">
        <f t="shared" ca="1" si="328"/>
        <v>0</v>
      </c>
      <c r="EI113" s="88">
        <f t="shared" ca="1" si="328"/>
        <v>0</v>
      </c>
      <c r="EJ113" s="88">
        <f t="shared" ca="1" si="328"/>
        <v>0</v>
      </c>
      <c r="EK113" s="88">
        <f t="shared" ca="1" si="328"/>
        <v>0</v>
      </c>
      <c r="EL113" s="88">
        <f t="shared" ca="1" si="328"/>
        <v>0</v>
      </c>
      <c r="EM113" s="88">
        <f t="shared" ca="1" si="328"/>
        <v>0</v>
      </c>
      <c r="EN113" s="88">
        <f t="shared" ca="1" si="328"/>
        <v>0</v>
      </c>
      <c r="EO113" s="88">
        <f t="shared" ca="1" si="328"/>
        <v>0</v>
      </c>
      <c r="EP113" s="88">
        <f t="shared" ca="1" si="328"/>
        <v>0</v>
      </c>
      <c r="EQ113" s="88">
        <f t="shared" ca="1" si="328"/>
        <v>0</v>
      </c>
      <c r="ER113" s="88">
        <f t="shared" ca="1" si="328"/>
        <v>0</v>
      </c>
      <c r="ES113" s="88">
        <f t="shared" ca="1" si="328"/>
        <v>0</v>
      </c>
      <c r="ET113" s="169"/>
      <c r="EU113" s="88">
        <f t="shared" ref="EU113:FD122" ca="1" si="329">IF(AND($H113&lt;=EU$8,$H113+$AK113&gt;EU$8),IF(AND($H113+$AL113&lt;=EU$8,$AL113&gt;0),$AD113,$Z113),0)</f>
        <v>0</v>
      </c>
      <c r="EV113" s="88">
        <f t="shared" ca="1" si="329"/>
        <v>0</v>
      </c>
      <c r="EW113" s="88">
        <f t="shared" ca="1" si="329"/>
        <v>0</v>
      </c>
      <c r="EX113" s="88">
        <f t="shared" ca="1" si="329"/>
        <v>0</v>
      </c>
      <c r="EY113" s="88">
        <f t="shared" ca="1" si="329"/>
        <v>0</v>
      </c>
      <c r="EZ113" s="88">
        <f t="shared" ca="1" si="329"/>
        <v>0</v>
      </c>
      <c r="FA113" s="88">
        <f t="shared" ca="1" si="329"/>
        <v>0</v>
      </c>
      <c r="FB113" s="88">
        <f t="shared" ca="1" si="329"/>
        <v>0</v>
      </c>
      <c r="FC113" s="88">
        <f t="shared" ca="1" si="329"/>
        <v>0</v>
      </c>
      <c r="FD113" s="88">
        <f t="shared" ca="1" si="329"/>
        <v>0</v>
      </c>
      <c r="FE113" s="88">
        <f t="shared" ref="FE113:FN122" ca="1" si="330">IF(AND($H113&lt;=FE$8,$H113+$AK113&gt;FE$8),IF(AND($H113+$AL113&lt;=FE$8,$AL113&gt;0),$AD113,$Z113),0)</f>
        <v>0</v>
      </c>
      <c r="FF113" s="88">
        <f t="shared" ca="1" si="330"/>
        <v>0</v>
      </c>
      <c r="FG113" s="88">
        <f t="shared" ca="1" si="330"/>
        <v>0</v>
      </c>
      <c r="FH113" s="88">
        <f t="shared" ca="1" si="330"/>
        <v>0</v>
      </c>
      <c r="FI113" s="88">
        <f t="shared" ca="1" si="330"/>
        <v>0</v>
      </c>
      <c r="FJ113" s="88">
        <f t="shared" ca="1" si="330"/>
        <v>0</v>
      </c>
      <c r="FK113" s="88">
        <f t="shared" ca="1" si="330"/>
        <v>0</v>
      </c>
      <c r="FL113" s="88">
        <f t="shared" ca="1" si="330"/>
        <v>0</v>
      </c>
      <c r="FM113" s="88">
        <f t="shared" ca="1" si="330"/>
        <v>0</v>
      </c>
      <c r="FN113" s="88">
        <f t="shared" ca="1" si="330"/>
        <v>0</v>
      </c>
      <c r="FO113" s="88">
        <f t="shared" ref="FO113:GC122" ca="1" si="331">IF(AND($H113&lt;=FO$8,$H113+$AK113&gt;FO$8),IF(AND($H113+$AL113&lt;=FO$8,$AL113&gt;0),$AD113,$Z113),0)</f>
        <v>0</v>
      </c>
      <c r="FP113" s="88">
        <f t="shared" ca="1" si="331"/>
        <v>0</v>
      </c>
      <c r="FQ113" s="88">
        <f t="shared" ca="1" si="331"/>
        <v>0</v>
      </c>
      <c r="FR113" s="88">
        <f t="shared" ca="1" si="331"/>
        <v>0</v>
      </c>
      <c r="FS113" s="88">
        <f t="shared" ca="1" si="331"/>
        <v>0</v>
      </c>
      <c r="FT113" s="88">
        <f t="shared" ca="1" si="331"/>
        <v>0</v>
      </c>
      <c r="FU113" s="88">
        <f t="shared" ca="1" si="331"/>
        <v>0</v>
      </c>
      <c r="FV113" s="88">
        <f t="shared" ca="1" si="331"/>
        <v>0</v>
      </c>
      <c r="FW113" s="88">
        <f t="shared" ca="1" si="331"/>
        <v>0</v>
      </c>
      <c r="FX113" s="88">
        <f t="shared" ca="1" si="331"/>
        <v>0</v>
      </c>
      <c r="FY113" s="88">
        <f t="shared" ca="1" si="331"/>
        <v>0</v>
      </c>
      <c r="FZ113" s="88">
        <f t="shared" ca="1" si="331"/>
        <v>0</v>
      </c>
      <c r="GA113" s="88">
        <f t="shared" ca="1" si="331"/>
        <v>0</v>
      </c>
      <c r="GB113" s="88">
        <f t="shared" ca="1" si="331"/>
        <v>0</v>
      </c>
      <c r="GC113" s="88">
        <f t="shared" ca="1" si="331"/>
        <v>0</v>
      </c>
      <c r="GD113" s="60"/>
    </row>
    <row r="114" spans="1:186" s="54" customFormat="1" ht="14.45" customHeight="1">
      <c r="A114" s="61"/>
      <c r="B114" s="100" t="str">
        <f t="shared" si="277"/>
        <v>C&amp;I_C&amp;I Prescriptive_0_LED Exterior Flood Lights (16W to 35W)_2017</v>
      </c>
      <c r="C114" s="100">
        <f>INDEX('Measure Inputs'!$D:$D,MATCH($B114,'Measure Inputs'!$B:$B,0))</f>
        <v>66</v>
      </c>
      <c r="D114" s="101" t="s">
        <v>256</v>
      </c>
      <c r="E114" s="101" t="s">
        <v>255</v>
      </c>
      <c r="F114" s="101">
        <v>0</v>
      </c>
      <c r="G114" s="101" t="s">
        <v>367</v>
      </c>
      <c r="H114" s="101">
        <v>2017</v>
      </c>
      <c r="I114" s="55"/>
      <c r="J114" s="58">
        <f t="shared" ca="1" si="229"/>
        <v>2.2867357955279948</v>
      </c>
      <c r="K114" s="58">
        <f t="shared" ca="1" si="246"/>
        <v>5.396696477446068</v>
      </c>
      <c r="L114" s="58">
        <f t="shared" ca="1" si="230"/>
        <v>0.42372881355932202</v>
      </c>
      <c r="M114" s="58">
        <f t="shared" ca="1" si="231"/>
        <v>3.0409626101617295</v>
      </c>
      <c r="N114" s="58">
        <f t="shared" ca="1" si="232"/>
        <v>5.396696477446068</v>
      </c>
      <c r="O114" s="55"/>
      <c r="P114" s="175">
        <f ca="1">IFERROR(($AW114+AV114)/SUMPRODUCT($CA114:$DI114,'General Inputs'!$F$51:$AN$51),"n/a")</f>
        <v>6.7204441945954551E-3</v>
      </c>
      <c r="Q114" s="175">
        <f t="shared" ca="1" si="309"/>
        <v>5.746835792212808E-2</v>
      </c>
      <c r="R114" s="56">
        <f t="shared" ca="1" si="310"/>
        <v>730.83696000000009</v>
      </c>
      <c r="S114" s="55"/>
      <c r="T114" s="56">
        <f ca="1">INDEX(OFFSET('Measure Inputs'!$L$7,,,InputRows),$C114)</f>
        <v>120</v>
      </c>
      <c r="U114" s="134">
        <f ca="1">INDEX(OFFSET('Measure Inputs'!$T$7,,,InputRows),$C114)</f>
        <v>1</v>
      </c>
      <c r="V114" s="134">
        <f ca="1">INDEX(OFFSET('Measure Inputs'!$U$7,,,InputRows),$C114)</f>
        <v>1</v>
      </c>
      <c r="W114" s="55"/>
      <c r="X114" s="96">
        <f ca="1">INDEX(OFFSET('Measure Inputs'!$V$7,,,InputRows),$C114)*$T114*$V114*$U114</f>
        <v>52202.64</v>
      </c>
      <c r="Y114" s="96">
        <f ca="1">INDEX(OFFSET('Measure Inputs'!$W$7,,,InputRows),$C114)*$T114*$V114*$U114</f>
        <v>11.76</v>
      </c>
      <c r="Z114" s="96">
        <f ca="1">INDEX(OFFSET('Measure Inputs'!$X$7,,,InputRows),$C114)*$T114*$V114*$U114</f>
        <v>0</v>
      </c>
      <c r="AA114" s="55"/>
      <c r="AB114" s="96">
        <f ca="1">INDEX(OFFSET('Measure Inputs'!$Z$7,,,InputRows),$C114)*$T114*$V114*$U114</f>
        <v>0</v>
      </c>
      <c r="AC114" s="96">
        <f ca="1">INDEX(OFFSET('Measure Inputs'!$AA$7,,,InputRows),$C114)*$T114*$V114*$U114</f>
        <v>0</v>
      </c>
      <c r="AD114" s="96">
        <f ca="1">INDEX(OFFSET('Measure Inputs'!$AB$7,,,InputRows),$C114)*$T114*$V114*$U114</f>
        <v>0</v>
      </c>
      <c r="AE114" s="55"/>
      <c r="AF114" s="57">
        <f ca="1">INDEX(OFFSET('Measure Inputs'!$Q$7,,,InputRows),$C114)*$T114</f>
        <v>0</v>
      </c>
      <c r="AG114" s="57">
        <f ca="1">INDEX(OFFSET('Measure Inputs'!$P$7,,,InputRows),$C114)*$T114*$V114</f>
        <v>7080</v>
      </c>
      <c r="AH114" s="57">
        <f ca="1">INDEX(OFFSET('Measure Inputs'!$R$7,,,InputRows),$C114)*$T114*$V114</f>
        <v>0</v>
      </c>
      <c r="AI114" s="57">
        <f ca="1">INDEX(OFFSET('Measure Inputs'!$O$7,,,InputRows),$C114)*$T114</f>
        <v>3000</v>
      </c>
      <c r="AJ114" s="57">
        <f ca="1">INDEX(OFFSET('Measure Inputs'!$S$7,,,InputRows),$C114)*$T114</f>
        <v>0</v>
      </c>
      <c r="AK114" s="63">
        <f ca="1">INDEX(OFFSET('Measure Inputs'!$M$7,,,InputRows),$C114)</f>
        <v>14</v>
      </c>
      <c r="AL114" s="88">
        <f ca="1">INDEX(OFFSET('Measure Inputs'!$N$7,,,InputRows),$C114)</f>
        <v>0</v>
      </c>
      <c r="AM114" s="57">
        <f ca="1">SUMIFS(OFFSET('Program Inputs'!$N$5,,,TotalPrograms),OFFSET('Program Inputs'!$B$5,,,TotalPrograms),SUBSTITUTE($B114,"All","*"))+AF114</f>
        <v>0</v>
      </c>
      <c r="AN114" s="57">
        <f t="shared" ca="1" si="311"/>
        <v>3000</v>
      </c>
      <c r="AO114" s="55"/>
      <c r="AP114" s="59">
        <f t="shared" ca="1" si="312"/>
        <v>16190.089432338204</v>
      </c>
      <c r="AQ114" s="59">
        <f t="shared" ca="1" si="313"/>
        <v>7080</v>
      </c>
      <c r="AR114" s="59">
        <f ca="1">SUMPRODUCT($CA114:$DI114,'General Inputs'!$F$32:$AN$32,'General Inputs'!$F$51:$AN$51)/(1-Loss_ElectricEnergy)</f>
        <v>13932.53338664532</v>
      </c>
      <c r="AS114" s="59">
        <f ca="1">SUMPRODUCT($DK114:$ES114,'General Inputs'!$F$33:$AN$33,'General Inputs'!$F$51:$AN$51)/(1-Loss_ElectricDemand)</f>
        <v>2257.5560456928829</v>
      </c>
      <c r="AT114" s="59">
        <f ca="1">SUMPRODUCT($EU114:$GC114,'General Inputs'!$F$34:$AN$34,'General Inputs'!$F$51:$AN$51)/(1-Loss_GasEnergy)</f>
        <v>0</v>
      </c>
      <c r="AU114" s="59">
        <f ca="1">INDEX('General Inputs'!$F$51:$AN$51,MATCH($H114,'General Inputs'!$F$50:$AN$50,0))*$AJ114</f>
        <v>0</v>
      </c>
      <c r="AV114" s="59">
        <f ca="1">INDEX('General Inputs'!$F$51:$AN$51,MATCH($H114,'General Inputs'!$F$50:$AN$50,0))*$AI114</f>
        <v>3000</v>
      </c>
      <c r="AW114" s="59">
        <f ca="1">INDEX('General Inputs'!$F$51:$AN$51,MATCH($H114,'General Inputs'!$F$50:$AN$50,0))*$AM114</f>
        <v>0</v>
      </c>
      <c r="AX114" s="59">
        <f ca="1">SUM(INDEX('General Inputs'!$F$51:$AN$51,MATCH($H114,'General Inputs'!$F$50:$AN$50,0))*$AG114,INDEX('General Inputs'!$F$51:$AN$51,MATCH($H114+$AL114,'General Inputs'!$F$50:$AN$50,0))*-$AH114)</f>
        <v>7080</v>
      </c>
      <c r="AY114" s="55"/>
      <c r="AZ114" s="59">
        <f ca="1">SUMPRODUCT($CA114:$DI114,'General Inputs'!$F$32:$AN$32,'General Inputs'!$F$52:$AN$52)/(1-Loss_ElectricEnergy)</f>
        <v>13932.53338664532</v>
      </c>
      <c r="BA114" s="59">
        <f ca="1">SUMPRODUCT($DK114:$ES114,'General Inputs'!$F$33:$AN$33,'General Inputs'!$F$52:$AN$52)/(1-Loss_ElectricDemand)</f>
        <v>2257.5560456928829</v>
      </c>
      <c r="BB114" s="59">
        <f ca="1">SUMPRODUCT($EU114:$GC114,'General Inputs'!$F$34:$AN$34,'General Inputs'!$F$52:$AN$52)/(1-Loss_GasEnergy)</f>
        <v>0</v>
      </c>
      <c r="BC114" s="59">
        <f ca="1">INDEX('General Inputs'!$F$52:$AN$52,MATCH($H114,'General Inputs'!$F$50:$AN$50,0))*$AI114</f>
        <v>3000</v>
      </c>
      <c r="BD114" s="59">
        <f ca="1">INDEX('General Inputs'!$F$52:$AN$52,MATCH($H114,'General Inputs'!$F$50:$AN$50,0))*$AM114</f>
        <v>0</v>
      </c>
      <c r="BE114" s="55"/>
      <c r="BF114" s="59">
        <f ca="1">SUMPRODUCT($CA114:$DI114,OFFSET('General Inputs'!$F$40:$AN$40,MATCH($D114&amp;" Electric ($/kWh)",'General Inputs'!$E$40:$E$46,0),),'General Inputs'!$F$54:$AN$54)</f>
        <v>0</v>
      </c>
      <c r="BG114" s="59">
        <f ca="1">SUMPRODUCT($EU114:$GC114,OFFSET('General Inputs'!$F$40:$AN$40,MATCH($D114&amp;" Natural Gas ($/therm)",'General Inputs'!$E$40:$E$46,0),),'General Inputs'!$F$54:$AN$54)</f>
        <v>0</v>
      </c>
      <c r="BH114" s="59">
        <f ca="1">INDEX('General Inputs'!$F$54:$AN$54,MATCH($H114,'General Inputs'!$F$50:$AN$50,0))*$AI114</f>
        <v>3000</v>
      </c>
      <c r="BI114" s="59">
        <f ca="1">SUM(INDEX('General Inputs'!$F$54:$AN$54,MATCH($H114,'General Inputs'!$F$50:$AN$50,0))*$AG114,INDEX('General Inputs'!$F$51:$AN$51,MATCH($H114+$AL114,'General Inputs'!$F$50:$AN$50,0))*-$AH114)</f>
        <v>7080</v>
      </c>
      <c r="BJ114" s="55"/>
      <c r="BK114" s="59">
        <f ca="1">SUMPRODUCT($CA114:$DI114,'General Inputs'!$F$32:$AN$32,'General Inputs'!$F$53:$AN$53)/(1-Loss_ElectricEnergy)</f>
        <v>13932.53338664532</v>
      </c>
      <c r="BL114" s="59">
        <f ca="1">SUMPRODUCT($DK114:$ES114,'General Inputs'!$F$33:$AN$33,'General Inputs'!$F$53:$AN$53)/(1-Loss_ElectricDemand)</f>
        <v>2257.5560456928829</v>
      </c>
      <c r="BM114" s="59">
        <f ca="1">SUMPRODUCT($EU114:$GC114,'General Inputs'!$F$34:$AN$34,'General Inputs'!$F$53:$AN$53)/(1-Loss_GasEnergy)</f>
        <v>0</v>
      </c>
      <c r="BN114" s="59">
        <f ca="1">INDEX('General Inputs'!$F$53:$AN$53,MATCH($H114,'General Inputs'!$F$50:$AN$50,0))*$AJ114</f>
        <v>0</v>
      </c>
      <c r="BO114" s="59">
        <f ca="1">SUMPRODUCT($CA114:$DI114,'General Inputs'!$F$35:$AN$35,'General Inputs'!$F$53:$AN$53)/(1-Loss_ElectricEnergy)</f>
        <v>5339.9258476068426</v>
      </c>
      <c r="BP114" s="59">
        <f ca="1">INDEX('General Inputs'!$F$51:$AN$51,MATCH($H114,'General Inputs'!$F$50:$AN$50,0))*$AM114</f>
        <v>0</v>
      </c>
      <c r="BQ114" s="59">
        <f ca="1">SUM(INDEX('General Inputs'!$F$53:$AN$53,MATCH($H114,'General Inputs'!$F$50:$AN$50,0))*$AG114,INDEX('General Inputs'!$F$53:$AN$53,MATCH($H114+$AL114,'General Inputs'!$F$50:$AN$50,0))*-$AH114)</f>
        <v>7080</v>
      </c>
      <c r="BR114" s="55"/>
      <c r="BS114" s="59">
        <f ca="1">SUMPRODUCT($CA114:$DI114,'General Inputs'!$F$32:$AN$32,'General Inputs'!$F$55:$AN$55)/(1-Loss_ElectricEnergy)</f>
        <v>13932.53338664532</v>
      </c>
      <c r="BT114" s="59">
        <f ca="1">SUMPRODUCT($DK114:$ES114,'General Inputs'!$F$33:$AN$33,'General Inputs'!$F$55:$AN$55)/(1-Loss_ElectricDemand)</f>
        <v>2257.5560456928829</v>
      </c>
      <c r="BU114" s="59">
        <f ca="1">SUMPRODUCT($EU114:$GC114,'General Inputs'!$F$34:$AN$34,'General Inputs'!$F$55:$AN$55)/(1-Loss_GasEnergy)</f>
        <v>0</v>
      </c>
      <c r="BV114" s="59">
        <f ca="1">SUMPRODUCT($CA114:$DI114,OFFSET('General Inputs'!$F$40:$AN$40,MATCH($D114&amp;" Electric ($/kWh)",'General Inputs'!$E$40:$E$46,0),),'General Inputs'!$F$55:$AN$55)</f>
        <v>0</v>
      </c>
      <c r="BW114" s="59">
        <f ca="1">SUMPRODUCT($EU114:$GC114,OFFSET('General Inputs'!$F$40:$AN$40,MATCH($D114&amp;" Natural Gas ($/therm)",'General Inputs'!$E$40:$E$46,0),),'General Inputs'!$F$55:$AN$55)</f>
        <v>0</v>
      </c>
      <c r="BX114" s="59">
        <f ca="1">INDEX('General Inputs'!$F$55:$AN$55,MATCH($H114,'General Inputs'!$F$50:$AN$50,0))*$AI114</f>
        <v>3000</v>
      </c>
      <c r="BY114" s="59">
        <f ca="1">INDEX('General Inputs'!$F$51:$AN$51,MATCH($H114,'General Inputs'!$F$50:$AN$50,0))*$AM114</f>
        <v>0</v>
      </c>
      <c r="BZ114" s="55"/>
      <c r="CA114" s="88">
        <f t="shared" ca="1" si="323"/>
        <v>52202.64</v>
      </c>
      <c r="CB114" s="88">
        <f t="shared" ca="1" si="323"/>
        <v>52202.64</v>
      </c>
      <c r="CC114" s="88">
        <f t="shared" ca="1" si="323"/>
        <v>52202.64</v>
      </c>
      <c r="CD114" s="88">
        <f t="shared" ca="1" si="323"/>
        <v>52202.64</v>
      </c>
      <c r="CE114" s="88">
        <f t="shared" ca="1" si="323"/>
        <v>52202.64</v>
      </c>
      <c r="CF114" s="88">
        <f t="shared" ca="1" si="323"/>
        <v>52202.64</v>
      </c>
      <c r="CG114" s="88">
        <f t="shared" ca="1" si="323"/>
        <v>52202.64</v>
      </c>
      <c r="CH114" s="88">
        <f t="shared" ca="1" si="323"/>
        <v>52202.64</v>
      </c>
      <c r="CI114" s="88">
        <f t="shared" ca="1" si="323"/>
        <v>52202.64</v>
      </c>
      <c r="CJ114" s="88">
        <f t="shared" ca="1" si="323"/>
        <v>52202.64</v>
      </c>
      <c r="CK114" s="88">
        <f t="shared" ca="1" si="324"/>
        <v>52202.64</v>
      </c>
      <c r="CL114" s="88">
        <f t="shared" ca="1" si="324"/>
        <v>52202.64</v>
      </c>
      <c r="CM114" s="88">
        <f t="shared" ca="1" si="324"/>
        <v>52202.64</v>
      </c>
      <c r="CN114" s="88">
        <f t="shared" ca="1" si="324"/>
        <v>52202.64</v>
      </c>
      <c r="CO114" s="88">
        <f t="shared" ca="1" si="324"/>
        <v>0</v>
      </c>
      <c r="CP114" s="88">
        <f t="shared" ca="1" si="324"/>
        <v>0</v>
      </c>
      <c r="CQ114" s="88">
        <f t="shared" ca="1" si="324"/>
        <v>0</v>
      </c>
      <c r="CR114" s="88">
        <f t="shared" ca="1" si="324"/>
        <v>0</v>
      </c>
      <c r="CS114" s="88">
        <f t="shared" ca="1" si="324"/>
        <v>0</v>
      </c>
      <c r="CT114" s="88">
        <f t="shared" ca="1" si="324"/>
        <v>0</v>
      </c>
      <c r="CU114" s="88">
        <f t="shared" ca="1" si="325"/>
        <v>0</v>
      </c>
      <c r="CV114" s="88">
        <f t="shared" ca="1" si="325"/>
        <v>0</v>
      </c>
      <c r="CW114" s="88">
        <f t="shared" ca="1" si="325"/>
        <v>0</v>
      </c>
      <c r="CX114" s="88">
        <f t="shared" ca="1" si="325"/>
        <v>0</v>
      </c>
      <c r="CY114" s="88">
        <f t="shared" ca="1" si="325"/>
        <v>0</v>
      </c>
      <c r="CZ114" s="88">
        <f t="shared" ca="1" si="325"/>
        <v>0</v>
      </c>
      <c r="DA114" s="88">
        <f t="shared" ca="1" si="325"/>
        <v>0</v>
      </c>
      <c r="DB114" s="88">
        <f t="shared" ca="1" si="325"/>
        <v>0</v>
      </c>
      <c r="DC114" s="88">
        <f t="shared" ca="1" si="325"/>
        <v>0</v>
      </c>
      <c r="DD114" s="88">
        <f t="shared" ca="1" si="325"/>
        <v>0</v>
      </c>
      <c r="DE114" s="88">
        <f t="shared" ca="1" si="325"/>
        <v>0</v>
      </c>
      <c r="DF114" s="88">
        <f t="shared" ca="1" si="325"/>
        <v>0</v>
      </c>
      <c r="DG114" s="88">
        <f t="shared" ca="1" si="325"/>
        <v>0</v>
      </c>
      <c r="DH114" s="88">
        <f t="shared" ca="1" si="325"/>
        <v>0</v>
      </c>
      <c r="DI114" s="88">
        <f t="shared" ca="1" si="325"/>
        <v>0</v>
      </c>
      <c r="DJ114" s="169"/>
      <c r="DK114" s="88">
        <f t="shared" ca="1" si="326"/>
        <v>11.76</v>
      </c>
      <c r="DL114" s="88">
        <f t="shared" ca="1" si="326"/>
        <v>11.76</v>
      </c>
      <c r="DM114" s="88">
        <f t="shared" ca="1" si="326"/>
        <v>11.76</v>
      </c>
      <c r="DN114" s="88">
        <f t="shared" ca="1" si="326"/>
        <v>11.76</v>
      </c>
      <c r="DO114" s="88">
        <f t="shared" ca="1" si="326"/>
        <v>11.76</v>
      </c>
      <c r="DP114" s="88">
        <f t="shared" ca="1" si="326"/>
        <v>11.76</v>
      </c>
      <c r="DQ114" s="88">
        <f t="shared" ca="1" si="326"/>
        <v>11.76</v>
      </c>
      <c r="DR114" s="88">
        <f t="shared" ca="1" si="326"/>
        <v>11.76</v>
      </c>
      <c r="DS114" s="88">
        <f t="shared" ca="1" si="326"/>
        <v>11.76</v>
      </c>
      <c r="DT114" s="88">
        <f t="shared" ca="1" si="326"/>
        <v>11.76</v>
      </c>
      <c r="DU114" s="88">
        <f t="shared" ca="1" si="327"/>
        <v>11.76</v>
      </c>
      <c r="DV114" s="88">
        <f t="shared" ca="1" si="327"/>
        <v>11.76</v>
      </c>
      <c r="DW114" s="88">
        <f t="shared" ca="1" si="327"/>
        <v>11.76</v>
      </c>
      <c r="DX114" s="88">
        <f t="shared" ca="1" si="327"/>
        <v>11.76</v>
      </c>
      <c r="DY114" s="88">
        <f t="shared" ca="1" si="327"/>
        <v>0</v>
      </c>
      <c r="DZ114" s="88">
        <f t="shared" ca="1" si="327"/>
        <v>0</v>
      </c>
      <c r="EA114" s="88">
        <f t="shared" ca="1" si="327"/>
        <v>0</v>
      </c>
      <c r="EB114" s="88">
        <f t="shared" ca="1" si="327"/>
        <v>0</v>
      </c>
      <c r="EC114" s="88">
        <f t="shared" ca="1" si="327"/>
        <v>0</v>
      </c>
      <c r="ED114" s="88">
        <f t="shared" ca="1" si="327"/>
        <v>0</v>
      </c>
      <c r="EE114" s="88">
        <f t="shared" ca="1" si="328"/>
        <v>0</v>
      </c>
      <c r="EF114" s="88">
        <f t="shared" ca="1" si="328"/>
        <v>0</v>
      </c>
      <c r="EG114" s="88">
        <f t="shared" ca="1" si="328"/>
        <v>0</v>
      </c>
      <c r="EH114" s="88">
        <f t="shared" ca="1" si="328"/>
        <v>0</v>
      </c>
      <c r="EI114" s="88">
        <f t="shared" ca="1" si="328"/>
        <v>0</v>
      </c>
      <c r="EJ114" s="88">
        <f t="shared" ca="1" si="328"/>
        <v>0</v>
      </c>
      <c r="EK114" s="88">
        <f t="shared" ca="1" si="328"/>
        <v>0</v>
      </c>
      <c r="EL114" s="88">
        <f t="shared" ca="1" si="328"/>
        <v>0</v>
      </c>
      <c r="EM114" s="88">
        <f t="shared" ca="1" si="328"/>
        <v>0</v>
      </c>
      <c r="EN114" s="88">
        <f t="shared" ca="1" si="328"/>
        <v>0</v>
      </c>
      <c r="EO114" s="88">
        <f t="shared" ca="1" si="328"/>
        <v>0</v>
      </c>
      <c r="EP114" s="88">
        <f t="shared" ca="1" si="328"/>
        <v>0</v>
      </c>
      <c r="EQ114" s="88">
        <f t="shared" ca="1" si="328"/>
        <v>0</v>
      </c>
      <c r="ER114" s="88">
        <f t="shared" ca="1" si="328"/>
        <v>0</v>
      </c>
      <c r="ES114" s="88">
        <f t="shared" ca="1" si="328"/>
        <v>0</v>
      </c>
      <c r="ET114" s="169"/>
      <c r="EU114" s="88">
        <f t="shared" ca="1" si="329"/>
        <v>0</v>
      </c>
      <c r="EV114" s="88">
        <f t="shared" ca="1" si="329"/>
        <v>0</v>
      </c>
      <c r="EW114" s="88">
        <f t="shared" ca="1" si="329"/>
        <v>0</v>
      </c>
      <c r="EX114" s="88">
        <f t="shared" ca="1" si="329"/>
        <v>0</v>
      </c>
      <c r="EY114" s="88">
        <f t="shared" ca="1" si="329"/>
        <v>0</v>
      </c>
      <c r="EZ114" s="88">
        <f t="shared" ca="1" si="329"/>
        <v>0</v>
      </c>
      <c r="FA114" s="88">
        <f t="shared" ca="1" si="329"/>
        <v>0</v>
      </c>
      <c r="FB114" s="88">
        <f t="shared" ca="1" si="329"/>
        <v>0</v>
      </c>
      <c r="FC114" s="88">
        <f t="shared" ca="1" si="329"/>
        <v>0</v>
      </c>
      <c r="FD114" s="88">
        <f t="shared" ca="1" si="329"/>
        <v>0</v>
      </c>
      <c r="FE114" s="88">
        <f t="shared" ca="1" si="330"/>
        <v>0</v>
      </c>
      <c r="FF114" s="88">
        <f t="shared" ca="1" si="330"/>
        <v>0</v>
      </c>
      <c r="FG114" s="88">
        <f t="shared" ca="1" si="330"/>
        <v>0</v>
      </c>
      <c r="FH114" s="88">
        <f t="shared" ca="1" si="330"/>
        <v>0</v>
      </c>
      <c r="FI114" s="88">
        <f t="shared" ca="1" si="330"/>
        <v>0</v>
      </c>
      <c r="FJ114" s="88">
        <f t="shared" ca="1" si="330"/>
        <v>0</v>
      </c>
      <c r="FK114" s="88">
        <f t="shared" ca="1" si="330"/>
        <v>0</v>
      </c>
      <c r="FL114" s="88">
        <f t="shared" ca="1" si="330"/>
        <v>0</v>
      </c>
      <c r="FM114" s="88">
        <f t="shared" ca="1" si="330"/>
        <v>0</v>
      </c>
      <c r="FN114" s="88">
        <f t="shared" ca="1" si="330"/>
        <v>0</v>
      </c>
      <c r="FO114" s="88">
        <f t="shared" ca="1" si="331"/>
        <v>0</v>
      </c>
      <c r="FP114" s="88">
        <f t="shared" ca="1" si="331"/>
        <v>0</v>
      </c>
      <c r="FQ114" s="88">
        <f t="shared" ca="1" si="331"/>
        <v>0</v>
      </c>
      <c r="FR114" s="88">
        <f t="shared" ca="1" si="331"/>
        <v>0</v>
      </c>
      <c r="FS114" s="88">
        <f t="shared" ca="1" si="331"/>
        <v>0</v>
      </c>
      <c r="FT114" s="88">
        <f t="shared" ca="1" si="331"/>
        <v>0</v>
      </c>
      <c r="FU114" s="88">
        <f t="shared" ca="1" si="331"/>
        <v>0</v>
      </c>
      <c r="FV114" s="88">
        <f t="shared" ca="1" si="331"/>
        <v>0</v>
      </c>
      <c r="FW114" s="88">
        <f t="shared" ca="1" si="331"/>
        <v>0</v>
      </c>
      <c r="FX114" s="88">
        <f t="shared" ca="1" si="331"/>
        <v>0</v>
      </c>
      <c r="FY114" s="88">
        <f t="shared" ca="1" si="331"/>
        <v>0</v>
      </c>
      <c r="FZ114" s="88">
        <f t="shared" ca="1" si="331"/>
        <v>0</v>
      </c>
      <c r="GA114" s="88">
        <f t="shared" ca="1" si="331"/>
        <v>0</v>
      </c>
      <c r="GB114" s="88">
        <f t="shared" ca="1" si="331"/>
        <v>0</v>
      </c>
      <c r="GC114" s="88">
        <f t="shared" ca="1" si="331"/>
        <v>0</v>
      </c>
      <c r="GD114" s="60"/>
    </row>
    <row r="115" spans="1:186" s="54" customFormat="1" ht="14.45" customHeight="1">
      <c r="A115" s="61"/>
      <c r="B115" s="100" t="str">
        <f t="shared" si="277"/>
        <v>C&amp;I_C&amp;I Prescriptive_0_LED Exterior Flood Lights (36W to 75W)_2017</v>
      </c>
      <c r="C115" s="100">
        <f>INDEX('Measure Inputs'!$D:$D,MATCH($B115,'Measure Inputs'!$B:$B,0))</f>
        <v>67</v>
      </c>
      <c r="D115" s="101" t="s">
        <v>256</v>
      </c>
      <c r="E115" s="101" t="s">
        <v>255</v>
      </c>
      <c r="F115" s="101">
        <v>0</v>
      </c>
      <c r="G115" s="101" t="s">
        <v>368</v>
      </c>
      <c r="H115" s="101">
        <v>2017</v>
      </c>
      <c r="I115" s="55"/>
      <c r="J115" s="58">
        <f t="shared" ca="1" si="229"/>
        <v>2.1055538477430642</v>
      </c>
      <c r="K115" s="58">
        <f t="shared" ca="1" si="246"/>
        <v>3.9771572679591212</v>
      </c>
      <c r="L115" s="58">
        <f t="shared" ca="1" si="230"/>
        <v>0.52941176470588236</v>
      </c>
      <c r="M115" s="58">
        <f t="shared" ca="1" si="231"/>
        <v>2.8000219951909329</v>
      </c>
      <c r="N115" s="58">
        <f t="shared" ca="1" si="232"/>
        <v>3.9771572679591212</v>
      </c>
      <c r="O115" s="55"/>
      <c r="P115" s="175">
        <f ca="1">IFERROR(($AW115+AV115)/SUMPRODUCT($CA115:$DI115,'General Inputs'!$F$51:$AN$51),"n/a")</f>
        <v>9.1191258148202951E-3</v>
      </c>
      <c r="Q115" s="175">
        <f t="shared" ca="1" si="309"/>
        <v>7.7980141057410704E-2</v>
      </c>
      <c r="R115" s="56">
        <f t="shared" ca="1" si="310"/>
        <v>969.47760000000017</v>
      </c>
      <c r="S115" s="55"/>
      <c r="T115" s="56">
        <f ca="1">INDEX(OFFSET('Measure Inputs'!$L$7,,,InputRows),$C115)</f>
        <v>120</v>
      </c>
      <c r="U115" s="134">
        <f ca="1">INDEX(OFFSET('Measure Inputs'!$T$7,,,InputRows),$C115)</f>
        <v>1</v>
      </c>
      <c r="V115" s="134">
        <f ca="1">INDEX(OFFSET('Measure Inputs'!$U$7,,,InputRows),$C115)</f>
        <v>1</v>
      </c>
      <c r="W115" s="55"/>
      <c r="X115" s="96">
        <f ca="1">INDEX(OFFSET('Measure Inputs'!$V$7,,,InputRows),$C115)*$T115*$V115*$U115</f>
        <v>69248.400000000009</v>
      </c>
      <c r="Y115" s="96">
        <f ca="1">INDEX(OFFSET('Measure Inputs'!$W$7,,,InputRows),$C115)*$T115*$V115*$U115</f>
        <v>15.600000000000001</v>
      </c>
      <c r="Z115" s="96">
        <f ca="1">INDEX(OFFSET('Measure Inputs'!$X$7,,,InputRows),$C115)*$T115*$V115*$U115</f>
        <v>0</v>
      </c>
      <c r="AA115" s="55"/>
      <c r="AB115" s="96">
        <f ca="1">INDEX(OFFSET('Measure Inputs'!$Z$7,,,InputRows),$C115)*$T115*$V115*$U115</f>
        <v>0</v>
      </c>
      <c r="AC115" s="96">
        <f ca="1">INDEX(OFFSET('Measure Inputs'!$AA$7,,,InputRows),$C115)*$T115*$V115*$U115</f>
        <v>0</v>
      </c>
      <c r="AD115" s="96">
        <f ca="1">INDEX(OFFSET('Measure Inputs'!$AB$7,,,InputRows),$C115)*$T115*$V115*$U115</f>
        <v>0</v>
      </c>
      <c r="AE115" s="55"/>
      <c r="AF115" s="57">
        <f ca="1">INDEX(OFFSET('Measure Inputs'!$Q$7,,,InputRows),$C115)*$T115</f>
        <v>0</v>
      </c>
      <c r="AG115" s="57">
        <f ca="1">INDEX(OFFSET('Measure Inputs'!$P$7,,,InputRows),$C115)*$T115*$V115</f>
        <v>10200</v>
      </c>
      <c r="AH115" s="57">
        <f ca="1">INDEX(OFFSET('Measure Inputs'!$R$7,,,InputRows),$C115)*$T115*$V115</f>
        <v>0</v>
      </c>
      <c r="AI115" s="57">
        <f ca="1">INDEX(OFFSET('Measure Inputs'!$O$7,,,InputRows),$C115)*$T115</f>
        <v>5400</v>
      </c>
      <c r="AJ115" s="57">
        <f ca="1">INDEX(OFFSET('Measure Inputs'!$S$7,,,InputRows),$C115)*$T115</f>
        <v>0</v>
      </c>
      <c r="AK115" s="63">
        <f ca="1">INDEX(OFFSET('Measure Inputs'!$M$7,,,InputRows),$C115)</f>
        <v>14</v>
      </c>
      <c r="AL115" s="88">
        <f ca="1">INDEX(OFFSET('Measure Inputs'!$N$7,,,InputRows),$C115)</f>
        <v>0</v>
      </c>
      <c r="AM115" s="57">
        <f ca="1">SUMIFS(OFFSET('Program Inputs'!$N$5,,,TotalPrograms),OFFSET('Program Inputs'!$B$5,,,TotalPrograms),SUBSTITUTE($B115,"All","*"))+AF115</f>
        <v>0</v>
      </c>
      <c r="AN115" s="57">
        <f t="shared" ca="1" si="311"/>
        <v>5400</v>
      </c>
      <c r="AO115" s="55"/>
      <c r="AP115" s="59">
        <f t="shared" ca="1" si="312"/>
        <v>21476.649246979254</v>
      </c>
      <c r="AQ115" s="59">
        <f t="shared" ca="1" si="313"/>
        <v>10200</v>
      </c>
      <c r="AR115" s="59">
        <f ca="1">SUMPRODUCT($CA115:$DI115,'General Inputs'!$F$32:$AN$32,'General Inputs'!$F$51:$AN$51)/(1-Loss_ElectricEnergy)</f>
        <v>18481.932043509103</v>
      </c>
      <c r="AS115" s="59">
        <f ca="1">SUMPRODUCT($DK115:$ES115,'General Inputs'!$F$33:$AN$33,'General Inputs'!$F$51:$AN$51)/(1-Loss_ElectricDemand)</f>
        <v>2994.7172034701521</v>
      </c>
      <c r="AT115" s="59">
        <f ca="1">SUMPRODUCT($EU115:$GC115,'General Inputs'!$F$34:$AN$34,'General Inputs'!$F$51:$AN$51)/(1-Loss_GasEnergy)</f>
        <v>0</v>
      </c>
      <c r="AU115" s="59">
        <f ca="1">INDEX('General Inputs'!$F$51:$AN$51,MATCH($H115,'General Inputs'!$F$50:$AN$50,0))*$AJ115</f>
        <v>0</v>
      </c>
      <c r="AV115" s="59">
        <f ca="1">INDEX('General Inputs'!$F$51:$AN$51,MATCH($H115,'General Inputs'!$F$50:$AN$50,0))*$AI115</f>
        <v>5400</v>
      </c>
      <c r="AW115" s="59">
        <f ca="1">INDEX('General Inputs'!$F$51:$AN$51,MATCH($H115,'General Inputs'!$F$50:$AN$50,0))*$AM115</f>
        <v>0</v>
      </c>
      <c r="AX115" s="59">
        <f ca="1">SUM(INDEX('General Inputs'!$F$51:$AN$51,MATCH($H115,'General Inputs'!$F$50:$AN$50,0))*$AG115,INDEX('General Inputs'!$F$51:$AN$51,MATCH($H115+$AL115,'General Inputs'!$F$50:$AN$50,0))*-$AH115)</f>
        <v>10200</v>
      </c>
      <c r="AY115" s="55"/>
      <c r="AZ115" s="59">
        <f ca="1">SUMPRODUCT($CA115:$DI115,'General Inputs'!$F$32:$AN$32,'General Inputs'!$F$52:$AN$52)/(1-Loss_ElectricEnergy)</f>
        <v>18481.932043509103</v>
      </c>
      <c r="BA115" s="59">
        <f ca="1">SUMPRODUCT($DK115:$ES115,'General Inputs'!$F$33:$AN$33,'General Inputs'!$F$52:$AN$52)/(1-Loss_ElectricDemand)</f>
        <v>2994.7172034701521</v>
      </c>
      <c r="BB115" s="59">
        <f ca="1">SUMPRODUCT($EU115:$GC115,'General Inputs'!$F$34:$AN$34,'General Inputs'!$F$52:$AN$52)/(1-Loss_GasEnergy)</f>
        <v>0</v>
      </c>
      <c r="BC115" s="59">
        <f ca="1">INDEX('General Inputs'!$F$52:$AN$52,MATCH($H115,'General Inputs'!$F$50:$AN$50,0))*$AI115</f>
        <v>5400</v>
      </c>
      <c r="BD115" s="59">
        <f ca="1">INDEX('General Inputs'!$F$52:$AN$52,MATCH($H115,'General Inputs'!$F$50:$AN$50,0))*$AM115</f>
        <v>0</v>
      </c>
      <c r="BE115" s="55"/>
      <c r="BF115" s="59">
        <f ca="1">SUMPRODUCT($CA115:$DI115,OFFSET('General Inputs'!$F$40:$AN$40,MATCH($D115&amp;" Electric ($/kWh)",'General Inputs'!$E$40:$E$46,0),),'General Inputs'!$F$54:$AN$54)</f>
        <v>0</v>
      </c>
      <c r="BG115" s="59">
        <f ca="1">SUMPRODUCT($EU115:$GC115,OFFSET('General Inputs'!$F$40:$AN$40,MATCH($D115&amp;" Natural Gas ($/therm)",'General Inputs'!$E$40:$E$46,0),),'General Inputs'!$F$54:$AN$54)</f>
        <v>0</v>
      </c>
      <c r="BH115" s="59">
        <f ca="1">INDEX('General Inputs'!$F$54:$AN$54,MATCH($H115,'General Inputs'!$F$50:$AN$50,0))*$AI115</f>
        <v>5400</v>
      </c>
      <c r="BI115" s="59">
        <f ca="1">SUM(INDEX('General Inputs'!$F$54:$AN$54,MATCH($H115,'General Inputs'!$F$50:$AN$50,0))*$AG115,INDEX('General Inputs'!$F$51:$AN$51,MATCH($H115+$AL115,'General Inputs'!$F$50:$AN$50,0))*-$AH115)</f>
        <v>10200</v>
      </c>
      <c r="BJ115" s="55"/>
      <c r="BK115" s="59">
        <f ca="1">SUMPRODUCT($CA115:$DI115,'General Inputs'!$F$32:$AN$32,'General Inputs'!$F$53:$AN$53)/(1-Loss_ElectricEnergy)</f>
        <v>18481.932043509103</v>
      </c>
      <c r="BL115" s="59">
        <f ca="1">SUMPRODUCT($DK115:$ES115,'General Inputs'!$F$33:$AN$33,'General Inputs'!$F$53:$AN$53)/(1-Loss_ElectricDemand)</f>
        <v>2994.7172034701521</v>
      </c>
      <c r="BM115" s="59">
        <f ca="1">SUMPRODUCT($EU115:$GC115,'General Inputs'!$F$34:$AN$34,'General Inputs'!$F$53:$AN$53)/(1-Loss_GasEnergy)</f>
        <v>0</v>
      </c>
      <c r="BN115" s="59">
        <f ca="1">INDEX('General Inputs'!$F$53:$AN$53,MATCH($H115,'General Inputs'!$F$50:$AN$50,0))*$AJ115</f>
        <v>0</v>
      </c>
      <c r="BO115" s="59">
        <f ca="1">SUMPRODUCT($CA115:$DI115,'General Inputs'!$F$35:$AN$35,'General Inputs'!$F$53:$AN$53)/(1-Loss_ElectricEnergy)</f>
        <v>7083.5751039682609</v>
      </c>
      <c r="BP115" s="59">
        <f ca="1">INDEX('General Inputs'!$F$51:$AN$51,MATCH($H115,'General Inputs'!$F$50:$AN$50,0))*$AM115</f>
        <v>0</v>
      </c>
      <c r="BQ115" s="59">
        <f ca="1">SUM(INDEX('General Inputs'!$F$53:$AN$53,MATCH($H115,'General Inputs'!$F$50:$AN$50,0))*$AG115,INDEX('General Inputs'!$F$53:$AN$53,MATCH($H115+$AL115,'General Inputs'!$F$50:$AN$50,0))*-$AH115)</f>
        <v>10200</v>
      </c>
      <c r="BR115" s="55"/>
      <c r="BS115" s="59">
        <f ca="1">SUMPRODUCT($CA115:$DI115,'General Inputs'!$F$32:$AN$32,'General Inputs'!$F$55:$AN$55)/(1-Loss_ElectricEnergy)</f>
        <v>18481.932043509103</v>
      </c>
      <c r="BT115" s="59">
        <f ca="1">SUMPRODUCT($DK115:$ES115,'General Inputs'!$F$33:$AN$33,'General Inputs'!$F$55:$AN$55)/(1-Loss_ElectricDemand)</f>
        <v>2994.7172034701521</v>
      </c>
      <c r="BU115" s="59">
        <f ca="1">SUMPRODUCT($EU115:$GC115,'General Inputs'!$F$34:$AN$34,'General Inputs'!$F$55:$AN$55)/(1-Loss_GasEnergy)</f>
        <v>0</v>
      </c>
      <c r="BV115" s="59">
        <f ca="1">SUMPRODUCT($CA115:$DI115,OFFSET('General Inputs'!$F$40:$AN$40,MATCH($D115&amp;" Electric ($/kWh)",'General Inputs'!$E$40:$E$46,0),),'General Inputs'!$F$55:$AN$55)</f>
        <v>0</v>
      </c>
      <c r="BW115" s="59">
        <f ca="1">SUMPRODUCT($EU115:$GC115,OFFSET('General Inputs'!$F$40:$AN$40,MATCH($D115&amp;" Natural Gas ($/therm)",'General Inputs'!$E$40:$E$46,0),),'General Inputs'!$F$55:$AN$55)</f>
        <v>0</v>
      </c>
      <c r="BX115" s="59">
        <f ca="1">INDEX('General Inputs'!$F$55:$AN$55,MATCH($H115,'General Inputs'!$F$50:$AN$50,0))*$AI115</f>
        <v>5400</v>
      </c>
      <c r="BY115" s="59">
        <f ca="1">INDEX('General Inputs'!$F$51:$AN$51,MATCH($H115,'General Inputs'!$F$50:$AN$50,0))*$AM115</f>
        <v>0</v>
      </c>
      <c r="BZ115" s="55"/>
      <c r="CA115" s="88">
        <f t="shared" ca="1" si="323"/>
        <v>69248.400000000009</v>
      </c>
      <c r="CB115" s="88">
        <f t="shared" ca="1" si="323"/>
        <v>69248.400000000009</v>
      </c>
      <c r="CC115" s="88">
        <f t="shared" ca="1" si="323"/>
        <v>69248.400000000009</v>
      </c>
      <c r="CD115" s="88">
        <f t="shared" ca="1" si="323"/>
        <v>69248.400000000009</v>
      </c>
      <c r="CE115" s="88">
        <f t="shared" ca="1" si="323"/>
        <v>69248.400000000009</v>
      </c>
      <c r="CF115" s="88">
        <f t="shared" ca="1" si="323"/>
        <v>69248.400000000009</v>
      </c>
      <c r="CG115" s="88">
        <f t="shared" ca="1" si="323"/>
        <v>69248.400000000009</v>
      </c>
      <c r="CH115" s="88">
        <f t="shared" ca="1" si="323"/>
        <v>69248.400000000009</v>
      </c>
      <c r="CI115" s="88">
        <f t="shared" ca="1" si="323"/>
        <v>69248.400000000009</v>
      </c>
      <c r="CJ115" s="88">
        <f t="shared" ca="1" si="323"/>
        <v>69248.400000000009</v>
      </c>
      <c r="CK115" s="88">
        <f t="shared" ca="1" si="324"/>
        <v>69248.400000000009</v>
      </c>
      <c r="CL115" s="88">
        <f t="shared" ca="1" si="324"/>
        <v>69248.400000000009</v>
      </c>
      <c r="CM115" s="88">
        <f t="shared" ca="1" si="324"/>
        <v>69248.400000000009</v>
      </c>
      <c r="CN115" s="88">
        <f t="shared" ca="1" si="324"/>
        <v>69248.400000000009</v>
      </c>
      <c r="CO115" s="88">
        <f t="shared" ca="1" si="324"/>
        <v>0</v>
      </c>
      <c r="CP115" s="88">
        <f t="shared" ca="1" si="324"/>
        <v>0</v>
      </c>
      <c r="CQ115" s="88">
        <f t="shared" ca="1" si="324"/>
        <v>0</v>
      </c>
      <c r="CR115" s="88">
        <f t="shared" ca="1" si="324"/>
        <v>0</v>
      </c>
      <c r="CS115" s="88">
        <f t="shared" ca="1" si="324"/>
        <v>0</v>
      </c>
      <c r="CT115" s="88">
        <f t="shared" ca="1" si="324"/>
        <v>0</v>
      </c>
      <c r="CU115" s="88">
        <f t="shared" ca="1" si="325"/>
        <v>0</v>
      </c>
      <c r="CV115" s="88">
        <f t="shared" ca="1" si="325"/>
        <v>0</v>
      </c>
      <c r="CW115" s="88">
        <f t="shared" ca="1" si="325"/>
        <v>0</v>
      </c>
      <c r="CX115" s="88">
        <f t="shared" ca="1" si="325"/>
        <v>0</v>
      </c>
      <c r="CY115" s="88">
        <f t="shared" ca="1" si="325"/>
        <v>0</v>
      </c>
      <c r="CZ115" s="88">
        <f t="shared" ca="1" si="325"/>
        <v>0</v>
      </c>
      <c r="DA115" s="88">
        <f t="shared" ca="1" si="325"/>
        <v>0</v>
      </c>
      <c r="DB115" s="88">
        <f t="shared" ca="1" si="325"/>
        <v>0</v>
      </c>
      <c r="DC115" s="88">
        <f t="shared" ca="1" si="325"/>
        <v>0</v>
      </c>
      <c r="DD115" s="88">
        <f t="shared" ca="1" si="325"/>
        <v>0</v>
      </c>
      <c r="DE115" s="88">
        <f t="shared" ca="1" si="325"/>
        <v>0</v>
      </c>
      <c r="DF115" s="88">
        <f t="shared" ca="1" si="325"/>
        <v>0</v>
      </c>
      <c r="DG115" s="88">
        <f t="shared" ca="1" si="325"/>
        <v>0</v>
      </c>
      <c r="DH115" s="88">
        <f t="shared" ca="1" si="325"/>
        <v>0</v>
      </c>
      <c r="DI115" s="88">
        <f t="shared" ca="1" si="325"/>
        <v>0</v>
      </c>
      <c r="DJ115" s="169"/>
      <c r="DK115" s="88">
        <f t="shared" ca="1" si="326"/>
        <v>15.600000000000001</v>
      </c>
      <c r="DL115" s="88">
        <f t="shared" ca="1" si="326"/>
        <v>15.600000000000001</v>
      </c>
      <c r="DM115" s="88">
        <f t="shared" ca="1" si="326"/>
        <v>15.600000000000001</v>
      </c>
      <c r="DN115" s="88">
        <f t="shared" ca="1" si="326"/>
        <v>15.600000000000001</v>
      </c>
      <c r="DO115" s="88">
        <f t="shared" ca="1" si="326"/>
        <v>15.600000000000001</v>
      </c>
      <c r="DP115" s="88">
        <f t="shared" ca="1" si="326"/>
        <v>15.600000000000001</v>
      </c>
      <c r="DQ115" s="88">
        <f t="shared" ca="1" si="326"/>
        <v>15.600000000000001</v>
      </c>
      <c r="DR115" s="88">
        <f t="shared" ca="1" si="326"/>
        <v>15.600000000000001</v>
      </c>
      <c r="DS115" s="88">
        <f t="shared" ca="1" si="326"/>
        <v>15.600000000000001</v>
      </c>
      <c r="DT115" s="88">
        <f t="shared" ca="1" si="326"/>
        <v>15.600000000000001</v>
      </c>
      <c r="DU115" s="88">
        <f t="shared" ca="1" si="327"/>
        <v>15.600000000000001</v>
      </c>
      <c r="DV115" s="88">
        <f t="shared" ca="1" si="327"/>
        <v>15.600000000000001</v>
      </c>
      <c r="DW115" s="88">
        <f t="shared" ca="1" si="327"/>
        <v>15.600000000000001</v>
      </c>
      <c r="DX115" s="88">
        <f t="shared" ca="1" si="327"/>
        <v>15.600000000000001</v>
      </c>
      <c r="DY115" s="88">
        <f t="shared" ca="1" si="327"/>
        <v>0</v>
      </c>
      <c r="DZ115" s="88">
        <f t="shared" ca="1" si="327"/>
        <v>0</v>
      </c>
      <c r="EA115" s="88">
        <f t="shared" ca="1" si="327"/>
        <v>0</v>
      </c>
      <c r="EB115" s="88">
        <f t="shared" ca="1" si="327"/>
        <v>0</v>
      </c>
      <c r="EC115" s="88">
        <f t="shared" ca="1" si="327"/>
        <v>0</v>
      </c>
      <c r="ED115" s="88">
        <f t="shared" ca="1" si="327"/>
        <v>0</v>
      </c>
      <c r="EE115" s="88">
        <f t="shared" ca="1" si="328"/>
        <v>0</v>
      </c>
      <c r="EF115" s="88">
        <f t="shared" ca="1" si="328"/>
        <v>0</v>
      </c>
      <c r="EG115" s="88">
        <f t="shared" ca="1" si="328"/>
        <v>0</v>
      </c>
      <c r="EH115" s="88">
        <f t="shared" ca="1" si="328"/>
        <v>0</v>
      </c>
      <c r="EI115" s="88">
        <f t="shared" ca="1" si="328"/>
        <v>0</v>
      </c>
      <c r="EJ115" s="88">
        <f t="shared" ca="1" si="328"/>
        <v>0</v>
      </c>
      <c r="EK115" s="88">
        <f t="shared" ca="1" si="328"/>
        <v>0</v>
      </c>
      <c r="EL115" s="88">
        <f t="shared" ca="1" si="328"/>
        <v>0</v>
      </c>
      <c r="EM115" s="88">
        <f t="shared" ca="1" si="328"/>
        <v>0</v>
      </c>
      <c r="EN115" s="88">
        <f t="shared" ca="1" si="328"/>
        <v>0</v>
      </c>
      <c r="EO115" s="88">
        <f t="shared" ca="1" si="328"/>
        <v>0</v>
      </c>
      <c r="EP115" s="88">
        <f t="shared" ca="1" si="328"/>
        <v>0</v>
      </c>
      <c r="EQ115" s="88">
        <f t="shared" ca="1" si="328"/>
        <v>0</v>
      </c>
      <c r="ER115" s="88">
        <f t="shared" ca="1" si="328"/>
        <v>0</v>
      </c>
      <c r="ES115" s="88">
        <f t="shared" ca="1" si="328"/>
        <v>0</v>
      </c>
      <c r="ET115" s="169"/>
      <c r="EU115" s="88">
        <f t="shared" ca="1" si="329"/>
        <v>0</v>
      </c>
      <c r="EV115" s="88">
        <f t="shared" ca="1" si="329"/>
        <v>0</v>
      </c>
      <c r="EW115" s="88">
        <f t="shared" ca="1" si="329"/>
        <v>0</v>
      </c>
      <c r="EX115" s="88">
        <f t="shared" ca="1" si="329"/>
        <v>0</v>
      </c>
      <c r="EY115" s="88">
        <f t="shared" ca="1" si="329"/>
        <v>0</v>
      </c>
      <c r="EZ115" s="88">
        <f t="shared" ca="1" si="329"/>
        <v>0</v>
      </c>
      <c r="FA115" s="88">
        <f t="shared" ca="1" si="329"/>
        <v>0</v>
      </c>
      <c r="FB115" s="88">
        <f t="shared" ca="1" si="329"/>
        <v>0</v>
      </c>
      <c r="FC115" s="88">
        <f t="shared" ca="1" si="329"/>
        <v>0</v>
      </c>
      <c r="FD115" s="88">
        <f t="shared" ca="1" si="329"/>
        <v>0</v>
      </c>
      <c r="FE115" s="88">
        <f t="shared" ca="1" si="330"/>
        <v>0</v>
      </c>
      <c r="FF115" s="88">
        <f t="shared" ca="1" si="330"/>
        <v>0</v>
      </c>
      <c r="FG115" s="88">
        <f t="shared" ca="1" si="330"/>
        <v>0</v>
      </c>
      <c r="FH115" s="88">
        <f t="shared" ca="1" si="330"/>
        <v>0</v>
      </c>
      <c r="FI115" s="88">
        <f t="shared" ca="1" si="330"/>
        <v>0</v>
      </c>
      <c r="FJ115" s="88">
        <f t="shared" ca="1" si="330"/>
        <v>0</v>
      </c>
      <c r="FK115" s="88">
        <f t="shared" ca="1" si="330"/>
        <v>0</v>
      </c>
      <c r="FL115" s="88">
        <f t="shared" ca="1" si="330"/>
        <v>0</v>
      </c>
      <c r="FM115" s="88">
        <f t="shared" ca="1" si="330"/>
        <v>0</v>
      </c>
      <c r="FN115" s="88">
        <f t="shared" ca="1" si="330"/>
        <v>0</v>
      </c>
      <c r="FO115" s="88">
        <f t="shared" ca="1" si="331"/>
        <v>0</v>
      </c>
      <c r="FP115" s="88">
        <f t="shared" ca="1" si="331"/>
        <v>0</v>
      </c>
      <c r="FQ115" s="88">
        <f t="shared" ca="1" si="331"/>
        <v>0</v>
      </c>
      <c r="FR115" s="88">
        <f t="shared" ca="1" si="331"/>
        <v>0</v>
      </c>
      <c r="FS115" s="88">
        <f t="shared" ca="1" si="331"/>
        <v>0</v>
      </c>
      <c r="FT115" s="88">
        <f t="shared" ca="1" si="331"/>
        <v>0</v>
      </c>
      <c r="FU115" s="88">
        <f t="shared" ca="1" si="331"/>
        <v>0</v>
      </c>
      <c r="FV115" s="88">
        <f t="shared" ca="1" si="331"/>
        <v>0</v>
      </c>
      <c r="FW115" s="88">
        <f t="shared" ca="1" si="331"/>
        <v>0</v>
      </c>
      <c r="FX115" s="88">
        <f t="shared" ca="1" si="331"/>
        <v>0</v>
      </c>
      <c r="FY115" s="88">
        <f t="shared" ca="1" si="331"/>
        <v>0</v>
      </c>
      <c r="FZ115" s="88">
        <f t="shared" ca="1" si="331"/>
        <v>0</v>
      </c>
      <c r="GA115" s="88">
        <f t="shared" ca="1" si="331"/>
        <v>0</v>
      </c>
      <c r="GB115" s="88">
        <f t="shared" ca="1" si="331"/>
        <v>0</v>
      </c>
      <c r="GC115" s="88">
        <f t="shared" ca="1" si="331"/>
        <v>0</v>
      </c>
      <c r="GD115" s="60"/>
    </row>
    <row r="116" spans="1:186" s="54" customFormat="1" ht="14.45" customHeight="1">
      <c r="A116" s="61"/>
      <c r="B116" s="100" t="str">
        <f t="shared" si="277"/>
        <v>C&amp;I_C&amp;I Prescriptive_0_LED Outdoor Pole/Arm Mounted Parking Roadway (&lt;30W)_2017</v>
      </c>
      <c r="C116" s="100">
        <f>INDEX('Measure Inputs'!$D:$D,MATCH($B116,'Measure Inputs'!$B:$B,0))</f>
        <v>68</v>
      </c>
      <c r="D116" s="101" t="s">
        <v>256</v>
      </c>
      <c r="E116" s="101" t="s">
        <v>255</v>
      </c>
      <c r="F116" s="101">
        <v>0</v>
      </c>
      <c r="G116" s="101" t="s">
        <v>369</v>
      </c>
      <c r="H116" s="101">
        <v>2017</v>
      </c>
      <c r="I116" s="55"/>
      <c r="J116" s="58">
        <f t="shared" ca="1" si="229"/>
        <v>0.83477785720174902</v>
      </c>
      <c r="K116" s="58">
        <f t="shared" ca="1" si="246"/>
        <v>2.643463214472205</v>
      </c>
      <c r="L116" s="58">
        <f t="shared" ca="1" si="230"/>
        <v>0.31578947368421051</v>
      </c>
      <c r="M116" s="58">
        <f t="shared" ca="1" si="231"/>
        <v>1.1137918853627453</v>
      </c>
      <c r="N116" s="58">
        <f t="shared" ca="1" si="232"/>
        <v>2.643463214472205</v>
      </c>
      <c r="O116" s="55"/>
      <c r="P116" s="175">
        <f ca="1">IFERROR(($AW116+AV116)/SUMPRODUCT($CA116:$DI116,'General Inputs'!$F$51:$AN$51),"n/a")</f>
        <v>1.3538905627472167E-2</v>
      </c>
      <c r="Q116" s="175">
        <f t="shared" ca="1" si="309"/>
        <v>0.11577488807945091</v>
      </c>
      <c r="R116" s="56">
        <f t="shared" ca="1" si="310"/>
        <v>72.55459399999998</v>
      </c>
      <c r="S116" s="55"/>
      <c r="T116" s="56">
        <f ca="1">INDEX(OFFSET('Measure Inputs'!$L$7,,,InputRows),$C116)</f>
        <v>10</v>
      </c>
      <c r="U116" s="134">
        <f ca="1">INDEX(OFFSET('Measure Inputs'!$T$7,,,InputRows),$C116)</f>
        <v>1</v>
      </c>
      <c r="V116" s="134">
        <f ca="1">INDEX(OFFSET('Measure Inputs'!$U$7,,,InputRows),$C116)</f>
        <v>1</v>
      </c>
      <c r="W116" s="55"/>
      <c r="X116" s="96">
        <f ca="1">INDEX(OFFSET('Measure Inputs'!$V$7,,,InputRows),$C116)*$T116*$V116*$U116</f>
        <v>5182.4709999999995</v>
      </c>
      <c r="Y116" s="96">
        <f ca="1">INDEX(OFFSET('Measure Inputs'!$W$7,,,InputRows),$C116)*$T116*$V116*$U116</f>
        <v>1.0569999999999999</v>
      </c>
      <c r="Z116" s="96">
        <f ca="1">INDEX(OFFSET('Measure Inputs'!$X$7,,,InputRows),$C116)*$T116*$V116*$U116</f>
        <v>0</v>
      </c>
      <c r="AA116" s="55"/>
      <c r="AB116" s="96">
        <f ca="1">INDEX(OFFSET('Measure Inputs'!$Z$7,,,InputRows),$C116)*$T116*$V116*$U116</f>
        <v>0</v>
      </c>
      <c r="AC116" s="96">
        <f ca="1">INDEX(OFFSET('Measure Inputs'!$AA$7,,,InputRows),$C116)*$T116*$V116*$U116</f>
        <v>0</v>
      </c>
      <c r="AD116" s="96">
        <f ca="1">INDEX(OFFSET('Measure Inputs'!$AB$7,,,InputRows),$C116)*$T116*$V116*$U116</f>
        <v>0</v>
      </c>
      <c r="AE116" s="55"/>
      <c r="AF116" s="57">
        <f ca="1">INDEX(OFFSET('Measure Inputs'!$Q$7,,,InputRows),$C116)*$T116</f>
        <v>0</v>
      </c>
      <c r="AG116" s="57">
        <f ca="1">INDEX(OFFSET('Measure Inputs'!$P$7,,,InputRows),$C116)*$T116*$V116</f>
        <v>1900</v>
      </c>
      <c r="AH116" s="57">
        <f ca="1">INDEX(OFFSET('Measure Inputs'!$R$7,,,InputRows),$C116)*$T116*$V116</f>
        <v>0</v>
      </c>
      <c r="AI116" s="57">
        <f ca="1">INDEX(OFFSET('Measure Inputs'!$O$7,,,InputRows),$C116)*$T116</f>
        <v>600</v>
      </c>
      <c r="AJ116" s="57">
        <f ca="1">INDEX(OFFSET('Measure Inputs'!$S$7,,,InputRows),$C116)*$T116</f>
        <v>0</v>
      </c>
      <c r="AK116" s="63">
        <f ca="1">INDEX(OFFSET('Measure Inputs'!$M$7,,,InputRows),$C116)</f>
        <v>14</v>
      </c>
      <c r="AL116" s="88">
        <f ca="1">INDEX(OFFSET('Measure Inputs'!$N$7,,,InputRows),$C116)</f>
        <v>0</v>
      </c>
      <c r="AM116" s="57">
        <f ca="1">SUMIFS(OFFSET('Program Inputs'!$N$5,,,TotalPrograms),OFFSET('Program Inputs'!$B$5,,,TotalPrograms),SUBSTITUTE($B116,"All","*"))+AF116</f>
        <v>0</v>
      </c>
      <c r="AN116" s="57">
        <f t="shared" ca="1" si="311"/>
        <v>600</v>
      </c>
      <c r="AO116" s="55"/>
      <c r="AP116" s="59">
        <f t="shared" ca="1" si="312"/>
        <v>1586.0779286833231</v>
      </c>
      <c r="AQ116" s="59">
        <f t="shared" ca="1" si="313"/>
        <v>1900</v>
      </c>
      <c r="AR116" s="59">
        <f ca="1">SUMPRODUCT($CA116:$DI116,'General Inputs'!$F$32:$AN$32,'General Inputs'!$F$51:$AN$51)/(1-Loss_ElectricEnergy)</f>
        <v>1383.16664124307</v>
      </c>
      <c r="AS116" s="59">
        <f ca="1">SUMPRODUCT($DK116:$ES116,'General Inputs'!$F$33:$AN$33,'General Inputs'!$F$51:$AN$51)/(1-Loss_ElectricDemand)</f>
        <v>202.9112874402532</v>
      </c>
      <c r="AT116" s="59">
        <f ca="1">SUMPRODUCT($EU116:$GC116,'General Inputs'!$F$34:$AN$34,'General Inputs'!$F$51:$AN$51)/(1-Loss_GasEnergy)</f>
        <v>0</v>
      </c>
      <c r="AU116" s="59">
        <f ca="1">INDEX('General Inputs'!$F$51:$AN$51,MATCH($H116,'General Inputs'!$F$50:$AN$50,0))*$AJ116</f>
        <v>0</v>
      </c>
      <c r="AV116" s="59">
        <f ca="1">INDEX('General Inputs'!$F$51:$AN$51,MATCH($H116,'General Inputs'!$F$50:$AN$50,0))*$AI116</f>
        <v>600</v>
      </c>
      <c r="AW116" s="59">
        <f ca="1">INDEX('General Inputs'!$F$51:$AN$51,MATCH($H116,'General Inputs'!$F$50:$AN$50,0))*$AM116</f>
        <v>0</v>
      </c>
      <c r="AX116" s="59">
        <f ca="1">SUM(INDEX('General Inputs'!$F$51:$AN$51,MATCH($H116,'General Inputs'!$F$50:$AN$50,0))*$AG116,INDEX('General Inputs'!$F$51:$AN$51,MATCH($H116+$AL116,'General Inputs'!$F$50:$AN$50,0))*-$AH116)</f>
        <v>1900</v>
      </c>
      <c r="AY116" s="55"/>
      <c r="AZ116" s="59">
        <f ca="1">SUMPRODUCT($CA116:$DI116,'General Inputs'!$F$32:$AN$32,'General Inputs'!$F$52:$AN$52)/(1-Loss_ElectricEnergy)</f>
        <v>1383.16664124307</v>
      </c>
      <c r="BA116" s="59">
        <f ca="1">SUMPRODUCT($DK116:$ES116,'General Inputs'!$F$33:$AN$33,'General Inputs'!$F$52:$AN$52)/(1-Loss_ElectricDemand)</f>
        <v>202.9112874402532</v>
      </c>
      <c r="BB116" s="59">
        <f ca="1">SUMPRODUCT($EU116:$GC116,'General Inputs'!$F$34:$AN$34,'General Inputs'!$F$52:$AN$52)/(1-Loss_GasEnergy)</f>
        <v>0</v>
      </c>
      <c r="BC116" s="59">
        <f ca="1">INDEX('General Inputs'!$F$52:$AN$52,MATCH($H116,'General Inputs'!$F$50:$AN$50,0))*$AI116</f>
        <v>600</v>
      </c>
      <c r="BD116" s="59">
        <f ca="1">INDEX('General Inputs'!$F$52:$AN$52,MATCH($H116,'General Inputs'!$F$50:$AN$50,0))*$AM116</f>
        <v>0</v>
      </c>
      <c r="BE116" s="55"/>
      <c r="BF116" s="59">
        <f ca="1">SUMPRODUCT($CA116:$DI116,OFFSET('General Inputs'!$F$40:$AN$40,MATCH($D116&amp;" Electric ($/kWh)",'General Inputs'!$E$40:$E$46,0),),'General Inputs'!$F$54:$AN$54)</f>
        <v>0</v>
      </c>
      <c r="BG116" s="59">
        <f ca="1">SUMPRODUCT($EU116:$GC116,OFFSET('General Inputs'!$F$40:$AN$40,MATCH($D116&amp;" Natural Gas ($/therm)",'General Inputs'!$E$40:$E$46,0),),'General Inputs'!$F$54:$AN$54)</f>
        <v>0</v>
      </c>
      <c r="BH116" s="59">
        <f ca="1">INDEX('General Inputs'!$F$54:$AN$54,MATCH($H116,'General Inputs'!$F$50:$AN$50,0))*$AI116</f>
        <v>600</v>
      </c>
      <c r="BI116" s="59">
        <f ca="1">SUM(INDEX('General Inputs'!$F$54:$AN$54,MATCH($H116,'General Inputs'!$F$50:$AN$50,0))*$AG116,INDEX('General Inputs'!$F$51:$AN$51,MATCH($H116+$AL116,'General Inputs'!$F$50:$AN$50,0))*-$AH116)</f>
        <v>1900</v>
      </c>
      <c r="BJ116" s="55"/>
      <c r="BK116" s="59">
        <f ca="1">SUMPRODUCT($CA116:$DI116,'General Inputs'!$F$32:$AN$32,'General Inputs'!$F$53:$AN$53)/(1-Loss_ElectricEnergy)</f>
        <v>1383.16664124307</v>
      </c>
      <c r="BL116" s="59">
        <f ca="1">SUMPRODUCT($DK116:$ES116,'General Inputs'!$F$33:$AN$33,'General Inputs'!$F$53:$AN$53)/(1-Loss_ElectricDemand)</f>
        <v>202.9112874402532</v>
      </c>
      <c r="BM116" s="59">
        <f ca="1">SUMPRODUCT($EU116:$GC116,'General Inputs'!$F$34:$AN$34,'General Inputs'!$F$53:$AN$53)/(1-Loss_GasEnergy)</f>
        <v>0</v>
      </c>
      <c r="BN116" s="59">
        <f ca="1">INDEX('General Inputs'!$F$53:$AN$53,MATCH($H116,'General Inputs'!$F$50:$AN$50,0))*$AJ116</f>
        <v>0</v>
      </c>
      <c r="BO116" s="59">
        <f ca="1">SUMPRODUCT($CA116:$DI116,'General Inputs'!$F$35:$AN$35,'General Inputs'!$F$53:$AN$53)/(1-Loss_ElectricEnergy)</f>
        <v>530.12665350589316</v>
      </c>
      <c r="BP116" s="59">
        <f ca="1">INDEX('General Inputs'!$F$51:$AN$51,MATCH($H116,'General Inputs'!$F$50:$AN$50,0))*$AM116</f>
        <v>0</v>
      </c>
      <c r="BQ116" s="59">
        <f ca="1">SUM(INDEX('General Inputs'!$F$53:$AN$53,MATCH($H116,'General Inputs'!$F$50:$AN$50,0))*$AG116,INDEX('General Inputs'!$F$53:$AN$53,MATCH($H116+$AL116,'General Inputs'!$F$50:$AN$50,0))*-$AH116)</f>
        <v>1900</v>
      </c>
      <c r="BR116" s="55"/>
      <c r="BS116" s="59">
        <f ca="1">SUMPRODUCT($CA116:$DI116,'General Inputs'!$F$32:$AN$32,'General Inputs'!$F$55:$AN$55)/(1-Loss_ElectricEnergy)</f>
        <v>1383.16664124307</v>
      </c>
      <c r="BT116" s="59">
        <f ca="1">SUMPRODUCT($DK116:$ES116,'General Inputs'!$F$33:$AN$33,'General Inputs'!$F$55:$AN$55)/(1-Loss_ElectricDemand)</f>
        <v>202.9112874402532</v>
      </c>
      <c r="BU116" s="59">
        <f ca="1">SUMPRODUCT($EU116:$GC116,'General Inputs'!$F$34:$AN$34,'General Inputs'!$F$55:$AN$55)/(1-Loss_GasEnergy)</f>
        <v>0</v>
      </c>
      <c r="BV116" s="59">
        <f ca="1">SUMPRODUCT($CA116:$DI116,OFFSET('General Inputs'!$F$40:$AN$40,MATCH($D116&amp;" Electric ($/kWh)",'General Inputs'!$E$40:$E$46,0),),'General Inputs'!$F$55:$AN$55)</f>
        <v>0</v>
      </c>
      <c r="BW116" s="59">
        <f ca="1">SUMPRODUCT($EU116:$GC116,OFFSET('General Inputs'!$F$40:$AN$40,MATCH($D116&amp;" Natural Gas ($/therm)",'General Inputs'!$E$40:$E$46,0),),'General Inputs'!$F$55:$AN$55)</f>
        <v>0</v>
      </c>
      <c r="BX116" s="59">
        <f ca="1">INDEX('General Inputs'!$F$55:$AN$55,MATCH($H116,'General Inputs'!$F$50:$AN$50,0))*$AI116</f>
        <v>600</v>
      </c>
      <c r="BY116" s="59">
        <f ca="1">INDEX('General Inputs'!$F$51:$AN$51,MATCH($H116,'General Inputs'!$F$50:$AN$50,0))*$AM116</f>
        <v>0</v>
      </c>
      <c r="BZ116" s="55"/>
      <c r="CA116" s="88">
        <f t="shared" ca="1" si="323"/>
        <v>5182.4709999999995</v>
      </c>
      <c r="CB116" s="88">
        <f t="shared" ca="1" si="323"/>
        <v>5182.4709999999995</v>
      </c>
      <c r="CC116" s="88">
        <f t="shared" ca="1" si="323"/>
        <v>5182.4709999999995</v>
      </c>
      <c r="CD116" s="88">
        <f t="shared" ca="1" si="323"/>
        <v>5182.4709999999995</v>
      </c>
      <c r="CE116" s="88">
        <f t="shared" ca="1" si="323"/>
        <v>5182.4709999999995</v>
      </c>
      <c r="CF116" s="88">
        <f t="shared" ca="1" si="323"/>
        <v>5182.4709999999995</v>
      </c>
      <c r="CG116" s="88">
        <f t="shared" ca="1" si="323"/>
        <v>5182.4709999999995</v>
      </c>
      <c r="CH116" s="88">
        <f t="shared" ca="1" si="323"/>
        <v>5182.4709999999995</v>
      </c>
      <c r="CI116" s="88">
        <f t="shared" ca="1" si="323"/>
        <v>5182.4709999999995</v>
      </c>
      <c r="CJ116" s="88">
        <f t="shared" ca="1" si="323"/>
        <v>5182.4709999999995</v>
      </c>
      <c r="CK116" s="88">
        <f t="shared" ca="1" si="324"/>
        <v>5182.4709999999995</v>
      </c>
      <c r="CL116" s="88">
        <f t="shared" ca="1" si="324"/>
        <v>5182.4709999999995</v>
      </c>
      <c r="CM116" s="88">
        <f t="shared" ca="1" si="324"/>
        <v>5182.4709999999995</v>
      </c>
      <c r="CN116" s="88">
        <f t="shared" ca="1" si="324"/>
        <v>5182.4709999999995</v>
      </c>
      <c r="CO116" s="88">
        <f t="shared" ca="1" si="324"/>
        <v>0</v>
      </c>
      <c r="CP116" s="88">
        <f t="shared" ca="1" si="324"/>
        <v>0</v>
      </c>
      <c r="CQ116" s="88">
        <f t="shared" ca="1" si="324"/>
        <v>0</v>
      </c>
      <c r="CR116" s="88">
        <f t="shared" ca="1" si="324"/>
        <v>0</v>
      </c>
      <c r="CS116" s="88">
        <f t="shared" ca="1" si="324"/>
        <v>0</v>
      </c>
      <c r="CT116" s="88">
        <f t="shared" ca="1" si="324"/>
        <v>0</v>
      </c>
      <c r="CU116" s="88">
        <f t="shared" ca="1" si="325"/>
        <v>0</v>
      </c>
      <c r="CV116" s="88">
        <f t="shared" ca="1" si="325"/>
        <v>0</v>
      </c>
      <c r="CW116" s="88">
        <f t="shared" ca="1" si="325"/>
        <v>0</v>
      </c>
      <c r="CX116" s="88">
        <f t="shared" ca="1" si="325"/>
        <v>0</v>
      </c>
      <c r="CY116" s="88">
        <f t="shared" ca="1" si="325"/>
        <v>0</v>
      </c>
      <c r="CZ116" s="88">
        <f t="shared" ca="1" si="325"/>
        <v>0</v>
      </c>
      <c r="DA116" s="88">
        <f t="shared" ca="1" si="325"/>
        <v>0</v>
      </c>
      <c r="DB116" s="88">
        <f t="shared" ca="1" si="325"/>
        <v>0</v>
      </c>
      <c r="DC116" s="88">
        <f t="shared" ca="1" si="325"/>
        <v>0</v>
      </c>
      <c r="DD116" s="88">
        <f t="shared" ca="1" si="325"/>
        <v>0</v>
      </c>
      <c r="DE116" s="88">
        <f t="shared" ca="1" si="325"/>
        <v>0</v>
      </c>
      <c r="DF116" s="88">
        <f t="shared" ca="1" si="325"/>
        <v>0</v>
      </c>
      <c r="DG116" s="88">
        <f t="shared" ca="1" si="325"/>
        <v>0</v>
      </c>
      <c r="DH116" s="88">
        <f t="shared" ca="1" si="325"/>
        <v>0</v>
      </c>
      <c r="DI116" s="88">
        <f t="shared" ca="1" si="325"/>
        <v>0</v>
      </c>
      <c r="DJ116" s="169"/>
      <c r="DK116" s="88">
        <f t="shared" ca="1" si="326"/>
        <v>1.0569999999999999</v>
      </c>
      <c r="DL116" s="88">
        <f t="shared" ca="1" si="326"/>
        <v>1.0569999999999999</v>
      </c>
      <c r="DM116" s="88">
        <f t="shared" ca="1" si="326"/>
        <v>1.0569999999999999</v>
      </c>
      <c r="DN116" s="88">
        <f t="shared" ca="1" si="326"/>
        <v>1.0569999999999999</v>
      </c>
      <c r="DO116" s="88">
        <f t="shared" ca="1" si="326"/>
        <v>1.0569999999999999</v>
      </c>
      <c r="DP116" s="88">
        <f t="shared" ca="1" si="326"/>
        <v>1.0569999999999999</v>
      </c>
      <c r="DQ116" s="88">
        <f t="shared" ca="1" si="326"/>
        <v>1.0569999999999999</v>
      </c>
      <c r="DR116" s="88">
        <f t="shared" ca="1" si="326"/>
        <v>1.0569999999999999</v>
      </c>
      <c r="DS116" s="88">
        <f t="shared" ca="1" si="326"/>
        <v>1.0569999999999999</v>
      </c>
      <c r="DT116" s="88">
        <f t="shared" ca="1" si="326"/>
        <v>1.0569999999999999</v>
      </c>
      <c r="DU116" s="88">
        <f t="shared" ca="1" si="327"/>
        <v>1.0569999999999999</v>
      </c>
      <c r="DV116" s="88">
        <f t="shared" ca="1" si="327"/>
        <v>1.0569999999999999</v>
      </c>
      <c r="DW116" s="88">
        <f t="shared" ca="1" si="327"/>
        <v>1.0569999999999999</v>
      </c>
      <c r="DX116" s="88">
        <f t="shared" ca="1" si="327"/>
        <v>1.0569999999999999</v>
      </c>
      <c r="DY116" s="88">
        <f t="shared" ca="1" si="327"/>
        <v>0</v>
      </c>
      <c r="DZ116" s="88">
        <f t="shared" ca="1" si="327"/>
        <v>0</v>
      </c>
      <c r="EA116" s="88">
        <f t="shared" ca="1" si="327"/>
        <v>0</v>
      </c>
      <c r="EB116" s="88">
        <f t="shared" ca="1" si="327"/>
        <v>0</v>
      </c>
      <c r="EC116" s="88">
        <f t="shared" ca="1" si="327"/>
        <v>0</v>
      </c>
      <c r="ED116" s="88">
        <f t="shared" ca="1" si="327"/>
        <v>0</v>
      </c>
      <c r="EE116" s="88">
        <f t="shared" ca="1" si="328"/>
        <v>0</v>
      </c>
      <c r="EF116" s="88">
        <f t="shared" ca="1" si="328"/>
        <v>0</v>
      </c>
      <c r="EG116" s="88">
        <f t="shared" ca="1" si="328"/>
        <v>0</v>
      </c>
      <c r="EH116" s="88">
        <f t="shared" ca="1" si="328"/>
        <v>0</v>
      </c>
      <c r="EI116" s="88">
        <f t="shared" ca="1" si="328"/>
        <v>0</v>
      </c>
      <c r="EJ116" s="88">
        <f t="shared" ca="1" si="328"/>
        <v>0</v>
      </c>
      <c r="EK116" s="88">
        <f t="shared" ca="1" si="328"/>
        <v>0</v>
      </c>
      <c r="EL116" s="88">
        <f t="shared" ca="1" si="328"/>
        <v>0</v>
      </c>
      <c r="EM116" s="88">
        <f t="shared" ca="1" si="328"/>
        <v>0</v>
      </c>
      <c r="EN116" s="88">
        <f t="shared" ca="1" si="328"/>
        <v>0</v>
      </c>
      <c r="EO116" s="88">
        <f t="shared" ca="1" si="328"/>
        <v>0</v>
      </c>
      <c r="EP116" s="88">
        <f t="shared" ca="1" si="328"/>
        <v>0</v>
      </c>
      <c r="EQ116" s="88">
        <f t="shared" ca="1" si="328"/>
        <v>0</v>
      </c>
      <c r="ER116" s="88">
        <f t="shared" ca="1" si="328"/>
        <v>0</v>
      </c>
      <c r="ES116" s="88">
        <f t="shared" ca="1" si="328"/>
        <v>0</v>
      </c>
      <c r="ET116" s="169"/>
      <c r="EU116" s="88">
        <f t="shared" ca="1" si="329"/>
        <v>0</v>
      </c>
      <c r="EV116" s="88">
        <f t="shared" ca="1" si="329"/>
        <v>0</v>
      </c>
      <c r="EW116" s="88">
        <f t="shared" ca="1" si="329"/>
        <v>0</v>
      </c>
      <c r="EX116" s="88">
        <f t="shared" ca="1" si="329"/>
        <v>0</v>
      </c>
      <c r="EY116" s="88">
        <f t="shared" ca="1" si="329"/>
        <v>0</v>
      </c>
      <c r="EZ116" s="88">
        <f t="shared" ca="1" si="329"/>
        <v>0</v>
      </c>
      <c r="FA116" s="88">
        <f t="shared" ca="1" si="329"/>
        <v>0</v>
      </c>
      <c r="FB116" s="88">
        <f t="shared" ca="1" si="329"/>
        <v>0</v>
      </c>
      <c r="FC116" s="88">
        <f t="shared" ca="1" si="329"/>
        <v>0</v>
      </c>
      <c r="FD116" s="88">
        <f t="shared" ca="1" si="329"/>
        <v>0</v>
      </c>
      <c r="FE116" s="88">
        <f t="shared" ca="1" si="330"/>
        <v>0</v>
      </c>
      <c r="FF116" s="88">
        <f t="shared" ca="1" si="330"/>
        <v>0</v>
      </c>
      <c r="FG116" s="88">
        <f t="shared" ca="1" si="330"/>
        <v>0</v>
      </c>
      <c r="FH116" s="88">
        <f t="shared" ca="1" si="330"/>
        <v>0</v>
      </c>
      <c r="FI116" s="88">
        <f t="shared" ca="1" si="330"/>
        <v>0</v>
      </c>
      <c r="FJ116" s="88">
        <f t="shared" ca="1" si="330"/>
        <v>0</v>
      </c>
      <c r="FK116" s="88">
        <f t="shared" ca="1" si="330"/>
        <v>0</v>
      </c>
      <c r="FL116" s="88">
        <f t="shared" ca="1" si="330"/>
        <v>0</v>
      </c>
      <c r="FM116" s="88">
        <f t="shared" ca="1" si="330"/>
        <v>0</v>
      </c>
      <c r="FN116" s="88">
        <f t="shared" ca="1" si="330"/>
        <v>0</v>
      </c>
      <c r="FO116" s="88">
        <f t="shared" ca="1" si="331"/>
        <v>0</v>
      </c>
      <c r="FP116" s="88">
        <f t="shared" ca="1" si="331"/>
        <v>0</v>
      </c>
      <c r="FQ116" s="88">
        <f t="shared" ca="1" si="331"/>
        <v>0</v>
      </c>
      <c r="FR116" s="88">
        <f t="shared" ca="1" si="331"/>
        <v>0</v>
      </c>
      <c r="FS116" s="88">
        <f t="shared" ca="1" si="331"/>
        <v>0</v>
      </c>
      <c r="FT116" s="88">
        <f t="shared" ca="1" si="331"/>
        <v>0</v>
      </c>
      <c r="FU116" s="88">
        <f t="shared" ca="1" si="331"/>
        <v>0</v>
      </c>
      <c r="FV116" s="88">
        <f t="shared" ca="1" si="331"/>
        <v>0</v>
      </c>
      <c r="FW116" s="88">
        <f t="shared" ca="1" si="331"/>
        <v>0</v>
      </c>
      <c r="FX116" s="88">
        <f t="shared" ca="1" si="331"/>
        <v>0</v>
      </c>
      <c r="FY116" s="88">
        <f t="shared" ca="1" si="331"/>
        <v>0</v>
      </c>
      <c r="FZ116" s="88">
        <f t="shared" ca="1" si="331"/>
        <v>0</v>
      </c>
      <c r="GA116" s="88">
        <f t="shared" ca="1" si="331"/>
        <v>0</v>
      </c>
      <c r="GB116" s="88">
        <f t="shared" ca="1" si="331"/>
        <v>0</v>
      </c>
      <c r="GC116" s="88">
        <f t="shared" ca="1" si="331"/>
        <v>0</v>
      </c>
      <c r="GD116" s="60"/>
    </row>
    <row r="117" spans="1:186" s="54" customFormat="1" ht="14.45" customHeight="1">
      <c r="A117" s="61"/>
      <c r="B117" s="100" t="str">
        <f t="shared" si="277"/>
        <v>C&amp;I_C&amp;I Prescriptive_0_LED Outdoor Pole/Arm Mounted Parking Roadway (30W to 75W)_2017</v>
      </c>
      <c r="C117" s="100">
        <f>INDEX('Measure Inputs'!$D:$D,MATCH($B117,'Measure Inputs'!$B:$B,0))</f>
        <v>69</v>
      </c>
      <c r="D117" s="101" t="s">
        <v>256</v>
      </c>
      <c r="E117" s="101" t="s">
        <v>255</v>
      </c>
      <c r="F117" s="101">
        <v>0</v>
      </c>
      <c r="G117" s="101" t="s">
        <v>370</v>
      </c>
      <c r="H117" s="101">
        <v>2017</v>
      </c>
      <c r="I117" s="55"/>
      <c r="J117" s="58">
        <f t="shared" ca="1" si="229"/>
        <v>0.68178152584991869</v>
      </c>
      <c r="K117" s="58">
        <f t="shared" ca="1" si="246"/>
        <v>1.9567129791892666</v>
      </c>
      <c r="L117" s="58">
        <f t="shared" ca="1" si="230"/>
        <v>0.34843205574912894</v>
      </c>
      <c r="M117" s="58">
        <f t="shared" ca="1" si="231"/>
        <v>0.90965844928772166</v>
      </c>
      <c r="N117" s="58">
        <f t="shared" ca="1" si="232"/>
        <v>1.9567129791892666</v>
      </c>
      <c r="O117" s="55"/>
      <c r="P117" s="175">
        <f ca="1">IFERROR(($AW117+AV117)/SUMPRODUCT($CA117:$DI117,'General Inputs'!$F$51:$AN$51),"n/a")</f>
        <v>1.8290673885784859E-2</v>
      </c>
      <c r="Q117" s="175">
        <f t="shared" ca="1" si="309"/>
        <v>0.15640855917686552</v>
      </c>
      <c r="R117" s="56">
        <f t="shared" ca="1" si="310"/>
        <v>89.509168000000017</v>
      </c>
      <c r="S117" s="55"/>
      <c r="T117" s="56">
        <f ca="1">INDEX(OFFSET('Measure Inputs'!$L$7,,,InputRows),$C117)</f>
        <v>10</v>
      </c>
      <c r="U117" s="134">
        <f ca="1">INDEX(OFFSET('Measure Inputs'!$T$7,,,InputRows),$C117)</f>
        <v>1</v>
      </c>
      <c r="V117" s="134">
        <f ca="1">INDEX(OFFSET('Measure Inputs'!$U$7,,,InputRows),$C117)</f>
        <v>1</v>
      </c>
      <c r="W117" s="55"/>
      <c r="X117" s="96">
        <f ca="1">INDEX(OFFSET('Measure Inputs'!$V$7,,,InputRows),$C117)*$T117*$V117*$U117</f>
        <v>6393.5120000000006</v>
      </c>
      <c r="Y117" s="96">
        <f ca="1">INDEX(OFFSET('Measure Inputs'!$W$7,,,InputRows),$C117)*$T117*$V117*$U117</f>
        <v>1.3040000000000003</v>
      </c>
      <c r="Z117" s="96">
        <f ca="1">INDEX(OFFSET('Measure Inputs'!$X$7,,,InputRows),$C117)*$T117*$V117*$U117</f>
        <v>0</v>
      </c>
      <c r="AA117" s="55"/>
      <c r="AB117" s="96">
        <f ca="1">INDEX(OFFSET('Measure Inputs'!$Z$7,,,InputRows),$C117)*$T117*$V117*$U117</f>
        <v>0</v>
      </c>
      <c r="AC117" s="96">
        <f ca="1">INDEX(OFFSET('Measure Inputs'!$AA$7,,,InputRows),$C117)*$T117*$V117*$U117</f>
        <v>0</v>
      </c>
      <c r="AD117" s="96">
        <f ca="1">INDEX(OFFSET('Measure Inputs'!$AB$7,,,InputRows),$C117)*$T117*$V117*$U117</f>
        <v>0</v>
      </c>
      <c r="AE117" s="55"/>
      <c r="AF117" s="57">
        <f ca="1">INDEX(OFFSET('Measure Inputs'!$Q$7,,,InputRows),$C117)*$T117</f>
        <v>0</v>
      </c>
      <c r="AG117" s="57">
        <f ca="1">INDEX(OFFSET('Measure Inputs'!$P$7,,,InputRows),$C117)*$T117*$V117</f>
        <v>2870</v>
      </c>
      <c r="AH117" s="57">
        <f ca="1">INDEX(OFFSET('Measure Inputs'!$R$7,,,InputRows),$C117)*$T117*$V117</f>
        <v>0</v>
      </c>
      <c r="AI117" s="57">
        <f ca="1">INDEX(OFFSET('Measure Inputs'!$O$7,,,InputRows),$C117)*$T117</f>
        <v>1000</v>
      </c>
      <c r="AJ117" s="57">
        <f ca="1">INDEX(OFFSET('Measure Inputs'!$S$7,,,InputRows),$C117)*$T117</f>
        <v>0</v>
      </c>
      <c r="AK117" s="63">
        <f ca="1">INDEX(OFFSET('Measure Inputs'!$M$7,,,InputRows),$C117)</f>
        <v>14</v>
      </c>
      <c r="AL117" s="88">
        <f ca="1">INDEX(OFFSET('Measure Inputs'!$N$7,,,InputRows),$C117)</f>
        <v>0</v>
      </c>
      <c r="AM117" s="57">
        <f ca="1">SUMIFS(OFFSET('Program Inputs'!$N$5,,,TotalPrograms),OFFSET('Program Inputs'!$B$5,,,TotalPrograms),SUBSTITUTE($B117,"All","*"))+AF117</f>
        <v>0</v>
      </c>
      <c r="AN117" s="57">
        <f t="shared" ca="1" si="311"/>
        <v>1000</v>
      </c>
      <c r="AO117" s="55"/>
      <c r="AP117" s="59">
        <f t="shared" ca="1" si="312"/>
        <v>1956.7129791892667</v>
      </c>
      <c r="AQ117" s="59">
        <f t="shared" ca="1" si="313"/>
        <v>2870</v>
      </c>
      <c r="AR117" s="59">
        <f ca="1">SUMPRODUCT($CA117:$DI117,'General Inputs'!$F$32:$AN$32,'General Inputs'!$F$51:$AN$51)/(1-Loss_ElectricEnergy)</f>
        <v>1706.3853360274027</v>
      </c>
      <c r="AS117" s="59">
        <f ca="1">SUMPRODUCT($DK117:$ES117,'General Inputs'!$F$33:$AN$33,'General Inputs'!$F$51:$AN$51)/(1-Loss_ElectricDemand)</f>
        <v>250.32764316186396</v>
      </c>
      <c r="AT117" s="59">
        <f ca="1">SUMPRODUCT($EU117:$GC117,'General Inputs'!$F$34:$AN$34,'General Inputs'!$F$51:$AN$51)/(1-Loss_GasEnergy)</f>
        <v>0</v>
      </c>
      <c r="AU117" s="59">
        <f ca="1">INDEX('General Inputs'!$F$51:$AN$51,MATCH($H117,'General Inputs'!$F$50:$AN$50,0))*$AJ117</f>
        <v>0</v>
      </c>
      <c r="AV117" s="59">
        <f ca="1">INDEX('General Inputs'!$F$51:$AN$51,MATCH($H117,'General Inputs'!$F$50:$AN$50,0))*$AI117</f>
        <v>1000</v>
      </c>
      <c r="AW117" s="59">
        <f ca="1">INDEX('General Inputs'!$F$51:$AN$51,MATCH($H117,'General Inputs'!$F$50:$AN$50,0))*$AM117</f>
        <v>0</v>
      </c>
      <c r="AX117" s="59">
        <f ca="1">SUM(INDEX('General Inputs'!$F$51:$AN$51,MATCH($H117,'General Inputs'!$F$50:$AN$50,0))*$AG117,INDEX('General Inputs'!$F$51:$AN$51,MATCH($H117+$AL117,'General Inputs'!$F$50:$AN$50,0))*-$AH117)</f>
        <v>2870</v>
      </c>
      <c r="AY117" s="55"/>
      <c r="AZ117" s="59">
        <f ca="1">SUMPRODUCT($CA117:$DI117,'General Inputs'!$F$32:$AN$32,'General Inputs'!$F$52:$AN$52)/(1-Loss_ElectricEnergy)</f>
        <v>1706.3853360274027</v>
      </c>
      <c r="BA117" s="59">
        <f ca="1">SUMPRODUCT($DK117:$ES117,'General Inputs'!$F$33:$AN$33,'General Inputs'!$F$52:$AN$52)/(1-Loss_ElectricDemand)</f>
        <v>250.32764316186396</v>
      </c>
      <c r="BB117" s="59">
        <f ca="1">SUMPRODUCT($EU117:$GC117,'General Inputs'!$F$34:$AN$34,'General Inputs'!$F$52:$AN$52)/(1-Loss_GasEnergy)</f>
        <v>0</v>
      </c>
      <c r="BC117" s="59">
        <f ca="1">INDEX('General Inputs'!$F$52:$AN$52,MATCH($H117,'General Inputs'!$F$50:$AN$50,0))*$AI117</f>
        <v>1000</v>
      </c>
      <c r="BD117" s="59">
        <f ca="1">INDEX('General Inputs'!$F$52:$AN$52,MATCH($H117,'General Inputs'!$F$50:$AN$50,0))*$AM117</f>
        <v>0</v>
      </c>
      <c r="BE117" s="55"/>
      <c r="BF117" s="59">
        <f ca="1">SUMPRODUCT($CA117:$DI117,OFFSET('General Inputs'!$F$40:$AN$40,MATCH($D117&amp;" Electric ($/kWh)",'General Inputs'!$E$40:$E$46,0),),'General Inputs'!$F$54:$AN$54)</f>
        <v>0</v>
      </c>
      <c r="BG117" s="59">
        <f ca="1">SUMPRODUCT($EU117:$GC117,OFFSET('General Inputs'!$F$40:$AN$40,MATCH($D117&amp;" Natural Gas ($/therm)",'General Inputs'!$E$40:$E$46,0),),'General Inputs'!$F$54:$AN$54)</f>
        <v>0</v>
      </c>
      <c r="BH117" s="59">
        <f ca="1">INDEX('General Inputs'!$F$54:$AN$54,MATCH($H117,'General Inputs'!$F$50:$AN$50,0))*$AI117</f>
        <v>1000</v>
      </c>
      <c r="BI117" s="59">
        <f ca="1">SUM(INDEX('General Inputs'!$F$54:$AN$54,MATCH($H117,'General Inputs'!$F$50:$AN$50,0))*$AG117,INDEX('General Inputs'!$F$51:$AN$51,MATCH($H117+$AL117,'General Inputs'!$F$50:$AN$50,0))*-$AH117)</f>
        <v>2870</v>
      </c>
      <c r="BJ117" s="55"/>
      <c r="BK117" s="59">
        <f ca="1">SUMPRODUCT($CA117:$DI117,'General Inputs'!$F$32:$AN$32,'General Inputs'!$F$53:$AN$53)/(1-Loss_ElectricEnergy)</f>
        <v>1706.3853360274027</v>
      </c>
      <c r="BL117" s="59">
        <f ca="1">SUMPRODUCT($DK117:$ES117,'General Inputs'!$F$33:$AN$33,'General Inputs'!$F$53:$AN$53)/(1-Loss_ElectricDemand)</f>
        <v>250.32764316186396</v>
      </c>
      <c r="BM117" s="59">
        <f ca="1">SUMPRODUCT($EU117:$GC117,'General Inputs'!$F$34:$AN$34,'General Inputs'!$F$53:$AN$53)/(1-Loss_GasEnergy)</f>
        <v>0</v>
      </c>
      <c r="BN117" s="59">
        <f ca="1">INDEX('General Inputs'!$F$53:$AN$53,MATCH($H117,'General Inputs'!$F$50:$AN$50,0))*$AJ117</f>
        <v>0</v>
      </c>
      <c r="BO117" s="59">
        <f ca="1">SUMPRODUCT($CA117:$DI117,'General Inputs'!$F$35:$AN$35,'General Inputs'!$F$53:$AN$53)/(1-Loss_ElectricEnergy)</f>
        <v>654.00677026649464</v>
      </c>
      <c r="BP117" s="59">
        <f ca="1">INDEX('General Inputs'!$F$51:$AN$51,MATCH($H117,'General Inputs'!$F$50:$AN$50,0))*$AM117</f>
        <v>0</v>
      </c>
      <c r="BQ117" s="59">
        <f ca="1">SUM(INDEX('General Inputs'!$F$53:$AN$53,MATCH($H117,'General Inputs'!$F$50:$AN$50,0))*$AG117,INDEX('General Inputs'!$F$53:$AN$53,MATCH($H117+$AL117,'General Inputs'!$F$50:$AN$50,0))*-$AH117)</f>
        <v>2870</v>
      </c>
      <c r="BR117" s="55"/>
      <c r="BS117" s="59">
        <f ca="1">SUMPRODUCT($CA117:$DI117,'General Inputs'!$F$32:$AN$32,'General Inputs'!$F$55:$AN$55)/(1-Loss_ElectricEnergy)</f>
        <v>1706.3853360274027</v>
      </c>
      <c r="BT117" s="59">
        <f ca="1">SUMPRODUCT($DK117:$ES117,'General Inputs'!$F$33:$AN$33,'General Inputs'!$F$55:$AN$55)/(1-Loss_ElectricDemand)</f>
        <v>250.32764316186396</v>
      </c>
      <c r="BU117" s="59">
        <f ca="1">SUMPRODUCT($EU117:$GC117,'General Inputs'!$F$34:$AN$34,'General Inputs'!$F$55:$AN$55)/(1-Loss_GasEnergy)</f>
        <v>0</v>
      </c>
      <c r="BV117" s="59">
        <f ca="1">SUMPRODUCT($CA117:$DI117,OFFSET('General Inputs'!$F$40:$AN$40,MATCH($D117&amp;" Electric ($/kWh)",'General Inputs'!$E$40:$E$46,0),),'General Inputs'!$F$55:$AN$55)</f>
        <v>0</v>
      </c>
      <c r="BW117" s="59">
        <f ca="1">SUMPRODUCT($EU117:$GC117,OFFSET('General Inputs'!$F$40:$AN$40,MATCH($D117&amp;" Natural Gas ($/therm)",'General Inputs'!$E$40:$E$46,0),),'General Inputs'!$F$55:$AN$55)</f>
        <v>0</v>
      </c>
      <c r="BX117" s="59">
        <f ca="1">INDEX('General Inputs'!$F$55:$AN$55,MATCH($H117,'General Inputs'!$F$50:$AN$50,0))*$AI117</f>
        <v>1000</v>
      </c>
      <c r="BY117" s="59">
        <f ca="1">INDEX('General Inputs'!$F$51:$AN$51,MATCH($H117,'General Inputs'!$F$50:$AN$50,0))*$AM117</f>
        <v>0</v>
      </c>
      <c r="BZ117" s="55"/>
      <c r="CA117" s="88">
        <f t="shared" ca="1" si="323"/>
        <v>6393.5120000000006</v>
      </c>
      <c r="CB117" s="88">
        <f t="shared" ca="1" si="323"/>
        <v>6393.5120000000006</v>
      </c>
      <c r="CC117" s="88">
        <f t="shared" ca="1" si="323"/>
        <v>6393.5120000000006</v>
      </c>
      <c r="CD117" s="88">
        <f t="shared" ca="1" si="323"/>
        <v>6393.5120000000006</v>
      </c>
      <c r="CE117" s="88">
        <f t="shared" ca="1" si="323"/>
        <v>6393.5120000000006</v>
      </c>
      <c r="CF117" s="88">
        <f t="shared" ca="1" si="323"/>
        <v>6393.5120000000006</v>
      </c>
      <c r="CG117" s="88">
        <f t="shared" ca="1" si="323"/>
        <v>6393.5120000000006</v>
      </c>
      <c r="CH117" s="88">
        <f t="shared" ca="1" si="323"/>
        <v>6393.5120000000006</v>
      </c>
      <c r="CI117" s="88">
        <f t="shared" ca="1" si="323"/>
        <v>6393.5120000000006</v>
      </c>
      <c r="CJ117" s="88">
        <f t="shared" ca="1" si="323"/>
        <v>6393.5120000000006</v>
      </c>
      <c r="CK117" s="88">
        <f t="shared" ca="1" si="324"/>
        <v>6393.5120000000006</v>
      </c>
      <c r="CL117" s="88">
        <f t="shared" ca="1" si="324"/>
        <v>6393.5120000000006</v>
      </c>
      <c r="CM117" s="88">
        <f t="shared" ca="1" si="324"/>
        <v>6393.5120000000006</v>
      </c>
      <c r="CN117" s="88">
        <f t="shared" ca="1" si="324"/>
        <v>6393.5120000000006</v>
      </c>
      <c r="CO117" s="88">
        <f t="shared" ca="1" si="324"/>
        <v>0</v>
      </c>
      <c r="CP117" s="88">
        <f t="shared" ca="1" si="324"/>
        <v>0</v>
      </c>
      <c r="CQ117" s="88">
        <f t="shared" ca="1" si="324"/>
        <v>0</v>
      </c>
      <c r="CR117" s="88">
        <f t="shared" ca="1" si="324"/>
        <v>0</v>
      </c>
      <c r="CS117" s="88">
        <f t="shared" ca="1" si="324"/>
        <v>0</v>
      </c>
      <c r="CT117" s="88">
        <f t="shared" ca="1" si="324"/>
        <v>0</v>
      </c>
      <c r="CU117" s="88">
        <f t="shared" ca="1" si="325"/>
        <v>0</v>
      </c>
      <c r="CV117" s="88">
        <f t="shared" ca="1" si="325"/>
        <v>0</v>
      </c>
      <c r="CW117" s="88">
        <f t="shared" ca="1" si="325"/>
        <v>0</v>
      </c>
      <c r="CX117" s="88">
        <f t="shared" ca="1" si="325"/>
        <v>0</v>
      </c>
      <c r="CY117" s="88">
        <f t="shared" ca="1" si="325"/>
        <v>0</v>
      </c>
      <c r="CZ117" s="88">
        <f t="shared" ca="1" si="325"/>
        <v>0</v>
      </c>
      <c r="DA117" s="88">
        <f t="shared" ca="1" si="325"/>
        <v>0</v>
      </c>
      <c r="DB117" s="88">
        <f t="shared" ca="1" si="325"/>
        <v>0</v>
      </c>
      <c r="DC117" s="88">
        <f t="shared" ca="1" si="325"/>
        <v>0</v>
      </c>
      <c r="DD117" s="88">
        <f t="shared" ca="1" si="325"/>
        <v>0</v>
      </c>
      <c r="DE117" s="88">
        <f t="shared" ca="1" si="325"/>
        <v>0</v>
      </c>
      <c r="DF117" s="88">
        <f t="shared" ca="1" si="325"/>
        <v>0</v>
      </c>
      <c r="DG117" s="88">
        <f t="shared" ca="1" si="325"/>
        <v>0</v>
      </c>
      <c r="DH117" s="88">
        <f t="shared" ca="1" si="325"/>
        <v>0</v>
      </c>
      <c r="DI117" s="88">
        <f t="shared" ca="1" si="325"/>
        <v>0</v>
      </c>
      <c r="DJ117" s="169"/>
      <c r="DK117" s="88">
        <f t="shared" ca="1" si="326"/>
        <v>1.3040000000000003</v>
      </c>
      <c r="DL117" s="88">
        <f t="shared" ca="1" si="326"/>
        <v>1.3040000000000003</v>
      </c>
      <c r="DM117" s="88">
        <f t="shared" ca="1" si="326"/>
        <v>1.3040000000000003</v>
      </c>
      <c r="DN117" s="88">
        <f t="shared" ca="1" si="326"/>
        <v>1.3040000000000003</v>
      </c>
      <c r="DO117" s="88">
        <f t="shared" ca="1" si="326"/>
        <v>1.3040000000000003</v>
      </c>
      <c r="DP117" s="88">
        <f t="shared" ca="1" si="326"/>
        <v>1.3040000000000003</v>
      </c>
      <c r="DQ117" s="88">
        <f t="shared" ca="1" si="326"/>
        <v>1.3040000000000003</v>
      </c>
      <c r="DR117" s="88">
        <f t="shared" ca="1" si="326"/>
        <v>1.3040000000000003</v>
      </c>
      <c r="DS117" s="88">
        <f t="shared" ca="1" si="326"/>
        <v>1.3040000000000003</v>
      </c>
      <c r="DT117" s="88">
        <f t="shared" ca="1" si="326"/>
        <v>1.3040000000000003</v>
      </c>
      <c r="DU117" s="88">
        <f t="shared" ca="1" si="327"/>
        <v>1.3040000000000003</v>
      </c>
      <c r="DV117" s="88">
        <f t="shared" ca="1" si="327"/>
        <v>1.3040000000000003</v>
      </c>
      <c r="DW117" s="88">
        <f t="shared" ca="1" si="327"/>
        <v>1.3040000000000003</v>
      </c>
      <c r="DX117" s="88">
        <f t="shared" ca="1" si="327"/>
        <v>1.3040000000000003</v>
      </c>
      <c r="DY117" s="88">
        <f t="shared" ca="1" si="327"/>
        <v>0</v>
      </c>
      <c r="DZ117" s="88">
        <f t="shared" ca="1" si="327"/>
        <v>0</v>
      </c>
      <c r="EA117" s="88">
        <f t="shared" ca="1" si="327"/>
        <v>0</v>
      </c>
      <c r="EB117" s="88">
        <f t="shared" ca="1" si="327"/>
        <v>0</v>
      </c>
      <c r="EC117" s="88">
        <f t="shared" ca="1" si="327"/>
        <v>0</v>
      </c>
      <c r="ED117" s="88">
        <f t="shared" ca="1" si="327"/>
        <v>0</v>
      </c>
      <c r="EE117" s="88">
        <f t="shared" ca="1" si="328"/>
        <v>0</v>
      </c>
      <c r="EF117" s="88">
        <f t="shared" ca="1" si="328"/>
        <v>0</v>
      </c>
      <c r="EG117" s="88">
        <f t="shared" ca="1" si="328"/>
        <v>0</v>
      </c>
      <c r="EH117" s="88">
        <f t="shared" ca="1" si="328"/>
        <v>0</v>
      </c>
      <c r="EI117" s="88">
        <f t="shared" ca="1" si="328"/>
        <v>0</v>
      </c>
      <c r="EJ117" s="88">
        <f t="shared" ca="1" si="328"/>
        <v>0</v>
      </c>
      <c r="EK117" s="88">
        <f t="shared" ca="1" si="328"/>
        <v>0</v>
      </c>
      <c r="EL117" s="88">
        <f t="shared" ca="1" si="328"/>
        <v>0</v>
      </c>
      <c r="EM117" s="88">
        <f t="shared" ca="1" si="328"/>
        <v>0</v>
      </c>
      <c r="EN117" s="88">
        <f t="shared" ca="1" si="328"/>
        <v>0</v>
      </c>
      <c r="EO117" s="88">
        <f t="shared" ca="1" si="328"/>
        <v>0</v>
      </c>
      <c r="EP117" s="88">
        <f t="shared" ca="1" si="328"/>
        <v>0</v>
      </c>
      <c r="EQ117" s="88">
        <f t="shared" ca="1" si="328"/>
        <v>0</v>
      </c>
      <c r="ER117" s="88">
        <f t="shared" ca="1" si="328"/>
        <v>0</v>
      </c>
      <c r="ES117" s="88">
        <f t="shared" ca="1" si="328"/>
        <v>0</v>
      </c>
      <c r="ET117" s="169"/>
      <c r="EU117" s="88">
        <f t="shared" ca="1" si="329"/>
        <v>0</v>
      </c>
      <c r="EV117" s="88">
        <f t="shared" ca="1" si="329"/>
        <v>0</v>
      </c>
      <c r="EW117" s="88">
        <f t="shared" ca="1" si="329"/>
        <v>0</v>
      </c>
      <c r="EX117" s="88">
        <f t="shared" ca="1" si="329"/>
        <v>0</v>
      </c>
      <c r="EY117" s="88">
        <f t="shared" ca="1" si="329"/>
        <v>0</v>
      </c>
      <c r="EZ117" s="88">
        <f t="shared" ca="1" si="329"/>
        <v>0</v>
      </c>
      <c r="FA117" s="88">
        <f t="shared" ca="1" si="329"/>
        <v>0</v>
      </c>
      <c r="FB117" s="88">
        <f t="shared" ca="1" si="329"/>
        <v>0</v>
      </c>
      <c r="FC117" s="88">
        <f t="shared" ca="1" si="329"/>
        <v>0</v>
      </c>
      <c r="FD117" s="88">
        <f t="shared" ca="1" si="329"/>
        <v>0</v>
      </c>
      <c r="FE117" s="88">
        <f t="shared" ca="1" si="330"/>
        <v>0</v>
      </c>
      <c r="FF117" s="88">
        <f t="shared" ca="1" si="330"/>
        <v>0</v>
      </c>
      <c r="FG117" s="88">
        <f t="shared" ca="1" si="330"/>
        <v>0</v>
      </c>
      <c r="FH117" s="88">
        <f t="shared" ca="1" si="330"/>
        <v>0</v>
      </c>
      <c r="FI117" s="88">
        <f t="shared" ca="1" si="330"/>
        <v>0</v>
      </c>
      <c r="FJ117" s="88">
        <f t="shared" ca="1" si="330"/>
        <v>0</v>
      </c>
      <c r="FK117" s="88">
        <f t="shared" ca="1" si="330"/>
        <v>0</v>
      </c>
      <c r="FL117" s="88">
        <f t="shared" ca="1" si="330"/>
        <v>0</v>
      </c>
      <c r="FM117" s="88">
        <f t="shared" ca="1" si="330"/>
        <v>0</v>
      </c>
      <c r="FN117" s="88">
        <f t="shared" ca="1" si="330"/>
        <v>0</v>
      </c>
      <c r="FO117" s="88">
        <f t="shared" ca="1" si="331"/>
        <v>0</v>
      </c>
      <c r="FP117" s="88">
        <f t="shared" ca="1" si="331"/>
        <v>0</v>
      </c>
      <c r="FQ117" s="88">
        <f t="shared" ca="1" si="331"/>
        <v>0</v>
      </c>
      <c r="FR117" s="88">
        <f t="shared" ca="1" si="331"/>
        <v>0</v>
      </c>
      <c r="FS117" s="88">
        <f t="shared" ca="1" si="331"/>
        <v>0</v>
      </c>
      <c r="FT117" s="88">
        <f t="shared" ca="1" si="331"/>
        <v>0</v>
      </c>
      <c r="FU117" s="88">
        <f t="shared" ca="1" si="331"/>
        <v>0</v>
      </c>
      <c r="FV117" s="88">
        <f t="shared" ca="1" si="331"/>
        <v>0</v>
      </c>
      <c r="FW117" s="88">
        <f t="shared" ca="1" si="331"/>
        <v>0</v>
      </c>
      <c r="FX117" s="88">
        <f t="shared" ca="1" si="331"/>
        <v>0</v>
      </c>
      <c r="FY117" s="88">
        <f t="shared" ca="1" si="331"/>
        <v>0</v>
      </c>
      <c r="FZ117" s="88">
        <f t="shared" ca="1" si="331"/>
        <v>0</v>
      </c>
      <c r="GA117" s="88">
        <f t="shared" ca="1" si="331"/>
        <v>0</v>
      </c>
      <c r="GB117" s="88">
        <f t="shared" ca="1" si="331"/>
        <v>0</v>
      </c>
      <c r="GC117" s="88">
        <f t="shared" ca="1" si="331"/>
        <v>0</v>
      </c>
      <c r="GD117" s="60"/>
    </row>
    <row r="118" spans="1:186" s="54" customFormat="1" ht="14.45" customHeight="1">
      <c r="A118" s="61"/>
      <c r="B118" s="100" t="str">
        <f t="shared" si="277"/>
        <v>C&amp;I_C&amp;I Prescriptive_0_LED Outdoor Pole/Arm Mounted Parking Roadway (&gt;75W to 150W)_2017</v>
      </c>
      <c r="C118" s="100">
        <f>INDEX('Measure Inputs'!$D:$D,MATCH($B118,'Measure Inputs'!$B:$B,0))</f>
        <v>70</v>
      </c>
      <c r="D118" s="101" t="s">
        <v>256</v>
      </c>
      <c r="E118" s="101" t="s">
        <v>255</v>
      </c>
      <c r="F118" s="101">
        <v>0</v>
      </c>
      <c r="G118" s="101" t="s">
        <v>371</v>
      </c>
      <c r="H118" s="101">
        <v>2017</v>
      </c>
      <c r="I118" s="55"/>
      <c r="J118" s="58">
        <f t="shared" ca="1" si="229"/>
        <v>0.93870521297776344</v>
      </c>
      <c r="K118" s="58">
        <f t="shared" ca="1" si="246"/>
        <v>2.6216695591021821</v>
      </c>
      <c r="L118" s="58">
        <f t="shared" ca="1" si="230"/>
        <v>0.35805626598465473</v>
      </c>
      <c r="M118" s="58">
        <f t="shared" ca="1" si="231"/>
        <v>1.2524556562473108</v>
      </c>
      <c r="N118" s="58">
        <f t="shared" ca="1" si="232"/>
        <v>2.6216695591021821</v>
      </c>
      <c r="O118" s="55"/>
      <c r="P118" s="175">
        <f ca="1">IFERROR(($AW118+AV118)/SUMPRODUCT($CA118:$DI118,'General Inputs'!$F$51:$AN$51),"n/a")</f>
        <v>1.3651453084991357E-2</v>
      </c>
      <c r="Q118" s="175">
        <f t="shared" ca="1" si="309"/>
        <v>0.11673731219676443</v>
      </c>
      <c r="R118" s="56">
        <f t="shared" ca="1" si="310"/>
        <v>167.89833199999998</v>
      </c>
      <c r="S118" s="55"/>
      <c r="T118" s="56">
        <f ca="1">INDEX(OFFSET('Measure Inputs'!$L$7,,,InputRows),$C118)</f>
        <v>10</v>
      </c>
      <c r="U118" s="134">
        <f ca="1">INDEX(OFFSET('Measure Inputs'!$T$7,,,InputRows),$C118)</f>
        <v>1</v>
      </c>
      <c r="V118" s="134">
        <f ca="1">INDEX(OFFSET('Measure Inputs'!$U$7,,,InputRows),$C118)</f>
        <v>1</v>
      </c>
      <c r="W118" s="55"/>
      <c r="X118" s="96">
        <f ca="1">INDEX(OFFSET('Measure Inputs'!$V$7,,,InputRows),$C118)*$T118*$V118*$U118</f>
        <v>11992.737999999998</v>
      </c>
      <c r="Y118" s="96">
        <f ca="1">INDEX(OFFSET('Measure Inputs'!$W$7,,,InputRows),$C118)*$T118*$V118*$U118</f>
        <v>2.4459999999999997</v>
      </c>
      <c r="Z118" s="96">
        <f ca="1">INDEX(OFFSET('Measure Inputs'!$X$7,,,InputRows),$C118)*$T118*$V118*$U118</f>
        <v>0</v>
      </c>
      <c r="AA118" s="55"/>
      <c r="AB118" s="96">
        <f ca="1">INDEX(OFFSET('Measure Inputs'!$Z$7,,,InputRows),$C118)*$T118*$V118*$U118</f>
        <v>0</v>
      </c>
      <c r="AC118" s="96">
        <f ca="1">INDEX(OFFSET('Measure Inputs'!$AA$7,,,InputRows),$C118)*$T118*$V118*$U118</f>
        <v>0</v>
      </c>
      <c r="AD118" s="96">
        <f ca="1">INDEX(OFFSET('Measure Inputs'!$AB$7,,,InputRows),$C118)*$T118*$V118*$U118</f>
        <v>0</v>
      </c>
      <c r="AE118" s="55"/>
      <c r="AF118" s="57">
        <f ca="1">INDEX(OFFSET('Measure Inputs'!$Q$7,,,InputRows),$C118)*$T118</f>
        <v>0</v>
      </c>
      <c r="AG118" s="57">
        <f ca="1">INDEX(OFFSET('Measure Inputs'!$P$7,,,InputRows),$C118)*$T118*$V118</f>
        <v>3910</v>
      </c>
      <c r="AH118" s="57">
        <f ca="1">INDEX(OFFSET('Measure Inputs'!$R$7,,,InputRows),$C118)*$T118*$V118</f>
        <v>0</v>
      </c>
      <c r="AI118" s="57">
        <f ca="1">INDEX(OFFSET('Measure Inputs'!$O$7,,,InputRows),$C118)*$T118</f>
        <v>1400</v>
      </c>
      <c r="AJ118" s="57">
        <f ca="1">INDEX(OFFSET('Measure Inputs'!$S$7,,,InputRows),$C118)*$T118</f>
        <v>0</v>
      </c>
      <c r="AK118" s="63">
        <f ca="1">INDEX(OFFSET('Measure Inputs'!$M$7,,,InputRows),$C118)</f>
        <v>14</v>
      </c>
      <c r="AL118" s="88">
        <f ca="1">INDEX(OFFSET('Measure Inputs'!$N$7,,,InputRows),$C118)</f>
        <v>0</v>
      </c>
      <c r="AM118" s="57">
        <f ca="1">SUMIFS(OFFSET('Program Inputs'!$N$5,,,TotalPrograms),OFFSET('Program Inputs'!$B$5,,,TotalPrograms),SUBSTITUTE($B118,"All","*"))+AF118</f>
        <v>0</v>
      </c>
      <c r="AN118" s="57">
        <f t="shared" ca="1" si="311"/>
        <v>1400</v>
      </c>
      <c r="AO118" s="55"/>
      <c r="AP118" s="59">
        <f t="shared" ca="1" si="312"/>
        <v>3670.3373827430551</v>
      </c>
      <c r="AQ118" s="59">
        <f t="shared" ca="1" si="313"/>
        <v>3910</v>
      </c>
      <c r="AR118" s="59">
        <f ca="1">SUMPRODUCT($CA118:$DI118,'General Inputs'!$F$32:$AN$32,'General Inputs'!$F$51:$AN$51)/(1-Loss_ElectricEnergy)</f>
        <v>3200.7810827630556</v>
      </c>
      <c r="AS118" s="59">
        <f ca="1">SUMPRODUCT($DK118:$ES118,'General Inputs'!$F$33:$AN$33,'General Inputs'!$F$51:$AN$51)/(1-Loss_ElectricDemand)</f>
        <v>469.55629997999927</v>
      </c>
      <c r="AT118" s="59">
        <f ca="1">SUMPRODUCT($EU118:$GC118,'General Inputs'!$F$34:$AN$34,'General Inputs'!$F$51:$AN$51)/(1-Loss_GasEnergy)</f>
        <v>0</v>
      </c>
      <c r="AU118" s="59">
        <f ca="1">INDEX('General Inputs'!$F$51:$AN$51,MATCH($H118,'General Inputs'!$F$50:$AN$50,0))*$AJ118</f>
        <v>0</v>
      </c>
      <c r="AV118" s="59">
        <f ca="1">INDEX('General Inputs'!$F$51:$AN$51,MATCH($H118,'General Inputs'!$F$50:$AN$50,0))*$AI118</f>
        <v>1400</v>
      </c>
      <c r="AW118" s="59">
        <f ca="1">INDEX('General Inputs'!$F$51:$AN$51,MATCH($H118,'General Inputs'!$F$50:$AN$50,0))*$AM118</f>
        <v>0</v>
      </c>
      <c r="AX118" s="59">
        <f ca="1">SUM(INDEX('General Inputs'!$F$51:$AN$51,MATCH($H118,'General Inputs'!$F$50:$AN$50,0))*$AG118,INDEX('General Inputs'!$F$51:$AN$51,MATCH($H118+$AL118,'General Inputs'!$F$50:$AN$50,0))*-$AH118)</f>
        <v>3910</v>
      </c>
      <c r="AY118" s="55"/>
      <c r="AZ118" s="59">
        <f ca="1">SUMPRODUCT($CA118:$DI118,'General Inputs'!$F$32:$AN$32,'General Inputs'!$F$52:$AN$52)/(1-Loss_ElectricEnergy)</f>
        <v>3200.7810827630556</v>
      </c>
      <c r="BA118" s="59">
        <f ca="1">SUMPRODUCT($DK118:$ES118,'General Inputs'!$F$33:$AN$33,'General Inputs'!$F$52:$AN$52)/(1-Loss_ElectricDemand)</f>
        <v>469.55629997999927</v>
      </c>
      <c r="BB118" s="59">
        <f ca="1">SUMPRODUCT($EU118:$GC118,'General Inputs'!$F$34:$AN$34,'General Inputs'!$F$52:$AN$52)/(1-Loss_GasEnergy)</f>
        <v>0</v>
      </c>
      <c r="BC118" s="59">
        <f ca="1">INDEX('General Inputs'!$F$52:$AN$52,MATCH($H118,'General Inputs'!$F$50:$AN$50,0))*$AI118</f>
        <v>1400</v>
      </c>
      <c r="BD118" s="59">
        <f ca="1">INDEX('General Inputs'!$F$52:$AN$52,MATCH($H118,'General Inputs'!$F$50:$AN$50,0))*$AM118</f>
        <v>0</v>
      </c>
      <c r="BE118" s="55"/>
      <c r="BF118" s="59">
        <f ca="1">SUMPRODUCT($CA118:$DI118,OFFSET('General Inputs'!$F$40:$AN$40,MATCH($D118&amp;" Electric ($/kWh)",'General Inputs'!$E$40:$E$46,0),),'General Inputs'!$F$54:$AN$54)</f>
        <v>0</v>
      </c>
      <c r="BG118" s="59">
        <f ca="1">SUMPRODUCT($EU118:$GC118,OFFSET('General Inputs'!$F$40:$AN$40,MATCH($D118&amp;" Natural Gas ($/therm)",'General Inputs'!$E$40:$E$46,0),),'General Inputs'!$F$54:$AN$54)</f>
        <v>0</v>
      </c>
      <c r="BH118" s="59">
        <f ca="1">INDEX('General Inputs'!$F$54:$AN$54,MATCH($H118,'General Inputs'!$F$50:$AN$50,0))*$AI118</f>
        <v>1400</v>
      </c>
      <c r="BI118" s="59">
        <f ca="1">SUM(INDEX('General Inputs'!$F$54:$AN$54,MATCH($H118,'General Inputs'!$F$50:$AN$50,0))*$AG118,INDEX('General Inputs'!$F$51:$AN$51,MATCH($H118+$AL118,'General Inputs'!$F$50:$AN$50,0))*-$AH118)</f>
        <v>3910</v>
      </c>
      <c r="BJ118" s="55"/>
      <c r="BK118" s="59">
        <f ca="1">SUMPRODUCT($CA118:$DI118,'General Inputs'!$F$32:$AN$32,'General Inputs'!$F$53:$AN$53)/(1-Loss_ElectricEnergy)</f>
        <v>3200.7810827630556</v>
      </c>
      <c r="BL118" s="59">
        <f ca="1">SUMPRODUCT($DK118:$ES118,'General Inputs'!$F$33:$AN$33,'General Inputs'!$F$53:$AN$53)/(1-Loss_ElectricDemand)</f>
        <v>469.55629997999927</v>
      </c>
      <c r="BM118" s="59">
        <f ca="1">SUMPRODUCT($EU118:$GC118,'General Inputs'!$F$34:$AN$34,'General Inputs'!$F$53:$AN$53)/(1-Loss_GasEnergy)</f>
        <v>0</v>
      </c>
      <c r="BN118" s="59">
        <f ca="1">INDEX('General Inputs'!$F$53:$AN$53,MATCH($H118,'General Inputs'!$F$50:$AN$50,0))*$AJ118</f>
        <v>0</v>
      </c>
      <c r="BO118" s="59">
        <f ca="1">SUMPRODUCT($CA118:$DI118,'General Inputs'!$F$35:$AN$35,'General Inputs'!$F$53:$AN$53)/(1-Loss_ElectricEnergy)</f>
        <v>1226.7642331839304</v>
      </c>
      <c r="BP118" s="59">
        <f ca="1">INDEX('General Inputs'!$F$51:$AN$51,MATCH($H118,'General Inputs'!$F$50:$AN$50,0))*$AM118</f>
        <v>0</v>
      </c>
      <c r="BQ118" s="59">
        <f ca="1">SUM(INDEX('General Inputs'!$F$53:$AN$53,MATCH($H118,'General Inputs'!$F$50:$AN$50,0))*$AG118,INDEX('General Inputs'!$F$53:$AN$53,MATCH($H118+$AL118,'General Inputs'!$F$50:$AN$50,0))*-$AH118)</f>
        <v>3910</v>
      </c>
      <c r="BR118" s="55"/>
      <c r="BS118" s="59">
        <f ca="1">SUMPRODUCT($CA118:$DI118,'General Inputs'!$F$32:$AN$32,'General Inputs'!$F$55:$AN$55)/(1-Loss_ElectricEnergy)</f>
        <v>3200.7810827630556</v>
      </c>
      <c r="BT118" s="59">
        <f ca="1">SUMPRODUCT($DK118:$ES118,'General Inputs'!$F$33:$AN$33,'General Inputs'!$F$55:$AN$55)/(1-Loss_ElectricDemand)</f>
        <v>469.55629997999927</v>
      </c>
      <c r="BU118" s="59">
        <f ca="1">SUMPRODUCT($EU118:$GC118,'General Inputs'!$F$34:$AN$34,'General Inputs'!$F$55:$AN$55)/(1-Loss_GasEnergy)</f>
        <v>0</v>
      </c>
      <c r="BV118" s="59">
        <f ca="1">SUMPRODUCT($CA118:$DI118,OFFSET('General Inputs'!$F$40:$AN$40,MATCH($D118&amp;" Electric ($/kWh)",'General Inputs'!$E$40:$E$46,0),),'General Inputs'!$F$55:$AN$55)</f>
        <v>0</v>
      </c>
      <c r="BW118" s="59">
        <f ca="1">SUMPRODUCT($EU118:$GC118,OFFSET('General Inputs'!$F$40:$AN$40,MATCH($D118&amp;" Natural Gas ($/therm)",'General Inputs'!$E$40:$E$46,0),),'General Inputs'!$F$55:$AN$55)</f>
        <v>0</v>
      </c>
      <c r="BX118" s="59">
        <f ca="1">INDEX('General Inputs'!$F$55:$AN$55,MATCH($H118,'General Inputs'!$F$50:$AN$50,0))*$AI118</f>
        <v>1400</v>
      </c>
      <c r="BY118" s="59">
        <f ca="1">INDEX('General Inputs'!$F$51:$AN$51,MATCH($H118,'General Inputs'!$F$50:$AN$50,0))*$AM118</f>
        <v>0</v>
      </c>
      <c r="BZ118" s="55"/>
      <c r="CA118" s="88">
        <f t="shared" ca="1" si="323"/>
        <v>11992.737999999998</v>
      </c>
      <c r="CB118" s="88">
        <f t="shared" ca="1" si="323"/>
        <v>11992.737999999998</v>
      </c>
      <c r="CC118" s="88">
        <f t="shared" ca="1" si="323"/>
        <v>11992.737999999998</v>
      </c>
      <c r="CD118" s="88">
        <f t="shared" ca="1" si="323"/>
        <v>11992.737999999998</v>
      </c>
      <c r="CE118" s="88">
        <f t="shared" ca="1" si="323"/>
        <v>11992.737999999998</v>
      </c>
      <c r="CF118" s="88">
        <f t="shared" ca="1" si="323"/>
        <v>11992.737999999998</v>
      </c>
      <c r="CG118" s="88">
        <f t="shared" ca="1" si="323"/>
        <v>11992.737999999998</v>
      </c>
      <c r="CH118" s="88">
        <f t="shared" ca="1" si="323"/>
        <v>11992.737999999998</v>
      </c>
      <c r="CI118" s="88">
        <f t="shared" ca="1" si="323"/>
        <v>11992.737999999998</v>
      </c>
      <c r="CJ118" s="88">
        <f t="shared" ca="1" si="323"/>
        <v>11992.737999999998</v>
      </c>
      <c r="CK118" s="88">
        <f t="shared" ca="1" si="324"/>
        <v>11992.737999999998</v>
      </c>
      <c r="CL118" s="88">
        <f t="shared" ca="1" si="324"/>
        <v>11992.737999999998</v>
      </c>
      <c r="CM118" s="88">
        <f t="shared" ca="1" si="324"/>
        <v>11992.737999999998</v>
      </c>
      <c r="CN118" s="88">
        <f t="shared" ca="1" si="324"/>
        <v>11992.737999999998</v>
      </c>
      <c r="CO118" s="88">
        <f t="shared" ca="1" si="324"/>
        <v>0</v>
      </c>
      <c r="CP118" s="88">
        <f t="shared" ca="1" si="324"/>
        <v>0</v>
      </c>
      <c r="CQ118" s="88">
        <f t="shared" ca="1" si="324"/>
        <v>0</v>
      </c>
      <c r="CR118" s="88">
        <f t="shared" ca="1" si="324"/>
        <v>0</v>
      </c>
      <c r="CS118" s="88">
        <f t="shared" ca="1" si="324"/>
        <v>0</v>
      </c>
      <c r="CT118" s="88">
        <f t="shared" ca="1" si="324"/>
        <v>0</v>
      </c>
      <c r="CU118" s="88">
        <f t="shared" ca="1" si="325"/>
        <v>0</v>
      </c>
      <c r="CV118" s="88">
        <f t="shared" ca="1" si="325"/>
        <v>0</v>
      </c>
      <c r="CW118" s="88">
        <f t="shared" ca="1" si="325"/>
        <v>0</v>
      </c>
      <c r="CX118" s="88">
        <f t="shared" ca="1" si="325"/>
        <v>0</v>
      </c>
      <c r="CY118" s="88">
        <f t="shared" ca="1" si="325"/>
        <v>0</v>
      </c>
      <c r="CZ118" s="88">
        <f t="shared" ca="1" si="325"/>
        <v>0</v>
      </c>
      <c r="DA118" s="88">
        <f t="shared" ca="1" si="325"/>
        <v>0</v>
      </c>
      <c r="DB118" s="88">
        <f t="shared" ca="1" si="325"/>
        <v>0</v>
      </c>
      <c r="DC118" s="88">
        <f t="shared" ca="1" si="325"/>
        <v>0</v>
      </c>
      <c r="DD118" s="88">
        <f t="shared" ca="1" si="325"/>
        <v>0</v>
      </c>
      <c r="DE118" s="88">
        <f t="shared" ca="1" si="325"/>
        <v>0</v>
      </c>
      <c r="DF118" s="88">
        <f t="shared" ca="1" si="325"/>
        <v>0</v>
      </c>
      <c r="DG118" s="88">
        <f t="shared" ca="1" si="325"/>
        <v>0</v>
      </c>
      <c r="DH118" s="88">
        <f t="shared" ca="1" si="325"/>
        <v>0</v>
      </c>
      <c r="DI118" s="88">
        <f t="shared" ca="1" si="325"/>
        <v>0</v>
      </c>
      <c r="DJ118" s="169"/>
      <c r="DK118" s="88">
        <f t="shared" ca="1" si="326"/>
        <v>2.4459999999999997</v>
      </c>
      <c r="DL118" s="88">
        <f t="shared" ca="1" si="326"/>
        <v>2.4459999999999997</v>
      </c>
      <c r="DM118" s="88">
        <f t="shared" ca="1" si="326"/>
        <v>2.4459999999999997</v>
      </c>
      <c r="DN118" s="88">
        <f t="shared" ca="1" si="326"/>
        <v>2.4459999999999997</v>
      </c>
      <c r="DO118" s="88">
        <f t="shared" ca="1" si="326"/>
        <v>2.4459999999999997</v>
      </c>
      <c r="DP118" s="88">
        <f t="shared" ca="1" si="326"/>
        <v>2.4459999999999997</v>
      </c>
      <c r="DQ118" s="88">
        <f t="shared" ca="1" si="326"/>
        <v>2.4459999999999997</v>
      </c>
      <c r="DR118" s="88">
        <f t="shared" ca="1" si="326"/>
        <v>2.4459999999999997</v>
      </c>
      <c r="DS118" s="88">
        <f t="shared" ca="1" si="326"/>
        <v>2.4459999999999997</v>
      </c>
      <c r="DT118" s="88">
        <f t="shared" ca="1" si="326"/>
        <v>2.4459999999999997</v>
      </c>
      <c r="DU118" s="88">
        <f t="shared" ca="1" si="327"/>
        <v>2.4459999999999997</v>
      </c>
      <c r="DV118" s="88">
        <f t="shared" ca="1" si="327"/>
        <v>2.4459999999999997</v>
      </c>
      <c r="DW118" s="88">
        <f t="shared" ca="1" si="327"/>
        <v>2.4459999999999997</v>
      </c>
      <c r="DX118" s="88">
        <f t="shared" ca="1" si="327"/>
        <v>2.4459999999999997</v>
      </c>
      <c r="DY118" s="88">
        <f t="shared" ca="1" si="327"/>
        <v>0</v>
      </c>
      <c r="DZ118" s="88">
        <f t="shared" ca="1" si="327"/>
        <v>0</v>
      </c>
      <c r="EA118" s="88">
        <f t="shared" ca="1" si="327"/>
        <v>0</v>
      </c>
      <c r="EB118" s="88">
        <f t="shared" ca="1" si="327"/>
        <v>0</v>
      </c>
      <c r="EC118" s="88">
        <f t="shared" ca="1" si="327"/>
        <v>0</v>
      </c>
      <c r="ED118" s="88">
        <f t="shared" ca="1" si="327"/>
        <v>0</v>
      </c>
      <c r="EE118" s="88">
        <f t="shared" ca="1" si="328"/>
        <v>0</v>
      </c>
      <c r="EF118" s="88">
        <f t="shared" ca="1" si="328"/>
        <v>0</v>
      </c>
      <c r="EG118" s="88">
        <f t="shared" ca="1" si="328"/>
        <v>0</v>
      </c>
      <c r="EH118" s="88">
        <f t="shared" ca="1" si="328"/>
        <v>0</v>
      </c>
      <c r="EI118" s="88">
        <f t="shared" ca="1" si="328"/>
        <v>0</v>
      </c>
      <c r="EJ118" s="88">
        <f t="shared" ca="1" si="328"/>
        <v>0</v>
      </c>
      <c r="EK118" s="88">
        <f t="shared" ca="1" si="328"/>
        <v>0</v>
      </c>
      <c r="EL118" s="88">
        <f t="shared" ca="1" si="328"/>
        <v>0</v>
      </c>
      <c r="EM118" s="88">
        <f t="shared" ca="1" si="328"/>
        <v>0</v>
      </c>
      <c r="EN118" s="88">
        <f t="shared" ca="1" si="328"/>
        <v>0</v>
      </c>
      <c r="EO118" s="88">
        <f t="shared" ca="1" si="328"/>
        <v>0</v>
      </c>
      <c r="EP118" s="88">
        <f t="shared" ca="1" si="328"/>
        <v>0</v>
      </c>
      <c r="EQ118" s="88">
        <f t="shared" ca="1" si="328"/>
        <v>0</v>
      </c>
      <c r="ER118" s="88">
        <f t="shared" ca="1" si="328"/>
        <v>0</v>
      </c>
      <c r="ES118" s="88">
        <f t="shared" ca="1" si="328"/>
        <v>0</v>
      </c>
      <c r="ET118" s="169"/>
      <c r="EU118" s="88">
        <f t="shared" ca="1" si="329"/>
        <v>0</v>
      </c>
      <c r="EV118" s="88">
        <f t="shared" ca="1" si="329"/>
        <v>0</v>
      </c>
      <c r="EW118" s="88">
        <f t="shared" ca="1" si="329"/>
        <v>0</v>
      </c>
      <c r="EX118" s="88">
        <f t="shared" ca="1" si="329"/>
        <v>0</v>
      </c>
      <c r="EY118" s="88">
        <f t="shared" ca="1" si="329"/>
        <v>0</v>
      </c>
      <c r="EZ118" s="88">
        <f t="shared" ca="1" si="329"/>
        <v>0</v>
      </c>
      <c r="FA118" s="88">
        <f t="shared" ca="1" si="329"/>
        <v>0</v>
      </c>
      <c r="FB118" s="88">
        <f t="shared" ca="1" si="329"/>
        <v>0</v>
      </c>
      <c r="FC118" s="88">
        <f t="shared" ca="1" si="329"/>
        <v>0</v>
      </c>
      <c r="FD118" s="88">
        <f t="shared" ca="1" si="329"/>
        <v>0</v>
      </c>
      <c r="FE118" s="88">
        <f t="shared" ca="1" si="330"/>
        <v>0</v>
      </c>
      <c r="FF118" s="88">
        <f t="shared" ca="1" si="330"/>
        <v>0</v>
      </c>
      <c r="FG118" s="88">
        <f t="shared" ca="1" si="330"/>
        <v>0</v>
      </c>
      <c r="FH118" s="88">
        <f t="shared" ca="1" si="330"/>
        <v>0</v>
      </c>
      <c r="FI118" s="88">
        <f t="shared" ca="1" si="330"/>
        <v>0</v>
      </c>
      <c r="FJ118" s="88">
        <f t="shared" ca="1" si="330"/>
        <v>0</v>
      </c>
      <c r="FK118" s="88">
        <f t="shared" ca="1" si="330"/>
        <v>0</v>
      </c>
      <c r="FL118" s="88">
        <f t="shared" ca="1" si="330"/>
        <v>0</v>
      </c>
      <c r="FM118" s="88">
        <f t="shared" ca="1" si="330"/>
        <v>0</v>
      </c>
      <c r="FN118" s="88">
        <f t="shared" ca="1" si="330"/>
        <v>0</v>
      </c>
      <c r="FO118" s="88">
        <f t="shared" ca="1" si="331"/>
        <v>0</v>
      </c>
      <c r="FP118" s="88">
        <f t="shared" ca="1" si="331"/>
        <v>0</v>
      </c>
      <c r="FQ118" s="88">
        <f t="shared" ca="1" si="331"/>
        <v>0</v>
      </c>
      <c r="FR118" s="88">
        <f t="shared" ca="1" si="331"/>
        <v>0</v>
      </c>
      <c r="FS118" s="88">
        <f t="shared" ca="1" si="331"/>
        <v>0</v>
      </c>
      <c r="FT118" s="88">
        <f t="shared" ca="1" si="331"/>
        <v>0</v>
      </c>
      <c r="FU118" s="88">
        <f t="shared" ca="1" si="331"/>
        <v>0</v>
      </c>
      <c r="FV118" s="88">
        <f t="shared" ca="1" si="331"/>
        <v>0</v>
      </c>
      <c r="FW118" s="88">
        <f t="shared" ca="1" si="331"/>
        <v>0</v>
      </c>
      <c r="FX118" s="88">
        <f t="shared" ca="1" si="331"/>
        <v>0</v>
      </c>
      <c r="FY118" s="88">
        <f t="shared" ca="1" si="331"/>
        <v>0</v>
      </c>
      <c r="FZ118" s="88">
        <f t="shared" ca="1" si="331"/>
        <v>0</v>
      </c>
      <c r="GA118" s="88">
        <f t="shared" ca="1" si="331"/>
        <v>0</v>
      </c>
      <c r="GB118" s="88">
        <f t="shared" ca="1" si="331"/>
        <v>0</v>
      </c>
      <c r="GC118" s="88">
        <f t="shared" ca="1" si="331"/>
        <v>0</v>
      </c>
      <c r="GD118" s="60"/>
    </row>
    <row r="119" spans="1:186" s="54" customFormat="1" ht="14.45" customHeight="1">
      <c r="A119" s="61"/>
      <c r="B119" s="100" t="str">
        <f t="shared" si="277"/>
        <v>C&amp;I_C&amp;I Prescriptive_0_Split Package Heat Pump_2017</v>
      </c>
      <c r="C119" s="100">
        <f>INDEX('Measure Inputs'!$D:$D,MATCH($B119,'Measure Inputs'!$B:$B,0))</f>
        <v>71</v>
      </c>
      <c r="D119" s="101" t="s">
        <v>256</v>
      </c>
      <c r="E119" s="101" t="s">
        <v>255</v>
      </c>
      <c r="F119" s="101">
        <v>0</v>
      </c>
      <c r="G119" s="101" t="s">
        <v>312</v>
      </c>
      <c r="H119" s="101">
        <v>2017</v>
      </c>
      <c r="I119" s="55"/>
      <c r="J119" s="58">
        <f t="shared" ca="1" si="229"/>
        <v>1.6492720838814652</v>
      </c>
      <c r="K119" s="58">
        <f t="shared" ca="1" si="246"/>
        <v>2.4409226841445686</v>
      </c>
      <c r="L119" s="58">
        <f t="shared" ca="1" si="230"/>
        <v>0.67567567567567566</v>
      </c>
      <c r="M119" s="58">
        <f t="shared" ca="1" si="231"/>
        <v>2.2163859085189563</v>
      </c>
      <c r="N119" s="58">
        <f t="shared" ca="1" si="232"/>
        <v>2.4409226841445686</v>
      </c>
      <c r="O119" s="55"/>
      <c r="P119" s="175">
        <f ca="1">IFERROR(($AW119+AV119)/SUMPRODUCT($CA119:$DI119,'General Inputs'!$F$51:$AN$51),"n/a")</f>
        <v>1.4252137414039549E-2</v>
      </c>
      <c r="Q119" s="175">
        <f t="shared" ca="1" si="309"/>
        <v>0.12622744825765034</v>
      </c>
      <c r="R119" s="56">
        <f t="shared" ca="1" si="310"/>
        <v>118.83310806840208</v>
      </c>
      <c r="S119" s="55"/>
      <c r="T119" s="56">
        <f ca="1">INDEX(OFFSET('Measure Inputs'!$L$7,,,InputRows),$C119)</f>
        <v>4</v>
      </c>
      <c r="U119" s="134">
        <f ca="1">INDEX(OFFSET('Measure Inputs'!$T$7,,,InputRows),$C119)</f>
        <v>1</v>
      </c>
      <c r="V119" s="134">
        <f ca="1">INDEX(OFFSET('Measure Inputs'!$U$7,,,InputRows),$C119)</f>
        <v>1</v>
      </c>
      <c r="W119" s="55"/>
      <c r="X119" s="96">
        <f ca="1">INDEX(OFFSET('Measure Inputs'!$V$7,,,InputRows),$C119)*$T119*$V119*$U119</f>
        <v>7922.2072045601408</v>
      </c>
      <c r="Y119" s="96">
        <f ca="1">INDEX(OFFSET('Measure Inputs'!$W$7,,,InputRows),$C119)*$T119*$V119*$U119</f>
        <v>1.2039560439560457</v>
      </c>
      <c r="Z119" s="96">
        <f ca="1">INDEX(OFFSET('Measure Inputs'!$X$7,,,InputRows),$C119)*$T119*$V119*$U119</f>
        <v>0</v>
      </c>
      <c r="AA119" s="55"/>
      <c r="AB119" s="96">
        <f ca="1">INDEX(OFFSET('Measure Inputs'!$Z$7,,,InputRows),$C119)*$T119*$V119*$U119</f>
        <v>0</v>
      </c>
      <c r="AC119" s="96">
        <f ca="1">INDEX(OFFSET('Measure Inputs'!$AA$7,,,InputRows),$C119)*$T119*$V119*$U119</f>
        <v>0</v>
      </c>
      <c r="AD119" s="96">
        <f ca="1">INDEX(OFFSET('Measure Inputs'!$AB$7,,,InputRows),$C119)*$T119*$V119*$U119</f>
        <v>0</v>
      </c>
      <c r="AE119" s="55"/>
      <c r="AF119" s="57">
        <f ca="1">INDEX(OFFSET('Measure Inputs'!$Q$7,,,InputRows),$C119)*$T119</f>
        <v>0</v>
      </c>
      <c r="AG119" s="57">
        <f ca="1">INDEX(OFFSET('Measure Inputs'!$P$7,,,InputRows),$C119)*$T119*$V119</f>
        <v>1480</v>
      </c>
      <c r="AH119" s="57">
        <f ca="1">INDEX(OFFSET('Measure Inputs'!$R$7,,,InputRows),$C119)*$T119*$V119</f>
        <v>0</v>
      </c>
      <c r="AI119" s="57">
        <f ca="1">INDEX(OFFSET('Measure Inputs'!$O$7,,,InputRows),$C119)*$T119</f>
        <v>1000</v>
      </c>
      <c r="AJ119" s="57">
        <f ca="1">INDEX(OFFSET('Measure Inputs'!$S$7,,,InputRows),$C119)*$T119</f>
        <v>0</v>
      </c>
      <c r="AK119" s="63">
        <f ca="1">INDEX(OFFSET('Measure Inputs'!$M$7,,,InputRows),$C119)</f>
        <v>15</v>
      </c>
      <c r="AL119" s="88">
        <f ca="1">INDEX(OFFSET('Measure Inputs'!$N$7,,,InputRows),$C119)</f>
        <v>0</v>
      </c>
      <c r="AM119" s="57">
        <f ca="1">SUMIFS(OFFSET('Program Inputs'!$N$5,,,TotalPrograms),OFFSET('Program Inputs'!$B$5,,,TotalPrograms),SUBSTITUTE($B119,"All","*"))+AF119</f>
        <v>0</v>
      </c>
      <c r="AN119" s="57">
        <f t="shared" ca="1" si="311"/>
        <v>1000</v>
      </c>
      <c r="AO119" s="55"/>
      <c r="AP119" s="59">
        <f t="shared" ca="1" si="312"/>
        <v>2440.9226841445684</v>
      </c>
      <c r="AQ119" s="59">
        <f t="shared" ca="1" si="313"/>
        <v>1480</v>
      </c>
      <c r="AR119" s="59">
        <f ca="1">SUMPRODUCT($CA119:$DI119,'General Inputs'!$F$32:$AN$32,'General Inputs'!$F$51:$AN$51)/(1-Loss_ElectricEnergy)</f>
        <v>2200.3981916773673</v>
      </c>
      <c r="AS119" s="59">
        <f ca="1">SUMPRODUCT($DK119:$ES119,'General Inputs'!$F$33:$AN$33,'General Inputs'!$F$51:$AN$51)/(1-Loss_ElectricDemand)</f>
        <v>240.52449246720087</v>
      </c>
      <c r="AT119" s="59">
        <f ca="1">SUMPRODUCT($EU119:$GC119,'General Inputs'!$F$34:$AN$34,'General Inputs'!$F$51:$AN$51)/(1-Loss_GasEnergy)</f>
        <v>0</v>
      </c>
      <c r="AU119" s="59">
        <f ca="1">INDEX('General Inputs'!$F$51:$AN$51,MATCH($H119,'General Inputs'!$F$50:$AN$50,0))*$AJ119</f>
        <v>0</v>
      </c>
      <c r="AV119" s="59">
        <f ca="1">INDEX('General Inputs'!$F$51:$AN$51,MATCH($H119,'General Inputs'!$F$50:$AN$50,0))*$AI119</f>
        <v>1000</v>
      </c>
      <c r="AW119" s="59">
        <f ca="1">INDEX('General Inputs'!$F$51:$AN$51,MATCH($H119,'General Inputs'!$F$50:$AN$50,0))*$AM119</f>
        <v>0</v>
      </c>
      <c r="AX119" s="59">
        <f ca="1">SUM(INDEX('General Inputs'!$F$51:$AN$51,MATCH($H119,'General Inputs'!$F$50:$AN$50,0))*$AG119,INDEX('General Inputs'!$F$51:$AN$51,MATCH($H119+$AL119,'General Inputs'!$F$50:$AN$50,0))*-$AH119)</f>
        <v>1480</v>
      </c>
      <c r="AY119" s="55"/>
      <c r="AZ119" s="59">
        <f ca="1">SUMPRODUCT($CA119:$DI119,'General Inputs'!$F$32:$AN$32,'General Inputs'!$F$52:$AN$52)/(1-Loss_ElectricEnergy)</f>
        <v>2200.3981916773673</v>
      </c>
      <c r="BA119" s="59">
        <f ca="1">SUMPRODUCT($DK119:$ES119,'General Inputs'!$F$33:$AN$33,'General Inputs'!$F$52:$AN$52)/(1-Loss_ElectricDemand)</f>
        <v>240.52449246720087</v>
      </c>
      <c r="BB119" s="59">
        <f ca="1">SUMPRODUCT($EU119:$GC119,'General Inputs'!$F$34:$AN$34,'General Inputs'!$F$52:$AN$52)/(1-Loss_GasEnergy)</f>
        <v>0</v>
      </c>
      <c r="BC119" s="59">
        <f ca="1">INDEX('General Inputs'!$F$52:$AN$52,MATCH($H119,'General Inputs'!$F$50:$AN$50,0))*$AI119</f>
        <v>1000</v>
      </c>
      <c r="BD119" s="59">
        <f ca="1">INDEX('General Inputs'!$F$52:$AN$52,MATCH($H119,'General Inputs'!$F$50:$AN$50,0))*$AM119</f>
        <v>0</v>
      </c>
      <c r="BE119" s="55"/>
      <c r="BF119" s="59">
        <f ca="1">SUMPRODUCT($CA119:$DI119,OFFSET('General Inputs'!$F$40:$AN$40,MATCH($D119&amp;" Electric ($/kWh)",'General Inputs'!$E$40:$E$46,0),),'General Inputs'!$F$54:$AN$54)</f>
        <v>0</v>
      </c>
      <c r="BG119" s="59">
        <f ca="1">SUMPRODUCT($EU119:$GC119,OFFSET('General Inputs'!$F$40:$AN$40,MATCH($D119&amp;" Natural Gas ($/therm)",'General Inputs'!$E$40:$E$46,0),),'General Inputs'!$F$54:$AN$54)</f>
        <v>0</v>
      </c>
      <c r="BH119" s="59">
        <f ca="1">INDEX('General Inputs'!$F$54:$AN$54,MATCH($H119,'General Inputs'!$F$50:$AN$50,0))*$AI119</f>
        <v>1000</v>
      </c>
      <c r="BI119" s="59">
        <f ca="1">SUM(INDEX('General Inputs'!$F$54:$AN$54,MATCH($H119,'General Inputs'!$F$50:$AN$50,0))*$AG119,INDEX('General Inputs'!$F$51:$AN$51,MATCH($H119+$AL119,'General Inputs'!$F$50:$AN$50,0))*-$AH119)</f>
        <v>1480</v>
      </c>
      <c r="BJ119" s="55"/>
      <c r="BK119" s="59">
        <f ca="1">SUMPRODUCT($CA119:$DI119,'General Inputs'!$F$32:$AN$32,'General Inputs'!$F$53:$AN$53)/(1-Loss_ElectricEnergy)</f>
        <v>2200.3981916773673</v>
      </c>
      <c r="BL119" s="59">
        <f ca="1">SUMPRODUCT($DK119:$ES119,'General Inputs'!$F$33:$AN$33,'General Inputs'!$F$53:$AN$53)/(1-Loss_ElectricDemand)</f>
        <v>240.52449246720087</v>
      </c>
      <c r="BM119" s="59">
        <f ca="1">SUMPRODUCT($EU119:$GC119,'General Inputs'!$F$34:$AN$34,'General Inputs'!$F$53:$AN$53)/(1-Loss_GasEnergy)</f>
        <v>0</v>
      </c>
      <c r="BN119" s="59">
        <f ca="1">INDEX('General Inputs'!$F$53:$AN$53,MATCH($H119,'General Inputs'!$F$50:$AN$50,0))*$AJ119</f>
        <v>0</v>
      </c>
      <c r="BO119" s="59">
        <f ca="1">SUMPRODUCT($CA119:$DI119,'General Inputs'!$F$35:$AN$35,'General Inputs'!$F$53:$AN$53)/(1-Loss_ElectricEnergy)</f>
        <v>839.32846046348675</v>
      </c>
      <c r="BP119" s="59">
        <f ca="1">INDEX('General Inputs'!$F$51:$AN$51,MATCH($H119,'General Inputs'!$F$50:$AN$50,0))*$AM119</f>
        <v>0</v>
      </c>
      <c r="BQ119" s="59">
        <f ca="1">SUM(INDEX('General Inputs'!$F$53:$AN$53,MATCH($H119,'General Inputs'!$F$50:$AN$50,0))*$AG119,INDEX('General Inputs'!$F$53:$AN$53,MATCH($H119+$AL119,'General Inputs'!$F$50:$AN$50,0))*-$AH119)</f>
        <v>1480</v>
      </c>
      <c r="BR119" s="55"/>
      <c r="BS119" s="59">
        <f ca="1">SUMPRODUCT($CA119:$DI119,'General Inputs'!$F$32:$AN$32,'General Inputs'!$F$55:$AN$55)/(1-Loss_ElectricEnergy)</f>
        <v>2200.3981916773673</v>
      </c>
      <c r="BT119" s="59">
        <f ca="1">SUMPRODUCT($DK119:$ES119,'General Inputs'!$F$33:$AN$33,'General Inputs'!$F$55:$AN$55)/(1-Loss_ElectricDemand)</f>
        <v>240.52449246720087</v>
      </c>
      <c r="BU119" s="59">
        <f ca="1">SUMPRODUCT($EU119:$GC119,'General Inputs'!$F$34:$AN$34,'General Inputs'!$F$55:$AN$55)/(1-Loss_GasEnergy)</f>
        <v>0</v>
      </c>
      <c r="BV119" s="59">
        <f ca="1">SUMPRODUCT($CA119:$DI119,OFFSET('General Inputs'!$F$40:$AN$40,MATCH($D119&amp;" Electric ($/kWh)",'General Inputs'!$E$40:$E$46,0),),'General Inputs'!$F$55:$AN$55)</f>
        <v>0</v>
      </c>
      <c r="BW119" s="59">
        <f ca="1">SUMPRODUCT($EU119:$GC119,OFFSET('General Inputs'!$F$40:$AN$40,MATCH($D119&amp;" Natural Gas ($/therm)",'General Inputs'!$E$40:$E$46,0),),'General Inputs'!$F$55:$AN$55)</f>
        <v>0</v>
      </c>
      <c r="BX119" s="59">
        <f ca="1">INDEX('General Inputs'!$F$55:$AN$55,MATCH($H119,'General Inputs'!$F$50:$AN$50,0))*$AI119</f>
        <v>1000</v>
      </c>
      <c r="BY119" s="59">
        <f ca="1">INDEX('General Inputs'!$F$51:$AN$51,MATCH($H119,'General Inputs'!$F$50:$AN$50,0))*$AM119</f>
        <v>0</v>
      </c>
      <c r="BZ119" s="55"/>
      <c r="CA119" s="88">
        <f t="shared" ca="1" si="323"/>
        <v>7922.2072045601408</v>
      </c>
      <c r="CB119" s="88">
        <f t="shared" ca="1" si="323"/>
        <v>7922.2072045601408</v>
      </c>
      <c r="CC119" s="88">
        <f t="shared" ca="1" si="323"/>
        <v>7922.2072045601408</v>
      </c>
      <c r="CD119" s="88">
        <f t="shared" ca="1" si="323"/>
        <v>7922.2072045601408</v>
      </c>
      <c r="CE119" s="88">
        <f t="shared" ca="1" si="323"/>
        <v>7922.2072045601408</v>
      </c>
      <c r="CF119" s="88">
        <f t="shared" ca="1" si="323"/>
        <v>7922.2072045601408</v>
      </c>
      <c r="CG119" s="88">
        <f t="shared" ca="1" si="323"/>
        <v>7922.2072045601408</v>
      </c>
      <c r="CH119" s="88">
        <f t="shared" ca="1" si="323"/>
        <v>7922.2072045601408</v>
      </c>
      <c r="CI119" s="88">
        <f t="shared" ca="1" si="323"/>
        <v>7922.2072045601408</v>
      </c>
      <c r="CJ119" s="88">
        <f t="shared" ca="1" si="323"/>
        <v>7922.2072045601408</v>
      </c>
      <c r="CK119" s="88">
        <f t="shared" ca="1" si="324"/>
        <v>7922.2072045601408</v>
      </c>
      <c r="CL119" s="88">
        <f t="shared" ca="1" si="324"/>
        <v>7922.2072045601408</v>
      </c>
      <c r="CM119" s="88">
        <f t="shared" ca="1" si="324"/>
        <v>7922.2072045601408</v>
      </c>
      <c r="CN119" s="88">
        <f t="shared" ca="1" si="324"/>
        <v>7922.2072045601408</v>
      </c>
      <c r="CO119" s="88">
        <f t="shared" ca="1" si="324"/>
        <v>7922.2072045601408</v>
      </c>
      <c r="CP119" s="88">
        <f t="shared" ca="1" si="324"/>
        <v>0</v>
      </c>
      <c r="CQ119" s="88">
        <f t="shared" ca="1" si="324"/>
        <v>0</v>
      </c>
      <c r="CR119" s="88">
        <f t="shared" ca="1" si="324"/>
        <v>0</v>
      </c>
      <c r="CS119" s="88">
        <f t="shared" ca="1" si="324"/>
        <v>0</v>
      </c>
      <c r="CT119" s="88">
        <f t="shared" ca="1" si="324"/>
        <v>0</v>
      </c>
      <c r="CU119" s="88">
        <f t="shared" ca="1" si="325"/>
        <v>0</v>
      </c>
      <c r="CV119" s="88">
        <f t="shared" ca="1" si="325"/>
        <v>0</v>
      </c>
      <c r="CW119" s="88">
        <f t="shared" ca="1" si="325"/>
        <v>0</v>
      </c>
      <c r="CX119" s="88">
        <f t="shared" ca="1" si="325"/>
        <v>0</v>
      </c>
      <c r="CY119" s="88">
        <f t="shared" ca="1" si="325"/>
        <v>0</v>
      </c>
      <c r="CZ119" s="88">
        <f t="shared" ca="1" si="325"/>
        <v>0</v>
      </c>
      <c r="DA119" s="88">
        <f t="shared" ca="1" si="325"/>
        <v>0</v>
      </c>
      <c r="DB119" s="88">
        <f t="shared" ca="1" si="325"/>
        <v>0</v>
      </c>
      <c r="DC119" s="88">
        <f t="shared" ca="1" si="325"/>
        <v>0</v>
      </c>
      <c r="DD119" s="88">
        <f t="shared" ca="1" si="325"/>
        <v>0</v>
      </c>
      <c r="DE119" s="88">
        <f t="shared" ca="1" si="325"/>
        <v>0</v>
      </c>
      <c r="DF119" s="88">
        <f t="shared" ca="1" si="325"/>
        <v>0</v>
      </c>
      <c r="DG119" s="88">
        <f t="shared" ca="1" si="325"/>
        <v>0</v>
      </c>
      <c r="DH119" s="88">
        <f t="shared" ca="1" si="325"/>
        <v>0</v>
      </c>
      <c r="DI119" s="88">
        <f t="shared" ca="1" si="325"/>
        <v>0</v>
      </c>
      <c r="DJ119" s="169"/>
      <c r="DK119" s="88">
        <f t="shared" ca="1" si="326"/>
        <v>1.2039560439560457</v>
      </c>
      <c r="DL119" s="88">
        <f t="shared" ca="1" si="326"/>
        <v>1.2039560439560457</v>
      </c>
      <c r="DM119" s="88">
        <f t="shared" ca="1" si="326"/>
        <v>1.2039560439560457</v>
      </c>
      <c r="DN119" s="88">
        <f t="shared" ca="1" si="326"/>
        <v>1.2039560439560457</v>
      </c>
      <c r="DO119" s="88">
        <f t="shared" ca="1" si="326"/>
        <v>1.2039560439560457</v>
      </c>
      <c r="DP119" s="88">
        <f t="shared" ca="1" si="326"/>
        <v>1.2039560439560457</v>
      </c>
      <c r="DQ119" s="88">
        <f t="shared" ca="1" si="326"/>
        <v>1.2039560439560457</v>
      </c>
      <c r="DR119" s="88">
        <f t="shared" ca="1" si="326"/>
        <v>1.2039560439560457</v>
      </c>
      <c r="DS119" s="88">
        <f t="shared" ca="1" si="326"/>
        <v>1.2039560439560457</v>
      </c>
      <c r="DT119" s="88">
        <f t="shared" ca="1" si="326"/>
        <v>1.2039560439560457</v>
      </c>
      <c r="DU119" s="88">
        <f t="shared" ca="1" si="327"/>
        <v>1.2039560439560457</v>
      </c>
      <c r="DV119" s="88">
        <f t="shared" ca="1" si="327"/>
        <v>1.2039560439560457</v>
      </c>
      <c r="DW119" s="88">
        <f t="shared" ca="1" si="327"/>
        <v>1.2039560439560457</v>
      </c>
      <c r="DX119" s="88">
        <f t="shared" ca="1" si="327"/>
        <v>1.2039560439560457</v>
      </c>
      <c r="DY119" s="88">
        <f t="shared" ca="1" si="327"/>
        <v>1.2039560439560457</v>
      </c>
      <c r="DZ119" s="88">
        <f t="shared" ca="1" si="327"/>
        <v>0</v>
      </c>
      <c r="EA119" s="88">
        <f t="shared" ca="1" si="327"/>
        <v>0</v>
      </c>
      <c r="EB119" s="88">
        <f t="shared" ca="1" si="327"/>
        <v>0</v>
      </c>
      <c r="EC119" s="88">
        <f t="shared" ca="1" si="327"/>
        <v>0</v>
      </c>
      <c r="ED119" s="88">
        <f t="shared" ca="1" si="327"/>
        <v>0</v>
      </c>
      <c r="EE119" s="88">
        <f t="shared" ca="1" si="328"/>
        <v>0</v>
      </c>
      <c r="EF119" s="88">
        <f t="shared" ca="1" si="328"/>
        <v>0</v>
      </c>
      <c r="EG119" s="88">
        <f t="shared" ca="1" si="328"/>
        <v>0</v>
      </c>
      <c r="EH119" s="88">
        <f t="shared" ca="1" si="328"/>
        <v>0</v>
      </c>
      <c r="EI119" s="88">
        <f t="shared" ca="1" si="328"/>
        <v>0</v>
      </c>
      <c r="EJ119" s="88">
        <f t="shared" ca="1" si="328"/>
        <v>0</v>
      </c>
      <c r="EK119" s="88">
        <f t="shared" ca="1" si="328"/>
        <v>0</v>
      </c>
      <c r="EL119" s="88">
        <f t="shared" ca="1" si="328"/>
        <v>0</v>
      </c>
      <c r="EM119" s="88">
        <f t="shared" ca="1" si="328"/>
        <v>0</v>
      </c>
      <c r="EN119" s="88">
        <f t="shared" ca="1" si="328"/>
        <v>0</v>
      </c>
      <c r="EO119" s="88">
        <f t="shared" ca="1" si="328"/>
        <v>0</v>
      </c>
      <c r="EP119" s="88">
        <f t="shared" ca="1" si="328"/>
        <v>0</v>
      </c>
      <c r="EQ119" s="88">
        <f t="shared" ca="1" si="328"/>
        <v>0</v>
      </c>
      <c r="ER119" s="88">
        <f t="shared" ca="1" si="328"/>
        <v>0</v>
      </c>
      <c r="ES119" s="88">
        <f t="shared" ca="1" si="328"/>
        <v>0</v>
      </c>
      <c r="ET119" s="169"/>
      <c r="EU119" s="88">
        <f t="shared" ca="1" si="329"/>
        <v>0</v>
      </c>
      <c r="EV119" s="88">
        <f t="shared" ca="1" si="329"/>
        <v>0</v>
      </c>
      <c r="EW119" s="88">
        <f t="shared" ca="1" si="329"/>
        <v>0</v>
      </c>
      <c r="EX119" s="88">
        <f t="shared" ca="1" si="329"/>
        <v>0</v>
      </c>
      <c r="EY119" s="88">
        <f t="shared" ca="1" si="329"/>
        <v>0</v>
      </c>
      <c r="EZ119" s="88">
        <f t="shared" ca="1" si="329"/>
        <v>0</v>
      </c>
      <c r="FA119" s="88">
        <f t="shared" ca="1" si="329"/>
        <v>0</v>
      </c>
      <c r="FB119" s="88">
        <f t="shared" ca="1" si="329"/>
        <v>0</v>
      </c>
      <c r="FC119" s="88">
        <f t="shared" ca="1" si="329"/>
        <v>0</v>
      </c>
      <c r="FD119" s="88">
        <f t="shared" ca="1" si="329"/>
        <v>0</v>
      </c>
      <c r="FE119" s="88">
        <f t="shared" ca="1" si="330"/>
        <v>0</v>
      </c>
      <c r="FF119" s="88">
        <f t="shared" ca="1" si="330"/>
        <v>0</v>
      </c>
      <c r="FG119" s="88">
        <f t="shared" ca="1" si="330"/>
        <v>0</v>
      </c>
      <c r="FH119" s="88">
        <f t="shared" ca="1" si="330"/>
        <v>0</v>
      </c>
      <c r="FI119" s="88">
        <f t="shared" ca="1" si="330"/>
        <v>0</v>
      </c>
      <c r="FJ119" s="88">
        <f t="shared" ca="1" si="330"/>
        <v>0</v>
      </c>
      <c r="FK119" s="88">
        <f t="shared" ca="1" si="330"/>
        <v>0</v>
      </c>
      <c r="FL119" s="88">
        <f t="shared" ca="1" si="330"/>
        <v>0</v>
      </c>
      <c r="FM119" s="88">
        <f t="shared" ca="1" si="330"/>
        <v>0</v>
      </c>
      <c r="FN119" s="88">
        <f t="shared" ca="1" si="330"/>
        <v>0</v>
      </c>
      <c r="FO119" s="88">
        <f t="shared" ca="1" si="331"/>
        <v>0</v>
      </c>
      <c r="FP119" s="88">
        <f t="shared" ca="1" si="331"/>
        <v>0</v>
      </c>
      <c r="FQ119" s="88">
        <f t="shared" ca="1" si="331"/>
        <v>0</v>
      </c>
      <c r="FR119" s="88">
        <f t="shared" ca="1" si="331"/>
        <v>0</v>
      </c>
      <c r="FS119" s="88">
        <f t="shared" ca="1" si="331"/>
        <v>0</v>
      </c>
      <c r="FT119" s="88">
        <f t="shared" ca="1" si="331"/>
        <v>0</v>
      </c>
      <c r="FU119" s="88">
        <f t="shared" ca="1" si="331"/>
        <v>0</v>
      </c>
      <c r="FV119" s="88">
        <f t="shared" ca="1" si="331"/>
        <v>0</v>
      </c>
      <c r="FW119" s="88">
        <f t="shared" ca="1" si="331"/>
        <v>0</v>
      </c>
      <c r="FX119" s="88">
        <f t="shared" ca="1" si="331"/>
        <v>0</v>
      </c>
      <c r="FY119" s="88">
        <f t="shared" ca="1" si="331"/>
        <v>0</v>
      </c>
      <c r="FZ119" s="88">
        <f t="shared" ca="1" si="331"/>
        <v>0</v>
      </c>
      <c r="GA119" s="88">
        <f t="shared" ca="1" si="331"/>
        <v>0</v>
      </c>
      <c r="GB119" s="88">
        <f t="shared" ca="1" si="331"/>
        <v>0</v>
      </c>
      <c r="GC119" s="88">
        <f t="shared" ca="1" si="331"/>
        <v>0</v>
      </c>
      <c r="GD119" s="60"/>
    </row>
    <row r="120" spans="1:186" s="54" customFormat="1" ht="14.45" customHeight="1">
      <c r="A120" s="61"/>
      <c r="B120" s="100" t="str">
        <f t="shared" si="277"/>
        <v>C&amp;I_C&amp;I Prescriptive_0_Single System Heat Pump_2017</v>
      </c>
      <c r="C120" s="100">
        <f>INDEX('Measure Inputs'!$D:$D,MATCH($B120,'Measure Inputs'!$B:$B,0))</f>
        <v>72</v>
      </c>
      <c r="D120" s="101" t="s">
        <v>256</v>
      </c>
      <c r="E120" s="101" t="s">
        <v>255</v>
      </c>
      <c r="F120" s="101">
        <v>0</v>
      </c>
      <c r="G120" s="101" t="s">
        <v>313</v>
      </c>
      <c r="H120" s="101">
        <v>2017</v>
      </c>
      <c r="I120" s="55"/>
      <c r="J120" s="58">
        <f t="shared" ca="1" si="229"/>
        <v>0.84317699716965933</v>
      </c>
      <c r="K120" s="58">
        <f t="shared" ca="1" si="246"/>
        <v>1.2479019558110958</v>
      </c>
      <c r="L120" s="58">
        <f t="shared" ca="1" si="230"/>
        <v>0.67567567567567566</v>
      </c>
      <c r="M120" s="58">
        <f t="shared" ca="1" si="231"/>
        <v>1.1028107708436274</v>
      </c>
      <c r="N120" s="58">
        <f t="shared" ca="1" si="232"/>
        <v>1.2479019558110958</v>
      </c>
      <c r="O120" s="55"/>
      <c r="P120" s="175">
        <f ca="1">IFERROR(($AW120+AV120)/SUMPRODUCT($CA120:$DI120,'General Inputs'!$F$51:$AN$51),"n/a")</f>
        <v>3.1130711708888297E-2</v>
      </c>
      <c r="Q120" s="175">
        <f t="shared" ca="1" si="309"/>
        <v>0.27571656007095408</v>
      </c>
      <c r="R120" s="56">
        <f t="shared" ca="1" si="310"/>
        <v>108.80739260739246</v>
      </c>
      <c r="S120" s="55"/>
      <c r="T120" s="56">
        <f ca="1">INDEX(OFFSET('Measure Inputs'!$L$7,,,InputRows),$C120)</f>
        <v>8</v>
      </c>
      <c r="U120" s="134">
        <f ca="1">INDEX(OFFSET('Measure Inputs'!$T$7,,,InputRows),$C120)</f>
        <v>1</v>
      </c>
      <c r="V120" s="134">
        <f ca="1">INDEX(OFFSET('Measure Inputs'!$U$7,,,InputRows),$C120)</f>
        <v>1</v>
      </c>
      <c r="W120" s="55"/>
      <c r="X120" s="96">
        <f ca="1">INDEX(OFFSET('Measure Inputs'!$V$7,,,InputRows),$C120)*$T120*$V120*$U120</f>
        <v>7253.8261738261617</v>
      </c>
      <c r="Y120" s="96">
        <f ca="1">INDEX(OFFSET('Measure Inputs'!$W$7,,,InputRows),$C120)*$T120*$V120*$U120</f>
        <v>2.4079120879120914</v>
      </c>
      <c r="Z120" s="96">
        <f ca="1">INDEX(OFFSET('Measure Inputs'!$X$7,,,InputRows),$C120)*$T120*$V120*$U120</f>
        <v>0</v>
      </c>
      <c r="AA120" s="55"/>
      <c r="AB120" s="96">
        <f ca="1">INDEX(OFFSET('Measure Inputs'!$Z$7,,,InputRows),$C120)*$T120*$V120*$U120</f>
        <v>0</v>
      </c>
      <c r="AC120" s="96">
        <f ca="1">INDEX(OFFSET('Measure Inputs'!$AA$7,,,InputRows),$C120)*$T120*$V120*$U120</f>
        <v>0</v>
      </c>
      <c r="AD120" s="96">
        <f ca="1">INDEX(OFFSET('Measure Inputs'!$AB$7,,,InputRows),$C120)*$T120*$V120*$U120</f>
        <v>0</v>
      </c>
      <c r="AE120" s="55"/>
      <c r="AF120" s="57">
        <f ca="1">INDEX(OFFSET('Measure Inputs'!$Q$7,,,InputRows),$C120)*$T120</f>
        <v>0</v>
      </c>
      <c r="AG120" s="57">
        <f ca="1">INDEX(OFFSET('Measure Inputs'!$P$7,,,InputRows),$C120)*$T120*$V120</f>
        <v>2960</v>
      </c>
      <c r="AH120" s="57">
        <f ca="1">INDEX(OFFSET('Measure Inputs'!$R$7,,,InputRows),$C120)*$T120*$V120</f>
        <v>0</v>
      </c>
      <c r="AI120" s="57">
        <f ca="1">INDEX(OFFSET('Measure Inputs'!$O$7,,,InputRows),$C120)*$T120</f>
        <v>2000</v>
      </c>
      <c r="AJ120" s="57">
        <f ca="1">INDEX(OFFSET('Measure Inputs'!$S$7,,,InputRows),$C120)*$T120</f>
        <v>0</v>
      </c>
      <c r="AK120" s="63">
        <f ca="1">INDEX(OFFSET('Measure Inputs'!$M$7,,,InputRows),$C120)</f>
        <v>15</v>
      </c>
      <c r="AL120" s="88">
        <f ca="1">INDEX(OFFSET('Measure Inputs'!$N$7,,,InputRows),$C120)</f>
        <v>0</v>
      </c>
      <c r="AM120" s="57">
        <f ca="1">SUMIFS(OFFSET('Program Inputs'!$N$5,,,TotalPrograms),OFFSET('Program Inputs'!$B$5,,,TotalPrograms),SUBSTITUTE($B120,"All","*"))+AF120</f>
        <v>0</v>
      </c>
      <c r="AN120" s="57">
        <f t="shared" ca="1" si="311"/>
        <v>2000</v>
      </c>
      <c r="AO120" s="55"/>
      <c r="AP120" s="59">
        <f t="shared" ca="1" si="312"/>
        <v>2495.8039116221917</v>
      </c>
      <c r="AQ120" s="59">
        <f t="shared" ca="1" si="313"/>
        <v>2960</v>
      </c>
      <c r="AR120" s="59">
        <f ca="1">SUMPRODUCT($CA120:$DI120,'General Inputs'!$F$32:$AN$32,'General Inputs'!$F$51:$AN$51)/(1-Loss_ElectricEnergy)</f>
        <v>2014.7549266877897</v>
      </c>
      <c r="AS120" s="59">
        <f ca="1">SUMPRODUCT($DK120:$ES120,'General Inputs'!$F$33:$AN$33,'General Inputs'!$F$51:$AN$51)/(1-Loss_ElectricDemand)</f>
        <v>481.04898493440174</v>
      </c>
      <c r="AT120" s="59">
        <f ca="1">SUMPRODUCT($EU120:$GC120,'General Inputs'!$F$34:$AN$34,'General Inputs'!$F$51:$AN$51)/(1-Loss_GasEnergy)</f>
        <v>0</v>
      </c>
      <c r="AU120" s="59">
        <f ca="1">INDEX('General Inputs'!$F$51:$AN$51,MATCH($H120,'General Inputs'!$F$50:$AN$50,0))*$AJ120</f>
        <v>0</v>
      </c>
      <c r="AV120" s="59">
        <f ca="1">INDEX('General Inputs'!$F$51:$AN$51,MATCH($H120,'General Inputs'!$F$50:$AN$50,0))*$AI120</f>
        <v>2000</v>
      </c>
      <c r="AW120" s="59">
        <f ca="1">INDEX('General Inputs'!$F$51:$AN$51,MATCH($H120,'General Inputs'!$F$50:$AN$50,0))*$AM120</f>
        <v>0</v>
      </c>
      <c r="AX120" s="59">
        <f ca="1">SUM(INDEX('General Inputs'!$F$51:$AN$51,MATCH($H120,'General Inputs'!$F$50:$AN$50,0))*$AG120,INDEX('General Inputs'!$F$51:$AN$51,MATCH($H120+$AL120,'General Inputs'!$F$50:$AN$50,0))*-$AH120)</f>
        <v>2960</v>
      </c>
      <c r="AY120" s="55"/>
      <c r="AZ120" s="59">
        <f ca="1">SUMPRODUCT($CA120:$DI120,'General Inputs'!$F$32:$AN$32,'General Inputs'!$F$52:$AN$52)/(1-Loss_ElectricEnergy)</f>
        <v>2014.7549266877897</v>
      </c>
      <c r="BA120" s="59">
        <f ca="1">SUMPRODUCT($DK120:$ES120,'General Inputs'!$F$33:$AN$33,'General Inputs'!$F$52:$AN$52)/(1-Loss_ElectricDemand)</f>
        <v>481.04898493440174</v>
      </c>
      <c r="BB120" s="59">
        <f ca="1">SUMPRODUCT($EU120:$GC120,'General Inputs'!$F$34:$AN$34,'General Inputs'!$F$52:$AN$52)/(1-Loss_GasEnergy)</f>
        <v>0</v>
      </c>
      <c r="BC120" s="59">
        <f ca="1">INDEX('General Inputs'!$F$52:$AN$52,MATCH($H120,'General Inputs'!$F$50:$AN$50,0))*$AI120</f>
        <v>2000</v>
      </c>
      <c r="BD120" s="59">
        <f ca="1">INDEX('General Inputs'!$F$52:$AN$52,MATCH($H120,'General Inputs'!$F$50:$AN$50,0))*$AM120</f>
        <v>0</v>
      </c>
      <c r="BE120" s="55"/>
      <c r="BF120" s="59">
        <f ca="1">SUMPRODUCT($CA120:$DI120,OFFSET('General Inputs'!$F$40:$AN$40,MATCH($D120&amp;" Electric ($/kWh)",'General Inputs'!$E$40:$E$46,0),),'General Inputs'!$F$54:$AN$54)</f>
        <v>0</v>
      </c>
      <c r="BG120" s="59">
        <f ca="1">SUMPRODUCT($EU120:$GC120,OFFSET('General Inputs'!$F$40:$AN$40,MATCH($D120&amp;" Natural Gas ($/therm)",'General Inputs'!$E$40:$E$46,0),),'General Inputs'!$F$54:$AN$54)</f>
        <v>0</v>
      </c>
      <c r="BH120" s="59">
        <f ca="1">INDEX('General Inputs'!$F$54:$AN$54,MATCH($H120,'General Inputs'!$F$50:$AN$50,0))*$AI120</f>
        <v>2000</v>
      </c>
      <c r="BI120" s="59">
        <f ca="1">SUM(INDEX('General Inputs'!$F$54:$AN$54,MATCH($H120,'General Inputs'!$F$50:$AN$50,0))*$AG120,INDEX('General Inputs'!$F$51:$AN$51,MATCH($H120+$AL120,'General Inputs'!$F$50:$AN$50,0))*-$AH120)</f>
        <v>2960</v>
      </c>
      <c r="BJ120" s="55"/>
      <c r="BK120" s="59">
        <f ca="1">SUMPRODUCT($CA120:$DI120,'General Inputs'!$F$32:$AN$32,'General Inputs'!$F$53:$AN$53)/(1-Loss_ElectricEnergy)</f>
        <v>2014.7549266877897</v>
      </c>
      <c r="BL120" s="59">
        <f ca="1">SUMPRODUCT($DK120:$ES120,'General Inputs'!$F$33:$AN$33,'General Inputs'!$F$53:$AN$53)/(1-Loss_ElectricDemand)</f>
        <v>481.04898493440174</v>
      </c>
      <c r="BM120" s="59">
        <f ca="1">SUMPRODUCT($EU120:$GC120,'General Inputs'!$F$34:$AN$34,'General Inputs'!$F$53:$AN$53)/(1-Loss_GasEnergy)</f>
        <v>0</v>
      </c>
      <c r="BN120" s="59">
        <f ca="1">INDEX('General Inputs'!$F$53:$AN$53,MATCH($H120,'General Inputs'!$F$50:$AN$50,0))*$AJ120</f>
        <v>0</v>
      </c>
      <c r="BO120" s="59">
        <f ca="1">SUMPRODUCT($CA120:$DI120,'General Inputs'!$F$35:$AN$35,'General Inputs'!$F$53:$AN$53)/(1-Loss_ElectricEnergy)</f>
        <v>768.51597007494547</v>
      </c>
      <c r="BP120" s="59">
        <f ca="1">INDEX('General Inputs'!$F$51:$AN$51,MATCH($H120,'General Inputs'!$F$50:$AN$50,0))*$AM120</f>
        <v>0</v>
      </c>
      <c r="BQ120" s="59">
        <f ca="1">SUM(INDEX('General Inputs'!$F$53:$AN$53,MATCH($H120,'General Inputs'!$F$50:$AN$50,0))*$AG120,INDEX('General Inputs'!$F$53:$AN$53,MATCH($H120+$AL120,'General Inputs'!$F$50:$AN$50,0))*-$AH120)</f>
        <v>2960</v>
      </c>
      <c r="BR120" s="55"/>
      <c r="BS120" s="59">
        <f ca="1">SUMPRODUCT($CA120:$DI120,'General Inputs'!$F$32:$AN$32,'General Inputs'!$F$55:$AN$55)/(1-Loss_ElectricEnergy)</f>
        <v>2014.7549266877897</v>
      </c>
      <c r="BT120" s="59">
        <f ca="1">SUMPRODUCT($DK120:$ES120,'General Inputs'!$F$33:$AN$33,'General Inputs'!$F$55:$AN$55)/(1-Loss_ElectricDemand)</f>
        <v>481.04898493440174</v>
      </c>
      <c r="BU120" s="59">
        <f ca="1">SUMPRODUCT($EU120:$GC120,'General Inputs'!$F$34:$AN$34,'General Inputs'!$F$55:$AN$55)/(1-Loss_GasEnergy)</f>
        <v>0</v>
      </c>
      <c r="BV120" s="59">
        <f ca="1">SUMPRODUCT($CA120:$DI120,OFFSET('General Inputs'!$F$40:$AN$40,MATCH($D120&amp;" Electric ($/kWh)",'General Inputs'!$E$40:$E$46,0),),'General Inputs'!$F$55:$AN$55)</f>
        <v>0</v>
      </c>
      <c r="BW120" s="59">
        <f ca="1">SUMPRODUCT($EU120:$GC120,OFFSET('General Inputs'!$F$40:$AN$40,MATCH($D120&amp;" Natural Gas ($/therm)",'General Inputs'!$E$40:$E$46,0),),'General Inputs'!$F$55:$AN$55)</f>
        <v>0</v>
      </c>
      <c r="BX120" s="59">
        <f ca="1">INDEX('General Inputs'!$F$55:$AN$55,MATCH($H120,'General Inputs'!$F$50:$AN$50,0))*$AI120</f>
        <v>2000</v>
      </c>
      <c r="BY120" s="59">
        <f ca="1">INDEX('General Inputs'!$F$51:$AN$51,MATCH($H120,'General Inputs'!$F$50:$AN$50,0))*$AM120</f>
        <v>0</v>
      </c>
      <c r="BZ120" s="55"/>
      <c r="CA120" s="88">
        <f t="shared" ca="1" si="323"/>
        <v>7253.8261738261617</v>
      </c>
      <c r="CB120" s="88">
        <f t="shared" ca="1" si="323"/>
        <v>7253.8261738261617</v>
      </c>
      <c r="CC120" s="88">
        <f t="shared" ca="1" si="323"/>
        <v>7253.8261738261617</v>
      </c>
      <c r="CD120" s="88">
        <f t="shared" ca="1" si="323"/>
        <v>7253.8261738261617</v>
      </c>
      <c r="CE120" s="88">
        <f t="shared" ca="1" si="323"/>
        <v>7253.8261738261617</v>
      </c>
      <c r="CF120" s="88">
        <f t="shared" ca="1" si="323"/>
        <v>7253.8261738261617</v>
      </c>
      <c r="CG120" s="88">
        <f t="shared" ca="1" si="323"/>
        <v>7253.8261738261617</v>
      </c>
      <c r="CH120" s="88">
        <f t="shared" ca="1" si="323"/>
        <v>7253.8261738261617</v>
      </c>
      <c r="CI120" s="88">
        <f t="shared" ca="1" si="323"/>
        <v>7253.8261738261617</v>
      </c>
      <c r="CJ120" s="88">
        <f t="shared" ca="1" si="323"/>
        <v>7253.8261738261617</v>
      </c>
      <c r="CK120" s="88">
        <f t="shared" ca="1" si="324"/>
        <v>7253.8261738261617</v>
      </c>
      <c r="CL120" s="88">
        <f t="shared" ca="1" si="324"/>
        <v>7253.8261738261617</v>
      </c>
      <c r="CM120" s="88">
        <f t="shared" ca="1" si="324"/>
        <v>7253.8261738261617</v>
      </c>
      <c r="CN120" s="88">
        <f t="shared" ca="1" si="324"/>
        <v>7253.8261738261617</v>
      </c>
      <c r="CO120" s="88">
        <f t="shared" ca="1" si="324"/>
        <v>7253.8261738261617</v>
      </c>
      <c r="CP120" s="88">
        <f t="shared" ca="1" si="324"/>
        <v>0</v>
      </c>
      <c r="CQ120" s="88">
        <f t="shared" ca="1" si="324"/>
        <v>0</v>
      </c>
      <c r="CR120" s="88">
        <f t="shared" ca="1" si="324"/>
        <v>0</v>
      </c>
      <c r="CS120" s="88">
        <f t="shared" ca="1" si="324"/>
        <v>0</v>
      </c>
      <c r="CT120" s="88">
        <f t="shared" ca="1" si="324"/>
        <v>0</v>
      </c>
      <c r="CU120" s="88">
        <f t="shared" ca="1" si="325"/>
        <v>0</v>
      </c>
      <c r="CV120" s="88">
        <f t="shared" ca="1" si="325"/>
        <v>0</v>
      </c>
      <c r="CW120" s="88">
        <f t="shared" ca="1" si="325"/>
        <v>0</v>
      </c>
      <c r="CX120" s="88">
        <f t="shared" ca="1" si="325"/>
        <v>0</v>
      </c>
      <c r="CY120" s="88">
        <f t="shared" ca="1" si="325"/>
        <v>0</v>
      </c>
      <c r="CZ120" s="88">
        <f t="shared" ca="1" si="325"/>
        <v>0</v>
      </c>
      <c r="DA120" s="88">
        <f t="shared" ca="1" si="325"/>
        <v>0</v>
      </c>
      <c r="DB120" s="88">
        <f t="shared" ca="1" si="325"/>
        <v>0</v>
      </c>
      <c r="DC120" s="88">
        <f t="shared" ca="1" si="325"/>
        <v>0</v>
      </c>
      <c r="DD120" s="88">
        <f t="shared" ca="1" si="325"/>
        <v>0</v>
      </c>
      <c r="DE120" s="88">
        <f t="shared" ca="1" si="325"/>
        <v>0</v>
      </c>
      <c r="DF120" s="88">
        <f t="shared" ca="1" si="325"/>
        <v>0</v>
      </c>
      <c r="DG120" s="88">
        <f t="shared" ca="1" si="325"/>
        <v>0</v>
      </c>
      <c r="DH120" s="88">
        <f t="shared" ca="1" si="325"/>
        <v>0</v>
      </c>
      <c r="DI120" s="88">
        <f t="shared" ca="1" si="325"/>
        <v>0</v>
      </c>
      <c r="DJ120" s="169"/>
      <c r="DK120" s="88">
        <f t="shared" ca="1" si="326"/>
        <v>2.4079120879120914</v>
      </c>
      <c r="DL120" s="88">
        <f t="shared" ca="1" si="326"/>
        <v>2.4079120879120914</v>
      </c>
      <c r="DM120" s="88">
        <f t="shared" ca="1" si="326"/>
        <v>2.4079120879120914</v>
      </c>
      <c r="DN120" s="88">
        <f t="shared" ca="1" si="326"/>
        <v>2.4079120879120914</v>
      </c>
      <c r="DO120" s="88">
        <f t="shared" ca="1" si="326"/>
        <v>2.4079120879120914</v>
      </c>
      <c r="DP120" s="88">
        <f t="shared" ca="1" si="326"/>
        <v>2.4079120879120914</v>
      </c>
      <c r="DQ120" s="88">
        <f t="shared" ca="1" si="326"/>
        <v>2.4079120879120914</v>
      </c>
      <c r="DR120" s="88">
        <f t="shared" ca="1" si="326"/>
        <v>2.4079120879120914</v>
      </c>
      <c r="DS120" s="88">
        <f t="shared" ca="1" si="326"/>
        <v>2.4079120879120914</v>
      </c>
      <c r="DT120" s="88">
        <f t="shared" ca="1" si="326"/>
        <v>2.4079120879120914</v>
      </c>
      <c r="DU120" s="88">
        <f t="shared" ca="1" si="327"/>
        <v>2.4079120879120914</v>
      </c>
      <c r="DV120" s="88">
        <f t="shared" ca="1" si="327"/>
        <v>2.4079120879120914</v>
      </c>
      <c r="DW120" s="88">
        <f t="shared" ca="1" si="327"/>
        <v>2.4079120879120914</v>
      </c>
      <c r="DX120" s="88">
        <f t="shared" ca="1" si="327"/>
        <v>2.4079120879120914</v>
      </c>
      <c r="DY120" s="88">
        <f t="shared" ca="1" si="327"/>
        <v>2.4079120879120914</v>
      </c>
      <c r="DZ120" s="88">
        <f t="shared" ca="1" si="327"/>
        <v>0</v>
      </c>
      <c r="EA120" s="88">
        <f t="shared" ca="1" si="327"/>
        <v>0</v>
      </c>
      <c r="EB120" s="88">
        <f t="shared" ca="1" si="327"/>
        <v>0</v>
      </c>
      <c r="EC120" s="88">
        <f t="shared" ca="1" si="327"/>
        <v>0</v>
      </c>
      <c r="ED120" s="88">
        <f t="shared" ca="1" si="327"/>
        <v>0</v>
      </c>
      <c r="EE120" s="88">
        <f t="shared" ca="1" si="328"/>
        <v>0</v>
      </c>
      <c r="EF120" s="88">
        <f t="shared" ca="1" si="328"/>
        <v>0</v>
      </c>
      <c r="EG120" s="88">
        <f t="shared" ca="1" si="328"/>
        <v>0</v>
      </c>
      <c r="EH120" s="88">
        <f t="shared" ca="1" si="328"/>
        <v>0</v>
      </c>
      <c r="EI120" s="88">
        <f t="shared" ca="1" si="328"/>
        <v>0</v>
      </c>
      <c r="EJ120" s="88">
        <f t="shared" ca="1" si="328"/>
        <v>0</v>
      </c>
      <c r="EK120" s="88">
        <f t="shared" ca="1" si="328"/>
        <v>0</v>
      </c>
      <c r="EL120" s="88">
        <f t="shared" ca="1" si="328"/>
        <v>0</v>
      </c>
      <c r="EM120" s="88">
        <f t="shared" ca="1" si="328"/>
        <v>0</v>
      </c>
      <c r="EN120" s="88">
        <f t="shared" ca="1" si="328"/>
        <v>0</v>
      </c>
      <c r="EO120" s="88">
        <f t="shared" ca="1" si="328"/>
        <v>0</v>
      </c>
      <c r="EP120" s="88">
        <f t="shared" ca="1" si="328"/>
        <v>0</v>
      </c>
      <c r="EQ120" s="88">
        <f t="shared" ca="1" si="328"/>
        <v>0</v>
      </c>
      <c r="ER120" s="88">
        <f t="shared" ca="1" si="328"/>
        <v>0</v>
      </c>
      <c r="ES120" s="88">
        <f t="shared" ca="1" si="328"/>
        <v>0</v>
      </c>
      <c r="ET120" s="169"/>
      <c r="EU120" s="88">
        <f t="shared" ca="1" si="329"/>
        <v>0</v>
      </c>
      <c r="EV120" s="88">
        <f t="shared" ca="1" si="329"/>
        <v>0</v>
      </c>
      <c r="EW120" s="88">
        <f t="shared" ca="1" si="329"/>
        <v>0</v>
      </c>
      <c r="EX120" s="88">
        <f t="shared" ca="1" si="329"/>
        <v>0</v>
      </c>
      <c r="EY120" s="88">
        <f t="shared" ca="1" si="329"/>
        <v>0</v>
      </c>
      <c r="EZ120" s="88">
        <f t="shared" ca="1" si="329"/>
        <v>0</v>
      </c>
      <c r="FA120" s="88">
        <f t="shared" ca="1" si="329"/>
        <v>0</v>
      </c>
      <c r="FB120" s="88">
        <f t="shared" ca="1" si="329"/>
        <v>0</v>
      </c>
      <c r="FC120" s="88">
        <f t="shared" ca="1" si="329"/>
        <v>0</v>
      </c>
      <c r="FD120" s="88">
        <f t="shared" ca="1" si="329"/>
        <v>0</v>
      </c>
      <c r="FE120" s="88">
        <f t="shared" ca="1" si="330"/>
        <v>0</v>
      </c>
      <c r="FF120" s="88">
        <f t="shared" ca="1" si="330"/>
        <v>0</v>
      </c>
      <c r="FG120" s="88">
        <f t="shared" ca="1" si="330"/>
        <v>0</v>
      </c>
      <c r="FH120" s="88">
        <f t="shared" ca="1" si="330"/>
        <v>0</v>
      </c>
      <c r="FI120" s="88">
        <f t="shared" ca="1" si="330"/>
        <v>0</v>
      </c>
      <c r="FJ120" s="88">
        <f t="shared" ca="1" si="330"/>
        <v>0</v>
      </c>
      <c r="FK120" s="88">
        <f t="shared" ca="1" si="330"/>
        <v>0</v>
      </c>
      <c r="FL120" s="88">
        <f t="shared" ca="1" si="330"/>
        <v>0</v>
      </c>
      <c r="FM120" s="88">
        <f t="shared" ca="1" si="330"/>
        <v>0</v>
      </c>
      <c r="FN120" s="88">
        <f t="shared" ca="1" si="330"/>
        <v>0</v>
      </c>
      <c r="FO120" s="88">
        <f t="shared" ca="1" si="331"/>
        <v>0</v>
      </c>
      <c r="FP120" s="88">
        <f t="shared" ca="1" si="331"/>
        <v>0</v>
      </c>
      <c r="FQ120" s="88">
        <f t="shared" ca="1" si="331"/>
        <v>0</v>
      </c>
      <c r="FR120" s="88">
        <f t="shared" ca="1" si="331"/>
        <v>0</v>
      </c>
      <c r="FS120" s="88">
        <f t="shared" ca="1" si="331"/>
        <v>0</v>
      </c>
      <c r="FT120" s="88">
        <f t="shared" ca="1" si="331"/>
        <v>0</v>
      </c>
      <c r="FU120" s="88">
        <f t="shared" ca="1" si="331"/>
        <v>0</v>
      </c>
      <c r="FV120" s="88">
        <f t="shared" ca="1" si="331"/>
        <v>0</v>
      </c>
      <c r="FW120" s="88">
        <f t="shared" ca="1" si="331"/>
        <v>0</v>
      </c>
      <c r="FX120" s="88">
        <f t="shared" ca="1" si="331"/>
        <v>0</v>
      </c>
      <c r="FY120" s="88">
        <f t="shared" ca="1" si="331"/>
        <v>0</v>
      </c>
      <c r="FZ120" s="88">
        <f t="shared" ca="1" si="331"/>
        <v>0</v>
      </c>
      <c r="GA120" s="88">
        <f t="shared" ca="1" si="331"/>
        <v>0</v>
      </c>
      <c r="GB120" s="88">
        <f t="shared" ca="1" si="331"/>
        <v>0</v>
      </c>
      <c r="GC120" s="88">
        <f t="shared" ca="1" si="331"/>
        <v>0</v>
      </c>
      <c r="GD120" s="60"/>
    </row>
    <row r="121" spans="1:186" s="54" customFormat="1" ht="14.45" customHeight="1">
      <c r="A121" s="61"/>
      <c r="B121" s="100" t="str">
        <f t="shared" si="277"/>
        <v>C&amp;I_C&amp;I Prescriptive_0_Geothermal Heat Pump_2017</v>
      </c>
      <c r="C121" s="100">
        <f>INDEX('Measure Inputs'!$D:$D,MATCH($B121,'Measure Inputs'!$B:$B,0))</f>
        <v>73</v>
      </c>
      <c r="D121" s="101" t="s">
        <v>256</v>
      </c>
      <c r="E121" s="101" t="s">
        <v>255</v>
      </c>
      <c r="F121" s="101">
        <v>0</v>
      </c>
      <c r="G121" s="101" t="s">
        <v>314</v>
      </c>
      <c r="H121" s="101">
        <v>2017</v>
      </c>
      <c r="I121" s="55"/>
      <c r="J121" s="58">
        <f t="shared" ca="1" si="229"/>
        <v>1.6069281592030777</v>
      </c>
      <c r="K121" s="58">
        <f t="shared" ca="1" si="246"/>
        <v>9.412007789618027</v>
      </c>
      <c r="L121" s="58">
        <f t="shared" ca="1" si="230"/>
        <v>0.17073170731707318</v>
      </c>
      <c r="M121" s="58">
        <f t="shared" ca="1" si="231"/>
        <v>2.180919032014939</v>
      </c>
      <c r="N121" s="58">
        <f t="shared" ca="1" si="232"/>
        <v>9.412007789618027</v>
      </c>
      <c r="O121" s="55"/>
      <c r="P121" s="175">
        <f ca="1">IFERROR(($AW121+AV121)/SUMPRODUCT($CA121:$DI121,'General Inputs'!$F$51:$AN$51),"n/a")</f>
        <v>3.5581245593967162E-3</v>
      </c>
      <c r="Q121" s="175">
        <f t="shared" ca="1" si="309"/>
        <v>3.1513377303890609E-2</v>
      </c>
      <c r="R121" s="56">
        <f t="shared" ca="1" si="310"/>
        <v>1332.7673386125678</v>
      </c>
      <c r="S121" s="55"/>
      <c r="T121" s="56">
        <f ca="1">INDEX(OFFSET('Measure Inputs'!$L$7,,,InputRows),$C121)</f>
        <v>4</v>
      </c>
      <c r="U121" s="134">
        <f ca="1">INDEX(OFFSET('Measure Inputs'!$T$7,,,InputRows),$C121)</f>
        <v>1</v>
      </c>
      <c r="V121" s="134">
        <f ca="1">INDEX(OFFSET('Measure Inputs'!$U$7,,,InputRows),$C121)</f>
        <v>1</v>
      </c>
      <c r="W121" s="55"/>
      <c r="X121" s="96">
        <f ca="1">INDEX(OFFSET('Measure Inputs'!$V$7,,,InputRows),$C121)*$T121*$V121*$U121</f>
        <v>88851.155907504552</v>
      </c>
      <c r="Y121" s="96">
        <f ca="1">INDEX(OFFSET('Measure Inputs'!$W$7,,,InputRows),$C121)*$T121*$V121*$U121</f>
        <v>8.3850658721398421</v>
      </c>
      <c r="Z121" s="96">
        <f ca="1">INDEX(OFFSET('Measure Inputs'!$X$7,,,InputRows),$C121)*$T121*$V121*$U121</f>
        <v>0</v>
      </c>
      <c r="AA121" s="55"/>
      <c r="AB121" s="96">
        <f ca="1">INDEX(OFFSET('Measure Inputs'!$Z$7,,,InputRows),$C121)*$T121*$V121*$U121</f>
        <v>0</v>
      </c>
      <c r="AC121" s="96">
        <f ca="1">INDEX(OFFSET('Measure Inputs'!$AA$7,,,InputRows),$C121)*$T121*$V121*$U121</f>
        <v>0</v>
      </c>
      <c r="AD121" s="96">
        <f ca="1">INDEX(OFFSET('Measure Inputs'!$AB$7,,,InputRows),$C121)*$T121*$V121*$U121</f>
        <v>0</v>
      </c>
      <c r="AE121" s="55"/>
      <c r="AF121" s="57">
        <f ca="1">INDEX(OFFSET('Measure Inputs'!$Q$7,,,InputRows),$C121)*$T121</f>
        <v>0</v>
      </c>
      <c r="AG121" s="57">
        <f ca="1">INDEX(OFFSET('Measure Inputs'!$P$7,,,InputRows),$C121)*$T121*$V121</f>
        <v>16400</v>
      </c>
      <c r="AH121" s="57">
        <f ca="1">INDEX(OFFSET('Measure Inputs'!$R$7,,,InputRows),$C121)*$T121*$V121</f>
        <v>0</v>
      </c>
      <c r="AI121" s="57">
        <f ca="1">INDEX(OFFSET('Measure Inputs'!$O$7,,,InputRows),$C121)*$T121</f>
        <v>2800</v>
      </c>
      <c r="AJ121" s="57">
        <f ca="1">INDEX(OFFSET('Measure Inputs'!$S$7,,,InputRows),$C121)*$T121</f>
        <v>0</v>
      </c>
      <c r="AK121" s="63">
        <f ca="1">INDEX(OFFSET('Measure Inputs'!$M$7,,,InputRows),$C121)</f>
        <v>15</v>
      </c>
      <c r="AL121" s="88">
        <f ca="1">INDEX(OFFSET('Measure Inputs'!$N$7,,,InputRows),$C121)</f>
        <v>0</v>
      </c>
      <c r="AM121" s="57">
        <f ca="1">SUMIFS(OFFSET('Program Inputs'!$N$5,,,TotalPrograms),OFFSET('Program Inputs'!$B$5,,,TotalPrograms),SUBSTITUTE($B121,"All","*"))+AF121</f>
        <v>0</v>
      </c>
      <c r="AN121" s="57">
        <f t="shared" ca="1" si="311"/>
        <v>2800</v>
      </c>
      <c r="AO121" s="55"/>
      <c r="AP121" s="59">
        <f t="shared" ca="1" si="312"/>
        <v>26353.621810930475</v>
      </c>
      <c r="AQ121" s="59">
        <f t="shared" ca="1" si="313"/>
        <v>16400</v>
      </c>
      <c r="AR121" s="59">
        <f ca="1">SUMPRODUCT($CA121:$DI121,'General Inputs'!$F$32:$AN$32,'General Inputs'!$F$51:$AN$51)/(1-Loss_ElectricEnergy)</f>
        <v>24678.466207596743</v>
      </c>
      <c r="AS121" s="59">
        <f ca="1">SUMPRODUCT($DK121:$ES121,'General Inputs'!$F$33:$AN$33,'General Inputs'!$F$51:$AN$51)/(1-Loss_ElectricDemand)</f>
        <v>1675.155603333732</v>
      </c>
      <c r="AT121" s="59">
        <f ca="1">SUMPRODUCT($EU121:$GC121,'General Inputs'!$F$34:$AN$34,'General Inputs'!$F$51:$AN$51)/(1-Loss_GasEnergy)</f>
        <v>0</v>
      </c>
      <c r="AU121" s="59">
        <f ca="1">INDEX('General Inputs'!$F$51:$AN$51,MATCH($H121,'General Inputs'!$F$50:$AN$50,0))*$AJ121</f>
        <v>0</v>
      </c>
      <c r="AV121" s="59">
        <f ca="1">INDEX('General Inputs'!$F$51:$AN$51,MATCH($H121,'General Inputs'!$F$50:$AN$50,0))*$AI121</f>
        <v>2800</v>
      </c>
      <c r="AW121" s="59">
        <f ca="1">INDEX('General Inputs'!$F$51:$AN$51,MATCH($H121,'General Inputs'!$F$50:$AN$50,0))*$AM121</f>
        <v>0</v>
      </c>
      <c r="AX121" s="59">
        <f ca="1">SUM(INDEX('General Inputs'!$F$51:$AN$51,MATCH($H121,'General Inputs'!$F$50:$AN$50,0))*$AG121,INDEX('General Inputs'!$F$51:$AN$51,MATCH($H121+$AL121,'General Inputs'!$F$50:$AN$50,0))*-$AH121)</f>
        <v>16400</v>
      </c>
      <c r="AY121" s="55"/>
      <c r="AZ121" s="59">
        <f ca="1">SUMPRODUCT($CA121:$DI121,'General Inputs'!$F$32:$AN$32,'General Inputs'!$F$52:$AN$52)/(1-Loss_ElectricEnergy)</f>
        <v>24678.466207596743</v>
      </c>
      <c r="BA121" s="59">
        <f ca="1">SUMPRODUCT($DK121:$ES121,'General Inputs'!$F$33:$AN$33,'General Inputs'!$F$52:$AN$52)/(1-Loss_ElectricDemand)</f>
        <v>1675.155603333732</v>
      </c>
      <c r="BB121" s="59">
        <f ca="1">SUMPRODUCT($EU121:$GC121,'General Inputs'!$F$34:$AN$34,'General Inputs'!$F$52:$AN$52)/(1-Loss_GasEnergy)</f>
        <v>0</v>
      </c>
      <c r="BC121" s="59">
        <f ca="1">INDEX('General Inputs'!$F$52:$AN$52,MATCH($H121,'General Inputs'!$F$50:$AN$50,0))*$AI121</f>
        <v>2800</v>
      </c>
      <c r="BD121" s="59">
        <f ca="1">INDEX('General Inputs'!$F$52:$AN$52,MATCH($H121,'General Inputs'!$F$50:$AN$50,0))*$AM121</f>
        <v>0</v>
      </c>
      <c r="BE121" s="55"/>
      <c r="BF121" s="59">
        <f ca="1">SUMPRODUCT($CA121:$DI121,OFFSET('General Inputs'!$F$40:$AN$40,MATCH($D121&amp;" Electric ($/kWh)",'General Inputs'!$E$40:$E$46,0),),'General Inputs'!$F$54:$AN$54)</f>
        <v>0</v>
      </c>
      <c r="BG121" s="59">
        <f ca="1">SUMPRODUCT($EU121:$GC121,OFFSET('General Inputs'!$F$40:$AN$40,MATCH($D121&amp;" Natural Gas ($/therm)",'General Inputs'!$E$40:$E$46,0),),'General Inputs'!$F$54:$AN$54)</f>
        <v>0</v>
      </c>
      <c r="BH121" s="59">
        <f ca="1">INDEX('General Inputs'!$F$54:$AN$54,MATCH($H121,'General Inputs'!$F$50:$AN$50,0))*$AI121</f>
        <v>2800</v>
      </c>
      <c r="BI121" s="59">
        <f ca="1">SUM(INDEX('General Inputs'!$F$54:$AN$54,MATCH($H121,'General Inputs'!$F$50:$AN$50,0))*$AG121,INDEX('General Inputs'!$F$51:$AN$51,MATCH($H121+$AL121,'General Inputs'!$F$50:$AN$50,0))*-$AH121)</f>
        <v>16400</v>
      </c>
      <c r="BJ121" s="55"/>
      <c r="BK121" s="59">
        <f ca="1">SUMPRODUCT($CA121:$DI121,'General Inputs'!$F$32:$AN$32,'General Inputs'!$F$53:$AN$53)/(1-Loss_ElectricEnergy)</f>
        <v>24678.466207596743</v>
      </c>
      <c r="BL121" s="59">
        <f ca="1">SUMPRODUCT($DK121:$ES121,'General Inputs'!$F$33:$AN$33,'General Inputs'!$F$53:$AN$53)/(1-Loss_ElectricDemand)</f>
        <v>1675.155603333732</v>
      </c>
      <c r="BM121" s="59">
        <f ca="1">SUMPRODUCT($EU121:$GC121,'General Inputs'!$F$34:$AN$34,'General Inputs'!$F$53:$AN$53)/(1-Loss_GasEnergy)</f>
        <v>0</v>
      </c>
      <c r="BN121" s="59">
        <f ca="1">INDEX('General Inputs'!$F$53:$AN$53,MATCH($H121,'General Inputs'!$F$50:$AN$50,0))*$AJ121</f>
        <v>0</v>
      </c>
      <c r="BO121" s="59">
        <f ca="1">SUMPRODUCT($CA121:$DI121,'General Inputs'!$F$35:$AN$35,'General Inputs'!$F$53:$AN$53)/(1-Loss_ElectricEnergy)</f>
        <v>9413.4503141145287</v>
      </c>
      <c r="BP121" s="59">
        <f ca="1">INDEX('General Inputs'!$F$51:$AN$51,MATCH($H121,'General Inputs'!$F$50:$AN$50,0))*$AM121</f>
        <v>0</v>
      </c>
      <c r="BQ121" s="59">
        <f ca="1">SUM(INDEX('General Inputs'!$F$53:$AN$53,MATCH($H121,'General Inputs'!$F$50:$AN$50,0))*$AG121,INDEX('General Inputs'!$F$53:$AN$53,MATCH($H121+$AL121,'General Inputs'!$F$50:$AN$50,0))*-$AH121)</f>
        <v>16400</v>
      </c>
      <c r="BR121" s="55"/>
      <c r="BS121" s="59">
        <f ca="1">SUMPRODUCT($CA121:$DI121,'General Inputs'!$F$32:$AN$32,'General Inputs'!$F$55:$AN$55)/(1-Loss_ElectricEnergy)</f>
        <v>24678.466207596743</v>
      </c>
      <c r="BT121" s="59">
        <f ca="1">SUMPRODUCT($DK121:$ES121,'General Inputs'!$F$33:$AN$33,'General Inputs'!$F$55:$AN$55)/(1-Loss_ElectricDemand)</f>
        <v>1675.155603333732</v>
      </c>
      <c r="BU121" s="59">
        <f ca="1">SUMPRODUCT($EU121:$GC121,'General Inputs'!$F$34:$AN$34,'General Inputs'!$F$55:$AN$55)/(1-Loss_GasEnergy)</f>
        <v>0</v>
      </c>
      <c r="BV121" s="59">
        <f ca="1">SUMPRODUCT($CA121:$DI121,OFFSET('General Inputs'!$F$40:$AN$40,MATCH($D121&amp;" Electric ($/kWh)",'General Inputs'!$E$40:$E$46,0),),'General Inputs'!$F$55:$AN$55)</f>
        <v>0</v>
      </c>
      <c r="BW121" s="59">
        <f ca="1">SUMPRODUCT($EU121:$GC121,OFFSET('General Inputs'!$F$40:$AN$40,MATCH($D121&amp;" Natural Gas ($/therm)",'General Inputs'!$E$40:$E$46,0),),'General Inputs'!$F$55:$AN$55)</f>
        <v>0</v>
      </c>
      <c r="BX121" s="59">
        <f ca="1">INDEX('General Inputs'!$F$55:$AN$55,MATCH($H121,'General Inputs'!$F$50:$AN$50,0))*$AI121</f>
        <v>2800</v>
      </c>
      <c r="BY121" s="59">
        <f ca="1">INDEX('General Inputs'!$F$51:$AN$51,MATCH($H121,'General Inputs'!$F$50:$AN$50,0))*$AM121</f>
        <v>0</v>
      </c>
      <c r="BZ121" s="55"/>
      <c r="CA121" s="88">
        <f t="shared" ca="1" si="323"/>
        <v>88851.155907504552</v>
      </c>
      <c r="CB121" s="88">
        <f t="shared" ca="1" si="323"/>
        <v>88851.155907504552</v>
      </c>
      <c r="CC121" s="88">
        <f t="shared" ca="1" si="323"/>
        <v>88851.155907504552</v>
      </c>
      <c r="CD121" s="88">
        <f t="shared" ca="1" si="323"/>
        <v>88851.155907504552</v>
      </c>
      <c r="CE121" s="88">
        <f t="shared" ca="1" si="323"/>
        <v>88851.155907504552</v>
      </c>
      <c r="CF121" s="88">
        <f t="shared" ca="1" si="323"/>
        <v>88851.155907504552</v>
      </c>
      <c r="CG121" s="88">
        <f t="shared" ca="1" si="323"/>
        <v>88851.155907504552</v>
      </c>
      <c r="CH121" s="88">
        <f t="shared" ca="1" si="323"/>
        <v>88851.155907504552</v>
      </c>
      <c r="CI121" s="88">
        <f t="shared" ca="1" si="323"/>
        <v>88851.155907504552</v>
      </c>
      <c r="CJ121" s="88">
        <f t="shared" ca="1" si="323"/>
        <v>88851.155907504552</v>
      </c>
      <c r="CK121" s="88">
        <f t="shared" ca="1" si="324"/>
        <v>88851.155907504552</v>
      </c>
      <c r="CL121" s="88">
        <f t="shared" ca="1" si="324"/>
        <v>88851.155907504552</v>
      </c>
      <c r="CM121" s="88">
        <f t="shared" ca="1" si="324"/>
        <v>88851.155907504552</v>
      </c>
      <c r="CN121" s="88">
        <f t="shared" ca="1" si="324"/>
        <v>88851.155907504552</v>
      </c>
      <c r="CO121" s="88">
        <f t="shared" ca="1" si="324"/>
        <v>88851.155907504552</v>
      </c>
      <c r="CP121" s="88">
        <f t="shared" ca="1" si="324"/>
        <v>0</v>
      </c>
      <c r="CQ121" s="88">
        <f t="shared" ca="1" si="324"/>
        <v>0</v>
      </c>
      <c r="CR121" s="88">
        <f t="shared" ca="1" si="324"/>
        <v>0</v>
      </c>
      <c r="CS121" s="88">
        <f t="shared" ca="1" si="324"/>
        <v>0</v>
      </c>
      <c r="CT121" s="88">
        <f t="shared" ca="1" si="324"/>
        <v>0</v>
      </c>
      <c r="CU121" s="88">
        <f t="shared" ca="1" si="325"/>
        <v>0</v>
      </c>
      <c r="CV121" s="88">
        <f t="shared" ca="1" si="325"/>
        <v>0</v>
      </c>
      <c r="CW121" s="88">
        <f t="shared" ca="1" si="325"/>
        <v>0</v>
      </c>
      <c r="CX121" s="88">
        <f t="shared" ca="1" si="325"/>
        <v>0</v>
      </c>
      <c r="CY121" s="88">
        <f t="shared" ca="1" si="325"/>
        <v>0</v>
      </c>
      <c r="CZ121" s="88">
        <f t="shared" ca="1" si="325"/>
        <v>0</v>
      </c>
      <c r="DA121" s="88">
        <f t="shared" ca="1" si="325"/>
        <v>0</v>
      </c>
      <c r="DB121" s="88">
        <f t="shared" ca="1" si="325"/>
        <v>0</v>
      </c>
      <c r="DC121" s="88">
        <f t="shared" ca="1" si="325"/>
        <v>0</v>
      </c>
      <c r="DD121" s="88">
        <f t="shared" ca="1" si="325"/>
        <v>0</v>
      </c>
      <c r="DE121" s="88">
        <f t="shared" ca="1" si="325"/>
        <v>0</v>
      </c>
      <c r="DF121" s="88">
        <f t="shared" ca="1" si="325"/>
        <v>0</v>
      </c>
      <c r="DG121" s="88">
        <f t="shared" ca="1" si="325"/>
        <v>0</v>
      </c>
      <c r="DH121" s="88">
        <f t="shared" ca="1" si="325"/>
        <v>0</v>
      </c>
      <c r="DI121" s="88">
        <f t="shared" ca="1" si="325"/>
        <v>0</v>
      </c>
      <c r="DJ121" s="169"/>
      <c r="DK121" s="88">
        <f t="shared" ca="1" si="326"/>
        <v>8.3850658721398421</v>
      </c>
      <c r="DL121" s="88">
        <f t="shared" ca="1" si="326"/>
        <v>8.3850658721398421</v>
      </c>
      <c r="DM121" s="88">
        <f t="shared" ca="1" si="326"/>
        <v>8.3850658721398421</v>
      </c>
      <c r="DN121" s="88">
        <f t="shared" ca="1" si="326"/>
        <v>8.3850658721398421</v>
      </c>
      <c r="DO121" s="88">
        <f t="shared" ca="1" si="326"/>
        <v>8.3850658721398421</v>
      </c>
      <c r="DP121" s="88">
        <f t="shared" ca="1" si="326"/>
        <v>8.3850658721398421</v>
      </c>
      <c r="DQ121" s="88">
        <f t="shared" ca="1" si="326"/>
        <v>8.3850658721398421</v>
      </c>
      <c r="DR121" s="88">
        <f t="shared" ca="1" si="326"/>
        <v>8.3850658721398421</v>
      </c>
      <c r="DS121" s="88">
        <f t="shared" ca="1" si="326"/>
        <v>8.3850658721398421</v>
      </c>
      <c r="DT121" s="88">
        <f t="shared" ca="1" si="326"/>
        <v>8.3850658721398421</v>
      </c>
      <c r="DU121" s="88">
        <f t="shared" ca="1" si="327"/>
        <v>8.3850658721398421</v>
      </c>
      <c r="DV121" s="88">
        <f t="shared" ca="1" si="327"/>
        <v>8.3850658721398421</v>
      </c>
      <c r="DW121" s="88">
        <f t="shared" ca="1" si="327"/>
        <v>8.3850658721398421</v>
      </c>
      <c r="DX121" s="88">
        <f t="shared" ca="1" si="327"/>
        <v>8.3850658721398421</v>
      </c>
      <c r="DY121" s="88">
        <f t="shared" ca="1" si="327"/>
        <v>8.3850658721398421</v>
      </c>
      <c r="DZ121" s="88">
        <f t="shared" ca="1" si="327"/>
        <v>0</v>
      </c>
      <c r="EA121" s="88">
        <f t="shared" ca="1" si="327"/>
        <v>0</v>
      </c>
      <c r="EB121" s="88">
        <f t="shared" ca="1" si="327"/>
        <v>0</v>
      </c>
      <c r="EC121" s="88">
        <f t="shared" ca="1" si="327"/>
        <v>0</v>
      </c>
      <c r="ED121" s="88">
        <f t="shared" ca="1" si="327"/>
        <v>0</v>
      </c>
      <c r="EE121" s="88">
        <f t="shared" ca="1" si="328"/>
        <v>0</v>
      </c>
      <c r="EF121" s="88">
        <f t="shared" ca="1" si="328"/>
        <v>0</v>
      </c>
      <c r="EG121" s="88">
        <f t="shared" ca="1" si="328"/>
        <v>0</v>
      </c>
      <c r="EH121" s="88">
        <f t="shared" ca="1" si="328"/>
        <v>0</v>
      </c>
      <c r="EI121" s="88">
        <f t="shared" ca="1" si="328"/>
        <v>0</v>
      </c>
      <c r="EJ121" s="88">
        <f t="shared" ca="1" si="328"/>
        <v>0</v>
      </c>
      <c r="EK121" s="88">
        <f t="shared" ca="1" si="328"/>
        <v>0</v>
      </c>
      <c r="EL121" s="88">
        <f t="shared" ca="1" si="328"/>
        <v>0</v>
      </c>
      <c r="EM121" s="88">
        <f t="shared" ca="1" si="328"/>
        <v>0</v>
      </c>
      <c r="EN121" s="88">
        <f t="shared" ca="1" si="328"/>
        <v>0</v>
      </c>
      <c r="EO121" s="88">
        <f t="shared" ca="1" si="328"/>
        <v>0</v>
      </c>
      <c r="EP121" s="88">
        <f t="shared" ca="1" si="328"/>
        <v>0</v>
      </c>
      <c r="EQ121" s="88">
        <f t="shared" ca="1" si="328"/>
        <v>0</v>
      </c>
      <c r="ER121" s="88">
        <f t="shared" ca="1" si="328"/>
        <v>0</v>
      </c>
      <c r="ES121" s="88">
        <f t="shared" ca="1" si="328"/>
        <v>0</v>
      </c>
      <c r="ET121" s="169"/>
      <c r="EU121" s="88">
        <f t="shared" ca="1" si="329"/>
        <v>0</v>
      </c>
      <c r="EV121" s="88">
        <f t="shared" ca="1" si="329"/>
        <v>0</v>
      </c>
      <c r="EW121" s="88">
        <f t="shared" ca="1" si="329"/>
        <v>0</v>
      </c>
      <c r="EX121" s="88">
        <f t="shared" ca="1" si="329"/>
        <v>0</v>
      </c>
      <c r="EY121" s="88">
        <f t="shared" ca="1" si="329"/>
        <v>0</v>
      </c>
      <c r="EZ121" s="88">
        <f t="shared" ca="1" si="329"/>
        <v>0</v>
      </c>
      <c r="FA121" s="88">
        <f t="shared" ca="1" si="329"/>
        <v>0</v>
      </c>
      <c r="FB121" s="88">
        <f t="shared" ca="1" si="329"/>
        <v>0</v>
      </c>
      <c r="FC121" s="88">
        <f t="shared" ca="1" si="329"/>
        <v>0</v>
      </c>
      <c r="FD121" s="88">
        <f t="shared" ca="1" si="329"/>
        <v>0</v>
      </c>
      <c r="FE121" s="88">
        <f t="shared" ca="1" si="330"/>
        <v>0</v>
      </c>
      <c r="FF121" s="88">
        <f t="shared" ca="1" si="330"/>
        <v>0</v>
      </c>
      <c r="FG121" s="88">
        <f t="shared" ca="1" si="330"/>
        <v>0</v>
      </c>
      <c r="FH121" s="88">
        <f t="shared" ca="1" si="330"/>
        <v>0</v>
      </c>
      <c r="FI121" s="88">
        <f t="shared" ca="1" si="330"/>
        <v>0</v>
      </c>
      <c r="FJ121" s="88">
        <f t="shared" ca="1" si="330"/>
        <v>0</v>
      </c>
      <c r="FK121" s="88">
        <f t="shared" ca="1" si="330"/>
        <v>0</v>
      </c>
      <c r="FL121" s="88">
        <f t="shared" ca="1" si="330"/>
        <v>0</v>
      </c>
      <c r="FM121" s="88">
        <f t="shared" ca="1" si="330"/>
        <v>0</v>
      </c>
      <c r="FN121" s="88">
        <f t="shared" ca="1" si="330"/>
        <v>0</v>
      </c>
      <c r="FO121" s="88">
        <f t="shared" ca="1" si="331"/>
        <v>0</v>
      </c>
      <c r="FP121" s="88">
        <f t="shared" ca="1" si="331"/>
        <v>0</v>
      </c>
      <c r="FQ121" s="88">
        <f t="shared" ca="1" si="331"/>
        <v>0</v>
      </c>
      <c r="FR121" s="88">
        <f t="shared" ca="1" si="331"/>
        <v>0</v>
      </c>
      <c r="FS121" s="88">
        <f t="shared" ca="1" si="331"/>
        <v>0</v>
      </c>
      <c r="FT121" s="88">
        <f t="shared" ca="1" si="331"/>
        <v>0</v>
      </c>
      <c r="FU121" s="88">
        <f t="shared" ca="1" si="331"/>
        <v>0</v>
      </c>
      <c r="FV121" s="88">
        <f t="shared" ca="1" si="331"/>
        <v>0</v>
      </c>
      <c r="FW121" s="88">
        <f t="shared" ca="1" si="331"/>
        <v>0</v>
      </c>
      <c r="FX121" s="88">
        <f t="shared" ca="1" si="331"/>
        <v>0</v>
      </c>
      <c r="FY121" s="88">
        <f t="shared" ca="1" si="331"/>
        <v>0</v>
      </c>
      <c r="FZ121" s="88">
        <f t="shared" ca="1" si="331"/>
        <v>0</v>
      </c>
      <c r="GA121" s="88">
        <f t="shared" ca="1" si="331"/>
        <v>0</v>
      </c>
      <c r="GB121" s="88">
        <f t="shared" ca="1" si="331"/>
        <v>0</v>
      </c>
      <c r="GC121" s="88">
        <f t="shared" ca="1" si="331"/>
        <v>0</v>
      </c>
      <c r="GD121" s="60"/>
    </row>
    <row r="122" spans="1:186" s="54" customFormat="1" ht="14.45" customHeight="1">
      <c r="A122" s="61"/>
      <c r="B122" s="100" t="str">
        <f t="shared" si="277"/>
        <v>C&amp;I_C&amp;I Prescriptive_0_Heat Pump Water Heater_2017</v>
      </c>
      <c r="C122" s="100">
        <f>INDEX('Measure Inputs'!$D:$D,MATCH($B122,'Measure Inputs'!$B:$B,0))</f>
        <v>74</v>
      </c>
      <c r="D122" s="101" t="s">
        <v>256</v>
      </c>
      <c r="E122" s="101" t="s">
        <v>255</v>
      </c>
      <c r="F122" s="101">
        <v>0</v>
      </c>
      <c r="G122" s="101" t="s">
        <v>260</v>
      </c>
      <c r="H122" s="101">
        <v>2017</v>
      </c>
      <c r="I122" s="55"/>
      <c r="J122" s="58">
        <f t="shared" ca="1" si="229"/>
        <v>0.60035540258891729</v>
      </c>
      <c r="K122" s="58">
        <f t="shared" ca="1" si="246"/>
        <v>2.353393178148556</v>
      </c>
      <c r="L122" s="58">
        <f t="shared" ca="1" si="230"/>
        <v>0.25510204081632654</v>
      </c>
      <c r="M122" s="58">
        <f t="shared" ca="1" si="231"/>
        <v>0.82397504391999077</v>
      </c>
      <c r="N122" s="58">
        <f t="shared" ca="1" si="232"/>
        <v>2.353393178148556</v>
      </c>
      <c r="O122" s="55"/>
      <c r="P122" s="175">
        <f ca="1">IFERROR(($AW122+AV122)/SUMPRODUCT($CA122:$DI122,'General Inputs'!$F$51:$AN$51),"n/a")</f>
        <v>1.3646332130194257E-2</v>
      </c>
      <c r="Q122" s="175">
        <f t="shared" ca="1" si="309"/>
        <v>0.11215656092154104</v>
      </c>
      <c r="R122" s="56">
        <f t="shared" ca="1" si="310"/>
        <v>185.45504452967856</v>
      </c>
      <c r="S122" s="55"/>
      <c r="T122" s="56">
        <f ca="1">INDEX(OFFSET('Measure Inputs'!$L$7,,,InputRows),$C122)</f>
        <v>8</v>
      </c>
      <c r="U122" s="134">
        <f ca="1">INDEX(OFFSET('Measure Inputs'!$T$7,,,InputRows),$C122)</f>
        <v>1</v>
      </c>
      <c r="V122" s="134">
        <f ca="1">INDEX(OFFSET('Measure Inputs'!$U$7,,,InputRows),$C122)</f>
        <v>1</v>
      </c>
      <c r="W122" s="55"/>
      <c r="X122" s="96">
        <f ca="1">INDEX(OFFSET('Measure Inputs'!$V$7,,,InputRows),$C122)*$T122*$V122*$U122</f>
        <v>14265.77265612912</v>
      </c>
      <c r="Y122" s="96">
        <f ca="1">INDEX(OFFSET('Measure Inputs'!$W$7,,,InputRows),$C122)*$T122*$V122*$U122</f>
        <v>0.67583605161290738</v>
      </c>
      <c r="Z122" s="96">
        <f ca="1">INDEX(OFFSET('Measure Inputs'!$X$7,,,InputRows),$C122)*$T122*$V122*$U122</f>
        <v>0</v>
      </c>
      <c r="AA122" s="55"/>
      <c r="AB122" s="96">
        <f ca="1">INDEX(OFFSET('Measure Inputs'!$Z$7,,,InputRows),$C122)*$T122*$V122*$U122</f>
        <v>0</v>
      </c>
      <c r="AC122" s="96">
        <f ca="1">INDEX(OFFSET('Measure Inputs'!$AA$7,,,InputRows),$C122)*$T122*$V122*$U122</f>
        <v>0</v>
      </c>
      <c r="AD122" s="96">
        <f ca="1">INDEX(OFFSET('Measure Inputs'!$AB$7,,,InputRows),$C122)*$T122*$V122*$U122</f>
        <v>0</v>
      </c>
      <c r="AE122" s="55"/>
      <c r="AF122" s="57">
        <f ca="1">INDEX(OFFSET('Measure Inputs'!$Q$7,,,InputRows),$C122)*$T122</f>
        <v>0</v>
      </c>
      <c r="AG122" s="57">
        <f ca="1">INDEX(OFFSET('Measure Inputs'!$P$7,,,InputRows),$C122)*$T122*$V122</f>
        <v>6272</v>
      </c>
      <c r="AH122" s="57">
        <f ca="1">INDEX(OFFSET('Measure Inputs'!$R$7,,,InputRows),$C122)*$T122*$V122</f>
        <v>0</v>
      </c>
      <c r="AI122" s="57">
        <f ca="1">INDEX(OFFSET('Measure Inputs'!$O$7,,,InputRows),$C122)*$T122</f>
        <v>1600</v>
      </c>
      <c r="AJ122" s="57">
        <f ca="1">INDEX(OFFSET('Measure Inputs'!$S$7,,,InputRows),$C122)*$T122</f>
        <v>0</v>
      </c>
      <c r="AK122" s="63">
        <f ca="1">INDEX(OFFSET('Measure Inputs'!$M$7,,,InputRows),$C122)</f>
        <v>13</v>
      </c>
      <c r="AL122" s="88">
        <f ca="1">INDEX(OFFSET('Measure Inputs'!$N$7,,,InputRows),$C122)</f>
        <v>0</v>
      </c>
      <c r="AM122" s="57">
        <f ca="1">SUMIFS(OFFSET('Program Inputs'!$N$5,,,TotalPrograms),OFFSET('Program Inputs'!$B$5,,,TotalPrograms),SUBSTITUTE($B122,"All","*"))+AF122</f>
        <v>0</v>
      </c>
      <c r="AN122" s="57">
        <f t="shared" ca="1" si="311"/>
        <v>1600</v>
      </c>
      <c r="AO122" s="55"/>
      <c r="AP122" s="59">
        <f t="shared" ca="1" si="312"/>
        <v>3765.4290850376892</v>
      </c>
      <c r="AQ122" s="59">
        <f t="shared" ca="1" si="313"/>
        <v>6272</v>
      </c>
      <c r="AR122" s="59">
        <f ca="1">SUMPRODUCT($CA122:$DI122,'General Inputs'!$F$32:$AN$32,'General Inputs'!$F$51:$AN$51)/(1-Loss_ElectricEnergy)</f>
        <v>3641.349035222464</v>
      </c>
      <c r="AS122" s="59">
        <f ca="1">SUMPRODUCT($DK122:$ES122,'General Inputs'!$F$33:$AN$33,'General Inputs'!$F$51:$AN$51)/(1-Loss_ElectricDemand)</f>
        <v>124.08004981522507</v>
      </c>
      <c r="AT122" s="59">
        <f ca="1">SUMPRODUCT($EU122:$GC122,'General Inputs'!$F$34:$AN$34,'General Inputs'!$F$51:$AN$51)/(1-Loss_GasEnergy)</f>
        <v>0</v>
      </c>
      <c r="AU122" s="59">
        <f ca="1">INDEX('General Inputs'!$F$51:$AN$51,MATCH($H122,'General Inputs'!$F$50:$AN$50,0))*$AJ122</f>
        <v>0</v>
      </c>
      <c r="AV122" s="59">
        <f ca="1">INDEX('General Inputs'!$F$51:$AN$51,MATCH($H122,'General Inputs'!$F$50:$AN$50,0))*$AI122</f>
        <v>1600</v>
      </c>
      <c r="AW122" s="59">
        <f ca="1">INDEX('General Inputs'!$F$51:$AN$51,MATCH($H122,'General Inputs'!$F$50:$AN$50,0))*$AM122</f>
        <v>0</v>
      </c>
      <c r="AX122" s="59">
        <f ca="1">SUM(INDEX('General Inputs'!$F$51:$AN$51,MATCH($H122,'General Inputs'!$F$50:$AN$50,0))*$AG122,INDEX('General Inputs'!$F$51:$AN$51,MATCH($H122+$AL122,'General Inputs'!$F$50:$AN$50,0))*-$AH122)</f>
        <v>6272</v>
      </c>
      <c r="AY122" s="55"/>
      <c r="AZ122" s="59">
        <f ca="1">SUMPRODUCT($CA122:$DI122,'General Inputs'!$F$32:$AN$32,'General Inputs'!$F$52:$AN$52)/(1-Loss_ElectricEnergy)</f>
        <v>3641.349035222464</v>
      </c>
      <c r="BA122" s="59">
        <f ca="1">SUMPRODUCT($DK122:$ES122,'General Inputs'!$F$33:$AN$33,'General Inputs'!$F$52:$AN$52)/(1-Loss_ElectricDemand)</f>
        <v>124.08004981522507</v>
      </c>
      <c r="BB122" s="59">
        <f ca="1">SUMPRODUCT($EU122:$GC122,'General Inputs'!$F$34:$AN$34,'General Inputs'!$F$52:$AN$52)/(1-Loss_GasEnergy)</f>
        <v>0</v>
      </c>
      <c r="BC122" s="59">
        <f ca="1">INDEX('General Inputs'!$F$52:$AN$52,MATCH($H122,'General Inputs'!$F$50:$AN$50,0))*$AI122</f>
        <v>1600</v>
      </c>
      <c r="BD122" s="59">
        <f ca="1">INDEX('General Inputs'!$F$52:$AN$52,MATCH($H122,'General Inputs'!$F$50:$AN$50,0))*$AM122</f>
        <v>0</v>
      </c>
      <c r="BE122" s="55"/>
      <c r="BF122" s="59">
        <f ca="1">SUMPRODUCT($CA122:$DI122,OFFSET('General Inputs'!$F$40:$AN$40,MATCH($D122&amp;" Electric ($/kWh)",'General Inputs'!$E$40:$E$46,0),),'General Inputs'!$F$54:$AN$54)</f>
        <v>0</v>
      </c>
      <c r="BG122" s="59">
        <f ca="1">SUMPRODUCT($EU122:$GC122,OFFSET('General Inputs'!$F$40:$AN$40,MATCH($D122&amp;" Natural Gas ($/therm)",'General Inputs'!$E$40:$E$46,0),),'General Inputs'!$F$54:$AN$54)</f>
        <v>0</v>
      </c>
      <c r="BH122" s="59">
        <f ca="1">INDEX('General Inputs'!$F$54:$AN$54,MATCH($H122,'General Inputs'!$F$50:$AN$50,0))*$AI122</f>
        <v>1600</v>
      </c>
      <c r="BI122" s="59">
        <f ca="1">SUM(INDEX('General Inputs'!$F$54:$AN$54,MATCH($H122,'General Inputs'!$F$50:$AN$50,0))*$AG122,INDEX('General Inputs'!$F$51:$AN$51,MATCH($H122+$AL122,'General Inputs'!$F$50:$AN$50,0))*-$AH122)</f>
        <v>6272</v>
      </c>
      <c r="BJ122" s="55"/>
      <c r="BK122" s="59">
        <f ca="1">SUMPRODUCT($CA122:$DI122,'General Inputs'!$F$32:$AN$32,'General Inputs'!$F$53:$AN$53)/(1-Loss_ElectricEnergy)</f>
        <v>3641.349035222464</v>
      </c>
      <c r="BL122" s="59">
        <f ca="1">SUMPRODUCT($DK122:$ES122,'General Inputs'!$F$33:$AN$33,'General Inputs'!$F$53:$AN$53)/(1-Loss_ElectricDemand)</f>
        <v>124.08004981522507</v>
      </c>
      <c r="BM122" s="59">
        <f ca="1">SUMPRODUCT($EU122:$GC122,'General Inputs'!$F$34:$AN$34,'General Inputs'!$F$53:$AN$53)/(1-Loss_GasEnergy)</f>
        <v>0</v>
      </c>
      <c r="BN122" s="59">
        <f ca="1">INDEX('General Inputs'!$F$53:$AN$53,MATCH($H122,'General Inputs'!$F$50:$AN$50,0))*$AJ122</f>
        <v>0</v>
      </c>
      <c r="BO122" s="59">
        <f ca="1">SUMPRODUCT($CA122:$DI122,'General Inputs'!$F$35:$AN$35,'General Inputs'!$F$53:$AN$53)/(1-Loss_ElectricEnergy)</f>
        <v>1402.5423904284926</v>
      </c>
      <c r="BP122" s="59">
        <f ca="1">INDEX('General Inputs'!$F$51:$AN$51,MATCH($H122,'General Inputs'!$F$50:$AN$50,0))*$AM122</f>
        <v>0</v>
      </c>
      <c r="BQ122" s="59">
        <f ca="1">SUM(INDEX('General Inputs'!$F$53:$AN$53,MATCH($H122,'General Inputs'!$F$50:$AN$50,0))*$AG122,INDEX('General Inputs'!$F$53:$AN$53,MATCH($H122+$AL122,'General Inputs'!$F$50:$AN$50,0))*-$AH122)</f>
        <v>6272</v>
      </c>
      <c r="BR122" s="55"/>
      <c r="BS122" s="59">
        <f ca="1">SUMPRODUCT($CA122:$DI122,'General Inputs'!$F$32:$AN$32,'General Inputs'!$F$55:$AN$55)/(1-Loss_ElectricEnergy)</f>
        <v>3641.349035222464</v>
      </c>
      <c r="BT122" s="59">
        <f ca="1">SUMPRODUCT($DK122:$ES122,'General Inputs'!$F$33:$AN$33,'General Inputs'!$F$55:$AN$55)/(1-Loss_ElectricDemand)</f>
        <v>124.08004981522507</v>
      </c>
      <c r="BU122" s="59">
        <f ca="1">SUMPRODUCT($EU122:$GC122,'General Inputs'!$F$34:$AN$34,'General Inputs'!$F$55:$AN$55)/(1-Loss_GasEnergy)</f>
        <v>0</v>
      </c>
      <c r="BV122" s="59">
        <f ca="1">SUMPRODUCT($CA122:$DI122,OFFSET('General Inputs'!$F$40:$AN$40,MATCH($D122&amp;" Electric ($/kWh)",'General Inputs'!$E$40:$E$46,0),),'General Inputs'!$F$55:$AN$55)</f>
        <v>0</v>
      </c>
      <c r="BW122" s="59">
        <f ca="1">SUMPRODUCT($EU122:$GC122,OFFSET('General Inputs'!$F$40:$AN$40,MATCH($D122&amp;" Natural Gas ($/therm)",'General Inputs'!$E$40:$E$46,0),),'General Inputs'!$F$55:$AN$55)</f>
        <v>0</v>
      </c>
      <c r="BX122" s="59">
        <f ca="1">INDEX('General Inputs'!$F$55:$AN$55,MATCH($H122,'General Inputs'!$F$50:$AN$50,0))*$AI122</f>
        <v>1600</v>
      </c>
      <c r="BY122" s="59">
        <f ca="1">INDEX('General Inputs'!$F$51:$AN$51,MATCH($H122,'General Inputs'!$F$50:$AN$50,0))*$AM122</f>
        <v>0</v>
      </c>
      <c r="BZ122" s="55"/>
      <c r="CA122" s="88">
        <f t="shared" ca="1" si="323"/>
        <v>14265.77265612912</v>
      </c>
      <c r="CB122" s="88">
        <f t="shared" ca="1" si="323"/>
        <v>14265.77265612912</v>
      </c>
      <c r="CC122" s="88">
        <f t="shared" ca="1" si="323"/>
        <v>14265.77265612912</v>
      </c>
      <c r="CD122" s="88">
        <f t="shared" ca="1" si="323"/>
        <v>14265.77265612912</v>
      </c>
      <c r="CE122" s="88">
        <f t="shared" ca="1" si="323"/>
        <v>14265.77265612912</v>
      </c>
      <c r="CF122" s="88">
        <f t="shared" ca="1" si="323"/>
        <v>14265.77265612912</v>
      </c>
      <c r="CG122" s="88">
        <f t="shared" ca="1" si="323"/>
        <v>14265.77265612912</v>
      </c>
      <c r="CH122" s="88">
        <f t="shared" ca="1" si="323"/>
        <v>14265.77265612912</v>
      </c>
      <c r="CI122" s="88">
        <f t="shared" ca="1" si="323"/>
        <v>14265.77265612912</v>
      </c>
      <c r="CJ122" s="88">
        <f t="shared" ca="1" si="323"/>
        <v>14265.77265612912</v>
      </c>
      <c r="CK122" s="88">
        <f t="shared" ca="1" si="324"/>
        <v>14265.77265612912</v>
      </c>
      <c r="CL122" s="88">
        <f t="shared" ca="1" si="324"/>
        <v>14265.77265612912</v>
      </c>
      <c r="CM122" s="88">
        <f t="shared" ca="1" si="324"/>
        <v>14265.77265612912</v>
      </c>
      <c r="CN122" s="88">
        <f t="shared" ca="1" si="324"/>
        <v>0</v>
      </c>
      <c r="CO122" s="88">
        <f t="shared" ca="1" si="324"/>
        <v>0</v>
      </c>
      <c r="CP122" s="88">
        <f t="shared" ca="1" si="324"/>
        <v>0</v>
      </c>
      <c r="CQ122" s="88">
        <f t="shared" ca="1" si="324"/>
        <v>0</v>
      </c>
      <c r="CR122" s="88">
        <f t="shared" ca="1" si="324"/>
        <v>0</v>
      </c>
      <c r="CS122" s="88">
        <f t="shared" ca="1" si="324"/>
        <v>0</v>
      </c>
      <c r="CT122" s="88">
        <f t="shared" ca="1" si="324"/>
        <v>0</v>
      </c>
      <c r="CU122" s="88">
        <f t="shared" ca="1" si="325"/>
        <v>0</v>
      </c>
      <c r="CV122" s="88">
        <f t="shared" ca="1" si="325"/>
        <v>0</v>
      </c>
      <c r="CW122" s="88">
        <f t="shared" ca="1" si="325"/>
        <v>0</v>
      </c>
      <c r="CX122" s="88">
        <f t="shared" ca="1" si="325"/>
        <v>0</v>
      </c>
      <c r="CY122" s="88">
        <f t="shared" ca="1" si="325"/>
        <v>0</v>
      </c>
      <c r="CZ122" s="88">
        <f t="shared" ca="1" si="325"/>
        <v>0</v>
      </c>
      <c r="DA122" s="88">
        <f t="shared" ca="1" si="325"/>
        <v>0</v>
      </c>
      <c r="DB122" s="88">
        <f t="shared" ca="1" si="325"/>
        <v>0</v>
      </c>
      <c r="DC122" s="88">
        <f t="shared" ca="1" si="325"/>
        <v>0</v>
      </c>
      <c r="DD122" s="88">
        <f t="shared" ca="1" si="325"/>
        <v>0</v>
      </c>
      <c r="DE122" s="88">
        <f t="shared" ca="1" si="325"/>
        <v>0</v>
      </c>
      <c r="DF122" s="88">
        <f t="shared" ca="1" si="325"/>
        <v>0</v>
      </c>
      <c r="DG122" s="88">
        <f t="shared" ca="1" si="325"/>
        <v>0</v>
      </c>
      <c r="DH122" s="88">
        <f t="shared" ca="1" si="325"/>
        <v>0</v>
      </c>
      <c r="DI122" s="88">
        <f t="shared" ca="1" si="325"/>
        <v>0</v>
      </c>
      <c r="DJ122" s="169"/>
      <c r="DK122" s="88">
        <f t="shared" ca="1" si="326"/>
        <v>0.67583605161290738</v>
      </c>
      <c r="DL122" s="88">
        <f t="shared" ca="1" si="326"/>
        <v>0.67583605161290738</v>
      </c>
      <c r="DM122" s="88">
        <f t="shared" ca="1" si="326"/>
        <v>0.67583605161290738</v>
      </c>
      <c r="DN122" s="88">
        <f t="shared" ca="1" si="326"/>
        <v>0.67583605161290738</v>
      </c>
      <c r="DO122" s="88">
        <f t="shared" ca="1" si="326"/>
        <v>0.67583605161290738</v>
      </c>
      <c r="DP122" s="88">
        <f t="shared" ca="1" si="326"/>
        <v>0.67583605161290738</v>
      </c>
      <c r="DQ122" s="88">
        <f t="shared" ca="1" si="326"/>
        <v>0.67583605161290738</v>
      </c>
      <c r="DR122" s="88">
        <f t="shared" ca="1" si="326"/>
        <v>0.67583605161290738</v>
      </c>
      <c r="DS122" s="88">
        <f t="shared" ca="1" si="326"/>
        <v>0.67583605161290738</v>
      </c>
      <c r="DT122" s="88">
        <f t="shared" ca="1" si="326"/>
        <v>0.67583605161290738</v>
      </c>
      <c r="DU122" s="88">
        <f t="shared" ca="1" si="327"/>
        <v>0.67583605161290738</v>
      </c>
      <c r="DV122" s="88">
        <f t="shared" ca="1" si="327"/>
        <v>0.67583605161290738</v>
      </c>
      <c r="DW122" s="88">
        <f t="shared" ca="1" si="327"/>
        <v>0.67583605161290738</v>
      </c>
      <c r="DX122" s="88">
        <f t="shared" ca="1" si="327"/>
        <v>0</v>
      </c>
      <c r="DY122" s="88">
        <f t="shared" ca="1" si="327"/>
        <v>0</v>
      </c>
      <c r="DZ122" s="88">
        <f t="shared" ca="1" si="327"/>
        <v>0</v>
      </c>
      <c r="EA122" s="88">
        <f t="shared" ca="1" si="327"/>
        <v>0</v>
      </c>
      <c r="EB122" s="88">
        <f t="shared" ca="1" si="327"/>
        <v>0</v>
      </c>
      <c r="EC122" s="88">
        <f t="shared" ca="1" si="327"/>
        <v>0</v>
      </c>
      <c r="ED122" s="88">
        <f t="shared" ca="1" si="327"/>
        <v>0</v>
      </c>
      <c r="EE122" s="88">
        <f t="shared" ca="1" si="328"/>
        <v>0</v>
      </c>
      <c r="EF122" s="88">
        <f t="shared" ca="1" si="328"/>
        <v>0</v>
      </c>
      <c r="EG122" s="88">
        <f t="shared" ca="1" si="328"/>
        <v>0</v>
      </c>
      <c r="EH122" s="88">
        <f t="shared" ca="1" si="328"/>
        <v>0</v>
      </c>
      <c r="EI122" s="88">
        <f t="shared" ca="1" si="328"/>
        <v>0</v>
      </c>
      <c r="EJ122" s="88">
        <f t="shared" ca="1" si="328"/>
        <v>0</v>
      </c>
      <c r="EK122" s="88">
        <f t="shared" ca="1" si="328"/>
        <v>0</v>
      </c>
      <c r="EL122" s="88">
        <f t="shared" ca="1" si="328"/>
        <v>0</v>
      </c>
      <c r="EM122" s="88">
        <f t="shared" ca="1" si="328"/>
        <v>0</v>
      </c>
      <c r="EN122" s="88">
        <f t="shared" ca="1" si="328"/>
        <v>0</v>
      </c>
      <c r="EO122" s="88">
        <f t="shared" ca="1" si="328"/>
        <v>0</v>
      </c>
      <c r="EP122" s="88">
        <f t="shared" ca="1" si="328"/>
        <v>0</v>
      </c>
      <c r="EQ122" s="88">
        <f t="shared" ca="1" si="328"/>
        <v>0</v>
      </c>
      <c r="ER122" s="88">
        <f t="shared" ca="1" si="328"/>
        <v>0</v>
      </c>
      <c r="ES122" s="88">
        <f t="shared" ca="1" si="328"/>
        <v>0</v>
      </c>
      <c r="ET122" s="169"/>
      <c r="EU122" s="88">
        <f t="shared" ca="1" si="329"/>
        <v>0</v>
      </c>
      <c r="EV122" s="88">
        <f t="shared" ca="1" si="329"/>
        <v>0</v>
      </c>
      <c r="EW122" s="88">
        <f t="shared" ca="1" si="329"/>
        <v>0</v>
      </c>
      <c r="EX122" s="88">
        <f t="shared" ca="1" si="329"/>
        <v>0</v>
      </c>
      <c r="EY122" s="88">
        <f t="shared" ca="1" si="329"/>
        <v>0</v>
      </c>
      <c r="EZ122" s="88">
        <f t="shared" ca="1" si="329"/>
        <v>0</v>
      </c>
      <c r="FA122" s="88">
        <f t="shared" ca="1" si="329"/>
        <v>0</v>
      </c>
      <c r="FB122" s="88">
        <f t="shared" ca="1" si="329"/>
        <v>0</v>
      </c>
      <c r="FC122" s="88">
        <f t="shared" ca="1" si="329"/>
        <v>0</v>
      </c>
      <c r="FD122" s="88">
        <f t="shared" ca="1" si="329"/>
        <v>0</v>
      </c>
      <c r="FE122" s="88">
        <f t="shared" ca="1" si="330"/>
        <v>0</v>
      </c>
      <c r="FF122" s="88">
        <f t="shared" ca="1" si="330"/>
        <v>0</v>
      </c>
      <c r="FG122" s="88">
        <f t="shared" ca="1" si="330"/>
        <v>0</v>
      </c>
      <c r="FH122" s="88">
        <f t="shared" ca="1" si="330"/>
        <v>0</v>
      </c>
      <c r="FI122" s="88">
        <f t="shared" ca="1" si="330"/>
        <v>0</v>
      </c>
      <c r="FJ122" s="88">
        <f t="shared" ca="1" si="330"/>
        <v>0</v>
      </c>
      <c r="FK122" s="88">
        <f t="shared" ca="1" si="330"/>
        <v>0</v>
      </c>
      <c r="FL122" s="88">
        <f t="shared" ca="1" si="330"/>
        <v>0</v>
      </c>
      <c r="FM122" s="88">
        <f t="shared" ca="1" si="330"/>
        <v>0</v>
      </c>
      <c r="FN122" s="88">
        <f t="shared" ca="1" si="330"/>
        <v>0</v>
      </c>
      <c r="FO122" s="88">
        <f t="shared" ca="1" si="331"/>
        <v>0</v>
      </c>
      <c r="FP122" s="88">
        <f t="shared" ca="1" si="331"/>
        <v>0</v>
      </c>
      <c r="FQ122" s="88">
        <f t="shared" ca="1" si="331"/>
        <v>0</v>
      </c>
      <c r="FR122" s="88">
        <f t="shared" ca="1" si="331"/>
        <v>0</v>
      </c>
      <c r="FS122" s="88">
        <f t="shared" ca="1" si="331"/>
        <v>0</v>
      </c>
      <c r="FT122" s="88">
        <f t="shared" ca="1" si="331"/>
        <v>0</v>
      </c>
      <c r="FU122" s="88">
        <f t="shared" ca="1" si="331"/>
        <v>0</v>
      </c>
      <c r="FV122" s="88">
        <f t="shared" ca="1" si="331"/>
        <v>0</v>
      </c>
      <c r="FW122" s="88">
        <f t="shared" ca="1" si="331"/>
        <v>0</v>
      </c>
      <c r="FX122" s="88">
        <f t="shared" ca="1" si="331"/>
        <v>0</v>
      </c>
      <c r="FY122" s="88">
        <f t="shared" ca="1" si="331"/>
        <v>0</v>
      </c>
      <c r="FZ122" s="88">
        <f t="shared" ca="1" si="331"/>
        <v>0</v>
      </c>
      <c r="GA122" s="88">
        <f t="shared" ca="1" si="331"/>
        <v>0</v>
      </c>
      <c r="GB122" s="88">
        <f t="shared" ca="1" si="331"/>
        <v>0</v>
      </c>
      <c r="GC122" s="88">
        <f t="shared" ca="1" si="331"/>
        <v>0</v>
      </c>
      <c r="GD122" s="60"/>
    </row>
    <row r="123" spans="1:186" s="54" customFormat="1" ht="14.45" customHeight="1">
      <c r="A123" s="61"/>
      <c r="B123" s="100" t="str">
        <f t="shared" si="277"/>
        <v>C&amp;I_C&amp;I Prescriptive_0_ODC Motor_2017</v>
      </c>
      <c r="C123" s="100">
        <f>INDEX('Measure Inputs'!$D:$D,MATCH($B123,'Measure Inputs'!$B:$B,0))</f>
        <v>75</v>
      </c>
      <c r="D123" s="101" t="s">
        <v>256</v>
      </c>
      <c r="E123" s="101" t="s">
        <v>255</v>
      </c>
      <c r="F123" s="101">
        <v>0</v>
      </c>
      <c r="G123" s="101" t="s">
        <v>316</v>
      </c>
      <c r="H123" s="101">
        <v>2017</v>
      </c>
      <c r="I123" s="55"/>
      <c r="J123" s="58">
        <f t="shared" ca="1" si="229"/>
        <v>0.9939735637650422</v>
      </c>
      <c r="K123" s="58">
        <f t="shared" ca="1" si="246"/>
        <v>2.286139196659597</v>
      </c>
      <c r="L123" s="58">
        <f t="shared" ca="1" si="230"/>
        <v>0.43478260869565216</v>
      </c>
      <c r="M123" s="58">
        <f t="shared" ca="1" si="231"/>
        <v>1.3198477154309982</v>
      </c>
      <c r="N123" s="58">
        <f t="shared" ca="1" si="232"/>
        <v>2.286139196659597</v>
      </c>
      <c r="O123" s="55"/>
      <c r="P123" s="175">
        <f ca="1">IFERROR(($AW123+AV123)/SUMPRODUCT($CA123:$DI123,'General Inputs'!$F$51:$AN$51),"n/a")</f>
        <v>1.5960048291096124E-2</v>
      </c>
      <c r="Q123" s="175">
        <f t="shared" ca="1" si="309"/>
        <v>0.14135396757186688</v>
      </c>
      <c r="R123" s="56">
        <f t="shared" ca="1" si="310"/>
        <v>5.3058291386033209</v>
      </c>
      <c r="S123" s="55"/>
      <c r="T123" s="56">
        <f ca="1">INDEX(OFFSET('Measure Inputs'!$L$7,,,InputRows),$C123)</f>
        <v>1</v>
      </c>
      <c r="U123" s="134">
        <f ca="1">INDEX(OFFSET('Measure Inputs'!$T$7,,,InputRows),$C123)</f>
        <v>1</v>
      </c>
      <c r="V123" s="134">
        <f ca="1">INDEX(OFFSET('Measure Inputs'!$U$7,,,InputRows),$C123)</f>
        <v>1</v>
      </c>
      <c r="W123" s="55"/>
      <c r="X123" s="96">
        <f ca="1">INDEX(OFFSET('Measure Inputs'!$V$7,,,InputRows),$C123)*$T123*$V123*$U123</f>
        <v>353.7219425735546</v>
      </c>
      <c r="Y123" s="96">
        <f ca="1">INDEX(OFFSET('Measure Inputs'!$W$7,,,InputRows),$C123)*$T123*$V123*$U123</f>
        <v>8.0391350584898769E-2</v>
      </c>
      <c r="Z123" s="96">
        <f ca="1">INDEX(OFFSET('Measure Inputs'!$X$7,,,InputRows),$C123)*$T123*$V123*$U123</f>
        <v>0</v>
      </c>
      <c r="AA123" s="55"/>
      <c r="AB123" s="96">
        <f ca="1">INDEX(OFFSET('Measure Inputs'!$Z$7,,,InputRows),$C123)*$T123*$V123*$U123</f>
        <v>0</v>
      </c>
      <c r="AC123" s="96">
        <f ca="1">INDEX(OFFSET('Measure Inputs'!$AA$7,,,InputRows),$C123)*$T123*$V123*$U123</f>
        <v>0</v>
      </c>
      <c r="AD123" s="96">
        <f ca="1">INDEX(OFFSET('Measure Inputs'!$AB$7,,,InputRows),$C123)*$T123*$V123*$U123</f>
        <v>0</v>
      </c>
      <c r="AE123" s="55"/>
      <c r="AF123" s="57">
        <f ca="1">INDEX(OFFSET('Measure Inputs'!$Q$7,,,InputRows),$C123)*$T123</f>
        <v>0</v>
      </c>
      <c r="AG123" s="57">
        <f ca="1">INDEX(OFFSET('Measure Inputs'!$P$7,,,InputRows),$C123)*$T123*$V123</f>
        <v>115</v>
      </c>
      <c r="AH123" s="57">
        <f ca="1">INDEX(OFFSET('Measure Inputs'!$R$7,,,InputRows),$C123)*$T123*$V123</f>
        <v>0</v>
      </c>
      <c r="AI123" s="57">
        <f ca="1">INDEX(OFFSET('Measure Inputs'!$O$7,,,InputRows),$C123)*$T123</f>
        <v>50</v>
      </c>
      <c r="AJ123" s="57">
        <f ca="1">INDEX(OFFSET('Measure Inputs'!$S$7,,,InputRows),$C123)*$T123</f>
        <v>0</v>
      </c>
      <c r="AK123" s="63">
        <f ca="1">INDEX(OFFSET('Measure Inputs'!$M$7,,,InputRows),$C123)</f>
        <v>15</v>
      </c>
      <c r="AL123" s="88">
        <f ca="1">INDEX(OFFSET('Measure Inputs'!$N$7,,,InputRows),$C123)</f>
        <v>0</v>
      </c>
      <c r="AM123" s="57">
        <f ca="1">SUMIFS(OFFSET('Program Inputs'!$N$5,,,TotalPrograms),OFFSET('Program Inputs'!$B$5,,,TotalPrograms),SUBSTITUTE($B123,"All","*"))+AF123</f>
        <v>0</v>
      </c>
      <c r="AN123" s="57">
        <f t="shared" ca="1" si="311"/>
        <v>50</v>
      </c>
      <c r="AO123" s="55"/>
      <c r="AP123" s="59">
        <f t="shared" ca="1" si="312"/>
        <v>114.30695983297986</v>
      </c>
      <c r="AQ123" s="59">
        <f t="shared" ca="1" si="313"/>
        <v>115</v>
      </c>
      <c r="AR123" s="59">
        <f ca="1">SUMPRODUCT($CA123:$DI123,'General Inputs'!$F$32:$AN$32,'General Inputs'!$F$51:$AN$51)/(1-Loss_ElectricEnergy)</f>
        <v>98.24649907508568</v>
      </c>
      <c r="AS123" s="59">
        <f ca="1">SUMPRODUCT($DK123:$ES123,'General Inputs'!$F$33:$AN$33,'General Inputs'!$F$51:$AN$51)/(1-Loss_ElectricDemand)</f>
        <v>16.060460757894177</v>
      </c>
      <c r="AT123" s="59">
        <f ca="1">SUMPRODUCT($EU123:$GC123,'General Inputs'!$F$34:$AN$34,'General Inputs'!$F$51:$AN$51)/(1-Loss_GasEnergy)</f>
        <v>0</v>
      </c>
      <c r="AU123" s="59">
        <f ca="1">INDEX('General Inputs'!$F$51:$AN$51,MATCH($H123,'General Inputs'!$F$50:$AN$50,0))*$AJ123</f>
        <v>0</v>
      </c>
      <c r="AV123" s="59">
        <f ca="1">INDEX('General Inputs'!$F$51:$AN$51,MATCH($H123,'General Inputs'!$F$50:$AN$50,0))*$AI123</f>
        <v>50</v>
      </c>
      <c r="AW123" s="59">
        <f ca="1">INDEX('General Inputs'!$F$51:$AN$51,MATCH($H123,'General Inputs'!$F$50:$AN$50,0))*$AM123</f>
        <v>0</v>
      </c>
      <c r="AX123" s="59">
        <f ca="1">SUM(INDEX('General Inputs'!$F$51:$AN$51,MATCH($H123,'General Inputs'!$F$50:$AN$50,0))*$AG123,INDEX('General Inputs'!$F$51:$AN$51,MATCH($H123+$AL123,'General Inputs'!$F$50:$AN$50,0))*-$AH123)</f>
        <v>115</v>
      </c>
      <c r="AY123" s="55"/>
      <c r="AZ123" s="59">
        <f ca="1">SUMPRODUCT($CA123:$DI123,'General Inputs'!$F$32:$AN$32,'General Inputs'!$F$52:$AN$52)/(1-Loss_ElectricEnergy)</f>
        <v>98.24649907508568</v>
      </c>
      <c r="BA123" s="59">
        <f ca="1">SUMPRODUCT($DK123:$ES123,'General Inputs'!$F$33:$AN$33,'General Inputs'!$F$52:$AN$52)/(1-Loss_ElectricDemand)</f>
        <v>16.060460757894177</v>
      </c>
      <c r="BB123" s="59">
        <f ca="1">SUMPRODUCT($EU123:$GC123,'General Inputs'!$F$34:$AN$34,'General Inputs'!$F$52:$AN$52)/(1-Loss_GasEnergy)</f>
        <v>0</v>
      </c>
      <c r="BC123" s="59">
        <f ca="1">INDEX('General Inputs'!$F$52:$AN$52,MATCH($H123,'General Inputs'!$F$50:$AN$50,0))*$AI123</f>
        <v>50</v>
      </c>
      <c r="BD123" s="59">
        <f ca="1">INDEX('General Inputs'!$F$52:$AN$52,MATCH($H123,'General Inputs'!$F$50:$AN$50,0))*$AM123</f>
        <v>0</v>
      </c>
      <c r="BE123" s="55"/>
      <c r="BF123" s="59">
        <f ca="1">SUMPRODUCT($CA123:$DI123,OFFSET('General Inputs'!$F$40:$AN$40,MATCH($D123&amp;" Electric ($/kWh)",'General Inputs'!$E$40:$E$46,0),),'General Inputs'!$F$54:$AN$54)</f>
        <v>0</v>
      </c>
      <c r="BG123" s="59">
        <f ca="1">SUMPRODUCT($EU123:$GC123,OFFSET('General Inputs'!$F$40:$AN$40,MATCH($D123&amp;" Natural Gas ($/therm)",'General Inputs'!$E$40:$E$46,0),),'General Inputs'!$F$54:$AN$54)</f>
        <v>0</v>
      </c>
      <c r="BH123" s="59">
        <f ca="1">INDEX('General Inputs'!$F$54:$AN$54,MATCH($H123,'General Inputs'!$F$50:$AN$50,0))*$AI123</f>
        <v>50</v>
      </c>
      <c r="BI123" s="59">
        <f ca="1">SUM(INDEX('General Inputs'!$F$54:$AN$54,MATCH($H123,'General Inputs'!$F$50:$AN$50,0))*$AG123,INDEX('General Inputs'!$F$51:$AN$51,MATCH($H123+$AL123,'General Inputs'!$F$50:$AN$50,0))*-$AH123)</f>
        <v>115</v>
      </c>
      <c r="BJ123" s="55"/>
      <c r="BK123" s="59">
        <f ca="1">SUMPRODUCT($CA123:$DI123,'General Inputs'!$F$32:$AN$32,'General Inputs'!$F$53:$AN$53)/(1-Loss_ElectricEnergy)</f>
        <v>98.24649907508568</v>
      </c>
      <c r="BL123" s="59">
        <f ca="1">SUMPRODUCT($DK123:$ES123,'General Inputs'!$F$33:$AN$33,'General Inputs'!$F$53:$AN$53)/(1-Loss_ElectricDemand)</f>
        <v>16.060460757894177</v>
      </c>
      <c r="BM123" s="59">
        <f ca="1">SUMPRODUCT($EU123:$GC123,'General Inputs'!$F$34:$AN$34,'General Inputs'!$F$53:$AN$53)/(1-Loss_GasEnergy)</f>
        <v>0</v>
      </c>
      <c r="BN123" s="59">
        <f ca="1">INDEX('General Inputs'!$F$53:$AN$53,MATCH($H123,'General Inputs'!$F$50:$AN$50,0))*$AJ123</f>
        <v>0</v>
      </c>
      <c r="BO123" s="59">
        <f ca="1">SUMPRODUCT($CA123:$DI123,'General Inputs'!$F$35:$AN$35,'General Inputs'!$F$53:$AN$53)/(1-Loss_ElectricEnergy)</f>
        <v>37.475527441584937</v>
      </c>
      <c r="BP123" s="59">
        <f ca="1">INDEX('General Inputs'!$F$51:$AN$51,MATCH($H123,'General Inputs'!$F$50:$AN$50,0))*$AM123</f>
        <v>0</v>
      </c>
      <c r="BQ123" s="59">
        <f ca="1">SUM(INDEX('General Inputs'!$F$53:$AN$53,MATCH($H123,'General Inputs'!$F$50:$AN$50,0))*$AG123,INDEX('General Inputs'!$F$53:$AN$53,MATCH($H123+$AL123,'General Inputs'!$F$50:$AN$50,0))*-$AH123)</f>
        <v>115</v>
      </c>
      <c r="BR123" s="55"/>
      <c r="BS123" s="59">
        <f ca="1">SUMPRODUCT($CA123:$DI123,'General Inputs'!$F$32:$AN$32,'General Inputs'!$F$55:$AN$55)/(1-Loss_ElectricEnergy)</f>
        <v>98.24649907508568</v>
      </c>
      <c r="BT123" s="59">
        <f ca="1">SUMPRODUCT($DK123:$ES123,'General Inputs'!$F$33:$AN$33,'General Inputs'!$F$55:$AN$55)/(1-Loss_ElectricDemand)</f>
        <v>16.060460757894177</v>
      </c>
      <c r="BU123" s="59">
        <f ca="1">SUMPRODUCT($EU123:$GC123,'General Inputs'!$F$34:$AN$34,'General Inputs'!$F$55:$AN$55)/(1-Loss_GasEnergy)</f>
        <v>0</v>
      </c>
      <c r="BV123" s="59">
        <f ca="1">SUMPRODUCT($CA123:$DI123,OFFSET('General Inputs'!$F$40:$AN$40,MATCH($D123&amp;" Electric ($/kWh)",'General Inputs'!$E$40:$E$46,0),),'General Inputs'!$F$55:$AN$55)</f>
        <v>0</v>
      </c>
      <c r="BW123" s="59">
        <f ca="1">SUMPRODUCT($EU123:$GC123,OFFSET('General Inputs'!$F$40:$AN$40,MATCH($D123&amp;" Natural Gas ($/therm)",'General Inputs'!$E$40:$E$46,0),),'General Inputs'!$F$55:$AN$55)</f>
        <v>0</v>
      </c>
      <c r="BX123" s="59">
        <f ca="1">INDEX('General Inputs'!$F$55:$AN$55,MATCH($H123,'General Inputs'!$F$50:$AN$50,0))*$AI123</f>
        <v>50</v>
      </c>
      <c r="BY123" s="59">
        <f ca="1">INDEX('General Inputs'!$F$51:$AN$51,MATCH($H123,'General Inputs'!$F$50:$AN$50,0))*$AM123</f>
        <v>0</v>
      </c>
      <c r="BZ123" s="55"/>
      <c r="CA123" s="88">
        <f t="shared" ref="CA123:CJ132" ca="1" si="332">IF(AND($H123&lt;=CA$8,$H123+$AK123&gt;CA$8),IF(AND($H123+$AL123&lt;=CA$8,$AL123&gt;0),$AB123,$X123),0)</f>
        <v>353.7219425735546</v>
      </c>
      <c r="CB123" s="88">
        <f t="shared" ca="1" si="332"/>
        <v>353.7219425735546</v>
      </c>
      <c r="CC123" s="88">
        <f t="shared" ca="1" si="332"/>
        <v>353.7219425735546</v>
      </c>
      <c r="CD123" s="88">
        <f t="shared" ca="1" si="332"/>
        <v>353.7219425735546</v>
      </c>
      <c r="CE123" s="88">
        <f t="shared" ca="1" si="332"/>
        <v>353.7219425735546</v>
      </c>
      <c r="CF123" s="88">
        <f t="shared" ca="1" si="332"/>
        <v>353.7219425735546</v>
      </c>
      <c r="CG123" s="88">
        <f t="shared" ca="1" si="332"/>
        <v>353.7219425735546</v>
      </c>
      <c r="CH123" s="88">
        <f t="shared" ca="1" si="332"/>
        <v>353.7219425735546</v>
      </c>
      <c r="CI123" s="88">
        <f t="shared" ca="1" si="332"/>
        <v>353.7219425735546</v>
      </c>
      <c r="CJ123" s="88">
        <f t="shared" ca="1" si="332"/>
        <v>353.7219425735546</v>
      </c>
      <c r="CK123" s="88">
        <f t="shared" ref="CK123:CT132" ca="1" si="333">IF(AND($H123&lt;=CK$8,$H123+$AK123&gt;CK$8),IF(AND($H123+$AL123&lt;=CK$8,$AL123&gt;0),$AB123,$X123),0)</f>
        <v>353.7219425735546</v>
      </c>
      <c r="CL123" s="88">
        <f t="shared" ca="1" si="333"/>
        <v>353.7219425735546</v>
      </c>
      <c r="CM123" s="88">
        <f t="shared" ca="1" si="333"/>
        <v>353.7219425735546</v>
      </c>
      <c r="CN123" s="88">
        <f t="shared" ca="1" si="333"/>
        <v>353.7219425735546</v>
      </c>
      <c r="CO123" s="88">
        <f t="shared" ca="1" si="333"/>
        <v>353.7219425735546</v>
      </c>
      <c r="CP123" s="88">
        <f t="shared" ca="1" si="333"/>
        <v>0</v>
      </c>
      <c r="CQ123" s="88">
        <f t="shared" ca="1" si="333"/>
        <v>0</v>
      </c>
      <c r="CR123" s="88">
        <f t="shared" ca="1" si="333"/>
        <v>0</v>
      </c>
      <c r="CS123" s="88">
        <f t="shared" ca="1" si="333"/>
        <v>0</v>
      </c>
      <c r="CT123" s="88">
        <f t="shared" ca="1" si="333"/>
        <v>0</v>
      </c>
      <c r="CU123" s="88">
        <f t="shared" ref="CU123:DI132" ca="1" si="334">IF(AND($H123&lt;=CU$8,$H123+$AK123&gt;CU$8),IF(AND($H123+$AL123&lt;=CU$8,$AL123&gt;0),$AB123,$X123),0)</f>
        <v>0</v>
      </c>
      <c r="CV123" s="88">
        <f t="shared" ca="1" si="334"/>
        <v>0</v>
      </c>
      <c r="CW123" s="88">
        <f t="shared" ca="1" si="334"/>
        <v>0</v>
      </c>
      <c r="CX123" s="88">
        <f t="shared" ca="1" si="334"/>
        <v>0</v>
      </c>
      <c r="CY123" s="88">
        <f t="shared" ca="1" si="334"/>
        <v>0</v>
      </c>
      <c r="CZ123" s="88">
        <f t="shared" ca="1" si="334"/>
        <v>0</v>
      </c>
      <c r="DA123" s="88">
        <f t="shared" ca="1" si="334"/>
        <v>0</v>
      </c>
      <c r="DB123" s="88">
        <f t="shared" ca="1" si="334"/>
        <v>0</v>
      </c>
      <c r="DC123" s="88">
        <f t="shared" ca="1" si="334"/>
        <v>0</v>
      </c>
      <c r="DD123" s="88">
        <f t="shared" ca="1" si="334"/>
        <v>0</v>
      </c>
      <c r="DE123" s="88">
        <f t="shared" ca="1" si="334"/>
        <v>0</v>
      </c>
      <c r="DF123" s="88">
        <f t="shared" ca="1" si="334"/>
        <v>0</v>
      </c>
      <c r="DG123" s="88">
        <f t="shared" ca="1" si="334"/>
        <v>0</v>
      </c>
      <c r="DH123" s="88">
        <f t="shared" ca="1" si="334"/>
        <v>0</v>
      </c>
      <c r="DI123" s="88">
        <f t="shared" ca="1" si="334"/>
        <v>0</v>
      </c>
      <c r="DJ123" s="169"/>
      <c r="DK123" s="88">
        <f t="shared" ref="DK123:DT132" ca="1" si="335">IF(AND($H123&lt;=DK$8,$H123+$AK123&gt;DK$8),IF(AND($H123+$AL123&lt;=DK$8,$AL123&gt;0),$AC123,$Y123),0)</f>
        <v>8.0391350584898769E-2</v>
      </c>
      <c r="DL123" s="88">
        <f t="shared" ca="1" si="335"/>
        <v>8.0391350584898769E-2</v>
      </c>
      <c r="DM123" s="88">
        <f t="shared" ca="1" si="335"/>
        <v>8.0391350584898769E-2</v>
      </c>
      <c r="DN123" s="88">
        <f t="shared" ca="1" si="335"/>
        <v>8.0391350584898769E-2</v>
      </c>
      <c r="DO123" s="88">
        <f t="shared" ca="1" si="335"/>
        <v>8.0391350584898769E-2</v>
      </c>
      <c r="DP123" s="88">
        <f t="shared" ca="1" si="335"/>
        <v>8.0391350584898769E-2</v>
      </c>
      <c r="DQ123" s="88">
        <f t="shared" ca="1" si="335"/>
        <v>8.0391350584898769E-2</v>
      </c>
      <c r="DR123" s="88">
        <f t="shared" ca="1" si="335"/>
        <v>8.0391350584898769E-2</v>
      </c>
      <c r="DS123" s="88">
        <f t="shared" ca="1" si="335"/>
        <v>8.0391350584898769E-2</v>
      </c>
      <c r="DT123" s="88">
        <f t="shared" ca="1" si="335"/>
        <v>8.0391350584898769E-2</v>
      </c>
      <c r="DU123" s="88">
        <f t="shared" ref="DU123:ED132" ca="1" si="336">IF(AND($H123&lt;=DU$8,$H123+$AK123&gt;DU$8),IF(AND($H123+$AL123&lt;=DU$8,$AL123&gt;0),$AC123,$Y123),0)</f>
        <v>8.0391350584898769E-2</v>
      </c>
      <c r="DV123" s="88">
        <f t="shared" ca="1" si="336"/>
        <v>8.0391350584898769E-2</v>
      </c>
      <c r="DW123" s="88">
        <f t="shared" ca="1" si="336"/>
        <v>8.0391350584898769E-2</v>
      </c>
      <c r="DX123" s="88">
        <f t="shared" ca="1" si="336"/>
        <v>8.0391350584898769E-2</v>
      </c>
      <c r="DY123" s="88">
        <f t="shared" ca="1" si="336"/>
        <v>8.0391350584898769E-2</v>
      </c>
      <c r="DZ123" s="88">
        <f t="shared" ca="1" si="336"/>
        <v>0</v>
      </c>
      <c r="EA123" s="88">
        <f t="shared" ca="1" si="336"/>
        <v>0</v>
      </c>
      <c r="EB123" s="88">
        <f t="shared" ca="1" si="336"/>
        <v>0</v>
      </c>
      <c r="EC123" s="88">
        <f t="shared" ca="1" si="336"/>
        <v>0</v>
      </c>
      <c r="ED123" s="88">
        <f t="shared" ca="1" si="336"/>
        <v>0</v>
      </c>
      <c r="EE123" s="88">
        <f t="shared" ref="EE123:ES132" ca="1" si="337">IF(AND($H123&lt;=EE$8,$H123+$AK123&gt;EE$8),IF(AND($H123+$AL123&lt;=EE$8,$AL123&gt;0),$AC123,$Y123),0)</f>
        <v>0</v>
      </c>
      <c r="EF123" s="88">
        <f t="shared" ca="1" si="337"/>
        <v>0</v>
      </c>
      <c r="EG123" s="88">
        <f t="shared" ca="1" si="337"/>
        <v>0</v>
      </c>
      <c r="EH123" s="88">
        <f t="shared" ca="1" si="337"/>
        <v>0</v>
      </c>
      <c r="EI123" s="88">
        <f t="shared" ca="1" si="337"/>
        <v>0</v>
      </c>
      <c r="EJ123" s="88">
        <f t="shared" ca="1" si="337"/>
        <v>0</v>
      </c>
      <c r="EK123" s="88">
        <f t="shared" ca="1" si="337"/>
        <v>0</v>
      </c>
      <c r="EL123" s="88">
        <f t="shared" ca="1" si="337"/>
        <v>0</v>
      </c>
      <c r="EM123" s="88">
        <f t="shared" ca="1" si="337"/>
        <v>0</v>
      </c>
      <c r="EN123" s="88">
        <f t="shared" ca="1" si="337"/>
        <v>0</v>
      </c>
      <c r="EO123" s="88">
        <f t="shared" ca="1" si="337"/>
        <v>0</v>
      </c>
      <c r="EP123" s="88">
        <f t="shared" ca="1" si="337"/>
        <v>0</v>
      </c>
      <c r="EQ123" s="88">
        <f t="shared" ca="1" si="337"/>
        <v>0</v>
      </c>
      <c r="ER123" s="88">
        <f t="shared" ca="1" si="337"/>
        <v>0</v>
      </c>
      <c r="ES123" s="88">
        <f t="shared" ca="1" si="337"/>
        <v>0</v>
      </c>
      <c r="ET123" s="169"/>
      <c r="EU123" s="88">
        <f t="shared" ref="EU123:FD132" ca="1" si="338">IF(AND($H123&lt;=EU$8,$H123+$AK123&gt;EU$8),IF(AND($H123+$AL123&lt;=EU$8,$AL123&gt;0),$AD123,$Z123),0)</f>
        <v>0</v>
      </c>
      <c r="EV123" s="88">
        <f t="shared" ca="1" si="338"/>
        <v>0</v>
      </c>
      <c r="EW123" s="88">
        <f t="shared" ca="1" si="338"/>
        <v>0</v>
      </c>
      <c r="EX123" s="88">
        <f t="shared" ca="1" si="338"/>
        <v>0</v>
      </c>
      <c r="EY123" s="88">
        <f t="shared" ca="1" si="338"/>
        <v>0</v>
      </c>
      <c r="EZ123" s="88">
        <f t="shared" ca="1" si="338"/>
        <v>0</v>
      </c>
      <c r="FA123" s="88">
        <f t="shared" ca="1" si="338"/>
        <v>0</v>
      </c>
      <c r="FB123" s="88">
        <f t="shared" ca="1" si="338"/>
        <v>0</v>
      </c>
      <c r="FC123" s="88">
        <f t="shared" ca="1" si="338"/>
        <v>0</v>
      </c>
      <c r="FD123" s="88">
        <f t="shared" ca="1" si="338"/>
        <v>0</v>
      </c>
      <c r="FE123" s="88">
        <f t="shared" ref="FE123:FN132" ca="1" si="339">IF(AND($H123&lt;=FE$8,$H123+$AK123&gt;FE$8),IF(AND($H123+$AL123&lt;=FE$8,$AL123&gt;0),$AD123,$Z123),0)</f>
        <v>0</v>
      </c>
      <c r="FF123" s="88">
        <f t="shared" ca="1" si="339"/>
        <v>0</v>
      </c>
      <c r="FG123" s="88">
        <f t="shared" ca="1" si="339"/>
        <v>0</v>
      </c>
      <c r="FH123" s="88">
        <f t="shared" ca="1" si="339"/>
        <v>0</v>
      </c>
      <c r="FI123" s="88">
        <f t="shared" ca="1" si="339"/>
        <v>0</v>
      </c>
      <c r="FJ123" s="88">
        <f t="shared" ca="1" si="339"/>
        <v>0</v>
      </c>
      <c r="FK123" s="88">
        <f t="shared" ca="1" si="339"/>
        <v>0</v>
      </c>
      <c r="FL123" s="88">
        <f t="shared" ca="1" si="339"/>
        <v>0</v>
      </c>
      <c r="FM123" s="88">
        <f t="shared" ca="1" si="339"/>
        <v>0</v>
      </c>
      <c r="FN123" s="88">
        <f t="shared" ca="1" si="339"/>
        <v>0</v>
      </c>
      <c r="FO123" s="88">
        <f t="shared" ref="FO123:GC132" ca="1" si="340">IF(AND($H123&lt;=FO$8,$H123+$AK123&gt;FO$8),IF(AND($H123+$AL123&lt;=FO$8,$AL123&gt;0),$AD123,$Z123),0)</f>
        <v>0</v>
      </c>
      <c r="FP123" s="88">
        <f t="shared" ca="1" si="340"/>
        <v>0</v>
      </c>
      <c r="FQ123" s="88">
        <f t="shared" ca="1" si="340"/>
        <v>0</v>
      </c>
      <c r="FR123" s="88">
        <f t="shared" ca="1" si="340"/>
        <v>0</v>
      </c>
      <c r="FS123" s="88">
        <f t="shared" ca="1" si="340"/>
        <v>0</v>
      </c>
      <c r="FT123" s="88">
        <f t="shared" ca="1" si="340"/>
        <v>0</v>
      </c>
      <c r="FU123" s="88">
        <f t="shared" ca="1" si="340"/>
        <v>0</v>
      </c>
      <c r="FV123" s="88">
        <f t="shared" ca="1" si="340"/>
        <v>0</v>
      </c>
      <c r="FW123" s="88">
        <f t="shared" ca="1" si="340"/>
        <v>0</v>
      </c>
      <c r="FX123" s="88">
        <f t="shared" ca="1" si="340"/>
        <v>0</v>
      </c>
      <c r="FY123" s="88">
        <f t="shared" ca="1" si="340"/>
        <v>0</v>
      </c>
      <c r="FZ123" s="88">
        <f t="shared" ca="1" si="340"/>
        <v>0</v>
      </c>
      <c r="GA123" s="88">
        <f t="shared" ca="1" si="340"/>
        <v>0</v>
      </c>
      <c r="GB123" s="88">
        <f t="shared" ca="1" si="340"/>
        <v>0</v>
      </c>
      <c r="GC123" s="88">
        <f t="shared" ca="1" si="340"/>
        <v>0</v>
      </c>
      <c r="GD123" s="60"/>
    </row>
    <row r="124" spans="1:186" s="54" customFormat="1" ht="14.45" customHeight="1">
      <c r="A124" s="61"/>
      <c r="B124" s="100" t="str">
        <f t="shared" si="277"/>
        <v>C&amp;I_C&amp;I Prescriptive_0_TEFC Motor_2017</v>
      </c>
      <c r="C124" s="100">
        <f>INDEX('Measure Inputs'!$D:$D,MATCH($B124,'Measure Inputs'!$B:$B,0))</f>
        <v>76</v>
      </c>
      <c r="D124" s="101" t="s">
        <v>256</v>
      </c>
      <c r="E124" s="101" t="s">
        <v>255</v>
      </c>
      <c r="F124" s="101">
        <v>0</v>
      </c>
      <c r="G124" s="101" t="s">
        <v>317</v>
      </c>
      <c r="H124" s="101">
        <v>2017</v>
      </c>
      <c r="I124" s="55"/>
      <c r="J124" s="58">
        <f t="shared" ca="1" si="229"/>
        <v>0.70029955628900409</v>
      </c>
      <c r="K124" s="58">
        <f t="shared" ca="1" si="246"/>
        <v>1.6106889794647095</v>
      </c>
      <c r="L124" s="58">
        <f t="shared" ca="1" si="230"/>
        <v>0.43478260869565216</v>
      </c>
      <c r="M124" s="58">
        <f t="shared" ca="1" si="231"/>
        <v>0.92989270859910833</v>
      </c>
      <c r="N124" s="58">
        <f t="shared" ca="1" si="232"/>
        <v>1.6106889794647095</v>
      </c>
      <c r="O124" s="55"/>
      <c r="P124" s="175">
        <f ca="1">IFERROR(($AW124+AV124)/SUMPRODUCT($CA124:$DI124,'General Inputs'!$F$51:$AN$51),"n/a")</f>
        <v>2.2652971768007502E-2</v>
      </c>
      <c r="Q124" s="175">
        <f t="shared" ca="1" si="309"/>
        <v>0.20063143784394105</v>
      </c>
      <c r="R124" s="56">
        <f t="shared" ca="1" si="310"/>
        <v>3.7381978021977758</v>
      </c>
      <c r="S124" s="55"/>
      <c r="T124" s="56">
        <f ca="1">INDEX(OFFSET('Measure Inputs'!$L$7,,,InputRows),$C124)</f>
        <v>1</v>
      </c>
      <c r="U124" s="134">
        <f ca="1">INDEX(OFFSET('Measure Inputs'!$T$7,,,InputRows),$C124)</f>
        <v>1</v>
      </c>
      <c r="V124" s="134">
        <f ca="1">INDEX(OFFSET('Measure Inputs'!$U$7,,,InputRows),$C124)</f>
        <v>1</v>
      </c>
      <c r="W124" s="55"/>
      <c r="X124" s="96">
        <f ca="1">INDEX(OFFSET('Measure Inputs'!$V$7,,,InputRows),$C124)*$T124*$V124*$U124</f>
        <v>249.21318681318502</v>
      </c>
      <c r="Y124" s="96">
        <f ca="1">INDEX(OFFSET('Measure Inputs'!$W$7,,,InputRows),$C124)*$T124*$V124*$U124</f>
        <v>5.6639360639360231E-2</v>
      </c>
      <c r="Z124" s="96">
        <f ca="1">INDEX(OFFSET('Measure Inputs'!$X$7,,,InputRows),$C124)*$T124*$V124*$U124</f>
        <v>0</v>
      </c>
      <c r="AA124" s="55"/>
      <c r="AB124" s="96">
        <f ca="1">INDEX(OFFSET('Measure Inputs'!$Z$7,,,InputRows),$C124)*$T124*$V124*$U124</f>
        <v>0</v>
      </c>
      <c r="AC124" s="96">
        <f ca="1">INDEX(OFFSET('Measure Inputs'!$AA$7,,,InputRows),$C124)*$T124*$V124*$U124</f>
        <v>0</v>
      </c>
      <c r="AD124" s="96">
        <f ca="1">INDEX(OFFSET('Measure Inputs'!$AB$7,,,InputRows),$C124)*$T124*$V124*$U124</f>
        <v>0</v>
      </c>
      <c r="AE124" s="55"/>
      <c r="AF124" s="57">
        <f ca="1">INDEX(OFFSET('Measure Inputs'!$Q$7,,,InputRows),$C124)*$T124</f>
        <v>0</v>
      </c>
      <c r="AG124" s="57">
        <f ca="1">INDEX(OFFSET('Measure Inputs'!$P$7,,,InputRows),$C124)*$T124*$V124</f>
        <v>115</v>
      </c>
      <c r="AH124" s="57">
        <f ca="1">INDEX(OFFSET('Measure Inputs'!$R$7,,,InputRows),$C124)*$T124*$V124</f>
        <v>0</v>
      </c>
      <c r="AI124" s="57">
        <f ca="1">INDEX(OFFSET('Measure Inputs'!$O$7,,,InputRows),$C124)*$T124</f>
        <v>50</v>
      </c>
      <c r="AJ124" s="57">
        <f ca="1">INDEX(OFFSET('Measure Inputs'!$S$7,,,InputRows),$C124)*$T124</f>
        <v>0</v>
      </c>
      <c r="AK124" s="63">
        <f ca="1">INDEX(OFFSET('Measure Inputs'!$M$7,,,InputRows),$C124)</f>
        <v>15</v>
      </c>
      <c r="AL124" s="88">
        <f ca="1">INDEX(OFFSET('Measure Inputs'!$N$7,,,InputRows),$C124)</f>
        <v>0</v>
      </c>
      <c r="AM124" s="57">
        <f ca="1">SUMIFS(OFFSET('Program Inputs'!$N$5,,,TotalPrograms),OFFSET('Program Inputs'!$B$5,,,TotalPrograms),SUBSTITUTE($B124,"All","*"))+AF124</f>
        <v>0</v>
      </c>
      <c r="AN124" s="57">
        <f t="shared" ca="1" si="311"/>
        <v>50</v>
      </c>
      <c r="AO124" s="55"/>
      <c r="AP124" s="59">
        <f t="shared" ca="1" si="312"/>
        <v>80.53444897323547</v>
      </c>
      <c r="AQ124" s="59">
        <f t="shared" ca="1" si="313"/>
        <v>115</v>
      </c>
      <c r="AR124" s="59">
        <f ca="1">SUMPRODUCT($CA124:$DI124,'General Inputs'!$F$32:$AN$32,'General Inputs'!$F$51:$AN$51)/(1-Loss_ElectricEnergy)</f>
        <v>69.219124348355535</v>
      </c>
      <c r="AS124" s="59">
        <f ca="1">SUMPRODUCT($DK124:$ES124,'General Inputs'!$F$33:$AN$33,'General Inputs'!$F$51:$AN$51)/(1-Loss_ElectricDemand)</f>
        <v>11.315324624879933</v>
      </c>
      <c r="AT124" s="59">
        <f ca="1">SUMPRODUCT($EU124:$GC124,'General Inputs'!$F$34:$AN$34,'General Inputs'!$F$51:$AN$51)/(1-Loss_GasEnergy)</f>
        <v>0</v>
      </c>
      <c r="AU124" s="59">
        <f ca="1">INDEX('General Inputs'!$F$51:$AN$51,MATCH($H124,'General Inputs'!$F$50:$AN$50,0))*$AJ124</f>
        <v>0</v>
      </c>
      <c r="AV124" s="59">
        <f ca="1">INDEX('General Inputs'!$F$51:$AN$51,MATCH($H124,'General Inputs'!$F$50:$AN$50,0))*$AI124</f>
        <v>50</v>
      </c>
      <c r="AW124" s="59">
        <f ca="1">INDEX('General Inputs'!$F$51:$AN$51,MATCH($H124,'General Inputs'!$F$50:$AN$50,0))*$AM124</f>
        <v>0</v>
      </c>
      <c r="AX124" s="59">
        <f ca="1">SUM(INDEX('General Inputs'!$F$51:$AN$51,MATCH($H124,'General Inputs'!$F$50:$AN$50,0))*$AG124,INDEX('General Inputs'!$F$51:$AN$51,MATCH($H124+$AL124,'General Inputs'!$F$50:$AN$50,0))*-$AH124)</f>
        <v>115</v>
      </c>
      <c r="AY124" s="55"/>
      <c r="AZ124" s="59">
        <f ca="1">SUMPRODUCT($CA124:$DI124,'General Inputs'!$F$32:$AN$32,'General Inputs'!$F$52:$AN$52)/(1-Loss_ElectricEnergy)</f>
        <v>69.219124348355535</v>
      </c>
      <c r="BA124" s="59">
        <f ca="1">SUMPRODUCT($DK124:$ES124,'General Inputs'!$F$33:$AN$33,'General Inputs'!$F$52:$AN$52)/(1-Loss_ElectricDemand)</f>
        <v>11.315324624879933</v>
      </c>
      <c r="BB124" s="59">
        <f ca="1">SUMPRODUCT($EU124:$GC124,'General Inputs'!$F$34:$AN$34,'General Inputs'!$F$52:$AN$52)/(1-Loss_GasEnergy)</f>
        <v>0</v>
      </c>
      <c r="BC124" s="59">
        <f ca="1">INDEX('General Inputs'!$F$52:$AN$52,MATCH($H124,'General Inputs'!$F$50:$AN$50,0))*$AI124</f>
        <v>50</v>
      </c>
      <c r="BD124" s="59">
        <f ca="1">INDEX('General Inputs'!$F$52:$AN$52,MATCH($H124,'General Inputs'!$F$50:$AN$50,0))*$AM124</f>
        <v>0</v>
      </c>
      <c r="BE124" s="55"/>
      <c r="BF124" s="59">
        <f ca="1">SUMPRODUCT($CA124:$DI124,OFFSET('General Inputs'!$F$40:$AN$40,MATCH($D124&amp;" Electric ($/kWh)",'General Inputs'!$E$40:$E$46,0),),'General Inputs'!$F$54:$AN$54)</f>
        <v>0</v>
      </c>
      <c r="BG124" s="59">
        <f ca="1">SUMPRODUCT($EU124:$GC124,OFFSET('General Inputs'!$F$40:$AN$40,MATCH($D124&amp;" Natural Gas ($/therm)",'General Inputs'!$E$40:$E$46,0),),'General Inputs'!$F$54:$AN$54)</f>
        <v>0</v>
      </c>
      <c r="BH124" s="59">
        <f ca="1">INDEX('General Inputs'!$F$54:$AN$54,MATCH($H124,'General Inputs'!$F$50:$AN$50,0))*$AI124</f>
        <v>50</v>
      </c>
      <c r="BI124" s="59">
        <f ca="1">SUM(INDEX('General Inputs'!$F$54:$AN$54,MATCH($H124,'General Inputs'!$F$50:$AN$50,0))*$AG124,INDEX('General Inputs'!$F$51:$AN$51,MATCH($H124+$AL124,'General Inputs'!$F$50:$AN$50,0))*-$AH124)</f>
        <v>115</v>
      </c>
      <c r="BJ124" s="55"/>
      <c r="BK124" s="59">
        <f ca="1">SUMPRODUCT($CA124:$DI124,'General Inputs'!$F$32:$AN$32,'General Inputs'!$F$53:$AN$53)/(1-Loss_ElectricEnergy)</f>
        <v>69.219124348355535</v>
      </c>
      <c r="BL124" s="59">
        <f ca="1">SUMPRODUCT($DK124:$ES124,'General Inputs'!$F$33:$AN$33,'General Inputs'!$F$53:$AN$53)/(1-Loss_ElectricDemand)</f>
        <v>11.315324624879933</v>
      </c>
      <c r="BM124" s="59">
        <f ca="1">SUMPRODUCT($EU124:$GC124,'General Inputs'!$F$34:$AN$34,'General Inputs'!$F$53:$AN$53)/(1-Loss_GasEnergy)</f>
        <v>0</v>
      </c>
      <c r="BN124" s="59">
        <f ca="1">INDEX('General Inputs'!$F$53:$AN$53,MATCH($H124,'General Inputs'!$F$50:$AN$50,0))*$AJ124</f>
        <v>0</v>
      </c>
      <c r="BO124" s="59">
        <f ca="1">SUMPRODUCT($CA124:$DI124,'General Inputs'!$F$35:$AN$35,'General Inputs'!$F$53:$AN$53)/(1-Loss_ElectricEnergy)</f>
        <v>26.403212515661991</v>
      </c>
      <c r="BP124" s="59">
        <f ca="1">INDEX('General Inputs'!$F$51:$AN$51,MATCH($H124,'General Inputs'!$F$50:$AN$50,0))*$AM124</f>
        <v>0</v>
      </c>
      <c r="BQ124" s="59">
        <f ca="1">SUM(INDEX('General Inputs'!$F$53:$AN$53,MATCH($H124,'General Inputs'!$F$50:$AN$50,0))*$AG124,INDEX('General Inputs'!$F$53:$AN$53,MATCH($H124+$AL124,'General Inputs'!$F$50:$AN$50,0))*-$AH124)</f>
        <v>115</v>
      </c>
      <c r="BR124" s="55"/>
      <c r="BS124" s="59">
        <f ca="1">SUMPRODUCT($CA124:$DI124,'General Inputs'!$F$32:$AN$32,'General Inputs'!$F$55:$AN$55)/(1-Loss_ElectricEnergy)</f>
        <v>69.219124348355535</v>
      </c>
      <c r="BT124" s="59">
        <f ca="1">SUMPRODUCT($DK124:$ES124,'General Inputs'!$F$33:$AN$33,'General Inputs'!$F$55:$AN$55)/(1-Loss_ElectricDemand)</f>
        <v>11.315324624879933</v>
      </c>
      <c r="BU124" s="59">
        <f ca="1">SUMPRODUCT($EU124:$GC124,'General Inputs'!$F$34:$AN$34,'General Inputs'!$F$55:$AN$55)/(1-Loss_GasEnergy)</f>
        <v>0</v>
      </c>
      <c r="BV124" s="59">
        <f ca="1">SUMPRODUCT($CA124:$DI124,OFFSET('General Inputs'!$F$40:$AN$40,MATCH($D124&amp;" Electric ($/kWh)",'General Inputs'!$E$40:$E$46,0),),'General Inputs'!$F$55:$AN$55)</f>
        <v>0</v>
      </c>
      <c r="BW124" s="59">
        <f ca="1">SUMPRODUCT($EU124:$GC124,OFFSET('General Inputs'!$F$40:$AN$40,MATCH($D124&amp;" Natural Gas ($/therm)",'General Inputs'!$E$40:$E$46,0),),'General Inputs'!$F$55:$AN$55)</f>
        <v>0</v>
      </c>
      <c r="BX124" s="59">
        <f ca="1">INDEX('General Inputs'!$F$55:$AN$55,MATCH($H124,'General Inputs'!$F$50:$AN$50,0))*$AI124</f>
        <v>50</v>
      </c>
      <c r="BY124" s="59">
        <f ca="1">INDEX('General Inputs'!$F$51:$AN$51,MATCH($H124,'General Inputs'!$F$50:$AN$50,0))*$AM124</f>
        <v>0</v>
      </c>
      <c r="BZ124" s="55"/>
      <c r="CA124" s="88">
        <f t="shared" ca="1" si="332"/>
        <v>249.21318681318502</v>
      </c>
      <c r="CB124" s="88">
        <f t="shared" ca="1" si="332"/>
        <v>249.21318681318502</v>
      </c>
      <c r="CC124" s="88">
        <f t="shared" ca="1" si="332"/>
        <v>249.21318681318502</v>
      </c>
      <c r="CD124" s="88">
        <f t="shared" ca="1" si="332"/>
        <v>249.21318681318502</v>
      </c>
      <c r="CE124" s="88">
        <f t="shared" ca="1" si="332"/>
        <v>249.21318681318502</v>
      </c>
      <c r="CF124" s="88">
        <f t="shared" ca="1" si="332"/>
        <v>249.21318681318502</v>
      </c>
      <c r="CG124" s="88">
        <f t="shared" ca="1" si="332"/>
        <v>249.21318681318502</v>
      </c>
      <c r="CH124" s="88">
        <f t="shared" ca="1" si="332"/>
        <v>249.21318681318502</v>
      </c>
      <c r="CI124" s="88">
        <f t="shared" ca="1" si="332"/>
        <v>249.21318681318502</v>
      </c>
      <c r="CJ124" s="88">
        <f t="shared" ca="1" si="332"/>
        <v>249.21318681318502</v>
      </c>
      <c r="CK124" s="88">
        <f t="shared" ca="1" si="333"/>
        <v>249.21318681318502</v>
      </c>
      <c r="CL124" s="88">
        <f t="shared" ca="1" si="333"/>
        <v>249.21318681318502</v>
      </c>
      <c r="CM124" s="88">
        <f t="shared" ca="1" si="333"/>
        <v>249.21318681318502</v>
      </c>
      <c r="CN124" s="88">
        <f t="shared" ca="1" si="333"/>
        <v>249.21318681318502</v>
      </c>
      <c r="CO124" s="88">
        <f t="shared" ca="1" si="333"/>
        <v>249.21318681318502</v>
      </c>
      <c r="CP124" s="88">
        <f t="shared" ca="1" si="333"/>
        <v>0</v>
      </c>
      <c r="CQ124" s="88">
        <f t="shared" ca="1" si="333"/>
        <v>0</v>
      </c>
      <c r="CR124" s="88">
        <f t="shared" ca="1" si="333"/>
        <v>0</v>
      </c>
      <c r="CS124" s="88">
        <f t="shared" ca="1" si="333"/>
        <v>0</v>
      </c>
      <c r="CT124" s="88">
        <f t="shared" ca="1" si="333"/>
        <v>0</v>
      </c>
      <c r="CU124" s="88">
        <f t="shared" ca="1" si="334"/>
        <v>0</v>
      </c>
      <c r="CV124" s="88">
        <f t="shared" ca="1" si="334"/>
        <v>0</v>
      </c>
      <c r="CW124" s="88">
        <f t="shared" ca="1" si="334"/>
        <v>0</v>
      </c>
      <c r="CX124" s="88">
        <f t="shared" ca="1" si="334"/>
        <v>0</v>
      </c>
      <c r="CY124" s="88">
        <f t="shared" ca="1" si="334"/>
        <v>0</v>
      </c>
      <c r="CZ124" s="88">
        <f t="shared" ca="1" si="334"/>
        <v>0</v>
      </c>
      <c r="DA124" s="88">
        <f t="shared" ca="1" si="334"/>
        <v>0</v>
      </c>
      <c r="DB124" s="88">
        <f t="shared" ca="1" si="334"/>
        <v>0</v>
      </c>
      <c r="DC124" s="88">
        <f t="shared" ca="1" si="334"/>
        <v>0</v>
      </c>
      <c r="DD124" s="88">
        <f t="shared" ca="1" si="334"/>
        <v>0</v>
      </c>
      <c r="DE124" s="88">
        <f t="shared" ca="1" si="334"/>
        <v>0</v>
      </c>
      <c r="DF124" s="88">
        <f t="shared" ca="1" si="334"/>
        <v>0</v>
      </c>
      <c r="DG124" s="88">
        <f t="shared" ca="1" si="334"/>
        <v>0</v>
      </c>
      <c r="DH124" s="88">
        <f t="shared" ca="1" si="334"/>
        <v>0</v>
      </c>
      <c r="DI124" s="88">
        <f t="shared" ca="1" si="334"/>
        <v>0</v>
      </c>
      <c r="DJ124" s="169"/>
      <c r="DK124" s="88">
        <f t="shared" ca="1" si="335"/>
        <v>5.6639360639360231E-2</v>
      </c>
      <c r="DL124" s="88">
        <f t="shared" ca="1" si="335"/>
        <v>5.6639360639360231E-2</v>
      </c>
      <c r="DM124" s="88">
        <f t="shared" ca="1" si="335"/>
        <v>5.6639360639360231E-2</v>
      </c>
      <c r="DN124" s="88">
        <f t="shared" ca="1" si="335"/>
        <v>5.6639360639360231E-2</v>
      </c>
      <c r="DO124" s="88">
        <f t="shared" ca="1" si="335"/>
        <v>5.6639360639360231E-2</v>
      </c>
      <c r="DP124" s="88">
        <f t="shared" ca="1" si="335"/>
        <v>5.6639360639360231E-2</v>
      </c>
      <c r="DQ124" s="88">
        <f t="shared" ca="1" si="335"/>
        <v>5.6639360639360231E-2</v>
      </c>
      <c r="DR124" s="88">
        <f t="shared" ca="1" si="335"/>
        <v>5.6639360639360231E-2</v>
      </c>
      <c r="DS124" s="88">
        <f t="shared" ca="1" si="335"/>
        <v>5.6639360639360231E-2</v>
      </c>
      <c r="DT124" s="88">
        <f t="shared" ca="1" si="335"/>
        <v>5.6639360639360231E-2</v>
      </c>
      <c r="DU124" s="88">
        <f t="shared" ca="1" si="336"/>
        <v>5.6639360639360231E-2</v>
      </c>
      <c r="DV124" s="88">
        <f t="shared" ca="1" si="336"/>
        <v>5.6639360639360231E-2</v>
      </c>
      <c r="DW124" s="88">
        <f t="shared" ca="1" si="336"/>
        <v>5.6639360639360231E-2</v>
      </c>
      <c r="DX124" s="88">
        <f t="shared" ca="1" si="336"/>
        <v>5.6639360639360231E-2</v>
      </c>
      <c r="DY124" s="88">
        <f t="shared" ca="1" si="336"/>
        <v>5.6639360639360231E-2</v>
      </c>
      <c r="DZ124" s="88">
        <f t="shared" ca="1" si="336"/>
        <v>0</v>
      </c>
      <c r="EA124" s="88">
        <f t="shared" ca="1" si="336"/>
        <v>0</v>
      </c>
      <c r="EB124" s="88">
        <f t="shared" ca="1" si="336"/>
        <v>0</v>
      </c>
      <c r="EC124" s="88">
        <f t="shared" ca="1" si="336"/>
        <v>0</v>
      </c>
      <c r="ED124" s="88">
        <f t="shared" ca="1" si="336"/>
        <v>0</v>
      </c>
      <c r="EE124" s="88">
        <f t="shared" ca="1" si="337"/>
        <v>0</v>
      </c>
      <c r="EF124" s="88">
        <f t="shared" ca="1" si="337"/>
        <v>0</v>
      </c>
      <c r="EG124" s="88">
        <f t="shared" ca="1" si="337"/>
        <v>0</v>
      </c>
      <c r="EH124" s="88">
        <f t="shared" ca="1" si="337"/>
        <v>0</v>
      </c>
      <c r="EI124" s="88">
        <f t="shared" ca="1" si="337"/>
        <v>0</v>
      </c>
      <c r="EJ124" s="88">
        <f t="shared" ca="1" si="337"/>
        <v>0</v>
      </c>
      <c r="EK124" s="88">
        <f t="shared" ca="1" si="337"/>
        <v>0</v>
      </c>
      <c r="EL124" s="88">
        <f t="shared" ca="1" si="337"/>
        <v>0</v>
      </c>
      <c r="EM124" s="88">
        <f t="shared" ca="1" si="337"/>
        <v>0</v>
      </c>
      <c r="EN124" s="88">
        <f t="shared" ca="1" si="337"/>
        <v>0</v>
      </c>
      <c r="EO124" s="88">
        <f t="shared" ca="1" si="337"/>
        <v>0</v>
      </c>
      <c r="EP124" s="88">
        <f t="shared" ca="1" si="337"/>
        <v>0</v>
      </c>
      <c r="EQ124" s="88">
        <f t="shared" ca="1" si="337"/>
        <v>0</v>
      </c>
      <c r="ER124" s="88">
        <f t="shared" ca="1" si="337"/>
        <v>0</v>
      </c>
      <c r="ES124" s="88">
        <f t="shared" ca="1" si="337"/>
        <v>0</v>
      </c>
      <c r="ET124" s="169"/>
      <c r="EU124" s="88">
        <f t="shared" ca="1" si="338"/>
        <v>0</v>
      </c>
      <c r="EV124" s="88">
        <f t="shared" ca="1" si="338"/>
        <v>0</v>
      </c>
      <c r="EW124" s="88">
        <f t="shared" ca="1" si="338"/>
        <v>0</v>
      </c>
      <c r="EX124" s="88">
        <f t="shared" ca="1" si="338"/>
        <v>0</v>
      </c>
      <c r="EY124" s="88">
        <f t="shared" ca="1" si="338"/>
        <v>0</v>
      </c>
      <c r="EZ124" s="88">
        <f t="shared" ca="1" si="338"/>
        <v>0</v>
      </c>
      <c r="FA124" s="88">
        <f t="shared" ca="1" si="338"/>
        <v>0</v>
      </c>
      <c r="FB124" s="88">
        <f t="shared" ca="1" si="338"/>
        <v>0</v>
      </c>
      <c r="FC124" s="88">
        <f t="shared" ca="1" si="338"/>
        <v>0</v>
      </c>
      <c r="FD124" s="88">
        <f t="shared" ca="1" si="338"/>
        <v>0</v>
      </c>
      <c r="FE124" s="88">
        <f t="shared" ca="1" si="339"/>
        <v>0</v>
      </c>
      <c r="FF124" s="88">
        <f t="shared" ca="1" si="339"/>
        <v>0</v>
      </c>
      <c r="FG124" s="88">
        <f t="shared" ca="1" si="339"/>
        <v>0</v>
      </c>
      <c r="FH124" s="88">
        <f t="shared" ca="1" si="339"/>
        <v>0</v>
      </c>
      <c r="FI124" s="88">
        <f t="shared" ca="1" si="339"/>
        <v>0</v>
      </c>
      <c r="FJ124" s="88">
        <f t="shared" ca="1" si="339"/>
        <v>0</v>
      </c>
      <c r="FK124" s="88">
        <f t="shared" ca="1" si="339"/>
        <v>0</v>
      </c>
      <c r="FL124" s="88">
        <f t="shared" ca="1" si="339"/>
        <v>0</v>
      </c>
      <c r="FM124" s="88">
        <f t="shared" ca="1" si="339"/>
        <v>0</v>
      </c>
      <c r="FN124" s="88">
        <f t="shared" ca="1" si="339"/>
        <v>0</v>
      </c>
      <c r="FO124" s="88">
        <f t="shared" ca="1" si="340"/>
        <v>0</v>
      </c>
      <c r="FP124" s="88">
        <f t="shared" ca="1" si="340"/>
        <v>0</v>
      </c>
      <c r="FQ124" s="88">
        <f t="shared" ca="1" si="340"/>
        <v>0</v>
      </c>
      <c r="FR124" s="88">
        <f t="shared" ca="1" si="340"/>
        <v>0</v>
      </c>
      <c r="FS124" s="88">
        <f t="shared" ca="1" si="340"/>
        <v>0</v>
      </c>
      <c r="FT124" s="88">
        <f t="shared" ca="1" si="340"/>
        <v>0</v>
      </c>
      <c r="FU124" s="88">
        <f t="shared" ca="1" si="340"/>
        <v>0</v>
      </c>
      <c r="FV124" s="88">
        <f t="shared" ca="1" si="340"/>
        <v>0</v>
      </c>
      <c r="FW124" s="88">
        <f t="shared" ca="1" si="340"/>
        <v>0</v>
      </c>
      <c r="FX124" s="88">
        <f t="shared" ca="1" si="340"/>
        <v>0</v>
      </c>
      <c r="FY124" s="88">
        <f t="shared" ca="1" si="340"/>
        <v>0</v>
      </c>
      <c r="FZ124" s="88">
        <f t="shared" ca="1" si="340"/>
        <v>0</v>
      </c>
      <c r="GA124" s="88">
        <f t="shared" ca="1" si="340"/>
        <v>0</v>
      </c>
      <c r="GB124" s="88">
        <f t="shared" ca="1" si="340"/>
        <v>0</v>
      </c>
      <c r="GC124" s="88">
        <f t="shared" ca="1" si="340"/>
        <v>0</v>
      </c>
      <c r="GD124" s="60"/>
    </row>
    <row r="125" spans="1:186" s="54" customFormat="1" ht="14.45" customHeight="1">
      <c r="A125" s="61"/>
      <c r="B125" s="100" t="str">
        <f t="shared" si="277"/>
        <v>Residential_Residential Lighting_0_LED_2018</v>
      </c>
      <c r="C125" s="100">
        <f>INDEX('Measure Inputs'!$D:$D,MATCH($B125,'Measure Inputs'!$B:$B,0))</f>
        <v>77</v>
      </c>
      <c r="D125" s="101" t="s">
        <v>2</v>
      </c>
      <c r="E125" s="101" t="s">
        <v>249</v>
      </c>
      <c r="F125" s="101">
        <v>0</v>
      </c>
      <c r="G125" s="101" t="s">
        <v>216</v>
      </c>
      <c r="H125" s="101">
        <v>2018</v>
      </c>
      <c r="I125" s="55"/>
      <c r="J125" s="58">
        <f t="shared" ca="1" si="229"/>
        <v>1.0044353222597253</v>
      </c>
      <c r="K125" s="58">
        <f t="shared" ca="1" si="246"/>
        <v>1.5066529833895881</v>
      </c>
      <c r="L125" s="58">
        <f t="shared" ca="1" si="230"/>
        <v>4.405221116921453</v>
      </c>
      <c r="M125" s="58">
        <f t="shared" ca="1" si="231"/>
        <v>1.3687041606711561</v>
      </c>
      <c r="N125" s="58">
        <f t="shared" ca="1" si="232"/>
        <v>0.22801019417651058</v>
      </c>
      <c r="O125" s="55"/>
      <c r="P125" s="175">
        <f ca="1">IFERROR(($AW125+AV125)/SUMPRODUCT($CA125:$DI125,'General Inputs'!$F$51:$AN$51),"n/a")</f>
        <v>2.1892666976779919E-2</v>
      </c>
      <c r="Q125" s="175">
        <f t="shared" ca="1" si="309"/>
        <v>0.15400268293125224</v>
      </c>
      <c r="R125" s="56">
        <f t="shared" ca="1" si="310"/>
        <v>1318.1588537040002</v>
      </c>
      <c r="S125" s="55"/>
      <c r="T125" s="56">
        <f ca="1">INDEX(OFFSET('Measure Inputs'!$L$7,,,InputRows),$C125)</f>
        <v>4060</v>
      </c>
      <c r="U125" s="134">
        <f ca="1">INDEX(OFFSET('Measure Inputs'!$T$7,,,InputRows),$C125)</f>
        <v>1</v>
      </c>
      <c r="V125" s="134">
        <f ca="1">INDEX(OFFSET('Measure Inputs'!$U$7,,,InputRows),$C125)</f>
        <v>1</v>
      </c>
      <c r="W125" s="55"/>
      <c r="X125" s="96">
        <f ca="1">INDEX(OFFSET('Measure Inputs'!$V$7,,,InputRows),$C125)*$T125*$V125*$U125</f>
        <v>131815.88537039998</v>
      </c>
      <c r="Y125" s="96">
        <f ca="1">INDEX(OFFSET('Measure Inputs'!$W$7,,,InputRows),$C125)*$T125*$V125*$U125</f>
        <v>11.570704513199997</v>
      </c>
      <c r="Z125" s="96">
        <f ca="1">INDEX(OFFSET('Measure Inputs'!$X$7,,,InputRows),$C125)*$T125*$V125*$U125</f>
        <v>0</v>
      </c>
      <c r="AA125" s="55"/>
      <c r="AB125" s="96">
        <f ca="1">INDEX(OFFSET('Measure Inputs'!$Z$7,,,InputRows),$C125)*$T125*$V125*$U125</f>
        <v>0</v>
      </c>
      <c r="AC125" s="96">
        <f ca="1">INDEX(OFFSET('Measure Inputs'!$AA$7,,,InputRows),$C125)*$T125*$V125*$U125</f>
        <v>0</v>
      </c>
      <c r="AD125" s="96">
        <f ca="1">INDEX(OFFSET('Measure Inputs'!$AB$7,,,InputRows),$C125)*$T125*$V125*$U125</f>
        <v>0</v>
      </c>
      <c r="AE125" s="55"/>
      <c r="AF125" s="57">
        <f ca="1">INDEX(OFFSET('Measure Inputs'!$Q$7,,,InputRows),$C125)*$T125</f>
        <v>0</v>
      </c>
      <c r="AG125" s="57">
        <f ca="1">INDEX(OFFSET('Measure Inputs'!$P$7,,,InputRows),$C125)*$T125*$V125</f>
        <v>30450</v>
      </c>
      <c r="AH125" s="57">
        <f ca="1">INDEX(OFFSET('Measure Inputs'!$R$7,,,InputRows),$C125)*$T125*$V125</f>
        <v>0</v>
      </c>
      <c r="AI125" s="57">
        <f ca="1">INDEX(OFFSET('Measure Inputs'!$O$7,,,InputRows),$C125)*$T125</f>
        <v>20300</v>
      </c>
      <c r="AJ125" s="57">
        <f ca="1">INDEX(OFFSET('Measure Inputs'!$S$7,,,InputRows),$C125)*$T125</f>
        <v>0</v>
      </c>
      <c r="AK125" s="63">
        <f ca="1">INDEX(OFFSET('Measure Inputs'!$M$7,,,InputRows),$C125)</f>
        <v>10</v>
      </c>
      <c r="AL125" s="88">
        <f ca="1">INDEX(OFFSET('Measure Inputs'!$N$7,,,InputRows),$C125)</f>
        <v>0</v>
      </c>
      <c r="AM125" s="57">
        <f ca="1">SUMIFS(OFFSET('Program Inputs'!$N$5,,,TotalPrograms),OFFSET('Program Inputs'!$B$5,,,TotalPrograms),SUBSTITUTE($B125,"All","*"))+AF125</f>
        <v>0</v>
      </c>
      <c r="AN125" s="57">
        <f t="shared" ca="1" si="311"/>
        <v>20300</v>
      </c>
      <c r="AO125" s="55"/>
      <c r="AP125" s="59">
        <f t="shared" ca="1" si="312"/>
        <v>28100.933078655489</v>
      </c>
      <c r="AQ125" s="59">
        <f t="shared" ca="1" si="313"/>
        <v>27976.846747519296</v>
      </c>
      <c r="AR125" s="59">
        <f ca="1">SUMPRODUCT($CA125:$DI125,'General Inputs'!$F$32:$AN$32,'General Inputs'!$F$51:$AN$51)/(1-Loss_ElectricEnergy)</f>
        <v>26432.084043905317</v>
      </c>
      <c r="AS125" s="59">
        <f ca="1">SUMPRODUCT($DK125:$ES125,'General Inputs'!$F$33:$AN$33,'General Inputs'!$F$51:$AN$51)/(1-Loss_ElectricDemand)</f>
        <v>1668.8490347501736</v>
      </c>
      <c r="AT125" s="59">
        <f ca="1">SUMPRODUCT($EU125:$GC125,'General Inputs'!$F$34:$AN$34,'General Inputs'!$F$51:$AN$51)/(1-Loss_GasEnergy)</f>
        <v>0</v>
      </c>
      <c r="AU125" s="59">
        <f ca="1">INDEX('General Inputs'!$F$51:$AN$51,MATCH($H125,'General Inputs'!$F$50:$AN$50,0))*$AJ125</f>
        <v>0</v>
      </c>
      <c r="AV125" s="59">
        <f ca="1">INDEX('General Inputs'!$F$51:$AN$51,MATCH($H125,'General Inputs'!$F$50:$AN$50,0))*$AI125</f>
        <v>18651.231165012861</v>
      </c>
      <c r="AW125" s="59">
        <f ca="1">INDEX('General Inputs'!$F$51:$AN$51,MATCH($H125,'General Inputs'!$F$50:$AN$50,0))*$AM125</f>
        <v>0</v>
      </c>
      <c r="AX125" s="59">
        <f ca="1">SUM(INDEX('General Inputs'!$F$51:$AN$51,MATCH($H125,'General Inputs'!$F$50:$AN$50,0))*$AG125,INDEX('General Inputs'!$F$51:$AN$51,MATCH($H125+$AL125,'General Inputs'!$F$50:$AN$50,0))*-$AH125)</f>
        <v>27976.846747519296</v>
      </c>
      <c r="AY125" s="55"/>
      <c r="AZ125" s="59">
        <f ca="1">SUMPRODUCT($CA125:$DI125,'General Inputs'!$F$32:$AN$32,'General Inputs'!$F$52:$AN$52)/(1-Loss_ElectricEnergy)</f>
        <v>26432.084043905317</v>
      </c>
      <c r="BA125" s="59">
        <f ca="1">SUMPRODUCT($DK125:$ES125,'General Inputs'!$F$33:$AN$33,'General Inputs'!$F$52:$AN$52)/(1-Loss_ElectricDemand)</f>
        <v>1668.8490347501736</v>
      </c>
      <c r="BB125" s="59">
        <f ca="1">SUMPRODUCT($EU125:$GC125,'General Inputs'!$F$34:$AN$34,'General Inputs'!$F$52:$AN$52)/(1-Loss_GasEnergy)</f>
        <v>0</v>
      </c>
      <c r="BC125" s="59">
        <f ca="1">INDEX('General Inputs'!$F$52:$AN$52,MATCH($H125,'General Inputs'!$F$50:$AN$50,0))*$AI125</f>
        <v>18651.231165012861</v>
      </c>
      <c r="BD125" s="59">
        <f ca="1">INDEX('General Inputs'!$F$52:$AN$52,MATCH($H125,'General Inputs'!$F$50:$AN$50,0))*$AM125</f>
        <v>0</v>
      </c>
      <c r="BE125" s="55"/>
      <c r="BF125" s="59">
        <f ca="1">SUMPRODUCT($CA125:$DI125,OFFSET('General Inputs'!$F$40:$AN$40,MATCH($D125&amp;" Electric ($/kWh)",'General Inputs'!$E$40:$E$46,0),),'General Inputs'!$F$54:$AN$54)</f>
        <v>104592.9649120344</v>
      </c>
      <c r="BG125" s="59">
        <f ca="1">SUMPRODUCT($EU125:$GC125,OFFSET('General Inputs'!$F$40:$AN$40,MATCH($D125&amp;" Natural Gas ($/therm)",'General Inputs'!$E$40:$E$46,0),),'General Inputs'!$F$54:$AN$54)</f>
        <v>0</v>
      </c>
      <c r="BH125" s="59">
        <f ca="1">INDEX('General Inputs'!$F$54:$AN$54,MATCH($H125,'General Inputs'!$F$50:$AN$50,0))*$AI125</f>
        <v>18651.231165012861</v>
      </c>
      <c r="BI125" s="59">
        <f ca="1">SUM(INDEX('General Inputs'!$F$54:$AN$54,MATCH($H125,'General Inputs'!$F$50:$AN$50,0))*$AG125,INDEX('General Inputs'!$F$51:$AN$51,MATCH($H125+$AL125,'General Inputs'!$F$50:$AN$50,0))*-$AH125)</f>
        <v>27976.846747519296</v>
      </c>
      <c r="BJ125" s="55"/>
      <c r="BK125" s="59">
        <f ca="1">SUMPRODUCT($CA125:$DI125,'General Inputs'!$F$32:$AN$32,'General Inputs'!$F$53:$AN$53)/(1-Loss_ElectricEnergy)</f>
        <v>26432.084043905317</v>
      </c>
      <c r="BL125" s="59">
        <f ca="1">SUMPRODUCT($DK125:$ES125,'General Inputs'!$F$33:$AN$33,'General Inputs'!$F$53:$AN$53)/(1-Loss_ElectricDemand)</f>
        <v>1668.8490347501736</v>
      </c>
      <c r="BM125" s="59">
        <f ca="1">SUMPRODUCT($EU125:$GC125,'General Inputs'!$F$34:$AN$34,'General Inputs'!$F$53:$AN$53)/(1-Loss_GasEnergy)</f>
        <v>0</v>
      </c>
      <c r="BN125" s="59">
        <f ca="1">INDEX('General Inputs'!$F$53:$AN$53,MATCH($H125,'General Inputs'!$F$50:$AN$50,0))*$AJ125</f>
        <v>0</v>
      </c>
      <c r="BO125" s="59">
        <f ca="1">SUMPRODUCT($CA125:$DI125,'General Inputs'!$F$35:$AN$35,'General Inputs'!$F$53:$AN$53)/(1-Loss_ElectricEnergy)</f>
        <v>10191.093467133474</v>
      </c>
      <c r="BP125" s="59">
        <f ca="1">INDEX('General Inputs'!$F$51:$AN$51,MATCH($H125,'General Inputs'!$F$50:$AN$50,0))*$AM125</f>
        <v>0</v>
      </c>
      <c r="BQ125" s="59">
        <f ca="1">SUM(INDEX('General Inputs'!$F$53:$AN$53,MATCH($H125,'General Inputs'!$F$50:$AN$50,0))*$AG125,INDEX('General Inputs'!$F$53:$AN$53,MATCH($H125+$AL125,'General Inputs'!$F$50:$AN$50,0))*-$AH125)</f>
        <v>27976.846747519296</v>
      </c>
      <c r="BR125" s="55"/>
      <c r="BS125" s="59">
        <f ca="1">SUMPRODUCT($CA125:$DI125,'General Inputs'!$F$32:$AN$32,'General Inputs'!$F$55:$AN$55)/(1-Loss_ElectricEnergy)</f>
        <v>26432.084043905317</v>
      </c>
      <c r="BT125" s="59">
        <f ca="1">SUMPRODUCT($DK125:$ES125,'General Inputs'!$F$33:$AN$33,'General Inputs'!$F$55:$AN$55)/(1-Loss_ElectricDemand)</f>
        <v>1668.8490347501736</v>
      </c>
      <c r="BU125" s="59">
        <f ca="1">SUMPRODUCT($EU125:$GC125,'General Inputs'!$F$34:$AN$34,'General Inputs'!$F$55:$AN$55)/(1-Loss_GasEnergy)</f>
        <v>0</v>
      </c>
      <c r="BV125" s="59">
        <f ca="1">SUMPRODUCT($CA125:$DI125,OFFSET('General Inputs'!$F$40:$AN$40,MATCH($D125&amp;" Electric ($/kWh)",'General Inputs'!$E$40:$E$46,0),),'General Inputs'!$F$55:$AN$55)</f>
        <v>104592.9649120344</v>
      </c>
      <c r="BW125" s="59">
        <f ca="1">SUMPRODUCT($EU125:$GC125,OFFSET('General Inputs'!$F$40:$AN$40,MATCH($D125&amp;" Natural Gas ($/therm)",'General Inputs'!$E$40:$E$46,0),),'General Inputs'!$F$55:$AN$55)</f>
        <v>0</v>
      </c>
      <c r="BX125" s="59">
        <f ca="1">INDEX('General Inputs'!$F$55:$AN$55,MATCH($H125,'General Inputs'!$F$50:$AN$50,0))*$AI125</f>
        <v>18651.231165012861</v>
      </c>
      <c r="BY125" s="59">
        <f ca="1">INDEX('General Inputs'!$F$51:$AN$51,MATCH($H125,'General Inputs'!$F$50:$AN$50,0))*$AM125</f>
        <v>0</v>
      </c>
      <c r="BZ125" s="55"/>
      <c r="CA125" s="88">
        <f t="shared" ca="1" si="332"/>
        <v>0</v>
      </c>
      <c r="CB125" s="88">
        <f t="shared" ca="1" si="332"/>
        <v>131815.88537039998</v>
      </c>
      <c r="CC125" s="88">
        <f t="shared" ca="1" si="332"/>
        <v>131815.88537039998</v>
      </c>
      <c r="CD125" s="88">
        <f t="shared" ca="1" si="332"/>
        <v>131815.88537039998</v>
      </c>
      <c r="CE125" s="88">
        <f t="shared" ca="1" si="332"/>
        <v>131815.88537039998</v>
      </c>
      <c r="CF125" s="88">
        <f t="shared" ca="1" si="332"/>
        <v>131815.88537039998</v>
      </c>
      <c r="CG125" s="88">
        <f t="shared" ca="1" si="332"/>
        <v>131815.88537039998</v>
      </c>
      <c r="CH125" s="88">
        <f t="shared" ca="1" si="332"/>
        <v>131815.88537039998</v>
      </c>
      <c r="CI125" s="88">
        <f t="shared" ca="1" si="332"/>
        <v>131815.88537039998</v>
      </c>
      <c r="CJ125" s="88">
        <f t="shared" ca="1" si="332"/>
        <v>131815.88537039998</v>
      </c>
      <c r="CK125" s="88">
        <f t="shared" ca="1" si="333"/>
        <v>131815.88537039998</v>
      </c>
      <c r="CL125" s="88">
        <f t="shared" ca="1" si="333"/>
        <v>0</v>
      </c>
      <c r="CM125" s="88">
        <f t="shared" ca="1" si="333"/>
        <v>0</v>
      </c>
      <c r="CN125" s="88">
        <f t="shared" ca="1" si="333"/>
        <v>0</v>
      </c>
      <c r="CO125" s="88">
        <f t="shared" ca="1" si="333"/>
        <v>0</v>
      </c>
      <c r="CP125" s="88">
        <f t="shared" ca="1" si="333"/>
        <v>0</v>
      </c>
      <c r="CQ125" s="88">
        <f t="shared" ca="1" si="333"/>
        <v>0</v>
      </c>
      <c r="CR125" s="88">
        <f t="shared" ca="1" si="333"/>
        <v>0</v>
      </c>
      <c r="CS125" s="88">
        <f t="shared" ca="1" si="333"/>
        <v>0</v>
      </c>
      <c r="CT125" s="88">
        <f t="shared" ca="1" si="333"/>
        <v>0</v>
      </c>
      <c r="CU125" s="88">
        <f t="shared" ca="1" si="334"/>
        <v>0</v>
      </c>
      <c r="CV125" s="88">
        <f t="shared" ca="1" si="334"/>
        <v>0</v>
      </c>
      <c r="CW125" s="88">
        <f t="shared" ca="1" si="334"/>
        <v>0</v>
      </c>
      <c r="CX125" s="88">
        <f t="shared" ca="1" si="334"/>
        <v>0</v>
      </c>
      <c r="CY125" s="88">
        <f t="shared" ca="1" si="334"/>
        <v>0</v>
      </c>
      <c r="CZ125" s="88">
        <f t="shared" ca="1" si="334"/>
        <v>0</v>
      </c>
      <c r="DA125" s="88">
        <f t="shared" ca="1" si="334"/>
        <v>0</v>
      </c>
      <c r="DB125" s="88">
        <f t="shared" ca="1" si="334"/>
        <v>0</v>
      </c>
      <c r="DC125" s="88">
        <f t="shared" ca="1" si="334"/>
        <v>0</v>
      </c>
      <c r="DD125" s="88">
        <f t="shared" ca="1" si="334"/>
        <v>0</v>
      </c>
      <c r="DE125" s="88">
        <f t="shared" ca="1" si="334"/>
        <v>0</v>
      </c>
      <c r="DF125" s="88">
        <f t="shared" ca="1" si="334"/>
        <v>0</v>
      </c>
      <c r="DG125" s="88">
        <f t="shared" ca="1" si="334"/>
        <v>0</v>
      </c>
      <c r="DH125" s="88">
        <f t="shared" ca="1" si="334"/>
        <v>0</v>
      </c>
      <c r="DI125" s="88">
        <f t="shared" ca="1" si="334"/>
        <v>0</v>
      </c>
      <c r="DJ125" s="169"/>
      <c r="DK125" s="88">
        <f t="shared" ca="1" si="335"/>
        <v>0</v>
      </c>
      <c r="DL125" s="88">
        <f t="shared" ca="1" si="335"/>
        <v>11.570704513199997</v>
      </c>
      <c r="DM125" s="88">
        <f t="shared" ca="1" si="335"/>
        <v>11.570704513199997</v>
      </c>
      <c r="DN125" s="88">
        <f t="shared" ca="1" si="335"/>
        <v>11.570704513199997</v>
      </c>
      <c r="DO125" s="88">
        <f t="shared" ca="1" si="335"/>
        <v>11.570704513199997</v>
      </c>
      <c r="DP125" s="88">
        <f t="shared" ca="1" si="335"/>
        <v>11.570704513199997</v>
      </c>
      <c r="DQ125" s="88">
        <f t="shared" ca="1" si="335"/>
        <v>11.570704513199997</v>
      </c>
      <c r="DR125" s="88">
        <f t="shared" ca="1" si="335"/>
        <v>11.570704513199997</v>
      </c>
      <c r="DS125" s="88">
        <f t="shared" ca="1" si="335"/>
        <v>11.570704513199997</v>
      </c>
      <c r="DT125" s="88">
        <f t="shared" ca="1" si="335"/>
        <v>11.570704513199997</v>
      </c>
      <c r="DU125" s="88">
        <f t="shared" ca="1" si="336"/>
        <v>11.570704513199997</v>
      </c>
      <c r="DV125" s="88">
        <f t="shared" ca="1" si="336"/>
        <v>0</v>
      </c>
      <c r="DW125" s="88">
        <f t="shared" ca="1" si="336"/>
        <v>0</v>
      </c>
      <c r="DX125" s="88">
        <f t="shared" ca="1" si="336"/>
        <v>0</v>
      </c>
      <c r="DY125" s="88">
        <f t="shared" ca="1" si="336"/>
        <v>0</v>
      </c>
      <c r="DZ125" s="88">
        <f t="shared" ca="1" si="336"/>
        <v>0</v>
      </c>
      <c r="EA125" s="88">
        <f t="shared" ca="1" si="336"/>
        <v>0</v>
      </c>
      <c r="EB125" s="88">
        <f t="shared" ca="1" si="336"/>
        <v>0</v>
      </c>
      <c r="EC125" s="88">
        <f t="shared" ca="1" si="336"/>
        <v>0</v>
      </c>
      <c r="ED125" s="88">
        <f t="shared" ca="1" si="336"/>
        <v>0</v>
      </c>
      <c r="EE125" s="88">
        <f t="shared" ca="1" si="337"/>
        <v>0</v>
      </c>
      <c r="EF125" s="88">
        <f t="shared" ca="1" si="337"/>
        <v>0</v>
      </c>
      <c r="EG125" s="88">
        <f t="shared" ca="1" si="337"/>
        <v>0</v>
      </c>
      <c r="EH125" s="88">
        <f t="shared" ca="1" si="337"/>
        <v>0</v>
      </c>
      <c r="EI125" s="88">
        <f t="shared" ca="1" si="337"/>
        <v>0</v>
      </c>
      <c r="EJ125" s="88">
        <f t="shared" ca="1" si="337"/>
        <v>0</v>
      </c>
      <c r="EK125" s="88">
        <f t="shared" ca="1" si="337"/>
        <v>0</v>
      </c>
      <c r="EL125" s="88">
        <f t="shared" ca="1" si="337"/>
        <v>0</v>
      </c>
      <c r="EM125" s="88">
        <f t="shared" ca="1" si="337"/>
        <v>0</v>
      </c>
      <c r="EN125" s="88">
        <f t="shared" ca="1" si="337"/>
        <v>0</v>
      </c>
      <c r="EO125" s="88">
        <f t="shared" ca="1" si="337"/>
        <v>0</v>
      </c>
      <c r="EP125" s="88">
        <f t="shared" ca="1" si="337"/>
        <v>0</v>
      </c>
      <c r="EQ125" s="88">
        <f t="shared" ca="1" si="337"/>
        <v>0</v>
      </c>
      <c r="ER125" s="88">
        <f t="shared" ca="1" si="337"/>
        <v>0</v>
      </c>
      <c r="ES125" s="88">
        <f t="shared" ca="1" si="337"/>
        <v>0</v>
      </c>
      <c r="ET125" s="169"/>
      <c r="EU125" s="88">
        <f t="shared" ca="1" si="338"/>
        <v>0</v>
      </c>
      <c r="EV125" s="88">
        <f t="shared" ca="1" si="338"/>
        <v>0</v>
      </c>
      <c r="EW125" s="88">
        <f t="shared" ca="1" si="338"/>
        <v>0</v>
      </c>
      <c r="EX125" s="88">
        <f t="shared" ca="1" si="338"/>
        <v>0</v>
      </c>
      <c r="EY125" s="88">
        <f t="shared" ca="1" si="338"/>
        <v>0</v>
      </c>
      <c r="EZ125" s="88">
        <f t="shared" ca="1" si="338"/>
        <v>0</v>
      </c>
      <c r="FA125" s="88">
        <f t="shared" ca="1" si="338"/>
        <v>0</v>
      </c>
      <c r="FB125" s="88">
        <f t="shared" ca="1" si="338"/>
        <v>0</v>
      </c>
      <c r="FC125" s="88">
        <f t="shared" ca="1" si="338"/>
        <v>0</v>
      </c>
      <c r="FD125" s="88">
        <f t="shared" ca="1" si="338"/>
        <v>0</v>
      </c>
      <c r="FE125" s="88">
        <f t="shared" ca="1" si="339"/>
        <v>0</v>
      </c>
      <c r="FF125" s="88">
        <f t="shared" ca="1" si="339"/>
        <v>0</v>
      </c>
      <c r="FG125" s="88">
        <f t="shared" ca="1" si="339"/>
        <v>0</v>
      </c>
      <c r="FH125" s="88">
        <f t="shared" ca="1" si="339"/>
        <v>0</v>
      </c>
      <c r="FI125" s="88">
        <f t="shared" ca="1" si="339"/>
        <v>0</v>
      </c>
      <c r="FJ125" s="88">
        <f t="shared" ca="1" si="339"/>
        <v>0</v>
      </c>
      <c r="FK125" s="88">
        <f t="shared" ca="1" si="339"/>
        <v>0</v>
      </c>
      <c r="FL125" s="88">
        <f t="shared" ca="1" si="339"/>
        <v>0</v>
      </c>
      <c r="FM125" s="88">
        <f t="shared" ca="1" si="339"/>
        <v>0</v>
      </c>
      <c r="FN125" s="88">
        <f t="shared" ca="1" si="339"/>
        <v>0</v>
      </c>
      <c r="FO125" s="88">
        <f t="shared" ca="1" si="340"/>
        <v>0</v>
      </c>
      <c r="FP125" s="88">
        <f t="shared" ca="1" si="340"/>
        <v>0</v>
      </c>
      <c r="FQ125" s="88">
        <f t="shared" ca="1" si="340"/>
        <v>0</v>
      </c>
      <c r="FR125" s="88">
        <f t="shared" ca="1" si="340"/>
        <v>0</v>
      </c>
      <c r="FS125" s="88">
        <f t="shared" ca="1" si="340"/>
        <v>0</v>
      </c>
      <c r="FT125" s="88">
        <f t="shared" ca="1" si="340"/>
        <v>0</v>
      </c>
      <c r="FU125" s="88">
        <f t="shared" ca="1" si="340"/>
        <v>0</v>
      </c>
      <c r="FV125" s="88">
        <f t="shared" ca="1" si="340"/>
        <v>0</v>
      </c>
      <c r="FW125" s="88">
        <f t="shared" ca="1" si="340"/>
        <v>0</v>
      </c>
      <c r="FX125" s="88">
        <f t="shared" ca="1" si="340"/>
        <v>0</v>
      </c>
      <c r="FY125" s="88">
        <f t="shared" ca="1" si="340"/>
        <v>0</v>
      </c>
      <c r="FZ125" s="88">
        <f t="shared" ca="1" si="340"/>
        <v>0</v>
      </c>
      <c r="GA125" s="88">
        <f t="shared" ca="1" si="340"/>
        <v>0</v>
      </c>
      <c r="GB125" s="88">
        <f t="shared" ca="1" si="340"/>
        <v>0</v>
      </c>
      <c r="GC125" s="88">
        <f t="shared" ca="1" si="340"/>
        <v>0</v>
      </c>
      <c r="GD125" s="60"/>
    </row>
    <row r="126" spans="1:186" s="54" customFormat="1" ht="14.45" customHeight="1">
      <c r="A126" s="61"/>
      <c r="B126" s="100" t="str">
        <f t="shared" si="277"/>
        <v>Residential_Residential Lighting_0_ENERGY STAR Fixture_2018</v>
      </c>
      <c r="C126" s="100">
        <f>INDEX('Measure Inputs'!$D:$D,MATCH($B126,'Measure Inputs'!$B:$B,0))</f>
        <v>78</v>
      </c>
      <c r="D126" s="101" t="s">
        <v>2</v>
      </c>
      <c r="E126" s="101" t="s">
        <v>249</v>
      </c>
      <c r="F126" s="101">
        <v>0</v>
      </c>
      <c r="G126" s="101" t="s">
        <v>257</v>
      </c>
      <c r="H126" s="101">
        <v>2018</v>
      </c>
      <c r="I126" s="55"/>
      <c r="J126" s="58">
        <f t="shared" ca="1" si="229"/>
        <v>1.0044353222597253</v>
      </c>
      <c r="K126" s="58">
        <f t="shared" ca="1" si="246"/>
        <v>1.5066529833895879</v>
      </c>
      <c r="L126" s="58">
        <f t="shared" ca="1" si="230"/>
        <v>4.405221116921453</v>
      </c>
      <c r="M126" s="58">
        <f t="shared" ca="1" si="231"/>
        <v>1.3687041606711565</v>
      </c>
      <c r="N126" s="58">
        <f t="shared" ca="1" si="232"/>
        <v>0.22801019417651056</v>
      </c>
      <c r="O126" s="55"/>
      <c r="P126" s="175">
        <f ca="1">IFERROR(($AW126+AV126)/SUMPRODUCT($CA126:$DI126,'General Inputs'!$F$51:$AN$51),"n/a")</f>
        <v>2.1892666976779915E-2</v>
      </c>
      <c r="Q126" s="175">
        <f t="shared" ca="1" si="309"/>
        <v>0.15400268293125224</v>
      </c>
      <c r="R126" s="56">
        <f t="shared" ref="R126:R127" ca="1" si="341">SUM(CA126:DI126)/1000</f>
        <v>324.66966840000003</v>
      </c>
      <c r="S126" s="55"/>
      <c r="T126" s="56">
        <f ca="1">INDEX(OFFSET('Measure Inputs'!$L$7,,,InputRows),$C126)</f>
        <v>500</v>
      </c>
      <c r="U126" s="134">
        <f ca="1">INDEX(OFFSET('Measure Inputs'!$T$7,,,InputRows),$C126)</f>
        <v>1</v>
      </c>
      <c r="V126" s="134">
        <f ca="1">INDEX(OFFSET('Measure Inputs'!$U$7,,,InputRows),$C126)</f>
        <v>1</v>
      </c>
      <c r="W126" s="55"/>
      <c r="X126" s="96">
        <f ca="1">INDEX(OFFSET('Measure Inputs'!$V$7,,,InputRows),$C126)*$T126*$V126*$U126</f>
        <v>32466.966839999997</v>
      </c>
      <c r="Y126" s="96">
        <f ca="1">INDEX(OFFSET('Measure Inputs'!$W$7,,,InputRows),$C126)*$T126*$V126*$U126</f>
        <v>2.8499272199999997</v>
      </c>
      <c r="Z126" s="96">
        <f ca="1">INDEX(OFFSET('Measure Inputs'!$X$7,,,InputRows),$C126)*$T126*$V126*$U126</f>
        <v>0</v>
      </c>
      <c r="AA126" s="55"/>
      <c r="AB126" s="96">
        <f ca="1">INDEX(OFFSET('Measure Inputs'!$Z$7,,,InputRows),$C126)*$T126*$V126*$U126</f>
        <v>0</v>
      </c>
      <c r="AC126" s="96">
        <f ca="1">INDEX(OFFSET('Measure Inputs'!$AA$7,,,InputRows),$C126)*$T126*$V126*$U126</f>
        <v>0</v>
      </c>
      <c r="AD126" s="96">
        <f ca="1">INDEX(OFFSET('Measure Inputs'!$AB$7,,,InputRows),$C126)*$T126*$V126*$U126</f>
        <v>0</v>
      </c>
      <c r="AE126" s="55"/>
      <c r="AF126" s="57">
        <f ca="1">INDEX(OFFSET('Measure Inputs'!$Q$7,,,InputRows),$C126)*$T126</f>
        <v>0</v>
      </c>
      <c r="AG126" s="57">
        <f ca="1">INDEX(OFFSET('Measure Inputs'!$P$7,,,InputRows),$C126)*$T126*$V126</f>
        <v>7500</v>
      </c>
      <c r="AH126" s="57">
        <f ca="1">INDEX(OFFSET('Measure Inputs'!$R$7,,,InputRows),$C126)*$T126*$V126</f>
        <v>0</v>
      </c>
      <c r="AI126" s="57">
        <f ca="1">INDEX(OFFSET('Measure Inputs'!$O$7,,,InputRows),$C126)*$T126</f>
        <v>5000</v>
      </c>
      <c r="AJ126" s="57">
        <f ca="1">INDEX(OFFSET('Measure Inputs'!$S$7,,,InputRows),$C126)*$T126</f>
        <v>0</v>
      </c>
      <c r="AK126" s="63">
        <f ca="1">INDEX(OFFSET('Measure Inputs'!$M$7,,,InputRows),$C126)</f>
        <v>10</v>
      </c>
      <c r="AL126" s="88">
        <f ca="1">INDEX(OFFSET('Measure Inputs'!$N$7,,,InputRows),$C126)</f>
        <v>0</v>
      </c>
      <c r="AM126" s="57">
        <f ca="1">SUMIFS(OFFSET('Program Inputs'!$N$5,,,TotalPrograms),OFFSET('Program Inputs'!$B$5,,,TotalPrograms),SUBSTITUTE($B126,"All","*"))+AF126</f>
        <v>0</v>
      </c>
      <c r="AN126" s="57">
        <f t="shared" ref="AN126:AN127" ca="1" si="342">AM126+AI126</f>
        <v>5000</v>
      </c>
      <c r="AO126" s="55"/>
      <c r="AP126" s="59">
        <f t="shared" ref="AP126:AP127" ca="1" si="343">SUMIFS(AR126:AX126,$AR$7:$AX$7,"BENEFIT")</f>
        <v>6921.4120883387905</v>
      </c>
      <c r="AQ126" s="59">
        <f t="shared" ref="AQ126:AQ127" ca="1" si="344">SUMIFS(AR126:AX126,$AR$7:$AX$7,"COST")</f>
        <v>6890.848952590959</v>
      </c>
      <c r="AR126" s="59">
        <f ca="1">SUMPRODUCT($CA126:$DI126,'General Inputs'!$F$32:$AN$32,'General Inputs'!$F$51:$AN$51)/(1-Loss_ElectricEnergy)</f>
        <v>6510.3655280554967</v>
      </c>
      <c r="AS126" s="59">
        <f ca="1">SUMPRODUCT($DK126:$ES126,'General Inputs'!$F$33:$AN$33,'General Inputs'!$F$51:$AN$51)/(1-Loss_ElectricDemand)</f>
        <v>411.04656028329407</v>
      </c>
      <c r="AT126" s="59">
        <f ca="1">SUMPRODUCT($EU126:$GC126,'General Inputs'!$F$34:$AN$34,'General Inputs'!$F$51:$AN$51)/(1-Loss_GasEnergy)</f>
        <v>0</v>
      </c>
      <c r="AU126" s="59">
        <f ca="1">INDEX('General Inputs'!$F$51:$AN$51,MATCH($H126,'General Inputs'!$F$50:$AN$50,0))*$AJ126</f>
        <v>0</v>
      </c>
      <c r="AV126" s="59">
        <f ca="1">INDEX('General Inputs'!$F$51:$AN$51,MATCH($H126,'General Inputs'!$F$50:$AN$50,0))*$AI126</f>
        <v>4593.899301727306</v>
      </c>
      <c r="AW126" s="59">
        <f ca="1">INDEX('General Inputs'!$F$51:$AN$51,MATCH($H126,'General Inputs'!$F$50:$AN$50,0))*$AM126</f>
        <v>0</v>
      </c>
      <c r="AX126" s="59">
        <f ca="1">SUM(INDEX('General Inputs'!$F$51:$AN$51,MATCH($H126,'General Inputs'!$F$50:$AN$50,0))*$AG126,INDEX('General Inputs'!$F$51:$AN$51,MATCH($H126+$AL126,'General Inputs'!$F$50:$AN$50,0))*-$AH126)</f>
        <v>6890.848952590959</v>
      </c>
      <c r="AY126" s="55"/>
      <c r="AZ126" s="59">
        <f ca="1">SUMPRODUCT($CA126:$DI126,'General Inputs'!$F$32:$AN$32,'General Inputs'!$F$52:$AN$52)/(1-Loss_ElectricEnergy)</f>
        <v>6510.3655280554967</v>
      </c>
      <c r="BA126" s="59">
        <f ca="1">SUMPRODUCT($DK126:$ES126,'General Inputs'!$F$33:$AN$33,'General Inputs'!$F$52:$AN$52)/(1-Loss_ElectricDemand)</f>
        <v>411.04656028329407</v>
      </c>
      <c r="BB126" s="59">
        <f ca="1">SUMPRODUCT($EU126:$GC126,'General Inputs'!$F$34:$AN$34,'General Inputs'!$F$52:$AN$52)/(1-Loss_GasEnergy)</f>
        <v>0</v>
      </c>
      <c r="BC126" s="59">
        <f ca="1">INDEX('General Inputs'!$F$52:$AN$52,MATCH($H126,'General Inputs'!$F$50:$AN$50,0))*$AI126</f>
        <v>4593.899301727306</v>
      </c>
      <c r="BD126" s="59">
        <f ca="1">INDEX('General Inputs'!$F$52:$AN$52,MATCH($H126,'General Inputs'!$F$50:$AN$50,0))*$AM126</f>
        <v>0</v>
      </c>
      <c r="BE126" s="55"/>
      <c r="BF126" s="59">
        <f ca="1">SUMPRODUCT($CA126:$DI126,OFFSET('General Inputs'!$F$40:$AN$40,MATCH($D126&amp;" Electric ($/kWh)",'General Inputs'!$E$40:$E$46,0),),'General Inputs'!$F$54:$AN$54)</f>
        <v>25761.814017742465</v>
      </c>
      <c r="BG126" s="59">
        <f ca="1">SUMPRODUCT($EU126:$GC126,OFFSET('General Inputs'!$F$40:$AN$40,MATCH($D126&amp;" Natural Gas ($/therm)",'General Inputs'!$E$40:$E$46,0),),'General Inputs'!$F$54:$AN$54)</f>
        <v>0</v>
      </c>
      <c r="BH126" s="59">
        <f ca="1">INDEX('General Inputs'!$F$54:$AN$54,MATCH($H126,'General Inputs'!$F$50:$AN$50,0))*$AI126</f>
        <v>4593.899301727306</v>
      </c>
      <c r="BI126" s="59">
        <f ca="1">SUM(INDEX('General Inputs'!$F$54:$AN$54,MATCH($H126,'General Inputs'!$F$50:$AN$50,0))*$AG126,INDEX('General Inputs'!$F$51:$AN$51,MATCH($H126+$AL126,'General Inputs'!$F$50:$AN$50,0))*-$AH126)</f>
        <v>6890.848952590959</v>
      </c>
      <c r="BJ126" s="55"/>
      <c r="BK126" s="59">
        <f ca="1">SUMPRODUCT($CA126:$DI126,'General Inputs'!$F$32:$AN$32,'General Inputs'!$F$53:$AN$53)/(1-Loss_ElectricEnergy)</f>
        <v>6510.3655280554967</v>
      </c>
      <c r="BL126" s="59">
        <f ca="1">SUMPRODUCT($DK126:$ES126,'General Inputs'!$F$33:$AN$33,'General Inputs'!$F$53:$AN$53)/(1-Loss_ElectricDemand)</f>
        <v>411.04656028329407</v>
      </c>
      <c r="BM126" s="59">
        <f ca="1">SUMPRODUCT($EU126:$GC126,'General Inputs'!$F$34:$AN$34,'General Inputs'!$F$53:$AN$53)/(1-Loss_GasEnergy)</f>
        <v>0</v>
      </c>
      <c r="BN126" s="59">
        <f ca="1">INDEX('General Inputs'!$F$53:$AN$53,MATCH($H126,'General Inputs'!$F$50:$AN$50,0))*$AJ126</f>
        <v>0</v>
      </c>
      <c r="BO126" s="59">
        <f ca="1">SUMPRODUCT($CA126:$DI126,'General Inputs'!$F$35:$AN$35,'General Inputs'!$F$53:$AN$53)/(1-Loss_ElectricEnergy)</f>
        <v>2510.1215436289349</v>
      </c>
      <c r="BP126" s="59">
        <f ca="1">INDEX('General Inputs'!$F$51:$AN$51,MATCH($H126,'General Inputs'!$F$50:$AN$50,0))*$AM126</f>
        <v>0</v>
      </c>
      <c r="BQ126" s="59">
        <f ca="1">SUM(INDEX('General Inputs'!$F$53:$AN$53,MATCH($H126,'General Inputs'!$F$50:$AN$50,0))*$AG126,INDEX('General Inputs'!$F$53:$AN$53,MATCH($H126+$AL126,'General Inputs'!$F$50:$AN$50,0))*-$AH126)</f>
        <v>6890.848952590959</v>
      </c>
      <c r="BR126" s="55"/>
      <c r="BS126" s="59">
        <f ca="1">SUMPRODUCT($CA126:$DI126,'General Inputs'!$F$32:$AN$32,'General Inputs'!$F$55:$AN$55)/(1-Loss_ElectricEnergy)</f>
        <v>6510.3655280554967</v>
      </c>
      <c r="BT126" s="59">
        <f ca="1">SUMPRODUCT($DK126:$ES126,'General Inputs'!$F$33:$AN$33,'General Inputs'!$F$55:$AN$55)/(1-Loss_ElectricDemand)</f>
        <v>411.04656028329407</v>
      </c>
      <c r="BU126" s="59">
        <f ca="1">SUMPRODUCT($EU126:$GC126,'General Inputs'!$F$34:$AN$34,'General Inputs'!$F$55:$AN$55)/(1-Loss_GasEnergy)</f>
        <v>0</v>
      </c>
      <c r="BV126" s="59">
        <f ca="1">SUMPRODUCT($CA126:$DI126,OFFSET('General Inputs'!$F$40:$AN$40,MATCH($D126&amp;" Electric ($/kWh)",'General Inputs'!$E$40:$E$46,0),),'General Inputs'!$F$55:$AN$55)</f>
        <v>25761.814017742465</v>
      </c>
      <c r="BW126" s="59">
        <f ca="1">SUMPRODUCT($EU126:$GC126,OFFSET('General Inputs'!$F$40:$AN$40,MATCH($D126&amp;" Natural Gas ($/therm)",'General Inputs'!$E$40:$E$46,0),),'General Inputs'!$F$55:$AN$55)</f>
        <v>0</v>
      </c>
      <c r="BX126" s="59">
        <f ca="1">INDEX('General Inputs'!$F$55:$AN$55,MATCH($H126,'General Inputs'!$F$50:$AN$50,0))*$AI126</f>
        <v>4593.899301727306</v>
      </c>
      <c r="BY126" s="59">
        <f ca="1">INDEX('General Inputs'!$F$51:$AN$51,MATCH($H126,'General Inputs'!$F$50:$AN$50,0))*$AM126</f>
        <v>0</v>
      </c>
      <c r="BZ126" s="55"/>
      <c r="CA126" s="88">
        <f t="shared" ca="1" si="332"/>
        <v>0</v>
      </c>
      <c r="CB126" s="88">
        <f t="shared" ca="1" si="332"/>
        <v>32466.966839999997</v>
      </c>
      <c r="CC126" s="88">
        <f t="shared" ca="1" si="332"/>
        <v>32466.966839999997</v>
      </c>
      <c r="CD126" s="88">
        <f t="shared" ca="1" si="332"/>
        <v>32466.966839999997</v>
      </c>
      <c r="CE126" s="88">
        <f t="shared" ca="1" si="332"/>
        <v>32466.966839999997</v>
      </c>
      <c r="CF126" s="88">
        <f t="shared" ca="1" si="332"/>
        <v>32466.966839999997</v>
      </c>
      <c r="CG126" s="88">
        <f t="shared" ca="1" si="332"/>
        <v>32466.966839999997</v>
      </c>
      <c r="CH126" s="88">
        <f t="shared" ca="1" si="332"/>
        <v>32466.966839999997</v>
      </c>
      <c r="CI126" s="88">
        <f t="shared" ca="1" si="332"/>
        <v>32466.966839999997</v>
      </c>
      <c r="CJ126" s="88">
        <f t="shared" ca="1" si="332"/>
        <v>32466.966839999997</v>
      </c>
      <c r="CK126" s="88">
        <f t="shared" ca="1" si="333"/>
        <v>32466.966839999997</v>
      </c>
      <c r="CL126" s="88">
        <f t="shared" ca="1" si="333"/>
        <v>0</v>
      </c>
      <c r="CM126" s="88">
        <f t="shared" ca="1" si="333"/>
        <v>0</v>
      </c>
      <c r="CN126" s="88">
        <f t="shared" ca="1" si="333"/>
        <v>0</v>
      </c>
      <c r="CO126" s="88">
        <f t="shared" ca="1" si="333"/>
        <v>0</v>
      </c>
      <c r="CP126" s="88">
        <f t="shared" ca="1" si="333"/>
        <v>0</v>
      </c>
      <c r="CQ126" s="88">
        <f t="shared" ca="1" si="333"/>
        <v>0</v>
      </c>
      <c r="CR126" s="88">
        <f t="shared" ca="1" si="333"/>
        <v>0</v>
      </c>
      <c r="CS126" s="88">
        <f t="shared" ca="1" si="333"/>
        <v>0</v>
      </c>
      <c r="CT126" s="88">
        <f t="shared" ca="1" si="333"/>
        <v>0</v>
      </c>
      <c r="CU126" s="88">
        <f t="shared" ca="1" si="334"/>
        <v>0</v>
      </c>
      <c r="CV126" s="88">
        <f t="shared" ca="1" si="334"/>
        <v>0</v>
      </c>
      <c r="CW126" s="88">
        <f t="shared" ca="1" si="334"/>
        <v>0</v>
      </c>
      <c r="CX126" s="88">
        <f t="shared" ca="1" si="334"/>
        <v>0</v>
      </c>
      <c r="CY126" s="88">
        <f t="shared" ca="1" si="334"/>
        <v>0</v>
      </c>
      <c r="CZ126" s="88">
        <f t="shared" ca="1" si="334"/>
        <v>0</v>
      </c>
      <c r="DA126" s="88">
        <f t="shared" ca="1" si="334"/>
        <v>0</v>
      </c>
      <c r="DB126" s="88">
        <f t="shared" ca="1" si="334"/>
        <v>0</v>
      </c>
      <c r="DC126" s="88">
        <f t="shared" ca="1" si="334"/>
        <v>0</v>
      </c>
      <c r="DD126" s="88">
        <f t="shared" ca="1" si="334"/>
        <v>0</v>
      </c>
      <c r="DE126" s="88">
        <f t="shared" ca="1" si="334"/>
        <v>0</v>
      </c>
      <c r="DF126" s="88">
        <f t="shared" ca="1" si="334"/>
        <v>0</v>
      </c>
      <c r="DG126" s="88">
        <f t="shared" ca="1" si="334"/>
        <v>0</v>
      </c>
      <c r="DH126" s="88">
        <f t="shared" ca="1" si="334"/>
        <v>0</v>
      </c>
      <c r="DI126" s="88">
        <f t="shared" ca="1" si="334"/>
        <v>0</v>
      </c>
      <c r="DJ126" s="169"/>
      <c r="DK126" s="88">
        <f t="shared" ca="1" si="335"/>
        <v>0</v>
      </c>
      <c r="DL126" s="88">
        <f t="shared" ca="1" si="335"/>
        <v>2.8499272199999997</v>
      </c>
      <c r="DM126" s="88">
        <f t="shared" ca="1" si="335"/>
        <v>2.8499272199999997</v>
      </c>
      <c r="DN126" s="88">
        <f t="shared" ca="1" si="335"/>
        <v>2.8499272199999997</v>
      </c>
      <c r="DO126" s="88">
        <f t="shared" ca="1" si="335"/>
        <v>2.8499272199999997</v>
      </c>
      <c r="DP126" s="88">
        <f t="shared" ca="1" si="335"/>
        <v>2.8499272199999997</v>
      </c>
      <c r="DQ126" s="88">
        <f t="shared" ca="1" si="335"/>
        <v>2.8499272199999997</v>
      </c>
      <c r="DR126" s="88">
        <f t="shared" ca="1" si="335"/>
        <v>2.8499272199999997</v>
      </c>
      <c r="DS126" s="88">
        <f t="shared" ca="1" si="335"/>
        <v>2.8499272199999997</v>
      </c>
      <c r="DT126" s="88">
        <f t="shared" ca="1" si="335"/>
        <v>2.8499272199999997</v>
      </c>
      <c r="DU126" s="88">
        <f t="shared" ca="1" si="336"/>
        <v>2.8499272199999997</v>
      </c>
      <c r="DV126" s="88">
        <f t="shared" ca="1" si="336"/>
        <v>0</v>
      </c>
      <c r="DW126" s="88">
        <f t="shared" ca="1" si="336"/>
        <v>0</v>
      </c>
      <c r="DX126" s="88">
        <f t="shared" ca="1" si="336"/>
        <v>0</v>
      </c>
      <c r="DY126" s="88">
        <f t="shared" ca="1" si="336"/>
        <v>0</v>
      </c>
      <c r="DZ126" s="88">
        <f t="shared" ca="1" si="336"/>
        <v>0</v>
      </c>
      <c r="EA126" s="88">
        <f t="shared" ca="1" si="336"/>
        <v>0</v>
      </c>
      <c r="EB126" s="88">
        <f t="shared" ca="1" si="336"/>
        <v>0</v>
      </c>
      <c r="EC126" s="88">
        <f t="shared" ca="1" si="336"/>
        <v>0</v>
      </c>
      <c r="ED126" s="88">
        <f t="shared" ca="1" si="336"/>
        <v>0</v>
      </c>
      <c r="EE126" s="88">
        <f t="shared" ca="1" si="337"/>
        <v>0</v>
      </c>
      <c r="EF126" s="88">
        <f t="shared" ca="1" si="337"/>
        <v>0</v>
      </c>
      <c r="EG126" s="88">
        <f t="shared" ca="1" si="337"/>
        <v>0</v>
      </c>
      <c r="EH126" s="88">
        <f t="shared" ca="1" si="337"/>
        <v>0</v>
      </c>
      <c r="EI126" s="88">
        <f t="shared" ca="1" si="337"/>
        <v>0</v>
      </c>
      <c r="EJ126" s="88">
        <f t="shared" ca="1" si="337"/>
        <v>0</v>
      </c>
      <c r="EK126" s="88">
        <f t="shared" ca="1" si="337"/>
        <v>0</v>
      </c>
      <c r="EL126" s="88">
        <f t="shared" ca="1" si="337"/>
        <v>0</v>
      </c>
      <c r="EM126" s="88">
        <f t="shared" ca="1" si="337"/>
        <v>0</v>
      </c>
      <c r="EN126" s="88">
        <f t="shared" ca="1" si="337"/>
        <v>0</v>
      </c>
      <c r="EO126" s="88">
        <f t="shared" ca="1" si="337"/>
        <v>0</v>
      </c>
      <c r="EP126" s="88">
        <f t="shared" ca="1" si="337"/>
        <v>0</v>
      </c>
      <c r="EQ126" s="88">
        <f t="shared" ca="1" si="337"/>
        <v>0</v>
      </c>
      <c r="ER126" s="88">
        <f t="shared" ca="1" si="337"/>
        <v>0</v>
      </c>
      <c r="ES126" s="88">
        <f t="shared" ca="1" si="337"/>
        <v>0</v>
      </c>
      <c r="ET126" s="169"/>
      <c r="EU126" s="88">
        <f t="shared" ca="1" si="338"/>
        <v>0</v>
      </c>
      <c r="EV126" s="88">
        <f t="shared" ca="1" si="338"/>
        <v>0</v>
      </c>
      <c r="EW126" s="88">
        <f t="shared" ca="1" si="338"/>
        <v>0</v>
      </c>
      <c r="EX126" s="88">
        <f t="shared" ca="1" si="338"/>
        <v>0</v>
      </c>
      <c r="EY126" s="88">
        <f t="shared" ca="1" si="338"/>
        <v>0</v>
      </c>
      <c r="EZ126" s="88">
        <f t="shared" ca="1" si="338"/>
        <v>0</v>
      </c>
      <c r="FA126" s="88">
        <f t="shared" ca="1" si="338"/>
        <v>0</v>
      </c>
      <c r="FB126" s="88">
        <f t="shared" ca="1" si="338"/>
        <v>0</v>
      </c>
      <c r="FC126" s="88">
        <f t="shared" ca="1" si="338"/>
        <v>0</v>
      </c>
      <c r="FD126" s="88">
        <f t="shared" ca="1" si="338"/>
        <v>0</v>
      </c>
      <c r="FE126" s="88">
        <f t="shared" ca="1" si="339"/>
        <v>0</v>
      </c>
      <c r="FF126" s="88">
        <f t="shared" ca="1" si="339"/>
        <v>0</v>
      </c>
      <c r="FG126" s="88">
        <f t="shared" ca="1" si="339"/>
        <v>0</v>
      </c>
      <c r="FH126" s="88">
        <f t="shared" ca="1" si="339"/>
        <v>0</v>
      </c>
      <c r="FI126" s="88">
        <f t="shared" ca="1" si="339"/>
        <v>0</v>
      </c>
      <c r="FJ126" s="88">
        <f t="shared" ca="1" si="339"/>
        <v>0</v>
      </c>
      <c r="FK126" s="88">
        <f t="shared" ca="1" si="339"/>
        <v>0</v>
      </c>
      <c r="FL126" s="88">
        <f t="shared" ca="1" si="339"/>
        <v>0</v>
      </c>
      <c r="FM126" s="88">
        <f t="shared" ca="1" si="339"/>
        <v>0</v>
      </c>
      <c r="FN126" s="88">
        <f t="shared" ca="1" si="339"/>
        <v>0</v>
      </c>
      <c r="FO126" s="88">
        <f t="shared" ca="1" si="340"/>
        <v>0</v>
      </c>
      <c r="FP126" s="88">
        <f t="shared" ca="1" si="340"/>
        <v>0</v>
      </c>
      <c r="FQ126" s="88">
        <f t="shared" ca="1" si="340"/>
        <v>0</v>
      </c>
      <c r="FR126" s="88">
        <f t="shared" ca="1" si="340"/>
        <v>0</v>
      </c>
      <c r="FS126" s="88">
        <f t="shared" ca="1" si="340"/>
        <v>0</v>
      </c>
      <c r="FT126" s="88">
        <f t="shared" ca="1" si="340"/>
        <v>0</v>
      </c>
      <c r="FU126" s="88">
        <f t="shared" ca="1" si="340"/>
        <v>0</v>
      </c>
      <c r="FV126" s="88">
        <f t="shared" ca="1" si="340"/>
        <v>0</v>
      </c>
      <c r="FW126" s="88">
        <f t="shared" ca="1" si="340"/>
        <v>0</v>
      </c>
      <c r="FX126" s="88">
        <f t="shared" ca="1" si="340"/>
        <v>0</v>
      </c>
      <c r="FY126" s="88">
        <f t="shared" ca="1" si="340"/>
        <v>0</v>
      </c>
      <c r="FZ126" s="88">
        <f t="shared" ca="1" si="340"/>
        <v>0</v>
      </c>
      <c r="GA126" s="88">
        <f t="shared" ca="1" si="340"/>
        <v>0</v>
      </c>
      <c r="GB126" s="88">
        <f t="shared" ca="1" si="340"/>
        <v>0</v>
      </c>
      <c r="GC126" s="88">
        <f t="shared" ca="1" si="340"/>
        <v>0</v>
      </c>
      <c r="GD126" s="60"/>
    </row>
    <row r="127" spans="1:186" s="54" customFormat="1" ht="14.45" customHeight="1">
      <c r="A127" s="61"/>
      <c r="B127" s="100" t="str">
        <f t="shared" si="277"/>
        <v>Residential_Appliance Recycling_0_Refrigerator Recycle_2018</v>
      </c>
      <c r="C127" s="100">
        <f>INDEX('Measure Inputs'!$D:$D,MATCH($B127,'Measure Inputs'!$B:$B,0))</f>
        <v>79</v>
      </c>
      <c r="D127" s="101" t="s">
        <v>2</v>
      </c>
      <c r="E127" s="101" t="s">
        <v>120</v>
      </c>
      <c r="F127" s="101">
        <v>0</v>
      </c>
      <c r="G127" s="101" t="s">
        <v>213</v>
      </c>
      <c r="H127" s="101">
        <v>2018</v>
      </c>
      <c r="I127" s="55"/>
      <c r="J127" s="58">
        <f t="shared" ca="1" si="229"/>
        <v>2.7877307312988782</v>
      </c>
      <c r="K127" s="58">
        <f t="shared" ca="1" si="246"/>
        <v>3.4567861068106085</v>
      </c>
      <c r="L127" s="58">
        <f t="shared" ca="1" si="230"/>
        <v>11.000600635111851</v>
      </c>
      <c r="M127" s="58">
        <f t="shared" ca="1" si="231"/>
        <v>3.7924871489453356</v>
      </c>
      <c r="N127" s="58">
        <f t="shared" ca="1" si="232"/>
        <v>0.25341622914670359</v>
      </c>
      <c r="O127" s="55"/>
      <c r="P127" s="175">
        <f ca="1">IFERROR(($AW127+AV127)/SUMPRODUCT($CA127:$DI127,'General Inputs'!$F$51:$AN$51),"n/a")</f>
        <v>9.6012875519750993E-3</v>
      </c>
      <c r="Q127" s="175">
        <f t="shared" ca="1" si="309"/>
        <v>5.818463925523662E-2</v>
      </c>
      <c r="R127" s="56">
        <f t="shared" ca="1" si="341"/>
        <v>773.4</v>
      </c>
      <c r="S127" s="55"/>
      <c r="T127" s="56">
        <f ca="1">INDEX(OFFSET('Measure Inputs'!$L$7,,,InputRows),$C127)</f>
        <v>75</v>
      </c>
      <c r="U127" s="134">
        <f ca="1">INDEX(OFFSET('Measure Inputs'!$T$7,,,InputRows),$C127)</f>
        <v>1</v>
      </c>
      <c r="V127" s="134">
        <f ca="1">INDEX(OFFSET('Measure Inputs'!$U$7,,,InputRows),$C127)</f>
        <v>1</v>
      </c>
      <c r="W127" s="55"/>
      <c r="X127" s="96">
        <f ca="1">INDEX(OFFSET('Measure Inputs'!$V$7,,,InputRows),$C127)*$T127*$V127*$U127</f>
        <v>96675</v>
      </c>
      <c r="Y127" s="96">
        <f ca="1">INDEX(OFFSET('Measure Inputs'!$W$7,,,InputRows),$C127)*$T127*$V127*$U127</f>
        <v>11.03595890410959</v>
      </c>
      <c r="Z127" s="96">
        <f ca="1">INDEX(OFFSET('Measure Inputs'!$X$7,,,InputRows),$C127)*$T127*$V127*$U127</f>
        <v>0</v>
      </c>
      <c r="AA127" s="55"/>
      <c r="AB127" s="96">
        <f ca="1">INDEX(OFFSET('Measure Inputs'!$Z$7,,,InputRows),$C127)*$T127*$V127*$U127</f>
        <v>0</v>
      </c>
      <c r="AC127" s="96">
        <f ca="1">INDEX(OFFSET('Measure Inputs'!$AA$7,,,InputRows),$C127)*$T127*$V127*$U127</f>
        <v>0</v>
      </c>
      <c r="AD127" s="96">
        <f ca="1">INDEX(OFFSET('Measure Inputs'!$AB$7,,,InputRows),$C127)*$T127*$V127*$U127</f>
        <v>0</v>
      </c>
      <c r="AE127" s="55"/>
      <c r="AF127" s="57">
        <f ca="1">INDEX(OFFSET('Measure Inputs'!$Q$7,,,InputRows),$C127)*$T127</f>
        <v>0</v>
      </c>
      <c r="AG127" s="57">
        <f ca="1">INDEX(OFFSET('Measure Inputs'!$P$7,,,InputRows),$C127)*$T127*$V127</f>
        <v>6975</v>
      </c>
      <c r="AH127" s="57">
        <f ca="1">INDEX(OFFSET('Measure Inputs'!$R$7,,,InputRows),$C127)*$T127*$V127</f>
        <v>0</v>
      </c>
      <c r="AI127" s="57">
        <f ca="1">INDEX(OFFSET('Measure Inputs'!$O$7,,,InputRows),$C127)*$T127</f>
        <v>5625</v>
      </c>
      <c r="AJ127" s="57">
        <f ca="1">INDEX(OFFSET('Measure Inputs'!$S$7,,,InputRows),$C127)*$T127</f>
        <v>0</v>
      </c>
      <c r="AK127" s="63">
        <f ca="1">INDEX(OFFSET('Measure Inputs'!$M$7,,,InputRows),$C127)</f>
        <v>8</v>
      </c>
      <c r="AL127" s="88">
        <f ca="1">INDEX(OFFSET('Measure Inputs'!$N$7,,,InputRows),$C127)</f>
        <v>0</v>
      </c>
      <c r="AM127" s="57">
        <f ca="1">SUMIFS(OFFSET('Program Inputs'!$N$5,,,TotalPrograms),OFFSET('Program Inputs'!$B$5,,,TotalPrograms),SUBSTITUTE($B127,"All","*"))+AF127</f>
        <v>0</v>
      </c>
      <c r="AN127" s="57">
        <f t="shared" ca="1" si="342"/>
        <v>5625</v>
      </c>
      <c r="AO127" s="55"/>
      <c r="AP127" s="59">
        <f t="shared" ca="1" si="343"/>
        <v>17865.143192585147</v>
      </c>
      <c r="AQ127" s="59">
        <f t="shared" ca="1" si="344"/>
        <v>6408.489525909592</v>
      </c>
      <c r="AR127" s="59">
        <f ca="1">SUMPRODUCT($CA127:$DI127,'General Inputs'!$F$32:$AN$32,'General Inputs'!$F$51:$AN$51)/(1-Loss_ElectricEnergy)</f>
        <v>16509.563430619004</v>
      </c>
      <c r="AS127" s="59">
        <f ca="1">SUMPRODUCT($DK127:$ES127,'General Inputs'!$F$33:$AN$33,'General Inputs'!$F$51:$AN$51)/(1-Loss_ElectricDemand)</f>
        <v>1355.5797619661435</v>
      </c>
      <c r="AT127" s="59">
        <f ca="1">SUMPRODUCT($EU127:$GC127,'General Inputs'!$F$34:$AN$34,'General Inputs'!$F$51:$AN$51)/(1-Loss_GasEnergy)</f>
        <v>0</v>
      </c>
      <c r="AU127" s="59">
        <f ca="1">INDEX('General Inputs'!$F$51:$AN$51,MATCH($H127,'General Inputs'!$F$50:$AN$50,0))*$AJ127</f>
        <v>0</v>
      </c>
      <c r="AV127" s="59">
        <f ca="1">INDEX('General Inputs'!$F$51:$AN$51,MATCH($H127,'General Inputs'!$F$50:$AN$50,0))*$AI127</f>
        <v>5168.1367144432197</v>
      </c>
      <c r="AW127" s="59">
        <f ca="1">INDEX('General Inputs'!$F$51:$AN$51,MATCH($H127,'General Inputs'!$F$50:$AN$50,0))*$AM127</f>
        <v>0</v>
      </c>
      <c r="AX127" s="59">
        <f ca="1">SUM(INDEX('General Inputs'!$F$51:$AN$51,MATCH($H127,'General Inputs'!$F$50:$AN$50,0))*$AG127,INDEX('General Inputs'!$F$51:$AN$51,MATCH($H127+$AL127,'General Inputs'!$F$50:$AN$50,0))*-$AH127)</f>
        <v>6408.489525909592</v>
      </c>
      <c r="AY127" s="55"/>
      <c r="AZ127" s="59">
        <f ca="1">SUMPRODUCT($CA127:$DI127,'General Inputs'!$F$32:$AN$32,'General Inputs'!$F$52:$AN$52)/(1-Loss_ElectricEnergy)</f>
        <v>16509.563430619004</v>
      </c>
      <c r="BA127" s="59">
        <f ca="1">SUMPRODUCT($DK127:$ES127,'General Inputs'!$F$33:$AN$33,'General Inputs'!$F$52:$AN$52)/(1-Loss_ElectricDemand)</f>
        <v>1355.5797619661435</v>
      </c>
      <c r="BB127" s="59">
        <f ca="1">SUMPRODUCT($EU127:$GC127,'General Inputs'!$F$34:$AN$34,'General Inputs'!$F$52:$AN$52)/(1-Loss_GasEnergy)</f>
        <v>0</v>
      </c>
      <c r="BC127" s="59">
        <f ca="1">INDEX('General Inputs'!$F$52:$AN$52,MATCH($H127,'General Inputs'!$F$50:$AN$50,0))*$AI127</f>
        <v>5168.1367144432197</v>
      </c>
      <c r="BD127" s="59">
        <f ca="1">INDEX('General Inputs'!$F$52:$AN$52,MATCH($H127,'General Inputs'!$F$50:$AN$50,0))*$AM127</f>
        <v>0</v>
      </c>
      <c r="BE127" s="55"/>
      <c r="BF127" s="59">
        <f ca="1">SUMPRODUCT($CA127:$DI127,OFFSET('General Inputs'!$F$40:$AN$40,MATCH($D127&amp;" Electric ($/kWh)",'General Inputs'!$E$40:$E$46,0),),'General Inputs'!$F$54:$AN$54)</f>
        <v>65329.097234385496</v>
      </c>
      <c r="BG127" s="59">
        <f ca="1">SUMPRODUCT($EU127:$GC127,OFFSET('General Inputs'!$F$40:$AN$40,MATCH($D127&amp;" Natural Gas ($/therm)",'General Inputs'!$E$40:$E$46,0),),'General Inputs'!$F$54:$AN$54)</f>
        <v>0</v>
      </c>
      <c r="BH127" s="59">
        <f ca="1">INDEX('General Inputs'!$F$54:$AN$54,MATCH($H127,'General Inputs'!$F$50:$AN$50,0))*$AI127</f>
        <v>5168.1367144432197</v>
      </c>
      <c r="BI127" s="59">
        <f ca="1">SUM(INDEX('General Inputs'!$F$54:$AN$54,MATCH($H127,'General Inputs'!$F$50:$AN$50,0))*$AG127,INDEX('General Inputs'!$F$51:$AN$51,MATCH($H127+$AL127,'General Inputs'!$F$50:$AN$50,0))*-$AH127)</f>
        <v>6408.489525909592</v>
      </c>
      <c r="BJ127" s="55"/>
      <c r="BK127" s="59">
        <f ca="1">SUMPRODUCT($CA127:$DI127,'General Inputs'!$F$32:$AN$32,'General Inputs'!$F$53:$AN$53)/(1-Loss_ElectricEnergy)</f>
        <v>16509.563430619004</v>
      </c>
      <c r="BL127" s="59">
        <f ca="1">SUMPRODUCT($DK127:$ES127,'General Inputs'!$F$33:$AN$33,'General Inputs'!$F$53:$AN$53)/(1-Loss_ElectricDemand)</f>
        <v>1355.5797619661435</v>
      </c>
      <c r="BM127" s="59">
        <f ca="1">SUMPRODUCT($EU127:$GC127,'General Inputs'!$F$34:$AN$34,'General Inputs'!$F$53:$AN$53)/(1-Loss_GasEnergy)</f>
        <v>0</v>
      </c>
      <c r="BN127" s="59">
        <f ca="1">INDEX('General Inputs'!$F$53:$AN$53,MATCH($H127,'General Inputs'!$F$50:$AN$50,0))*$AJ127</f>
        <v>0</v>
      </c>
      <c r="BO127" s="59">
        <f ca="1">SUMPRODUCT($CA127:$DI127,'General Inputs'!$F$35:$AN$35,'General Inputs'!$F$53:$AN$53)/(1-Loss_ElectricEnergy)</f>
        <v>6438.9709785777677</v>
      </c>
      <c r="BP127" s="59">
        <f ca="1">INDEX('General Inputs'!$F$51:$AN$51,MATCH($H127,'General Inputs'!$F$50:$AN$50,0))*$AM127</f>
        <v>0</v>
      </c>
      <c r="BQ127" s="59">
        <f ca="1">SUM(INDEX('General Inputs'!$F$53:$AN$53,MATCH($H127,'General Inputs'!$F$50:$AN$50,0))*$AG127,INDEX('General Inputs'!$F$53:$AN$53,MATCH($H127+$AL127,'General Inputs'!$F$50:$AN$50,0))*-$AH127)</f>
        <v>6408.489525909592</v>
      </c>
      <c r="BR127" s="55"/>
      <c r="BS127" s="59">
        <f ca="1">SUMPRODUCT($CA127:$DI127,'General Inputs'!$F$32:$AN$32,'General Inputs'!$F$55:$AN$55)/(1-Loss_ElectricEnergy)</f>
        <v>16509.563430619004</v>
      </c>
      <c r="BT127" s="59">
        <f ca="1">SUMPRODUCT($DK127:$ES127,'General Inputs'!$F$33:$AN$33,'General Inputs'!$F$55:$AN$55)/(1-Loss_ElectricDemand)</f>
        <v>1355.5797619661435</v>
      </c>
      <c r="BU127" s="59">
        <f ca="1">SUMPRODUCT($EU127:$GC127,'General Inputs'!$F$34:$AN$34,'General Inputs'!$F$55:$AN$55)/(1-Loss_GasEnergy)</f>
        <v>0</v>
      </c>
      <c r="BV127" s="59">
        <f ca="1">SUMPRODUCT($CA127:$DI127,OFFSET('General Inputs'!$F$40:$AN$40,MATCH($D127&amp;" Electric ($/kWh)",'General Inputs'!$E$40:$E$46,0),),'General Inputs'!$F$55:$AN$55)</f>
        <v>65329.097234385496</v>
      </c>
      <c r="BW127" s="59">
        <f ca="1">SUMPRODUCT($EU127:$GC127,OFFSET('General Inputs'!$F$40:$AN$40,MATCH($D127&amp;" Natural Gas ($/therm)",'General Inputs'!$E$40:$E$46,0),),'General Inputs'!$F$55:$AN$55)</f>
        <v>0</v>
      </c>
      <c r="BX127" s="59">
        <f ca="1">INDEX('General Inputs'!$F$55:$AN$55,MATCH($H127,'General Inputs'!$F$50:$AN$50,0))*$AI127</f>
        <v>5168.1367144432197</v>
      </c>
      <c r="BY127" s="59">
        <f ca="1">INDEX('General Inputs'!$F$51:$AN$51,MATCH($H127,'General Inputs'!$F$50:$AN$50,0))*$AM127</f>
        <v>0</v>
      </c>
      <c r="BZ127" s="55"/>
      <c r="CA127" s="88">
        <f t="shared" ca="1" si="332"/>
        <v>0</v>
      </c>
      <c r="CB127" s="88">
        <f t="shared" ca="1" si="332"/>
        <v>96675</v>
      </c>
      <c r="CC127" s="88">
        <f t="shared" ca="1" si="332"/>
        <v>96675</v>
      </c>
      <c r="CD127" s="88">
        <f t="shared" ca="1" si="332"/>
        <v>96675</v>
      </c>
      <c r="CE127" s="88">
        <f t="shared" ca="1" si="332"/>
        <v>96675</v>
      </c>
      <c r="CF127" s="88">
        <f t="shared" ca="1" si="332"/>
        <v>96675</v>
      </c>
      <c r="CG127" s="88">
        <f t="shared" ca="1" si="332"/>
        <v>96675</v>
      </c>
      <c r="CH127" s="88">
        <f t="shared" ca="1" si="332"/>
        <v>96675</v>
      </c>
      <c r="CI127" s="88">
        <f t="shared" ca="1" si="332"/>
        <v>96675</v>
      </c>
      <c r="CJ127" s="88">
        <f t="shared" ca="1" si="332"/>
        <v>0</v>
      </c>
      <c r="CK127" s="88">
        <f t="shared" ca="1" si="333"/>
        <v>0</v>
      </c>
      <c r="CL127" s="88">
        <f t="shared" ca="1" si="333"/>
        <v>0</v>
      </c>
      <c r="CM127" s="88">
        <f t="shared" ca="1" si="333"/>
        <v>0</v>
      </c>
      <c r="CN127" s="88">
        <f t="shared" ca="1" si="333"/>
        <v>0</v>
      </c>
      <c r="CO127" s="88">
        <f t="shared" ca="1" si="333"/>
        <v>0</v>
      </c>
      <c r="CP127" s="88">
        <f t="shared" ca="1" si="333"/>
        <v>0</v>
      </c>
      <c r="CQ127" s="88">
        <f t="shared" ca="1" si="333"/>
        <v>0</v>
      </c>
      <c r="CR127" s="88">
        <f t="shared" ca="1" si="333"/>
        <v>0</v>
      </c>
      <c r="CS127" s="88">
        <f t="shared" ca="1" si="333"/>
        <v>0</v>
      </c>
      <c r="CT127" s="88">
        <f t="shared" ca="1" si="333"/>
        <v>0</v>
      </c>
      <c r="CU127" s="88">
        <f t="shared" ca="1" si="334"/>
        <v>0</v>
      </c>
      <c r="CV127" s="88">
        <f t="shared" ca="1" si="334"/>
        <v>0</v>
      </c>
      <c r="CW127" s="88">
        <f t="shared" ca="1" si="334"/>
        <v>0</v>
      </c>
      <c r="CX127" s="88">
        <f t="shared" ca="1" si="334"/>
        <v>0</v>
      </c>
      <c r="CY127" s="88">
        <f t="shared" ca="1" si="334"/>
        <v>0</v>
      </c>
      <c r="CZ127" s="88">
        <f t="shared" ca="1" si="334"/>
        <v>0</v>
      </c>
      <c r="DA127" s="88">
        <f t="shared" ca="1" si="334"/>
        <v>0</v>
      </c>
      <c r="DB127" s="88">
        <f t="shared" ca="1" si="334"/>
        <v>0</v>
      </c>
      <c r="DC127" s="88">
        <f t="shared" ca="1" si="334"/>
        <v>0</v>
      </c>
      <c r="DD127" s="88">
        <f t="shared" ca="1" si="334"/>
        <v>0</v>
      </c>
      <c r="DE127" s="88">
        <f t="shared" ca="1" si="334"/>
        <v>0</v>
      </c>
      <c r="DF127" s="88">
        <f t="shared" ca="1" si="334"/>
        <v>0</v>
      </c>
      <c r="DG127" s="88">
        <f t="shared" ca="1" si="334"/>
        <v>0</v>
      </c>
      <c r="DH127" s="88">
        <f t="shared" ca="1" si="334"/>
        <v>0</v>
      </c>
      <c r="DI127" s="88">
        <f t="shared" ca="1" si="334"/>
        <v>0</v>
      </c>
      <c r="DJ127" s="169"/>
      <c r="DK127" s="88">
        <f t="shared" ca="1" si="335"/>
        <v>0</v>
      </c>
      <c r="DL127" s="88">
        <f t="shared" ca="1" si="335"/>
        <v>11.03595890410959</v>
      </c>
      <c r="DM127" s="88">
        <f t="shared" ca="1" si="335"/>
        <v>11.03595890410959</v>
      </c>
      <c r="DN127" s="88">
        <f t="shared" ca="1" si="335"/>
        <v>11.03595890410959</v>
      </c>
      <c r="DO127" s="88">
        <f t="shared" ca="1" si="335"/>
        <v>11.03595890410959</v>
      </c>
      <c r="DP127" s="88">
        <f t="shared" ca="1" si="335"/>
        <v>11.03595890410959</v>
      </c>
      <c r="DQ127" s="88">
        <f t="shared" ca="1" si="335"/>
        <v>11.03595890410959</v>
      </c>
      <c r="DR127" s="88">
        <f t="shared" ca="1" si="335"/>
        <v>11.03595890410959</v>
      </c>
      <c r="DS127" s="88">
        <f t="shared" ca="1" si="335"/>
        <v>11.03595890410959</v>
      </c>
      <c r="DT127" s="88">
        <f t="shared" ca="1" si="335"/>
        <v>0</v>
      </c>
      <c r="DU127" s="88">
        <f t="shared" ca="1" si="336"/>
        <v>0</v>
      </c>
      <c r="DV127" s="88">
        <f t="shared" ca="1" si="336"/>
        <v>0</v>
      </c>
      <c r="DW127" s="88">
        <f t="shared" ca="1" si="336"/>
        <v>0</v>
      </c>
      <c r="DX127" s="88">
        <f t="shared" ca="1" si="336"/>
        <v>0</v>
      </c>
      <c r="DY127" s="88">
        <f t="shared" ca="1" si="336"/>
        <v>0</v>
      </c>
      <c r="DZ127" s="88">
        <f t="shared" ca="1" si="336"/>
        <v>0</v>
      </c>
      <c r="EA127" s="88">
        <f t="shared" ca="1" si="336"/>
        <v>0</v>
      </c>
      <c r="EB127" s="88">
        <f t="shared" ca="1" si="336"/>
        <v>0</v>
      </c>
      <c r="EC127" s="88">
        <f t="shared" ca="1" si="336"/>
        <v>0</v>
      </c>
      <c r="ED127" s="88">
        <f t="shared" ca="1" si="336"/>
        <v>0</v>
      </c>
      <c r="EE127" s="88">
        <f t="shared" ca="1" si="337"/>
        <v>0</v>
      </c>
      <c r="EF127" s="88">
        <f t="shared" ca="1" si="337"/>
        <v>0</v>
      </c>
      <c r="EG127" s="88">
        <f t="shared" ca="1" si="337"/>
        <v>0</v>
      </c>
      <c r="EH127" s="88">
        <f t="shared" ca="1" si="337"/>
        <v>0</v>
      </c>
      <c r="EI127" s="88">
        <f t="shared" ca="1" si="337"/>
        <v>0</v>
      </c>
      <c r="EJ127" s="88">
        <f t="shared" ca="1" si="337"/>
        <v>0</v>
      </c>
      <c r="EK127" s="88">
        <f t="shared" ca="1" si="337"/>
        <v>0</v>
      </c>
      <c r="EL127" s="88">
        <f t="shared" ca="1" si="337"/>
        <v>0</v>
      </c>
      <c r="EM127" s="88">
        <f t="shared" ca="1" si="337"/>
        <v>0</v>
      </c>
      <c r="EN127" s="88">
        <f t="shared" ca="1" si="337"/>
        <v>0</v>
      </c>
      <c r="EO127" s="88">
        <f t="shared" ca="1" si="337"/>
        <v>0</v>
      </c>
      <c r="EP127" s="88">
        <f t="shared" ca="1" si="337"/>
        <v>0</v>
      </c>
      <c r="EQ127" s="88">
        <f t="shared" ca="1" si="337"/>
        <v>0</v>
      </c>
      <c r="ER127" s="88">
        <f t="shared" ca="1" si="337"/>
        <v>0</v>
      </c>
      <c r="ES127" s="88">
        <f t="shared" ca="1" si="337"/>
        <v>0</v>
      </c>
      <c r="ET127" s="169"/>
      <c r="EU127" s="88">
        <f t="shared" ca="1" si="338"/>
        <v>0</v>
      </c>
      <c r="EV127" s="88">
        <f t="shared" ca="1" si="338"/>
        <v>0</v>
      </c>
      <c r="EW127" s="88">
        <f t="shared" ca="1" si="338"/>
        <v>0</v>
      </c>
      <c r="EX127" s="88">
        <f t="shared" ca="1" si="338"/>
        <v>0</v>
      </c>
      <c r="EY127" s="88">
        <f t="shared" ca="1" si="338"/>
        <v>0</v>
      </c>
      <c r="EZ127" s="88">
        <f t="shared" ca="1" si="338"/>
        <v>0</v>
      </c>
      <c r="FA127" s="88">
        <f t="shared" ca="1" si="338"/>
        <v>0</v>
      </c>
      <c r="FB127" s="88">
        <f t="shared" ca="1" si="338"/>
        <v>0</v>
      </c>
      <c r="FC127" s="88">
        <f t="shared" ca="1" si="338"/>
        <v>0</v>
      </c>
      <c r="FD127" s="88">
        <f t="shared" ca="1" si="338"/>
        <v>0</v>
      </c>
      <c r="FE127" s="88">
        <f t="shared" ca="1" si="339"/>
        <v>0</v>
      </c>
      <c r="FF127" s="88">
        <f t="shared" ca="1" si="339"/>
        <v>0</v>
      </c>
      <c r="FG127" s="88">
        <f t="shared" ca="1" si="339"/>
        <v>0</v>
      </c>
      <c r="FH127" s="88">
        <f t="shared" ca="1" si="339"/>
        <v>0</v>
      </c>
      <c r="FI127" s="88">
        <f t="shared" ca="1" si="339"/>
        <v>0</v>
      </c>
      <c r="FJ127" s="88">
        <f t="shared" ca="1" si="339"/>
        <v>0</v>
      </c>
      <c r="FK127" s="88">
        <f t="shared" ca="1" si="339"/>
        <v>0</v>
      </c>
      <c r="FL127" s="88">
        <f t="shared" ca="1" si="339"/>
        <v>0</v>
      </c>
      <c r="FM127" s="88">
        <f t="shared" ca="1" si="339"/>
        <v>0</v>
      </c>
      <c r="FN127" s="88">
        <f t="shared" ca="1" si="339"/>
        <v>0</v>
      </c>
      <c r="FO127" s="88">
        <f t="shared" ca="1" si="340"/>
        <v>0</v>
      </c>
      <c r="FP127" s="88">
        <f t="shared" ca="1" si="340"/>
        <v>0</v>
      </c>
      <c r="FQ127" s="88">
        <f t="shared" ca="1" si="340"/>
        <v>0</v>
      </c>
      <c r="FR127" s="88">
        <f t="shared" ca="1" si="340"/>
        <v>0</v>
      </c>
      <c r="FS127" s="88">
        <f t="shared" ca="1" si="340"/>
        <v>0</v>
      </c>
      <c r="FT127" s="88">
        <f t="shared" ca="1" si="340"/>
        <v>0</v>
      </c>
      <c r="FU127" s="88">
        <f t="shared" ca="1" si="340"/>
        <v>0</v>
      </c>
      <c r="FV127" s="88">
        <f t="shared" ca="1" si="340"/>
        <v>0</v>
      </c>
      <c r="FW127" s="88">
        <f t="shared" ca="1" si="340"/>
        <v>0</v>
      </c>
      <c r="FX127" s="88">
        <f t="shared" ca="1" si="340"/>
        <v>0</v>
      </c>
      <c r="FY127" s="88">
        <f t="shared" ca="1" si="340"/>
        <v>0</v>
      </c>
      <c r="FZ127" s="88">
        <f t="shared" ca="1" si="340"/>
        <v>0</v>
      </c>
      <c r="GA127" s="88">
        <f t="shared" ca="1" si="340"/>
        <v>0</v>
      </c>
      <c r="GB127" s="88">
        <f t="shared" ca="1" si="340"/>
        <v>0</v>
      </c>
      <c r="GC127" s="88">
        <f t="shared" ca="1" si="340"/>
        <v>0</v>
      </c>
      <c r="GD127" s="60"/>
    </row>
    <row r="128" spans="1:186" s="54" customFormat="1" ht="14.45" customHeight="1">
      <c r="A128" s="61"/>
      <c r="B128" s="100" t="str">
        <f t="shared" si="277"/>
        <v>Residential_Appliance Recycling_0_Freezer Recycle_2018</v>
      </c>
      <c r="C128" s="100">
        <f>INDEX('Measure Inputs'!$D:$D,MATCH($B128,'Measure Inputs'!$B:$B,0))</f>
        <v>80</v>
      </c>
      <c r="D128" s="101" t="s">
        <v>2</v>
      </c>
      <c r="E128" s="101" t="s">
        <v>120</v>
      </c>
      <c r="F128" s="101">
        <v>0</v>
      </c>
      <c r="G128" s="101" t="s">
        <v>212</v>
      </c>
      <c r="H128" s="101">
        <v>2018</v>
      </c>
      <c r="I128" s="55"/>
      <c r="J128" s="58">
        <f t="shared" ca="1" si="229"/>
        <v>2.3897924422694028</v>
      </c>
      <c r="K128" s="58">
        <f t="shared" ca="1" si="246"/>
        <v>2.9633426284140594</v>
      </c>
      <c r="L128" s="58">
        <f t="shared" ca="1" si="230"/>
        <v>9.5454234279075187</v>
      </c>
      <c r="M128" s="58">
        <f t="shared" ca="1" si="231"/>
        <v>3.25112358385151</v>
      </c>
      <c r="N128" s="58">
        <f t="shared" ca="1" si="232"/>
        <v>0.25036002439477706</v>
      </c>
      <c r="O128" s="55"/>
      <c r="P128" s="175">
        <f ca="1">IFERROR(($AW128+AV128)/SUMPRODUCT($CA128:$DI128,'General Inputs'!$F$51:$AN$51),"n/a")</f>
        <v>1.1200053985969141E-2</v>
      </c>
      <c r="Q128" s="175">
        <f t="shared" ca="1" si="309"/>
        <v>6.7873303167420809E-2</v>
      </c>
      <c r="R128" s="56">
        <f t="shared" ca="1" si="310"/>
        <v>70.72</v>
      </c>
      <c r="S128" s="55"/>
      <c r="T128" s="56">
        <f ca="1">INDEX(OFFSET('Measure Inputs'!$L$7,,,InputRows),$C128)</f>
        <v>8</v>
      </c>
      <c r="U128" s="134">
        <f ca="1">INDEX(OFFSET('Measure Inputs'!$T$7,,,InputRows),$C128)</f>
        <v>1</v>
      </c>
      <c r="V128" s="134">
        <f ca="1">INDEX(OFFSET('Measure Inputs'!$U$7,,,InputRows),$C128)</f>
        <v>1</v>
      </c>
      <c r="W128" s="55"/>
      <c r="X128" s="96">
        <f ca="1">INDEX(OFFSET('Measure Inputs'!$V$7,,,InputRows),$C128)*$T128*$V128*$U128</f>
        <v>8840</v>
      </c>
      <c r="Y128" s="96">
        <f ca="1">INDEX(OFFSET('Measure Inputs'!$W$7,,,InputRows),$C128)*$T128*$V128*$U128</f>
        <v>1.0091324200913243</v>
      </c>
      <c r="Z128" s="96">
        <f ca="1">INDEX(OFFSET('Measure Inputs'!$X$7,,,InputRows),$C128)*$T128*$V128*$U128</f>
        <v>0</v>
      </c>
      <c r="AA128" s="55"/>
      <c r="AB128" s="96">
        <f ca="1">INDEX(OFFSET('Measure Inputs'!$Z$7,,,InputRows),$C128)*$T128*$V128*$U128</f>
        <v>0</v>
      </c>
      <c r="AC128" s="96">
        <f ca="1">INDEX(OFFSET('Measure Inputs'!$AA$7,,,InputRows),$C128)*$T128*$V128*$U128</f>
        <v>0</v>
      </c>
      <c r="AD128" s="96">
        <f ca="1">INDEX(OFFSET('Measure Inputs'!$AB$7,,,InputRows),$C128)*$T128*$V128*$U128</f>
        <v>0</v>
      </c>
      <c r="AE128" s="55"/>
      <c r="AF128" s="57">
        <f ca="1">INDEX(OFFSET('Measure Inputs'!$Q$7,,,InputRows),$C128)*$T128</f>
        <v>0</v>
      </c>
      <c r="AG128" s="57">
        <f ca="1">INDEX(OFFSET('Measure Inputs'!$P$7,,,InputRows),$C128)*$T128*$V128</f>
        <v>744</v>
      </c>
      <c r="AH128" s="57">
        <f ca="1">INDEX(OFFSET('Measure Inputs'!$R$7,,,InputRows),$C128)*$T128*$V128</f>
        <v>0</v>
      </c>
      <c r="AI128" s="57">
        <f ca="1">INDEX(OFFSET('Measure Inputs'!$O$7,,,InputRows),$C128)*$T128</f>
        <v>600</v>
      </c>
      <c r="AJ128" s="57">
        <f ca="1">INDEX(OFFSET('Measure Inputs'!$S$7,,,InputRows),$C128)*$T128</f>
        <v>0</v>
      </c>
      <c r="AK128" s="63">
        <f ca="1">INDEX(OFFSET('Measure Inputs'!$M$7,,,InputRows),$C128)</f>
        <v>8</v>
      </c>
      <c r="AL128" s="88">
        <f ca="1">INDEX(OFFSET('Measure Inputs'!$N$7,,,InputRows),$C128)</f>
        <v>0</v>
      </c>
      <c r="AM128" s="57">
        <f ca="1">SUMIFS(OFFSET('Program Inputs'!$N$5,,,TotalPrograms),OFFSET('Program Inputs'!$B$5,,,TotalPrograms),SUBSTITUTE($B128,"All","*"))+AF128</f>
        <v>0</v>
      </c>
      <c r="AN128" s="57">
        <f t="shared" ca="1" si="311"/>
        <v>600</v>
      </c>
      <c r="AO128" s="55"/>
      <c r="AP128" s="59">
        <f t="shared" ca="1" si="312"/>
        <v>1633.5957157740129</v>
      </c>
      <c r="AQ128" s="59">
        <f t="shared" ca="1" si="313"/>
        <v>683.5722160970231</v>
      </c>
      <c r="AR128" s="59">
        <f ca="1">SUMPRODUCT($CA128:$DI128,'General Inputs'!$F$32:$AN$32,'General Inputs'!$F$51:$AN$51)/(1-Loss_ElectricEnergy)</f>
        <v>1509.6409695026841</v>
      </c>
      <c r="AS128" s="59">
        <f ca="1">SUMPRODUCT($DK128:$ES128,'General Inputs'!$F$33:$AN$33,'General Inputs'!$F$51:$AN$51)/(1-Loss_ElectricDemand)</f>
        <v>123.95474627132879</v>
      </c>
      <c r="AT128" s="59">
        <f ca="1">SUMPRODUCT($EU128:$GC128,'General Inputs'!$F$34:$AN$34,'General Inputs'!$F$51:$AN$51)/(1-Loss_GasEnergy)</f>
        <v>0</v>
      </c>
      <c r="AU128" s="59">
        <f ca="1">INDEX('General Inputs'!$F$51:$AN$51,MATCH($H128,'General Inputs'!$F$50:$AN$50,0))*$AJ128</f>
        <v>0</v>
      </c>
      <c r="AV128" s="59">
        <f ca="1">INDEX('General Inputs'!$F$51:$AN$51,MATCH($H128,'General Inputs'!$F$50:$AN$50,0))*$AI128</f>
        <v>551.2679162072767</v>
      </c>
      <c r="AW128" s="59">
        <f ca="1">INDEX('General Inputs'!$F$51:$AN$51,MATCH($H128,'General Inputs'!$F$50:$AN$50,0))*$AM128</f>
        <v>0</v>
      </c>
      <c r="AX128" s="59">
        <f ca="1">SUM(INDEX('General Inputs'!$F$51:$AN$51,MATCH($H128,'General Inputs'!$F$50:$AN$50,0))*$AG128,INDEX('General Inputs'!$F$51:$AN$51,MATCH($H128+$AL128,'General Inputs'!$F$50:$AN$50,0))*-$AH128)</f>
        <v>683.5722160970231</v>
      </c>
      <c r="AY128" s="55"/>
      <c r="AZ128" s="59">
        <f ca="1">SUMPRODUCT($CA128:$DI128,'General Inputs'!$F$32:$AN$32,'General Inputs'!$F$52:$AN$52)/(1-Loss_ElectricEnergy)</f>
        <v>1509.6409695026841</v>
      </c>
      <c r="BA128" s="59">
        <f ca="1">SUMPRODUCT($DK128:$ES128,'General Inputs'!$F$33:$AN$33,'General Inputs'!$F$52:$AN$52)/(1-Loss_ElectricDemand)</f>
        <v>123.95474627132879</v>
      </c>
      <c r="BB128" s="59">
        <f ca="1">SUMPRODUCT($EU128:$GC128,'General Inputs'!$F$34:$AN$34,'General Inputs'!$F$52:$AN$52)/(1-Loss_GasEnergy)</f>
        <v>0</v>
      </c>
      <c r="BC128" s="59">
        <f ca="1">INDEX('General Inputs'!$F$52:$AN$52,MATCH($H128,'General Inputs'!$F$50:$AN$50,0))*$AI128</f>
        <v>551.2679162072767</v>
      </c>
      <c r="BD128" s="59">
        <f ca="1">INDEX('General Inputs'!$F$52:$AN$52,MATCH($H128,'General Inputs'!$F$50:$AN$50,0))*$AM128</f>
        <v>0</v>
      </c>
      <c r="BE128" s="55"/>
      <c r="BF128" s="59">
        <f ca="1">SUMPRODUCT($CA128:$DI128,OFFSET('General Inputs'!$F$40:$AN$40,MATCH($D128&amp;" Electric ($/kWh)",'General Inputs'!$E$40:$E$46,0),),'General Inputs'!$F$54:$AN$54)</f>
        <v>5973.7183299919088</v>
      </c>
      <c r="BG128" s="59">
        <f ca="1">SUMPRODUCT($EU128:$GC128,OFFSET('General Inputs'!$F$40:$AN$40,MATCH($D128&amp;" Natural Gas ($/therm)",'General Inputs'!$E$40:$E$46,0),),'General Inputs'!$F$54:$AN$54)</f>
        <v>0</v>
      </c>
      <c r="BH128" s="59">
        <f ca="1">INDEX('General Inputs'!$F$54:$AN$54,MATCH($H128,'General Inputs'!$F$50:$AN$50,0))*$AI128</f>
        <v>551.2679162072767</v>
      </c>
      <c r="BI128" s="59">
        <f ca="1">SUM(INDEX('General Inputs'!$F$54:$AN$54,MATCH($H128,'General Inputs'!$F$50:$AN$50,0))*$AG128,INDEX('General Inputs'!$F$51:$AN$51,MATCH($H128+$AL128,'General Inputs'!$F$50:$AN$50,0))*-$AH128)</f>
        <v>683.5722160970231</v>
      </c>
      <c r="BJ128" s="55"/>
      <c r="BK128" s="59">
        <f ca="1">SUMPRODUCT($CA128:$DI128,'General Inputs'!$F$32:$AN$32,'General Inputs'!$F$53:$AN$53)/(1-Loss_ElectricEnergy)</f>
        <v>1509.6409695026841</v>
      </c>
      <c r="BL128" s="59">
        <f ca="1">SUMPRODUCT($DK128:$ES128,'General Inputs'!$F$33:$AN$33,'General Inputs'!$F$53:$AN$53)/(1-Loss_ElectricDemand)</f>
        <v>123.95474627132879</v>
      </c>
      <c r="BM128" s="59">
        <f ca="1">SUMPRODUCT($EU128:$GC128,'General Inputs'!$F$34:$AN$34,'General Inputs'!$F$53:$AN$53)/(1-Loss_GasEnergy)</f>
        <v>0</v>
      </c>
      <c r="BN128" s="59">
        <f ca="1">INDEX('General Inputs'!$F$53:$AN$53,MATCH($H128,'General Inputs'!$F$50:$AN$50,0))*$AJ128</f>
        <v>0</v>
      </c>
      <c r="BO128" s="59">
        <f ca="1">SUMPRODUCT($CA128:$DI128,'General Inputs'!$F$35:$AN$35,'General Inputs'!$F$53:$AN$53)/(1-Loss_ElectricEnergy)</f>
        <v>588.78203724465959</v>
      </c>
      <c r="BP128" s="59">
        <f ca="1">INDEX('General Inputs'!$F$51:$AN$51,MATCH($H128,'General Inputs'!$F$50:$AN$50,0))*$AM128</f>
        <v>0</v>
      </c>
      <c r="BQ128" s="59">
        <f ca="1">SUM(INDEX('General Inputs'!$F$53:$AN$53,MATCH($H128,'General Inputs'!$F$50:$AN$50,0))*$AG128,INDEX('General Inputs'!$F$53:$AN$53,MATCH($H128+$AL128,'General Inputs'!$F$50:$AN$50,0))*-$AH128)</f>
        <v>683.5722160970231</v>
      </c>
      <c r="BR128" s="55"/>
      <c r="BS128" s="59">
        <f ca="1">SUMPRODUCT($CA128:$DI128,'General Inputs'!$F$32:$AN$32,'General Inputs'!$F$55:$AN$55)/(1-Loss_ElectricEnergy)</f>
        <v>1509.6409695026841</v>
      </c>
      <c r="BT128" s="59">
        <f ca="1">SUMPRODUCT($DK128:$ES128,'General Inputs'!$F$33:$AN$33,'General Inputs'!$F$55:$AN$55)/(1-Loss_ElectricDemand)</f>
        <v>123.95474627132879</v>
      </c>
      <c r="BU128" s="59">
        <f ca="1">SUMPRODUCT($EU128:$GC128,'General Inputs'!$F$34:$AN$34,'General Inputs'!$F$55:$AN$55)/(1-Loss_GasEnergy)</f>
        <v>0</v>
      </c>
      <c r="BV128" s="59">
        <f ca="1">SUMPRODUCT($CA128:$DI128,OFFSET('General Inputs'!$F$40:$AN$40,MATCH($D128&amp;" Electric ($/kWh)",'General Inputs'!$E$40:$E$46,0),),'General Inputs'!$F$55:$AN$55)</f>
        <v>5973.7183299919088</v>
      </c>
      <c r="BW128" s="59">
        <f ca="1">SUMPRODUCT($EU128:$GC128,OFFSET('General Inputs'!$F$40:$AN$40,MATCH($D128&amp;" Natural Gas ($/therm)",'General Inputs'!$E$40:$E$46,0),),'General Inputs'!$F$55:$AN$55)</f>
        <v>0</v>
      </c>
      <c r="BX128" s="59">
        <f ca="1">INDEX('General Inputs'!$F$55:$AN$55,MATCH($H128,'General Inputs'!$F$50:$AN$50,0))*$AI128</f>
        <v>551.2679162072767</v>
      </c>
      <c r="BY128" s="59">
        <f ca="1">INDEX('General Inputs'!$F$51:$AN$51,MATCH($H128,'General Inputs'!$F$50:$AN$50,0))*$AM128</f>
        <v>0</v>
      </c>
      <c r="BZ128" s="55"/>
      <c r="CA128" s="88">
        <f t="shared" ca="1" si="332"/>
        <v>0</v>
      </c>
      <c r="CB128" s="88">
        <f t="shared" ca="1" si="332"/>
        <v>8840</v>
      </c>
      <c r="CC128" s="88">
        <f t="shared" ca="1" si="332"/>
        <v>8840</v>
      </c>
      <c r="CD128" s="88">
        <f t="shared" ca="1" si="332"/>
        <v>8840</v>
      </c>
      <c r="CE128" s="88">
        <f t="shared" ca="1" si="332"/>
        <v>8840</v>
      </c>
      <c r="CF128" s="88">
        <f t="shared" ca="1" si="332"/>
        <v>8840</v>
      </c>
      <c r="CG128" s="88">
        <f t="shared" ca="1" si="332"/>
        <v>8840</v>
      </c>
      <c r="CH128" s="88">
        <f t="shared" ca="1" si="332"/>
        <v>8840</v>
      </c>
      <c r="CI128" s="88">
        <f t="shared" ca="1" si="332"/>
        <v>8840</v>
      </c>
      <c r="CJ128" s="88">
        <f t="shared" ca="1" si="332"/>
        <v>0</v>
      </c>
      <c r="CK128" s="88">
        <f t="shared" ca="1" si="333"/>
        <v>0</v>
      </c>
      <c r="CL128" s="88">
        <f t="shared" ca="1" si="333"/>
        <v>0</v>
      </c>
      <c r="CM128" s="88">
        <f t="shared" ca="1" si="333"/>
        <v>0</v>
      </c>
      <c r="CN128" s="88">
        <f t="shared" ca="1" si="333"/>
        <v>0</v>
      </c>
      <c r="CO128" s="88">
        <f t="shared" ca="1" si="333"/>
        <v>0</v>
      </c>
      <c r="CP128" s="88">
        <f t="shared" ca="1" si="333"/>
        <v>0</v>
      </c>
      <c r="CQ128" s="88">
        <f t="shared" ca="1" si="333"/>
        <v>0</v>
      </c>
      <c r="CR128" s="88">
        <f t="shared" ca="1" si="333"/>
        <v>0</v>
      </c>
      <c r="CS128" s="88">
        <f t="shared" ca="1" si="333"/>
        <v>0</v>
      </c>
      <c r="CT128" s="88">
        <f t="shared" ca="1" si="333"/>
        <v>0</v>
      </c>
      <c r="CU128" s="88">
        <f t="shared" ca="1" si="334"/>
        <v>0</v>
      </c>
      <c r="CV128" s="88">
        <f t="shared" ca="1" si="334"/>
        <v>0</v>
      </c>
      <c r="CW128" s="88">
        <f t="shared" ca="1" si="334"/>
        <v>0</v>
      </c>
      <c r="CX128" s="88">
        <f t="shared" ca="1" si="334"/>
        <v>0</v>
      </c>
      <c r="CY128" s="88">
        <f t="shared" ca="1" si="334"/>
        <v>0</v>
      </c>
      <c r="CZ128" s="88">
        <f t="shared" ca="1" si="334"/>
        <v>0</v>
      </c>
      <c r="DA128" s="88">
        <f t="shared" ca="1" si="334"/>
        <v>0</v>
      </c>
      <c r="DB128" s="88">
        <f t="shared" ca="1" si="334"/>
        <v>0</v>
      </c>
      <c r="DC128" s="88">
        <f t="shared" ca="1" si="334"/>
        <v>0</v>
      </c>
      <c r="DD128" s="88">
        <f t="shared" ca="1" si="334"/>
        <v>0</v>
      </c>
      <c r="DE128" s="88">
        <f t="shared" ca="1" si="334"/>
        <v>0</v>
      </c>
      <c r="DF128" s="88">
        <f t="shared" ca="1" si="334"/>
        <v>0</v>
      </c>
      <c r="DG128" s="88">
        <f t="shared" ca="1" si="334"/>
        <v>0</v>
      </c>
      <c r="DH128" s="88">
        <f t="shared" ca="1" si="334"/>
        <v>0</v>
      </c>
      <c r="DI128" s="88">
        <f t="shared" ca="1" si="334"/>
        <v>0</v>
      </c>
      <c r="DJ128" s="169"/>
      <c r="DK128" s="88">
        <f t="shared" ca="1" si="335"/>
        <v>0</v>
      </c>
      <c r="DL128" s="88">
        <f t="shared" ca="1" si="335"/>
        <v>1.0091324200913243</v>
      </c>
      <c r="DM128" s="88">
        <f t="shared" ca="1" si="335"/>
        <v>1.0091324200913243</v>
      </c>
      <c r="DN128" s="88">
        <f t="shared" ca="1" si="335"/>
        <v>1.0091324200913243</v>
      </c>
      <c r="DO128" s="88">
        <f t="shared" ca="1" si="335"/>
        <v>1.0091324200913243</v>
      </c>
      <c r="DP128" s="88">
        <f t="shared" ca="1" si="335"/>
        <v>1.0091324200913243</v>
      </c>
      <c r="DQ128" s="88">
        <f t="shared" ca="1" si="335"/>
        <v>1.0091324200913243</v>
      </c>
      <c r="DR128" s="88">
        <f t="shared" ca="1" si="335"/>
        <v>1.0091324200913243</v>
      </c>
      <c r="DS128" s="88">
        <f t="shared" ca="1" si="335"/>
        <v>1.0091324200913243</v>
      </c>
      <c r="DT128" s="88">
        <f t="shared" ca="1" si="335"/>
        <v>0</v>
      </c>
      <c r="DU128" s="88">
        <f t="shared" ca="1" si="336"/>
        <v>0</v>
      </c>
      <c r="DV128" s="88">
        <f t="shared" ca="1" si="336"/>
        <v>0</v>
      </c>
      <c r="DW128" s="88">
        <f t="shared" ca="1" si="336"/>
        <v>0</v>
      </c>
      <c r="DX128" s="88">
        <f t="shared" ca="1" si="336"/>
        <v>0</v>
      </c>
      <c r="DY128" s="88">
        <f t="shared" ca="1" si="336"/>
        <v>0</v>
      </c>
      <c r="DZ128" s="88">
        <f t="shared" ca="1" si="336"/>
        <v>0</v>
      </c>
      <c r="EA128" s="88">
        <f t="shared" ca="1" si="336"/>
        <v>0</v>
      </c>
      <c r="EB128" s="88">
        <f t="shared" ca="1" si="336"/>
        <v>0</v>
      </c>
      <c r="EC128" s="88">
        <f t="shared" ca="1" si="336"/>
        <v>0</v>
      </c>
      <c r="ED128" s="88">
        <f t="shared" ca="1" si="336"/>
        <v>0</v>
      </c>
      <c r="EE128" s="88">
        <f t="shared" ca="1" si="337"/>
        <v>0</v>
      </c>
      <c r="EF128" s="88">
        <f t="shared" ca="1" si="337"/>
        <v>0</v>
      </c>
      <c r="EG128" s="88">
        <f t="shared" ca="1" si="337"/>
        <v>0</v>
      </c>
      <c r="EH128" s="88">
        <f t="shared" ca="1" si="337"/>
        <v>0</v>
      </c>
      <c r="EI128" s="88">
        <f t="shared" ca="1" si="337"/>
        <v>0</v>
      </c>
      <c r="EJ128" s="88">
        <f t="shared" ca="1" si="337"/>
        <v>0</v>
      </c>
      <c r="EK128" s="88">
        <f t="shared" ca="1" si="337"/>
        <v>0</v>
      </c>
      <c r="EL128" s="88">
        <f t="shared" ca="1" si="337"/>
        <v>0</v>
      </c>
      <c r="EM128" s="88">
        <f t="shared" ca="1" si="337"/>
        <v>0</v>
      </c>
      <c r="EN128" s="88">
        <f t="shared" ca="1" si="337"/>
        <v>0</v>
      </c>
      <c r="EO128" s="88">
        <f t="shared" ca="1" si="337"/>
        <v>0</v>
      </c>
      <c r="EP128" s="88">
        <f t="shared" ca="1" si="337"/>
        <v>0</v>
      </c>
      <c r="EQ128" s="88">
        <f t="shared" ca="1" si="337"/>
        <v>0</v>
      </c>
      <c r="ER128" s="88">
        <f t="shared" ca="1" si="337"/>
        <v>0</v>
      </c>
      <c r="ES128" s="88">
        <f t="shared" ca="1" si="337"/>
        <v>0</v>
      </c>
      <c r="ET128" s="169"/>
      <c r="EU128" s="88">
        <f t="shared" ca="1" si="338"/>
        <v>0</v>
      </c>
      <c r="EV128" s="88">
        <f t="shared" ca="1" si="338"/>
        <v>0</v>
      </c>
      <c r="EW128" s="88">
        <f t="shared" ca="1" si="338"/>
        <v>0</v>
      </c>
      <c r="EX128" s="88">
        <f t="shared" ca="1" si="338"/>
        <v>0</v>
      </c>
      <c r="EY128" s="88">
        <f t="shared" ca="1" si="338"/>
        <v>0</v>
      </c>
      <c r="EZ128" s="88">
        <f t="shared" ca="1" si="338"/>
        <v>0</v>
      </c>
      <c r="FA128" s="88">
        <f t="shared" ca="1" si="338"/>
        <v>0</v>
      </c>
      <c r="FB128" s="88">
        <f t="shared" ca="1" si="338"/>
        <v>0</v>
      </c>
      <c r="FC128" s="88">
        <f t="shared" ca="1" si="338"/>
        <v>0</v>
      </c>
      <c r="FD128" s="88">
        <f t="shared" ca="1" si="338"/>
        <v>0</v>
      </c>
      <c r="FE128" s="88">
        <f t="shared" ca="1" si="339"/>
        <v>0</v>
      </c>
      <c r="FF128" s="88">
        <f t="shared" ca="1" si="339"/>
        <v>0</v>
      </c>
      <c r="FG128" s="88">
        <f t="shared" ca="1" si="339"/>
        <v>0</v>
      </c>
      <c r="FH128" s="88">
        <f t="shared" ca="1" si="339"/>
        <v>0</v>
      </c>
      <c r="FI128" s="88">
        <f t="shared" ca="1" si="339"/>
        <v>0</v>
      </c>
      <c r="FJ128" s="88">
        <f t="shared" ca="1" si="339"/>
        <v>0</v>
      </c>
      <c r="FK128" s="88">
        <f t="shared" ca="1" si="339"/>
        <v>0</v>
      </c>
      <c r="FL128" s="88">
        <f t="shared" ca="1" si="339"/>
        <v>0</v>
      </c>
      <c r="FM128" s="88">
        <f t="shared" ca="1" si="339"/>
        <v>0</v>
      </c>
      <c r="FN128" s="88">
        <f t="shared" ca="1" si="339"/>
        <v>0</v>
      </c>
      <c r="FO128" s="88">
        <f t="shared" ca="1" si="340"/>
        <v>0</v>
      </c>
      <c r="FP128" s="88">
        <f t="shared" ca="1" si="340"/>
        <v>0</v>
      </c>
      <c r="FQ128" s="88">
        <f t="shared" ca="1" si="340"/>
        <v>0</v>
      </c>
      <c r="FR128" s="88">
        <f t="shared" ca="1" si="340"/>
        <v>0</v>
      </c>
      <c r="FS128" s="88">
        <f t="shared" ca="1" si="340"/>
        <v>0</v>
      </c>
      <c r="FT128" s="88">
        <f t="shared" ca="1" si="340"/>
        <v>0</v>
      </c>
      <c r="FU128" s="88">
        <f t="shared" ca="1" si="340"/>
        <v>0</v>
      </c>
      <c r="FV128" s="88">
        <f t="shared" ca="1" si="340"/>
        <v>0</v>
      </c>
      <c r="FW128" s="88">
        <f t="shared" ca="1" si="340"/>
        <v>0</v>
      </c>
      <c r="FX128" s="88">
        <f t="shared" ca="1" si="340"/>
        <v>0</v>
      </c>
      <c r="FY128" s="88">
        <f t="shared" ca="1" si="340"/>
        <v>0</v>
      </c>
      <c r="FZ128" s="88">
        <f t="shared" ca="1" si="340"/>
        <v>0</v>
      </c>
      <c r="GA128" s="88">
        <f t="shared" ca="1" si="340"/>
        <v>0</v>
      </c>
      <c r="GB128" s="88">
        <f t="shared" ca="1" si="340"/>
        <v>0</v>
      </c>
      <c r="GC128" s="88">
        <f t="shared" ca="1" si="340"/>
        <v>0</v>
      </c>
      <c r="GD128" s="60"/>
    </row>
    <row r="129" spans="1:186" s="54" customFormat="1" ht="14.45" customHeight="1">
      <c r="A129" s="61"/>
      <c r="B129" s="100" t="str">
        <f t="shared" si="277"/>
        <v>Residential_High Efficiency HVAC_0_Heat Pump SEER ≥15, EER ≥12.5, HSPF ≥8.5_2018</v>
      </c>
      <c r="C129" s="100">
        <f>INDEX('Measure Inputs'!$D:$D,MATCH($B129,'Measure Inputs'!$B:$B,0))</f>
        <v>81</v>
      </c>
      <c r="D129" s="101" t="s">
        <v>2</v>
      </c>
      <c r="E129" s="101" t="s">
        <v>250</v>
      </c>
      <c r="F129" s="101">
        <v>0</v>
      </c>
      <c r="G129" s="101" t="s">
        <v>522</v>
      </c>
      <c r="H129" s="101">
        <v>2018</v>
      </c>
      <c r="I129" s="55"/>
      <c r="J129" s="58">
        <f t="shared" ca="1" si="229"/>
        <v>0.70635174796812428</v>
      </c>
      <c r="K129" s="58">
        <f t="shared" ca="1" si="246"/>
        <v>0.95122035393040738</v>
      </c>
      <c r="L129" s="58">
        <f t="shared" ca="1" si="230"/>
        <v>2.6829473953596508</v>
      </c>
      <c r="M129" s="58">
        <f t="shared" ca="1" si="231"/>
        <v>0.8884274531085431</v>
      </c>
      <c r="N129" s="58">
        <f t="shared" ca="1" si="232"/>
        <v>0.26327454246393728</v>
      </c>
      <c r="O129" s="55"/>
      <c r="P129" s="175">
        <f ca="1">IFERROR(($AW129+AV129)/SUMPRODUCT($CA129:$DI129,'General Inputs'!$F$51:$AN$51),"n/a")</f>
        <v>4.8786519917775953E-2</v>
      </c>
      <c r="Q129" s="175">
        <f t="shared" ca="1" si="309"/>
        <v>0.46991998421977965</v>
      </c>
      <c r="R129" s="56">
        <f t="shared" ca="1" si="310"/>
        <v>172.36977085468371</v>
      </c>
      <c r="S129" s="55"/>
      <c r="T129" s="56">
        <f ca="1">INDEX(OFFSET('Measure Inputs'!$L$7,,,InputRows),$C129)</f>
        <v>20</v>
      </c>
      <c r="U129" s="134">
        <f ca="1">INDEX(OFFSET('Measure Inputs'!$T$7,,,InputRows),$C129)</f>
        <v>1</v>
      </c>
      <c r="V129" s="134">
        <f ca="1">INDEX(OFFSET('Measure Inputs'!$U$7,,,InputRows),$C129)</f>
        <v>1</v>
      </c>
      <c r="W129" s="55"/>
      <c r="X129" s="96">
        <f ca="1">INDEX(OFFSET('Measure Inputs'!$V$7,,,InputRows),$C129)*$T129*$V129*$U129</f>
        <v>9576.0983808157616</v>
      </c>
      <c r="Y129" s="96">
        <f ca="1">INDEX(OFFSET('Measure Inputs'!$W$7,,,InputRows),$C129)*$T129*$V129*$U129</f>
        <v>5.8643503635435215</v>
      </c>
      <c r="Z129" s="96">
        <f ca="1">INDEX(OFFSET('Measure Inputs'!$X$7,,,InputRows),$C129)*$T129*$V129*$U129</f>
        <v>0</v>
      </c>
      <c r="AA129" s="55"/>
      <c r="AB129" s="96">
        <f ca="1">INDEX(OFFSET('Measure Inputs'!$Z$7,,,InputRows),$C129)*$T129*$V129*$U129</f>
        <v>0</v>
      </c>
      <c r="AC129" s="96">
        <f ca="1">INDEX(OFFSET('Measure Inputs'!$AA$7,,,InputRows),$C129)*$T129*$V129*$U129</f>
        <v>0</v>
      </c>
      <c r="AD129" s="96">
        <f ca="1">INDEX(OFFSET('Measure Inputs'!$AB$7,,,InputRows),$C129)*$T129*$V129*$U129</f>
        <v>0</v>
      </c>
      <c r="AE129" s="55"/>
      <c r="AF129" s="57">
        <f ca="1">INDEX(OFFSET('Measure Inputs'!$Q$7,,,InputRows),$C129)*$T129</f>
        <v>0</v>
      </c>
      <c r="AG129" s="57">
        <f ca="1">INDEX(OFFSET('Measure Inputs'!$P$7,,,InputRows),$C129)*$T129*$V129</f>
        <v>6060</v>
      </c>
      <c r="AH129" s="57">
        <f ca="1">INDEX(OFFSET('Measure Inputs'!$R$7,,,InputRows),$C129)*$T129*$V129</f>
        <v>0</v>
      </c>
      <c r="AI129" s="57">
        <f ca="1">INDEX(OFFSET('Measure Inputs'!$O$7,,,InputRows),$C129)*$T129</f>
        <v>4500</v>
      </c>
      <c r="AJ129" s="57">
        <f ca="1">INDEX(OFFSET('Measure Inputs'!$S$7,,,InputRows),$C129)*$T129</f>
        <v>0</v>
      </c>
      <c r="AK129" s="63">
        <f ca="1">INDEX(OFFSET('Measure Inputs'!$M$7,,,InputRows),$C129)</f>
        <v>18</v>
      </c>
      <c r="AL129" s="88">
        <f ca="1">INDEX(OFFSET('Measure Inputs'!$N$7,,,InputRows),$C129)</f>
        <v>0</v>
      </c>
      <c r="AM129" s="57">
        <f ca="1">SUMIFS(OFFSET('Program Inputs'!$N$5,,,TotalPrograms),OFFSET('Program Inputs'!$B$5,,,TotalPrograms),SUBSTITUTE($B129,"All","*"))+AF129</f>
        <v>0</v>
      </c>
      <c r="AN129" s="57">
        <f t="shared" ca="1" si="311"/>
        <v>4500</v>
      </c>
      <c r="AO129" s="55"/>
      <c r="AP129" s="59">
        <f t="shared" ca="1" si="312"/>
        <v>3932.8294677387294</v>
      </c>
      <c r="AQ129" s="59">
        <f t="shared" ca="1" si="313"/>
        <v>5567.8059536934952</v>
      </c>
      <c r="AR129" s="59">
        <f ca="1">SUMPRODUCT($CA129:$DI129,'General Inputs'!$F$32:$AN$32,'General Inputs'!$F$51:$AN$51)/(1-Loss_ElectricEnergy)</f>
        <v>2730.2239820073692</v>
      </c>
      <c r="AS129" s="59">
        <f ca="1">SUMPRODUCT($DK129:$ES129,'General Inputs'!$F$33:$AN$33,'General Inputs'!$F$51:$AN$51)/(1-Loss_ElectricDemand)</f>
        <v>1202.60548573136</v>
      </c>
      <c r="AT129" s="59">
        <f ca="1">SUMPRODUCT($EU129:$GC129,'General Inputs'!$F$34:$AN$34,'General Inputs'!$F$51:$AN$51)/(1-Loss_GasEnergy)</f>
        <v>0</v>
      </c>
      <c r="AU129" s="59">
        <f ca="1">INDEX('General Inputs'!$F$51:$AN$51,MATCH($H129,'General Inputs'!$F$50:$AN$50,0))*$AJ129</f>
        <v>0</v>
      </c>
      <c r="AV129" s="59">
        <f ca="1">INDEX('General Inputs'!$F$51:$AN$51,MATCH($H129,'General Inputs'!$F$50:$AN$50,0))*$AI129</f>
        <v>4134.5093715545754</v>
      </c>
      <c r="AW129" s="59">
        <f ca="1">INDEX('General Inputs'!$F$51:$AN$51,MATCH($H129,'General Inputs'!$F$50:$AN$50,0))*$AM129</f>
        <v>0</v>
      </c>
      <c r="AX129" s="59">
        <f ca="1">SUM(INDEX('General Inputs'!$F$51:$AN$51,MATCH($H129,'General Inputs'!$F$50:$AN$50,0))*$AG129,INDEX('General Inputs'!$F$51:$AN$51,MATCH($H129+$AL129,'General Inputs'!$F$50:$AN$50,0))*-$AH129)</f>
        <v>5567.8059536934952</v>
      </c>
      <c r="AY129" s="55"/>
      <c r="AZ129" s="59">
        <f ca="1">SUMPRODUCT($CA129:$DI129,'General Inputs'!$F$32:$AN$32,'General Inputs'!$F$52:$AN$52)/(1-Loss_ElectricEnergy)</f>
        <v>2730.2239820073692</v>
      </c>
      <c r="BA129" s="59">
        <f ca="1">SUMPRODUCT($DK129:$ES129,'General Inputs'!$F$33:$AN$33,'General Inputs'!$F$52:$AN$52)/(1-Loss_ElectricDemand)</f>
        <v>1202.60548573136</v>
      </c>
      <c r="BB129" s="59">
        <f ca="1">SUMPRODUCT($EU129:$GC129,'General Inputs'!$F$34:$AN$34,'General Inputs'!$F$52:$AN$52)/(1-Loss_GasEnergy)</f>
        <v>0</v>
      </c>
      <c r="BC129" s="59">
        <f ca="1">INDEX('General Inputs'!$F$52:$AN$52,MATCH($H129,'General Inputs'!$F$50:$AN$50,0))*$AI129</f>
        <v>4134.5093715545754</v>
      </c>
      <c r="BD129" s="59">
        <f ca="1">INDEX('General Inputs'!$F$52:$AN$52,MATCH($H129,'General Inputs'!$F$50:$AN$50,0))*$AM129</f>
        <v>0</v>
      </c>
      <c r="BE129" s="55"/>
      <c r="BF129" s="59">
        <f ca="1">SUMPRODUCT($CA129:$DI129,OFFSET('General Inputs'!$F$40:$AN$40,MATCH($D129&amp;" Electric ($/kWh)",'General Inputs'!$E$40:$E$46,0),),'General Inputs'!$F$54:$AN$54)</f>
        <v>10803.621109775344</v>
      </c>
      <c r="BG129" s="59">
        <f ca="1">SUMPRODUCT($EU129:$GC129,OFFSET('General Inputs'!$F$40:$AN$40,MATCH($D129&amp;" Natural Gas ($/therm)",'General Inputs'!$E$40:$E$46,0),),'General Inputs'!$F$54:$AN$54)</f>
        <v>0</v>
      </c>
      <c r="BH129" s="59">
        <f ca="1">INDEX('General Inputs'!$F$54:$AN$54,MATCH($H129,'General Inputs'!$F$50:$AN$50,0))*$AI129</f>
        <v>4134.5093715545754</v>
      </c>
      <c r="BI129" s="59">
        <f ca="1">SUM(INDEX('General Inputs'!$F$54:$AN$54,MATCH($H129,'General Inputs'!$F$50:$AN$50,0))*$AG129,INDEX('General Inputs'!$F$51:$AN$51,MATCH($H129+$AL129,'General Inputs'!$F$50:$AN$50,0))*-$AH129)</f>
        <v>5567.8059536934952</v>
      </c>
      <c r="BJ129" s="55"/>
      <c r="BK129" s="59">
        <f ca="1">SUMPRODUCT($CA129:$DI129,'General Inputs'!$F$32:$AN$32,'General Inputs'!$F$53:$AN$53)/(1-Loss_ElectricEnergy)</f>
        <v>2730.2239820073692</v>
      </c>
      <c r="BL129" s="59">
        <f ca="1">SUMPRODUCT($DK129:$ES129,'General Inputs'!$F$33:$AN$33,'General Inputs'!$F$53:$AN$53)/(1-Loss_ElectricDemand)</f>
        <v>1202.60548573136</v>
      </c>
      <c r="BM129" s="59">
        <f ca="1">SUMPRODUCT($EU129:$GC129,'General Inputs'!$F$34:$AN$34,'General Inputs'!$F$53:$AN$53)/(1-Loss_GasEnergy)</f>
        <v>0</v>
      </c>
      <c r="BN129" s="59">
        <f ca="1">INDEX('General Inputs'!$F$53:$AN$53,MATCH($H129,'General Inputs'!$F$50:$AN$50,0))*$AJ129</f>
        <v>0</v>
      </c>
      <c r="BO129" s="59">
        <f ca="1">SUMPRODUCT($CA129:$DI129,'General Inputs'!$F$35:$AN$35,'General Inputs'!$F$53:$AN$53)/(1-Loss_ElectricEnergy)</f>
        <v>1013.7621951037652</v>
      </c>
      <c r="BP129" s="59">
        <f ca="1">INDEX('General Inputs'!$F$51:$AN$51,MATCH($H129,'General Inputs'!$F$50:$AN$50,0))*$AM129</f>
        <v>0</v>
      </c>
      <c r="BQ129" s="59">
        <f ca="1">SUM(INDEX('General Inputs'!$F$53:$AN$53,MATCH($H129,'General Inputs'!$F$50:$AN$50,0))*$AG129,INDEX('General Inputs'!$F$53:$AN$53,MATCH($H129+$AL129,'General Inputs'!$F$50:$AN$50,0))*-$AH129)</f>
        <v>5567.8059536934952</v>
      </c>
      <c r="BR129" s="55"/>
      <c r="BS129" s="59">
        <f ca="1">SUMPRODUCT($CA129:$DI129,'General Inputs'!$F$32:$AN$32,'General Inputs'!$F$55:$AN$55)/(1-Loss_ElectricEnergy)</f>
        <v>2730.2239820073692</v>
      </c>
      <c r="BT129" s="59">
        <f ca="1">SUMPRODUCT($DK129:$ES129,'General Inputs'!$F$33:$AN$33,'General Inputs'!$F$55:$AN$55)/(1-Loss_ElectricDemand)</f>
        <v>1202.60548573136</v>
      </c>
      <c r="BU129" s="59">
        <f ca="1">SUMPRODUCT($EU129:$GC129,'General Inputs'!$F$34:$AN$34,'General Inputs'!$F$55:$AN$55)/(1-Loss_GasEnergy)</f>
        <v>0</v>
      </c>
      <c r="BV129" s="59">
        <f ca="1">SUMPRODUCT($CA129:$DI129,OFFSET('General Inputs'!$F$40:$AN$40,MATCH($D129&amp;" Electric ($/kWh)",'General Inputs'!$E$40:$E$46,0),),'General Inputs'!$F$55:$AN$55)</f>
        <v>10803.621109775344</v>
      </c>
      <c r="BW129" s="59">
        <f ca="1">SUMPRODUCT($EU129:$GC129,OFFSET('General Inputs'!$F$40:$AN$40,MATCH($D129&amp;" Natural Gas ($/therm)",'General Inputs'!$E$40:$E$46,0),),'General Inputs'!$F$55:$AN$55)</f>
        <v>0</v>
      </c>
      <c r="BX129" s="59">
        <f ca="1">INDEX('General Inputs'!$F$55:$AN$55,MATCH($H129,'General Inputs'!$F$50:$AN$50,0))*$AI129</f>
        <v>4134.5093715545754</v>
      </c>
      <c r="BY129" s="59">
        <f ca="1">INDEX('General Inputs'!$F$51:$AN$51,MATCH($H129,'General Inputs'!$F$50:$AN$50,0))*$AM129</f>
        <v>0</v>
      </c>
      <c r="BZ129" s="55"/>
      <c r="CA129" s="88">
        <f t="shared" ca="1" si="332"/>
        <v>0</v>
      </c>
      <c r="CB129" s="88">
        <f t="shared" ca="1" si="332"/>
        <v>9576.0983808157616</v>
      </c>
      <c r="CC129" s="88">
        <f t="shared" ca="1" si="332"/>
        <v>9576.0983808157616</v>
      </c>
      <c r="CD129" s="88">
        <f t="shared" ca="1" si="332"/>
        <v>9576.0983808157616</v>
      </c>
      <c r="CE129" s="88">
        <f t="shared" ca="1" si="332"/>
        <v>9576.0983808157616</v>
      </c>
      <c r="CF129" s="88">
        <f t="shared" ca="1" si="332"/>
        <v>9576.0983808157616</v>
      </c>
      <c r="CG129" s="88">
        <f t="shared" ca="1" si="332"/>
        <v>9576.0983808157616</v>
      </c>
      <c r="CH129" s="88">
        <f t="shared" ca="1" si="332"/>
        <v>9576.0983808157616</v>
      </c>
      <c r="CI129" s="88">
        <f t="shared" ca="1" si="332"/>
        <v>9576.0983808157616</v>
      </c>
      <c r="CJ129" s="88">
        <f t="shared" ca="1" si="332"/>
        <v>9576.0983808157616</v>
      </c>
      <c r="CK129" s="88">
        <f t="shared" ca="1" si="333"/>
        <v>9576.0983808157616</v>
      </c>
      <c r="CL129" s="88">
        <f t="shared" ca="1" si="333"/>
        <v>9576.0983808157616</v>
      </c>
      <c r="CM129" s="88">
        <f t="shared" ca="1" si="333"/>
        <v>9576.0983808157616</v>
      </c>
      <c r="CN129" s="88">
        <f t="shared" ca="1" si="333"/>
        <v>9576.0983808157616</v>
      </c>
      <c r="CO129" s="88">
        <f t="shared" ca="1" si="333"/>
        <v>9576.0983808157616</v>
      </c>
      <c r="CP129" s="88">
        <f t="shared" ca="1" si="333"/>
        <v>9576.0983808157616</v>
      </c>
      <c r="CQ129" s="88">
        <f t="shared" ca="1" si="333"/>
        <v>9576.0983808157616</v>
      </c>
      <c r="CR129" s="88">
        <f t="shared" ca="1" si="333"/>
        <v>9576.0983808157616</v>
      </c>
      <c r="CS129" s="88">
        <f t="shared" ca="1" si="333"/>
        <v>9576.0983808157616</v>
      </c>
      <c r="CT129" s="88">
        <f t="shared" ca="1" si="333"/>
        <v>0</v>
      </c>
      <c r="CU129" s="88">
        <f t="shared" ca="1" si="334"/>
        <v>0</v>
      </c>
      <c r="CV129" s="88">
        <f t="shared" ca="1" si="334"/>
        <v>0</v>
      </c>
      <c r="CW129" s="88">
        <f t="shared" ca="1" si="334"/>
        <v>0</v>
      </c>
      <c r="CX129" s="88">
        <f t="shared" ca="1" si="334"/>
        <v>0</v>
      </c>
      <c r="CY129" s="88">
        <f t="shared" ca="1" si="334"/>
        <v>0</v>
      </c>
      <c r="CZ129" s="88">
        <f t="shared" ca="1" si="334"/>
        <v>0</v>
      </c>
      <c r="DA129" s="88">
        <f t="shared" ca="1" si="334"/>
        <v>0</v>
      </c>
      <c r="DB129" s="88">
        <f t="shared" ca="1" si="334"/>
        <v>0</v>
      </c>
      <c r="DC129" s="88">
        <f t="shared" ca="1" si="334"/>
        <v>0</v>
      </c>
      <c r="DD129" s="88">
        <f t="shared" ca="1" si="334"/>
        <v>0</v>
      </c>
      <c r="DE129" s="88">
        <f t="shared" ca="1" si="334"/>
        <v>0</v>
      </c>
      <c r="DF129" s="88">
        <f t="shared" ca="1" si="334"/>
        <v>0</v>
      </c>
      <c r="DG129" s="88">
        <f t="shared" ca="1" si="334"/>
        <v>0</v>
      </c>
      <c r="DH129" s="88">
        <f t="shared" ca="1" si="334"/>
        <v>0</v>
      </c>
      <c r="DI129" s="88">
        <f t="shared" ca="1" si="334"/>
        <v>0</v>
      </c>
      <c r="DJ129" s="169"/>
      <c r="DK129" s="88">
        <f t="shared" ca="1" si="335"/>
        <v>0</v>
      </c>
      <c r="DL129" s="88">
        <f t="shared" ca="1" si="335"/>
        <v>5.8643503635435215</v>
      </c>
      <c r="DM129" s="88">
        <f t="shared" ca="1" si="335"/>
        <v>5.8643503635435215</v>
      </c>
      <c r="DN129" s="88">
        <f t="shared" ca="1" si="335"/>
        <v>5.8643503635435215</v>
      </c>
      <c r="DO129" s="88">
        <f t="shared" ca="1" si="335"/>
        <v>5.8643503635435215</v>
      </c>
      <c r="DP129" s="88">
        <f t="shared" ca="1" si="335"/>
        <v>5.8643503635435215</v>
      </c>
      <c r="DQ129" s="88">
        <f t="shared" ca="1" si="335"/>
        <v>5.8643503635435215</v>
      </c>
      <c r="DR129" s="88">
        <f t="shared" ca="1" si="335"/>
        <v>5.8643503635435215</v>
      </c>
      <c r="DS129" s="88">
        <f t="shared" ca="1" si="335"/>
        <v>5.8643503635435215</v>
      </c>
      <c r="DT129" s="88">
        <f t="shared" ca="1" si="335"/>
        <v>5.8643503635435215</v>
      </c>
      <c r="DU129" s="88">
        <f t="shared" ca="1" si="336"/>
        <v>5.8643503635435215</v>
      </c>
      <c r="DV129" s="88">
        <f t="shared" ca="1" si="336"/>
        <v>5.8643503635435215</v>
      </c>
      <c r="DW129" s="88">
        <f t="shared" ca="1" si="336"/>
        <v>5.8643503635435215</v>
      </c>
      <c r="DX129" s="88">
        <f t="shared" ca="1" si="336"/>
        <v>5.8643503635435215</v>
      </c>
      <c r="DY129" s="88">
        <f t="shared" ca="1" si="336"/>
        <v>5.8643503635435215</v>
      </c>
      <c r="DZ129" s="88">
        <f t="shared" ca="1" si="336"/>
        <v>5.8643503635435215</v>
      </c>
      <c r="EA129" s="88">
        <f t="shared" ca="1" si="336"/>
        <v>5.8643503635435215</v>
      </c>
      <c r="EB129" s="88">
        <f t="shared" ca="1" si="336"/>
        <v>5.8643503635435215</v>
      </c>
      <c r="EC129" s="88">
        <f t="shared" ca="1" si="336"/>
        <v>5.8643503635435215</v>
      </c>
      <c r="ED129" s="88">
        <f t="shared" ca="1" si="336"/>
        <v>0</v>
      </c>
      <c r="EE129" s="88">
        <f t="shared" ca="1" si="337"/>
        <v>0</v>
      </c>
      <c r="EF129" s="88">
        <f t="shared" ca="1" si="337"/>
        <v>0</v>
      </c>
      <c r="EG129" s="88">
        <f t="shared" ca="1" si="337"/>
        <v>0</v>
      </c>
      <c r="EH129" s="88">
        <f t="shared" ca="1" si="337"/>
        <v>0</v>
      </c>
      <c r="EI129" s="88">
        <f t="shared" ca="1" si="337"/>
        <v>0</v>
      </c>
      <c r="EJ129" s="88">
        <f t="shared" ca="1" si="337"/>
        <v>0</v>
      </c>
      <c r="EK129" s="88">
        <f t="shared" ca="1" si="337"/>
        <v>0</v>
      </c>
      <c r="EL129" s="88">
        <f t="shared" ca="1" si="337"/>
        <v>0</v>
      </c>
      <c r="EM129" s="88">
        <f t="shared" ca="1" si="337"/>
        <v>0</v>
      </c>
      <c r="EN129" s="88">
        <f t="shared" ca="1" si="337"/>
        <v>0</v>
      </c>
      <c r="EO129" s="88">
        <f t="shared" ca="1" si="337"/>
        <v>0</v>
      </c>
      <c r="EP129" s="88">
        <f t="shared" ca="1" si="337"/>
        <v>0</v>
      </c>
      <c r="EQ129" s="88">
        <f t="shared" ca="1" si="337"/>
        <v>0</v>
      </c>
      <c r="ER129" s="88">
        <f t="shared" ca="1" si="337"/>
        <v>0</v>
      </c>
      <c r="ES129" s="88">
        <f t="shared" ca="1" si="337"/>
        <v>0</v>
      </c>
      <c r="ET129" s="169"/>
      <c r="EU129" s="88">
        <f t="shared" ca="1" si="338"/>
        <v>0</v>
      </c>
      <c r="EV129" s="88">
        <f t="shared" ca="1" si="338"/>
        <v>0</v>
      </c>
      <c r="EW129" s="88">
        <f t="shared" ca="1" si="338"/>
        <v>0</v>
      </c>
      <c r="EX129" s="88">
        <f t="shared" ca="1" si="338"/>
        <v>0</v>
      </c>
      <c r="EY129" s="88">
        <f t="shared" ca="1" si="338"/>
        <v>0</v>
      </c>
      <c r="EZ129" s="88">
        <f t="shared" ca="1" si="338"/>
        <v>0</v>
      </c>
      <c r="FA129" s="88">
        <f t="shared" ca="1" si="338"/>
        <v>0</v>
      </c>
      <c r="FB129" s="88">
        <f t="shared" ca="1" si="338"/>
        <v>0</v>
      </c>
      <c r="FC129" s="88">
        <f t="shared" ca="1" si="338"/>
        <v>0</v>
      </c>
      <c r="FD129" s="88">
        <f t="shared" ca="1" si="338"/>
        <v>0</v>
      </c>
      <c r="FE129" s="88">
        <f t="shared" ca="1" si="339"/>
        <v>0</v>
      </c>
      <c r="FF129" s="88">
        <f t="shared" ca="1" si="339"/>
        <v>0</v>
      </c>
      <c r="FG129" s="88">
        <f t="shared" ca="1" si="339"/>
        <v>0</v>
      </c>
      <c r="FH129" s="88">
        <f t="shared" ca="1" si="339"/>
        <v>0</v>
      </c>
      <c r="FI129" s="88">
        <f t="shared" ca="1" si="339"/>
        <v>0</v>
      </c>
      <c r="FJ129" s="88">
        <f t="shared" ca="1" si="339"/>
        <v>0</v>
      </c>
      <c r="FK129" s="88">
        <f t="shared" ca="1" si="339"/>
        <v>0</v>
      </c>
      <c r="FL129" s="88">
        <f t="shared" ca="1" si="339"/>
        <v>0</v>
      </c>
      <c r="FM129" s="88">
        <f t="shared" ca="1" si="339"/>
        <v>0</v>
      </c>
      <c r="FN129" s="88">
        <f t="shared" ca="1" si="339"/>
        <v>0</v>
      </c>
      <c r="FO129" s="88">
        <f t="shared" ca="1" si="340"/>
        <v>0</v>
      </c>
      <c r="FP129" s="88">
        <f t="shared" ca="1" si="340"/>
        <v>0</v>
      </c>
      <c r="FQ129" s="88">
        <f t="shared" ca="1" si="340"/>
        <v>0</v>
      </c>
      <c r="FR129" s="88">
        <f t="shared" ca="1" si="340"/>
        <v>0</v>
      </c>
      <c r="FS129" s="88">
        <f t="shared" ca="1" si="340"/>
        <v>0</v>
      </c>
      <c r="FT129" s="88">
        <f t="shared" ca="1" si="340"/>
        <v>0</v>
      </c>
      <c r="FU129" s="88">
        <f t="shared" ca="1" si="340"/>
        <v>0</v>
      </c>
      <c r="FV129" s="88">
        <f t="shared" ca="1" si="340"/>
        <v>0</v>
      </c>
      <c r="FW129" s="88">
        <f t="shared" ca="1" si="340"/>
        <v>0</v>
      </c>
      <c r="FX129" s="88">
        <f t="shared" ca="1" si="340"/>
        <v>0</v>
      </c>
      <c r="FY129" s="88">
        <f t="shared" ca="1" si="340"/>
        <v>0</v>
      </c>
      <c r="FZ129" s="88">
        <f t="shared" ca="1" si="340"/>
        <v>0</v>
      </c>
      <c r="GA129" s="88">
        <f t="shared" ca="1" si="340"/>
        <v>0</v>
      </c>
      <c r="GB129" s="88">
        <f t="shared" ca="1" si="340"/>
        <v>0</v>
      </c>
      <c r="GC129" s="88">
        <f t="shared" ca="1" si="340"/>
        <v>0</v>
      </c>
      <c r="GD129" s="60"/>
    </row>
    <row r="130" spans="1:186" s="54" customFormat="1" ht="14.45" customHeight="1">
      <c r="A130" s="61"/>
      <c r="B130" s="100" t="str">
        <f t="shared" ref="B130:B187" si="345">D130&amp;"_"&amp;E130&amp;"_"&amp;F130&amp;"_"&amp;G130&amp;"_"&amp;H130</f>
        <v>Residential_High Efficiency HVAC_0_Early Retirement Heat Pump SEER ≥15, EER ≥12.5, HSPF ≥8.5_2018</v>
      </c>
      <c r="C130" s="100">
        <f>INDEX('Measure Inputs'!$D:$D,MATCH($B130,'Measure Inputs'!$B:$B,0))</f>
        <v>82</v>
      </c>
      <c r="D130" s="101" t="s">
        <v>2</v>
      </c>
      <c r="E130" s="101" t="s">
        <v>250</v>
      </c>
      <c r="F130" s="101">
        <v>0</v>
      </c>
      <c r="G130" s="101" t="s">
        <v>519</v>
      </c>
      <c r="H130" s="101">
        <v>2018</v>
      </c>
      <c r="I130" s="55"/>
      <c r="J130" s="58" t="str">
        <f t="shared" ca="1" si="229"/>
        <v>n/a</v>
      </c>
      <c r="K130" s="58" t="str">
        <f t="shared" ca="1" si="246"/>
        <v>n/a</v>
      </c>
      <c r="L130" s="58" t="str">
        <f t="shared" ca="1" si="230"/>
        <v>n/a</v>
      </c>
      <c r="M130" s="58" t="str">
        <f t="shared" ca="1" si="231"/>
        <v>n/a</v>
      </c>
      <c r="N130" s="58" t="str">
        <f t="shared" ca="1" si="232"/>
        <v>n/a</v>
      </c>
      <c r="O130" s="55"/>
      <c r="P130" s="175" t="str">
        <f ca="1">IFERROR(($AW130+AV130)/SUMPRODUCT($CA130:$DI130,'General Inputs'!$F$51:$AN$51),"n/a")</f>
        <v>n/a</v>
      </c>
      <c r="Q130" s="175" t="str">
        <f t="shared" ca="1" si="309"/>
        <v>n/a</v>
      </c>
      <c r="R130" s="56">
        <f t="shared" ca="1" si="310"/>
        <v>0</v>
      </c>
      <c r="S130" s="55"/>
      <c r="T130" s="56">
        <f ca="1">INDEX(OFFSET('Measure Inputs'!$L$7,,,InputRows),$C130)</f>
        <v>0</v>
      </c>
      <c r="U130" s="134">
        <f ca="1">INDEX(OFFSET('Measure Inputs'!$T$7,,,InputRows),$C130)</f>
        <v>1</v>
      </c>
      <c r="V130" s="134">
        <f ca="1">INDEX(OFFSET('Measure Inputs'!$U$7,,,InputRows),$C130)</f>
        <v>1</v>
      </c>
      <c r="W130" s="55"/>
      <c r="X130" s="96">
        <f ca="1">INDEX(OFFSET('Measure Inputs'!$V$7,,,InputRows),$C130)*$T130*$V130*$U130</f>
        <v>0</v>
      </c>
      <c r="Y130" s="96">
        <f ca="1">INDEX(OFFSET('Measure Inputs'!$W$7,,,InputRows),$C130)*$T130*$V130*$U130</f>
        <v>0</v>
      </c>
      <c r="Z130" s="96">
        <f ca="1">INDEX(OFFSET('Measure Inputs'!$X$7,,,InputRows),$C130)*$T130*$V130*$U130</f>
        <v>0</v>
      </c>
      <c r="AA130" s="55"/>
      <c r="AB130" s="96">
        <f ca="1">INDEX(OFFSET('Measure Inputs'!$Z$7,,,InputRows),$C130)*$T130*$V130*$U130</f>
        <v>0</v>
      </c>
      <c r="AC130" s="96">
        <f ca="1">INDEX(OFFSET('Measure Inputs'!$AA$7,,,InputRows),$C130)*$T130*$V130*$U130</f>
        <v>0</v>
      </c>
      <c r="AD130" s="96">
        <f ca="1">INDEX(OFFSET('Measure Inputs'!$AB$7,,,InputRows),$C130)*$T130*$V130*$U130</f>
        <v>0</v>
      </c>
      <c r="AE130" s="55"/>
      <c r="AF130" s="57">
        <f ca="1">INDEX(OFFSET('Measure Inputs'!$Q$7,,,InputRows),$C130)*$T130</f>
        <v>0</v>
      </c>
      <c r="AG130" s="57">
        <f ca="1">INDEX(OFFSET('Measure Inputs'!$P$7,,,InputRows),$C130)*$T130*$V130</f>
        <v>0</v>
      </c>
      <c r="AH130" s="57">
        <f ca="1">INDEX(OFFSET('Measure Inputs'!$R$7,,,InputRows),$C130)*$T130*$V130</f>
        <v>0</v>
      </c>
      <c r="AI130" s="57">
        <f ca="1">INDEX(OFFSET('Measure Inputs'!$O$7,,,InputRows),$C130)*$T130</f>
        <v>0</v>
      </c>
      <c r="AJ130" s="57">
        <f ca="1">INDEX(OFFSET('Measure Inputs'!$S$7,,,InputRows),$C130)*$T130</f>
        <v>0</v>
      </c>
      <c r="AK130" s="63">
        <f ca="1">INDEX(OFFSET('Measure Inputs'!$M$7,,,InputRows),$C130)</f>
        <v>18</v>
      </c>
      <c r="AL130" s="88">
        <f ca="1">INDEX(OFFSET('Measure Inputs'!$N$7,,,InputRows),$C130)</f>
        <v>6</v>
      </c>
      <c r="AM130" s="57">
        <f ca="1">SUMIFS(OFFSET('Program Inputs'!$N$5,,,TotalPrograms),OFFSET('Program Inputs'!$B$5,,,TotalPrograms),SUBSTITUTE($B130,"All","*"))+AF130</f>
        <v>0</v>
      </c>
      <c r="AN130" s="57">
        <f t="shared" ca="1" si="311"/>
        <v>0</v>
      </c>
      <c r="AO130" s="55"/>
      <c r="AP130" s="59">
        <f t="shared" ca="1" si="312"/>
        <v>0</v>
      </c>
      <c r="AQ130" s="59">
        <f t="shared" ca="1" si="313"/>
        <v>0</v>
      </c>
      <c r="AR130" s="59">
        <f ca="1">SUMPRODUCT($CA130:$DI130,'General Inputs'!$F$32:$AN$32,'General Inputs'!$F$51:$AN$51)/(1-Loss_ElectricEnergy)</f>
        <v>0</v>
      </c>
      <c r="AS130" s="59">
        <f ca="1">SUMPRODUCT($DK130:$ES130,'General Inputs'!$F$33:$AN$33,'General Inputs'!$F$51:$AN$51)/(1-Loss_ElectricDemand)</f>
        <v>0</v>
      </c>
      <c r="AT130" s="59">
        <f ca="1">SUMPRODUCT($EU130:$GC130,'General Inputs'!$F$34:$AN$34,'General Inputs'!$F$51:$AN$51)/(1-Loss_GasEnergy)</f>
        <v>0</v>
      </c>
      <c r="AU130" s="59">
        <f ca="1">INDEX('General Inputs'!$F$51:$AN$51,MATCH($H130,'General Inputs'!$F$50:$AN$50,0))*$AJ130</f>
        <v>0</v>
      </c>
      <c r="AV130" s="59">
        <f ca="1">INDEX('General Inputs'!$F$51:$AN$51,MATCH($H130,'General Inputs'!$F$50:$AN$50,0))*$AI130</f>
        <v>0</v>
      </c>
      <c r="AW130" s="59">
        <f ca="1">INDEX('General Inputs'!$F$51:$AN$51,MATCH($H130,'General Inputs'!$F$50:$AN$50,0))*$AM130</f>
        <v>0</v>
      </c>
      <c r="AX130" s="59">
        <f ca="1">SUM(INDEX('General Inputs'!$F$51:$AN$51,MATCH($H130,'General Inputs'!$F$50:$AN$50,0))*$AG130,INDEX('General Inputs'!$F$51:$AN$51,MATCH($H130+$AL130,'General Inputs'!$F$50:$AN$50,0))*-$AH130)</f>
        <v>0</v>
      </c>
      <c r="AY130" s="55"/>
      <c r="AZ130" s="59">
        <f ca="1">SUMPRODUCT($CA130:$DI130,'General Inputs'!$F$32:$AN$32,'General Inputs'!$F$52:$AN$52)/(1-Loss_ElectricEnergy)</f>
        <v>0</v>
      </c>
      <c r="BA130" s="59">
        <f ca="1">SUMPRODUCT($DK130:$ES130,'General Inputs'!$F$33:$AN$33,'General Inputs'!$F$52:$AN$52)/(1-Loss_ElectricDemand)</f>
        <v>0</v>
      </c>
      <c r="BB130" s="59">
        <f ca="1">SUMPRODUCT($EU130:$GC130,'General Inputs'!$F$34:$AN$34,'General Inputs'!$F$52:$AN$52)/(1-Loss_GasEnergy)</f>
        <v>0</v>
      </c>
      <c r="BC130" s="59">
        <f ca="1">INDEX('General Inputs'!$F$52:$AN$52,MATCH($H130,'General Inputs'!$F$50:$AN$50,0))*$AI130</f>
        <v>0</v>
      </c>
      <c r="BD130" s="59">
        <f ca="1">INDEX('General Inputs'!$F$52:$AN$52,MATCH($H130,'General Inputs'!$F$50:$AN$50,0))*$AM130</f>
        <v>0</v>
      </c>
      <c r="BE130" s="55"/>
      <c r="BF130" s="59">
        <f ca="1">SUMPRODUCT($CA130:$DI130,OFFSET('General Inputs'!$F$40:$AN$40,MATCH($D130&amp;" Electric ($/kWh)",'General Inputs'!$E$40:$E$46,0),),'General Inputs'!$F$54:$AN$54)</f>
        <v>0</v>
      </c>
      <c r="BG130" s="59">
        <f ca="1">SUMPRODUCT($EU130:$GC130,OFFSET('General Inputs'!$F$40:$AN$40,MATCH($D130&amp;" Natural Gas ($/therm)",'General Inputs'!$E$40:$E$46,0),),'General Inputs'!$F$54:$AN$54)</f>
        <v>0</v>
      </c>
      <c r="BH130" s="59">
        <f ca="1">INDEX('General Inputs'!$F$54:$AN$54,MATCH($H130,'General Inputs'!$F$50:$AN$50,0))*$AI130</f>
        <v>0</v>
      </c>
      <c r="BI130" s="59">
        <f ca="1">SUM(INDEX('General Inputs'!$F$54:$AN$54,MATCH($H130,'General Inputs'!$F$50:$AN$50,0))*$AG130,INDEX('General Inputs'!$F$51:$AN$51,MATCH($H130+$AL130,'General Inputs'!$F$50:$AN$50,0))*-$AH130)</f>
        <v>0</v>
      </c>
      <c r="BJ130" s="55"/>
      <c r="BK130" s="59">
        <f ca="1">SUMPRODUCT($CA130:$DI130,'General Inputs'!$F$32:$AN$32,'General Inputs'!$F$53:$AN$53)/(1-Loss_ElectricEnergy)</f>
        <v>0</v>
      </c>
      <c r="BL130" s="59">
        <f ca="1">SUMPRODUCT($DK130:$ES130,'General Inputs'!$F$33:$AN$33,'General Inputs'!$F$53:$AN$53)/(1-Loss_ElectricDemand)</f>
        <v>0</v>
      </c>
      <c r="BM130" s="59">
        <f ca="1">SUMPRODUCT($EU130:$GC130,'General Inputs'!$F$34:$AN$34,'General Inputs'!$F$53:$AN$53)/(1-Loss_GasEnergy)</f>
        <v>0</v>
      </c>
      <c r="BN130" s="59">
        <f ca="1">INDEX('General Inputs'!$F$53:$AN$53,MATCH($H130,'General Inputs'!$F$50:$AN$50,0))*$AJ130</f>
        <v>0</v>
      </c>
      <c r="BO130" s="59">
        <f ca="1">SUMPRODUCT($CA130:$DI130,'General Inputs'!$F$35:$AN$35,'General Inputs'!$F$53:$AN$53)/(1-Loss_ElectricEnergy)</f>
        <v>0</v>
      </c>
      <c r="BP130" s="59">
        <f ca="1">INDEX('General Inputs'!$F$51:$AN$51,MATCH($H130,'General Inputs'!$F$50:$AN$50,0))*$AM130</f>
        <v>0</v>
      </c>
      <c r="BQ130" s="59">
        <f ca="1">SUM(INDEX('General Inputs'!$F$53:$AN$53,MATCH($H130,'General Inputs'!$F$50:$AN$50,0))*$AG130,INDEX('General Inputs'!$F$53:$AN$53,MATCH($H130+$AL130,'General Inputs'!$F$50:$AN$50,0))*-$AH130)</f>
        <v>0</v>
      </c>
      <c r="BR130" s="55"/>
      <c r="BS130" s="59">
        <f ca="1">SUMPRODUCT($CA130:$DI130,'General Inputs'!$F$32:$AN$32,'General Inputs'!$F$55:$AN$55)/(1-Loss_ElectricEnergy)</f>
        <v>0</v>
      </c>
      <c r="BT130" s="59">
        <f ca="1">SUMPRODUCT($DK130:$ES130,'General Inputs'!$F$33:$AN$33,'General Inputs'!$F$55:$AN$55)/(1-Loss_ElectricDemand)</f>
        <v>0</v>
      </c>
      <c r="BU130" s="59">
        <f ca="1">SUMPRODUCT($EU130:$GC130,'General Inputs'!$F$34:$AN$34,'General Inputs'!$F$55:$AN$55)/(1-Loss_GasEnergy)</f>
        <v>0</v>
      </c>
      <c r="BV130" s="59">
        <f ca="1">SUMPRODUCT($CA130:$DI130,OFFSET('General Inputs'!$F$40:$AN$40,MATCH($D130&amp;" Electric ($/kWh)",'General Inputs'!$E$40:$E$46,0),),'General Inputs'!$F$55:$AN$55)</f>
        <v>0</v>
      </c>
      <c r="BW130" s="59">
        <f ca="1">SUMPRODUCT($EU130:$GC130,OFFSET('General Inputs'!$F$40:$AN$40,MATCH($D130&amp;" Natural Gas ($/therm)",'General Inputs'!$E$40:$E$46,0),),'General Inputs'!$F$55:$AN$55)</f>
        <v>0</v>
      </c>
      <c r="BX130" s="59">
        <f ca="1">INDEX('General Inputs'!$F$55:$AN$55,MATCH($H130,'General Inputs'!$F$50:$AN$50,0))*$AI130</f>
        <v>0</v>
      </c>
      <c r="BY130" s="59">
        <f ca="1">INDEX('General Inputs'!$F$51:$AN$51,MATCH($H130,'General Inputs'!$F$50:$AN$50,0))*$AM130</f>
        <v>0</v>
      </c>
      <c r="BZ130" s="55"/>
      <c r="CA130" s="88">
        <f t="shared" ca="1" si="332"/>
        <v>0</v>
      </c>
      <c r="CB130" s="88">
        <f t="shared" ca="1" si="332"/>
        <v>0</v>
      </c>
      <c r="CC130" s="88">
        <f t="shared" ca="1" si="332"/>
        <v>0</v>
      </c>
      <c r="CD130" s="88">
        <f t="shared" ca="1" si="332"/>
        <v>0</v>
      </c>
      <c r="CE130" s="88">
        <f t="shared" ca="1" si="332"/>
        <v>0</v>
      </c>
      <c r="CF130" s="88">
        <f t="shared" ca="1" si="332"/>
        <v>0</v>
      </c>
      <c r="CG130" s="88">
        <f t="shared" ca="1" si="332"/>
        <v>0</v>
      </c>
      <c r="CH130" s="88">
        <f t="shared" ca="1" si="332"/>
        <v>0</v>
      </c>
      <c r="CI130" s="88">
        <f t="shared" ca="1" si="332"/>
        <v>0</v>
      </c>
      <c r="CJ130" s="88">
        <f t="shared" ca="1" si="332"/>
        <v>0</v>
      </c>
      <c r="CK130" s="88">
        <f t="shared" ca="1" si="333"/>
        <v>0</v>
      </c>
      <c r="CL130" s="88">
        <f t="shared" ca="1" si="333"/>
        <v>0</v>
      </c>
      <c r="CM130" s="88">
        <f t="shared" ca="1" si="333"/>
        <v>0</v>
      </c>
      <c r="CN130" s="88">
        <f t="shared" ca="1" si="333"/>
        <v>0</v>
      </c>
      <c r="CO130" s="88">
        <f t="shared" ca="1" si="333"/>
        <v>0</v>
      </c>
      <c r="CP130" s="88">
        <f t="shared" ca="1" si="333"/>
        <v>0</v>
      </c>
      <c r="CQ130" s="88">
        <f t="shared" ca="1" si="333"/>
        <v>0</v>
      </c>
      <c r="CR130" s="88">
        <f t="shared" ca="1" si="333"/>
        <v>0</v>
      </c>
      <c r="CS130" s="88">
        <f t="shared" ca="1" si="333"/>
        <v>0</v>
      </c>
      <c r="CT130" s="88">
        <f t="shared" ca="1" si="333"/>
        <v>0</v>
      </c>
      <c r="CU130" s="88">
        <f t="shared" ca="1" si="334"/>
        <v>0</v>
      </c>
      <c r="CV130" s="88">
        <f t="shared" ca="1" si="334"/>
        <v>0</v>
      </c>
      <c r="CW130" s="88">
        <f t="shared" ca="1" si="334"/>
        <v>0</v>
      </c>
      <c r="CX130" s="88">
        <f t="shared" ca="1" si="334"/>
        <v>0</v>
      </c>
      <c r="CY130" s="88">
        <f t="shared" ca="1" si="334"/>
        <v>0</v>
      </c>
      <c r="CZ130" s="88">
        <f t="shared" ca="1" si="334"/>
        <v>0</v>
      </c>
      <c r="DA130" s="88">
        <f t="shared" ca="1" si="334"/>
        <v>0</v>
      </c>
      <c r="DB130" s="88">
        <f t="shared" ca="1" si="334"/>
        <v>0</v>
      </c>
      <c r="DC130" s="88">
        <f t="shared" ca="1" si="334"/>
        <v>0</v>
      </c>
      <c r="DD130" s="88">
        <f t="shared" ca="1" si="334"/>
        <v>0</v>
      </c>
      <c r="DE130" s="88">
        <f t="shared" ca="1" si="334"/>
        <v>0</v>
      </c>
      <c r="DF130" s="88">
        <f t="shared" ca="1" si="334"/>
        <v>0</v>
      </c>
      <c r="DG130" s="88">
        <f t="shared" ca="1" si="334"/>
        <v>0</v>
      </c>
      <c r="DH130" s="88">
        <f t="shared" ca="1" si="334"/>
        <v>0</v>
      </c>
      <c r="DI130" s="88">
        <f t="shared" ca="1" si="334"/>
        <v>0</v>
      </c>
      <c r="DJ130" s="169"/>
      <c r="DK130" s="88">
        <f t="shared" ca="1" si="335"/>
        <v>0</v>
      </c>
      <c r="DL130" s="88">
        <f t="shared" ca="1" si="335"/>
        <v>0</v>
      </c>
      <c r="DM130" s="88">
        <f t="shared" ca="1" si="335"/>
        <v>0</v>
      </c>
      <c r="DN130" s="88">
        <f t="shared" ca="1" si="335"/>
        <v>0</v>
      </c>
      <c r="DO130" s="88">
        <f t="shared" ca="1" si="335"/>
        <v>0</v>
      </c>
      <c r="DP130" s="88">
        <f t="shared" ca="1" si="335"/>
        <v>0</v>
      </c>
      <c r="DQ130" s="88">
        <f t="shared" ca="1" si="335"/>
        <v>0</v>
      </c>
      <c r="DR130" s="88">
        <f t="shared" ca="1" si="335"/>
        <v>0</v>
      </c>
      <c r="DS130" s="88">
        <f t="shared" ca="1" si="335"/>
        <v>0</v>
      </c>
      <c r="DT130" s="88">
        <f t="shared" ca="1" si="335"/>
        <v>0</v>
      </c>
      <c r="DU130" s="88">
        <f t="shared" ca="1" si="336"/>
        <v>0</v>
      </c>
      <c r="DV130" s="88">
        <f t="shared" ca="1" si="336"/>
        <v>0</v>
      </c>
      <c r="DW130" s="88">
        <f t="shared" ca="1" si="336"/>
        <v>0</v>
      </c>
      <c r="DX130" s="88">
        <f t="shared" ca="1" si="336"/>
        <v>0</v>
      </c>
      <c r="DY130" s="88">
        <f t="shared" ca="1" si="336"/>
        <v>0</v>
      </c>
      <c r="DZ130" s="88">
        <f t="shared" ca="1" si="336"/>
        <v>0</v>
      </c>
      <c r="EA130" s="88">
        <f t="shared" ca="1" si="336"/>
        <v>0</v>
      </c>
      <c r="EB130" s="88">
        <f t="shared" ca="1" si="336"/>
        <v>0</v>
      </c>
      <c r="EC130" s="88">
        <f t="shared" ca="1" si="336"/>
        <v>0</v>
      </c>
      <c r="ED130" s="88">
        <f t="shared" ca="1" si="336"/>
        <v>0</v>
      </c>
      <c r="EE130" s="88">
        <f t="shared" ca="1" si="337"/>
        <v>0</v>
      </c>
      <c r="EF130" s="88">
        <f t="shared" ca="1" si="337"/>
        <v>0</v>
      </c>
      <c r="EG130" s="88">
        <f t="shared" ca="1" si="337"/>
        <v>0</v>
      </c>
      <c r="EH130" s="88">
        <f t="shared" ca="1" si="337"/>
        <v>0</v>
      </c>
      <c r="EI130" s="88">
        <f t="shared" ca="1" si="337"/>
        <v>0</v>
      </c>
      <c r="EJ130" s="88">
        <f t="shared" ca="1" si="337"/>
        <v>0</v>
      </c>
      <c r="EK130" s="88">
        <f t="shared" ca="1" si="337"/>
        <v>0</v>
      </c>
      <c r="EL130" s="88">
        <f t="shared" ca="1" si="337"/>
        <v>0</v>
      </c>
      <c r="EM130" s="88">
        <f t="shared" ca="1" si="337"/>
        <v>0</v>
      </c>
      <c r="EN130" s="88">
        <f t="shared" ca="1" si="337"/>
        <v>0</v>
      </c>
      <c r="EO130" s="88">
        <f t="shared" ca="1" si="337"/>
        <v>0</v>
      </c>
      <c r="EP130" s="88">
        <f t="shared" ca="1" si="337"/>
        <v>0</v>
      </c>
      <c r="EQ130" s="88">
        <f t="shared" ca="1" si="337"/>
        <v>0</v>
      </c>
      <c r="ER130" s="88">
        <f t="shared" ca="1" si="337"/>
        <v>0</v>
      </c>
      <c r="ES130" s="88">
        <f t="shared" ca="1" si="337"/>
        <v>0</v>
      </c>
      <c r="ET130" s="169"/>
      <c r="EU130" s="88">
        <f t="shared" ca="1" si="338"/>
        <v>0</v>
      </c>
      <c r="EV130" s="88">
        <f t="shared" ca="1" si="338"/>
        <v>0</v>
      </c>
      <c r="EW130" s="88">
        <f t="shared" ca="1" si="338"/>
        <v>0</v>
      </c>
      <c r="EX130" s="88">
        <f t="shared" ca="1" si="338"/>
        <v>0</v>
      </c>
      <c r="EY130" s="88">
        <f t="shared" ca="1" si="338"/>
        <v>0</v>
      </c>
      <c r="EZ130" s="88">
        <f t="shared" ca="1" si="338"/>
        <v>0</v>
      </c>
      <c r="FA130" s="88">
        <f t="shared" ca="1" si="338"/>
        <v>0</v>
      </c>
      <c r="FB130" s="88">
        <f t="shared" ca="1" si="338"/>
        <v>0</v>
      </c>
      <c r="FC130" s="88">
        <f t="shared" ca="1" si="338"/>
        <v>0</v>
      </c>
      <c r="FD130" s="88">
        <f t="shared" ca="1" si="338"/>
        <v>0</v>
      </c>
      <c r="FE130" s="88">
        <f t="shared" ca="1" si="339"/>
        <v>0</v>
      </c>
      <c r="FF130" s="88">
        <f t="shared" ca="1" si="339"/>
        <v>0</v>
      </c>
      <c r="FG130" s="88">
        <f t="shared" ca="1" si="339"/>
        <v>0</v>
      </c>
      <c r="FH130" s="88">
        <f t="shared" ca="1" si="339"/>
        <v>0</v>
      </c>
      <c r="FI130" s="88">
        <f t="shared" ca="1" si="339"/>
        <v>0</v>
      </c>
      <c r="FJ130" s="88">
        <f t="shared" ca="1" si="339"/>
        <v>0</v>
      </c>
      <c r="FK130" s="88">
        <f t="shared" ca="1" si="339"/>
        <v>0</v>
      </c>
      <c r="FL130" s="88">
        <f t="shared" ca="1" si="339"/>
        <v>0</v>
      </c>
      <c r="FM130" s="88">
        <f t="shared" ca="1" si="339"/>
        <v>0</v>
      </c>
      <c r="FN130" s="88">
        <f t="shared" ca="1" si="339"/>
        <v>0</v>
      </c>
      <c r="FO130" s="88">
        <f t="shared" ca="1" si="340"/>
        <v>0</v>
      </c>
      <c r="FP130" s="88">
        <f t="shared" ca="1" si="340"/>
        <v>0</v>
      </c>
      <c r="FQ130" s="88">
        <f t="shared" ca="1" si="340"/>
        <v>0</v>
      </c>
      <c r="FR130" s="88">
        <f t="shared" ca="1" si="340"/>
        <v>0</v>
      </c>
      <c r="FS130" s="88">
        <f t="shared" ca="1" si="340"/>
        <v>0</v>
      </c>
      <c r="FT130" s="88">
        <f t="shared" ca="1" si="340"/>
        <v>0</v>
      </c>
      <c r="FU130" s="88">
        <f t="shared" ca="1" si="340"/>
        <v>0</v>
      </c>
      <c r="FV130" s="88">
        <f t="shared" ca="1" si="340"/>
        <v>0</v>
      </c>
      <c r="FW130" s="88">
        <f t="shared" ca="1" si="340"/>
        <v>0</v>
      </c>
      <c r="FX130" s="88">
        <f t="shared" ca="1" si="340"/>
        <v>0</v>
      </c>
      <c r="FY130" s="88">
        <f t="shared" ca="1" si="340"/>
        <v>0</v>
      </c>
      <c r="FZ130" s="88">
        <f t="shared" ca="1" si="340"/>
        <v>0</v>
      </c>
      <c r="GA130" s="88">
        <f t="shared" ca="1" si="340"/>
        <v>0</v>
      </c>
      <c r="GB130" s="88">
        <f t="shared" ca="1" si="340"/>
        <v>0</v>
      </c>
      <c r="GC130" s="88">
        <f t="shared" ca="1" si="340"/>
        <v>0</v>
      </c>
      <c r="GD130" s="60"/>
    </row>
    <row r="131" spans="1:186" s="54" customFormat="1" ht="14.45" customHeight="1">
      <c r="A131" s="61"/>
      <c r="B131" s="100" t="str">
        <f t="shared" si="345"/>
        <v>Residential_High Efficiency HVAC_0_Heat Pump SEER ≥15, EER ≥12.5, HSPF ≥8.5 Replace Electric Furnace_2018</v>
      </c>
      <c r="C131" s="100">
        <f>INDEX('Measure Inputs'!$D:$D,MATCH($B131,'Measure Inputs'!$B:$B,0))</f>
        <v>83</v>
      </c>
      <c r="D131" s="101" t="s">
        <v>2</v>
      </c>
      <c r="E131" s="101" t="s">
        <v>250</v>
      </c>
      <c r="F131" s="101">
        <v>0</v>
      </c>
      <c r="G131" s="101" t="s">
        <v>520</v>
      </c>
      <c r="H131" s="101">
        <v>2018</v>
      </c>
      <c r="I131" s="55"/>
      <c r="J131" s="58">
        <f t="shared" ca="1" si="229"/>
        <v>1.4111488075287877</v>
      </c>
      <c r="K131" s="58">
        <f t="shared" ca="1" si="246"/>
        <v>4.2842477796573997</v>
      </c>
      <c r="L131" s="58">
        <f t="shared" ca="1" si="230"/>
        <v>4.6702565583013591</v>
      </c>
      <c r="M131" s="58">
        <f t="shared" ca="1" si="231"/>
        <v>1.8184766589059853</v>
      </c>
      <c r="N131" s="58">
        <f t="shared" ca="1" si="232"/>
        <v>0.30215659245111004</v>
      </c>
      <c r="O131" s="55"/>
      <c r="P131" s="175">
        <f ca="1">IFERROR(($AW131+AV131)/SUMPRODUCT($CA131:$DI131,'General Inputs'!$F$51:$AN$51),"n/a")</f>
        <v>9.6731089008073833E-3</v>
      </c>
      <c r="Q131" s="175">
        <f t="shared" ca="1" si="309"/>
        <v>9.3173015613425128E-2</v>
      </c>
      <c r="R131" s="56">
        <f t="shared" ca="1" si="310"/>
        <v>1738.7008345006038</v>
      </c>
      <c r="S131" s="55"/>
      <c r="T131" s="56">
        <f ca="1">INDEX(OFFSET('Measure Inputs'!$L$7,,,InputRows),$C131)</f>
        <v>6</v>
      </c>
      <c r="U131" s="134">
        <f ca="1">INDEX(OFFSET('Measure Inputs'!$T$7,,,InputRows),$C131)</f>
        <v>1</v>
      </c>
      <c r="V131" s="134">
        <f ca="1">INDEX(OFFSET('Measure Inputs'!$U$7,,,InputRows),$C131)</f>
        <v>1</v>
      </c>
      <c r="W131" s="55"/>
      <c r="X131" s="96">
        <f ca="1">INDEX(OFFSET('Measure Inputs'!$V$7,,,InputRows),$C131)*$T131*$V131*$U131</f>
        <v>96594.49080558907</v>
      </c>
      <c r="Y131" s="96">
        <f ca="1">INDEX(OFFSET('Measure Inputs'!$W$7,,,InputRows),$C131)*$T131*$V131*$U131</f>
        <v>38.458209418664822</v>
      </c>
      <c r="Z131" s="96">
        <f ca="1">INDEX(OFFSET('Measure Inputs'!$X$7,,,InputRows),$C131)*$T131*$V131*$U131</f>
        <v>0</v>
      </c>
      <c r="AA131" s="55"/>
      <c r="AB131" s="96">
        <f ca="1">INDEX(OFFSET('Measure Inputs'!$Z$7,,,InputRows),$C131)*$T131*$V131*$U131</f>
        <v>0</v>
      </c>
      <c r="AC131" s="96">
        <f ca="1">INDEX(OFFSET('Measure Inputs'!$AA$7,,,InputRows),$C131)*$T131*$V131*$U131</f>
        <v>0</v>
      </c>
      <c r="AD131" s="96">
        <f ca="1">INDEX(OFFSET('Measure Inputs'!$AB$7,,,InputRows),$C131)*$T131*$V131*$U131</f>
        <v>0</v>
      </c>
      <c r="AE131" s="55"/>
      <c r="AF131" s="57">
        <f ca="1">INDEX(OFFSET('Measure Inputs'!$Q$7,,,InputRows),$C131)*$T131</f>
        <v>0</v>
      </c>
      <c r="AG131" s="57">
        <f ca="1">INDEX(OFFSET('Measure Inputs'!$P$7,,,InputRows),$C131)*$T131*$V131</f>
        <v>27324</v>
      </c>
      <c r="AH131" s="57">
        <f ca="1">INDEX(OFFSET('Measure Inputs'!$R$7,,,InputRows),$C131)*$T131*$V131</f>
        <v>0</v>
      </c>
      <c r="AI131" s="57">
        <f ca="1">INDEX(OFFSET('Measure Inputs'!$O$7,,,InputRows),$C131)*$T131</f>
        <v>9000</v>
      </c>
      <c r="AJ131" s="57">
        <f ca="1">INDEX(OFFSET('Measure Inputs'!$S$7,,,InputRows),$C131)*$T131</f>
        <v>0</v>
      </c>
      <c r="AK131" s="63">
        <f ca="1">INDEX(OFFSET('Measure Inputs'!$M$7,,,InputRows),$C131)</f>
        <v>18</v>
      </c>
      <c r="AL131" s="88">
        <f ca="1">INDEX(OFFSET('Measure Inputs'!$N$7,,,InputRows),$C131)</f>
        <v>0</v>
      </c>
      <c r="AM131" s="57">
        <f ca="1">SUMIFS(OFFSET('Program Inputs'!$N$5,,,TotalPrograms),OFFSET('Program Inputs'!$B$5,,,TotalPrograms),SUBSTITUTE($B131,"All","*"))+AF131</f>
        <v>0</v>
      </c>
      <c r="AN131" s="57">
        <f t="shared" ca="1" si="311"/>
        <v>9000</v>
      </c>
      <c r="AO131" s="55"/>
      <c r="AP131" s="59">
        <f t="shared" ca="1" si="312"/>
        <v>35426.525190110799</v>
      </c>
      <c r="AQ131" s="59">
        <f t="shared" ca="1" si="313"/>
        <v>25104.740904079383</v>
      </c>
      <c r="AR131" s="59">
        <f ca="1">SUMPRODUCT($CA131:$DI131,'General Inputs'!$F$32:$AN$32,'General Inputs'!$F$51:$AN$51)/(1-Loss_ElectricEnergy)</f>
        <v>27539.87948322891</v>
      </c>
      <c r="AS131" s="59">
        <f ca="1">SUMPRODUCT($DK131:$ES131,'General Inputs'!$F$33:$AN$33,'General Inputs'!$F$51:$AN$51)/(1-Loss_ElectricDemand)</f>
        <v>7886.64570688189</v>
      </c>
      <c r="AT131" s="59">
        <f ca="1">SUMPRODUCT($EU131:$GC131,'General Inputs'!$F$34:$AN$34,'General Inputs'!$F$51:$AN$51)/(1-Loss_GasEnergy)</f>
        <v>0</v>
      </c>
      <c r="AU131" s="59">
        <f ca="1">INDEX('General Inputs'!$F$51:$AN$51,MATCH($H131,'General Inputs'!$F$50:$AN$50,0))*$AJ131</f>
        <v>0</v>
      </c>
      <c r="AV131" s="59">
        <f ca="1">INDEX('General Inputs'!$F$51:$AN$51,MATCH($H131,'General Inputs'!$F$50:$AN$50,0))*$AI131</f>
        <v>8269.0187431091508</v>
      </c>
      <c r="AW131" s="59">
        <f ca="1">INDEX('General Inputs'!$F$51:$AN$51,MATCH($H131,'General Inputs'!$F$50:$AN$50,0))*$AM131</f>
        <v>0</v>
      </c>
      <c r="AX131" s="59">
        <f ca="1">SUM(INDEX('General Inputs'!$F$51:$AN$51,MATCH($H131,'General Inputs'!$F$50:$AN$50,0))*$AG131,INDEX('General Inputs'!$F$51:$AN$51,MATCH($H131+$AL131,'General Inputs'!$F$50:$AN$50,0))*-$AH131)</f>
        <v>25104.740904079383</v>
      </c>
      <c r="AY131" s="55"/>
      <c r="AZ131" s="59">
        <f ca="1">SUMPRODUCT($CA131:$DI131,'General Inputs'!$F$32:$AN$32,'General Inputs'!$F$52:$AN$52)/(1-Loss_ElectricEnergy)</f>
        <v>27539.87948322891</v>
      </c>
      <c r="BA131" s="59">
        <f ca="1">SUMPRODUCT($DK131:$ES131,'General Inputs'!$F$33:$AN$33,'General Inputs'!$F$52:$AN$52)/(1-Loss_ElectricDemand)</f>
        <v>7886.64570688189</v>
      </c>
      <c r="BB131" s="59">
        <f ca="1">SUMPRODUCT($EU131:$GC131,'General Inputs'!$F$34:$AN$34,'General Inputs'!$F$52:$AN$52)/(1-Loss_GasEnergy)</f>
        <v>0</v>
      </c>
      <c r="BC131" s="59">
        <f ca="1">INDEX('General Inputs'!$F$52:$AN$52,MATCH($H131,'General Inputs'!$F$50:$AN$50,0))*$AI131</f>
        <v>8269.0187431091508</v>
      </c>
      <c r="BD131" s="59">
        <f ca="1">INDEX('General Inputs'!$F$52:$AN$52,MATCH($H131,'General Inputs'!$F$50:$AN$50,0))*$AM131</f>
        <v>0</v>
      </c>
      <c r="BE131" s="55"/>
      <c r="BF131" s="59">
        <f ca="1">SUMPRODUCT($CA131:$DI131,OFFSET('General Inputs'!$F$40:$AN$40,MATCH($D131&amp;" Electric ($/kWh)",'General Inputs'!$E$40:$E$46,0),),'General Inputs'!$F$54:$AN$54)</f>
        <v>108976.56210862398</v>
      </c>
      <c r="BG131" s="59">
        <f ca="1">SUMPRODUCT($EU131:$GC131,OFFSET('General Inputs'!$F$40:$AN$40,MATCH($D131&amp;" Natural Gas ($/therm)",'General Inputs'!$E$40:$E$46,0),),'General Inputs'!$F$54:$AN$54)</f>
        <v>0</v>
      </c>
      <c r="BH131" s="59">
        <f ca="1">INDEX('General Inputs'!$F$54:$AN$54,MATCH($H131,'General Inputs'!$F$50:$AN$50,0))*$AI131</f>
        <v>8269.0187431091508</v>
      </c>
      <c r="BI131" s="59">
        <f ca="1">SUM(INDEX('General Inputs'!$F$54:$AN$54,MATCH($H131,'General Inputs'!$F$50:$AN$50,0))*$AG131,INDEX('General Inputs'!$F$51:$AN$51,MATCH($H131+$AL131,'General Inputs'!$F$50:$AN$50,0))*-$AH131)</f>
        <v>25104.740904079383</v>
      </c>
      <c r="BJ131" s="55"/>
      <c r="BK131" s="59">
        <f ca="1">SUMPRODUCT($CA131:$DI131,'General Inputs'!$F$32:$AN$32,'General Inputs'!$F$53:$AN$53)/(1-Loss_ElectricEnergy)</f>
        <v>27539.87948322891</v>
      </c>
      <c r="BL131" s="59">
        <f ca="1">SUMPRODUCT($DK131:$ES131,'General Inputs'!$F$33:$AN$33,'General Inputs'!$F$53:$AN$53)/(1-Loss_ElectricDemand)</f>
        <v>7886.64570688189</v>
      </c>
      <c r="BM131" s="59">
        <f ca="1">SUMPRODUCT($EU131:$GC131,'General Inputs'!$F$34:$AN$34,'General Inputs'!$F$53:$AN$53)/(1-Loss_GasEnergy)</f>
        <v>0</v>
      </c>
      <c r="BN131" s="59">
        <f ca="1">INDEX('General Inputs'!$F$53:$AN$53,MATCH($H131,'General Inputs'!$F$50:$AN$50,0))*$AJ131</f>
        <v>0</v>
      </c>
      <c r="BO131" s="59">
        <f ca="1">SUMPRODUCT($CA131:$DI131,'General Inputs'!$F$35:$AN$35,'General Inputs'!$F$53:$AN$53)/(1-Loss_ElectricEnergy)</f>
        <v>10225.860171839899</v>
      </c>
      <c r="BP131" s="59">
        <f ca="1">INDEX('General Inputs'!$F$51:$AN$51,MATCH($H131,'General Inputs'!$F$50:$AN$50,0))*$AM131</f>
        <v>0</v>
      </c>
      <c r="BQ131" s="59">
        <f ca="1">SUM(INDEX('General Inputs'!$F$53:$AN$53,MATCH($H131,'General Inputs'!$F$50:$AN$50,0))*$AG131,INDEX('General Inputs'!$F$53:$AN$53,MATCH($H131+$AL131,'General Inputs'!$F$50:$AN$50,0))*-$AH131)</f>
        <v>25104.740904079383</v>
      </c>
      <c r="BR131" s="55"/>
      <c r="BS131" s="59">
        <f ca="1">SUMPRODUCT($CA131:$DI131,'General Inputs'!$F$32:$AN$32,'General Inputs'!$F$55:$AN$55)/(1-Loss_ElectricEnergy)</f>
        <v>27539.87948322891</v>
      </c>
      <c r="BT131" s="59">
        <f ca="1">SUMPRODUCT($DK131:$ES131,'General Inputs'!$F$33:$AN$33,'General Inputs'!$F$55:$AN$55)/(1-Loss_ElectricDemand)</f>
        <v>7886.64570688189</v>
      </c>
      <c r="BU131" s="59">
        <f ca="1">SUMPRODUCT($EU131:$GC131,'General Inputs'!$F$34:$AN$34,'General Inputs'!$F$55:$AN$55)/(1-Loss_GasEnergy)</f>
        <v>0</v>
      </c>
      <c r="BV131" s="59">
        <f ca="1">SUMPRODUCT($CA131:$DI131,OFFSET('General Inputs'!$F$40:$AN$40,MATCH($D131&amp;" Electric ($/kWh)",'General Inputs'!$E$40:$E$46,0),),'General Inputs'!$F$55:$AN$55)</f>
        <v>108976.56210862398</v>
      </c>
      <c r="BW131" s="59">
        <f ca="1">SUMPRODUCT($EU131:$GC131,OFFSET('General Inputs'!$F$40:$AN$40,MATCH($D131&amp;" Natural Gas ($/therm)",'General Inputs'!$E$40:$E$46,0),),'General Inputs'!$F$55:$AN$55)</f>
        <v>0</v>
      </c>
      <c r="BX131" s="59">
        <f ca="1">INDEX('General Inputs'!$F$55:$AN$55,MATCH($H131,'General Inputs'!$F$50:$AN$50,0))*$AI131</f>
        <v>8269.0187431091508</v>
      </c>
      <c r="BY131" s="59">
        <f ca="1">INDEX('General Inputs'!$F$51:$AN$51,MATCH($H131,'General Inputs'!$F$50:$AN$50,0))*$AM131</f>
        <v>0</v>
      </c>
      <c r="BZ131" s="55"/>
      <c r="CA131" s="88">
        <f t="shared" ca="1" si="332"/>
        <v>0</v>
      </c>
      <c r="CB131" s="88">
        <f t="shared" ca="1" si="332"/>
        <v>96594.49080558907</v>
      </c>
      <c r="CC131" s="88">
        <f t="shared" ca="1" si="332"/>
        <v>96594.49080558907</v>
      </c>
      <c r="CD131" s="88">
        <f t="shared" ca="1" si="332"/>
        <v>96594.49080558907</v>
      </c>
      <c r="CE131" s="88">
        <f t="shared" ca="1" si="332"/>
        <v>96594.49080558907</v>
      </c>
      <c r="CF131" s="88">
        <f t="shared" ca="1" si="332"/>
        <v>96594.49080558907</v>
      </c>
      <c r="CG131" s="88">
        <f t="shared" ca="1" si="332"/>
        <v>96594.49080558907</v>
      </c>
      <c r="CH131" s="88">
        <f t="shared" ca="1" si="332"/>
        <v>96594.49080558907</v>
      </c>
      <c r="CI131" s="88">
        <f t="shared" ca="1" si="332"/>
        <v>96594.49080558907</v>
      </c>
      <c r="CJ131" s="88">
        <f t="shared" ca="1" si="332"/>
        <v>96594.49080558907</v>
      </c>
      <c r="CK131" s="88">
        <f t="shared" ca="1" si="333"/>
        <v>96594.49080558907</v>
      </c>
      <c r="CL131" s="88">
        <f t="shared" ca="1" si="333"/>
        <v>96594.49080558907</v>
      </c>
      <c r="CM131" s="88">
        <f t="shared" ca="1" si="333"/>
        <v>96594.49080558907</v>
      </c>
      <c r="CN131" s="88">
        <f t="shared" ca="1" si="333"/>
        <v>96594.49080558907</v>
      </c>
      <c r="CO131" s="88">
        <f t="shared" ca="1" si="333"/>
        <v>96594.49080558907</v>
      </c>
      <c r="CP131" s="88">
        <f t="shared" ca="1" si="333"/>
        <v>96594.49080558907</v>
      </c>
      <c r="CQ131" s="88">
        <f t="shared" ca="1" si="333"/>
        <v>96594.49080558907</v>
      </c>
      <c r="CR131" s="88">
        <f t="shared" ca="1" si="333"/>
        <v>96594.49080558907</v>
      </c>
      <c r="CS131" s="88">
        <f t="shared" ca="1" si="333"/>
        <v>96594.49080558907</v>
      </c>
      <c r="CT131" s="88">
        <f t="shared" ca="1" si="333"/>
        <v>0</v>
      </c>
      <c r="CU131" s="88">
        <f t="shared" ca="1" si="334"/>
        <v>0</v>
      </c>
      <c r="CV131" s="88">
        <f t="shared" ca="1" si="334"/>
        <v>0</v>
      </c>
      <c r="CW131" s="88">
        <f t="shared" ca="1" si="334"/>
        <v>0</v>
      </c>
      <c r="CX131" s="88">
        <f t="shared" ca="1" si="334"/>
        <v>0</v>
      </c>
      <c r="CY131" s="88">
        <f t="shared" ca="1" si="334"/>
        <v>0</v>
      </c>
      <c r="CZ131" s="88">
        <f t="shared" ca="1" si="334"/>
        <v>0</v>
      </c>
      <c r="DA131" s="88">
        <f t="shared" ca="1" si="334"/>
        <v>0</v>
      </c>
      <c r="DB131" s="88">
        <f t="shared" ca="1" si="334"/>
        <v>0</v>
      </c>
      <c r="DC131" s="88">
        <f t="shared" ca="1" si="334"/>
        <v>0</v>
      </c>
      <c r="DD131" s="88">
        <f t="shared" ca="1" si="334"/>
        <v>0</v>
      </c>
      <c r="DE131" s="88">
        <f t="shared" ca="1" si="334"/>
        <v>0</v>
      </c>
      <c r="DF131" s="88">
        <f t="shared" ca="1" si="334"/>
        <v>0</v>
      </c>
      <c r="DG131" s="88">
        <f t="shared" ca="1" si="334"/>
        <v>0</v>
      </c>
      <c r="DH131" s="88">
        <f t="shared" ca="1" si="334"/>
        <v>0</v>
      </c>
      <c r="DI131" s="88">
        <f t="shared" ca="1" si="334"/>
        <v>0</v>
      </c>
      <c r="DJ131" s="169"/>
      <c r="DK131" s="88">
        <f t="shared" ca="1" si="335"/>
        <v>0</v>
      </c>
      <c r="DL131" s="88">
        <f t="shared" ca="1" si="335"/>
        <v>38.458209418664822</v>
      </c>
      <c r="DM131" s="88">
        <f t="shared" ca="1" si="335"/>
        <v>38.458209418664822</v>
      </c>
      <c r="DN131" s="88">
        <f t="shared" ca="1" si="335"/>
        <v>38.458209418664822</v>
      </c>
      <c r="DO131" s="88">
        <f t="shared" ca="1" si="335"/>
        <v>38.458209418664822</v>
      </c>
      <c r="DP131" s="88">
        <f t="shared" ca="1" si="335"/>
        <v>38.458209418664822</v>
      </c>
      <c r="DQ131" s="88">
        <f t="shared" ca="1" si="335"/>
        <v>38.458209418664822</v>
      </c>
      <c r="DR131" s="88">
        <f t="shared" ca="1" si="335"/>
        <v>38.458209418664822</v>
      </c>
      <c r="DS131" s="88">
        <f t="shared" ca="1" si="335"/>
        <v>38.458209418664822</v>
      </c>
      <c r="DT131" s="88">
        <f t="shared" ca="1" si="335"/>
        <v>38.458209418664822</v>
      </c>
      <c r="DU131" s="88">
        <f t="shared" ca="1" si="336"/>
        <v>38.458209418664822</v>
      </c>
      <c r="DV131" s="88">
        <f t="shared" ca="1" si="336"/>
        <v>38.458209418664822</v>
      </c>
      <c r="DW131" s="88">
        <f t="shared" ca="1" si="336"/>
        <v>38.458209418664822</v>
      </c>
      <c r="DX131" s="88">
        <f t="shared" ca="1" si="336"/>
        <v>38.458209418664822</v>
      </c>
      <c r="DY131" s="88">
        <f t="shared" ca="1" si="336"/>
        <v>38.458209418664822</v>
      </c>
      <c r="DZ131" s="88">
        <f t="shared" ca="1" si="336"/>
        <v>38.458209418664822</v>
      </c>
      <c r="EA131" s="88">
        <f t="shared" ca="1" si="336"/>
        <v>38.458209418664822</v>
      </c>
      <c r="EB131" s="88">
        <f t="shared" ca="1" si="336"/>
        <v>38.458209418664822</v>
      </c>
      <c r="EC131" s="88">
        <f t="shared" ca="1" si="336"/>
        <v>38.458209418664822</v>
      </c>
      <c r="ED131" s="88">
        <f t="shared" ca="1" si="336"/>
        <v>0</v>
      </c>
      <c r="EE131" s="88">
        <f t="shared" ca="1" si="337"/>
        <v>0</v>
      </c>
      <c r="EF131" s="88">
        <f t="shared" ca="1" si="337"/>
        <v>0</v>
      </c>
      <c r="EG131" s="88">
        <f t="shared" ca="1" si="337"/>
        <v>0</v>
      </c>
      <c r="EH131" s="88">
        <f t="shared" ca="1" si="337"/>
        <v>0</v>
      </c>
      <c r="EI131" s="88">
        <f t="shared" ca="1" si="337"/>
        <v>0</v>
      </c>
      <c r="EJ131" s="88">
        <f t="shared" ca="1" si="337"/>
        <v>0</v>
      </c>
      <c r="EK131" s="88">
        <f t="shared" ca="1" si="337"/>
        <v>0</v>
      </c>
      <c r="EL131" s="88">
        <f t="shared" ca="1" si="337"/>
        <v>0</v>
      </c>
      <c r="EM131" s="88">
        <f t="shared" ca="1" si="337"/>
        <v>0</v>
      </c>
      <c r="EN131" s="88">
        <f t="shared" ca="1" si="337"/>
        <v>0</v>
      </c>
      <c r="EO131" s="88">
        <f t="shared" ca="1" si="337"/>
        <v>0</v>
      </c>
      <c r="EP131" s="88">
        <f t="shared" ca="1" si="337"/>
        <v>0</v>
      </c>
      <c r="EQ131" s="88">
        <f t="shared" ca="1" si="337"/>
        <v>0</v>
      </c>
      <c r="ER131" s="88">
        <f t="shared" ca="1" si="337"/>
        <v>0</v>
      </c>
      <c r="ES131" s="88">
        <f t="shared" ca="1" si="337"/>
        <v>0</v>
      </c>
      <c r="ET131" s="169"/>
      <c r="EU131" s="88">
        <f t="shared" ca="1" si="338"/>
        <v>0</v>
      </c>
      <c r="EV131" s="88">
        <f t="shared" ca="1" si="338"/>
        <v>0</v>
      </c>
      <c r="EW131" s="88">
        <f t="shared" ca="1" si="338"/>
        <v>0</v>
      </c>
      <c r="EX131" s="88">
        <f t="shared" ca="1" si="338"/>
        <v>0</v>
      </c>
      <c r="EY131" s="88">
        <f t="shared" ca="1" si="338"/>
        <v>0</v>
      </c>
      <c r="EZ131" s="88">
        <f t="shared" ca="1" si="338"/>
        <v>0</v>
      </c>
      <c r="FA131" s="88">
        <f t="shared" ca="1" si="338"/>
        <v>0</v>
      </c>
      <c r="FB131" s="88">
        <f t="shared" ca="1" si="338"/>
        <v>0</v>
      </c>
      <c r="FC131" s="88">
        <f t="shared" ca="1" si="338"/>
        <v>0</v>
      </c>
      <c r="FD131" s="88">
        <f t="shared" ca="1" si="338"/>
        <v>0</v>
      </c>
      <c r="FE131" s="88">
        <f t="shared" ca="1" si="339"/>
        <v>0</v>
      </c>
      <c r="FF131" s="88">
        <f t="shared" ca="1" si="339"/>
        <v>0</v>
      </c>
      <c r="FG131" s="88">
        <f t="shared" ca="1" si="339"/>
        <v>0</v>
      </c>
      <c r="FH131" s="88">
        <f t="shared" ca="1" si="339"/>
        <v>0</v>
      </c>
      <c r="FI131" s="88">
        <f t="shared" ca="1" si="339"/>
        <v>0</v>
      </c>
      <c r="FJ131" s="88">
        <f t="shared" ca="1" si="339"/>
        <v>0</v>
      </c>
      <c r="FK131" s="88">
        <f t="shared" ca="1" si="339"/>
        <v>0</v>
      </c>
      <c r="FL131" s="88">
        <f t="shared" ca="1" si="339"/>
        <v>0</v>
      </c>
      <c r="FM131" s="88">
        <f t="shared" ca="1" si="339"/>
        <v>0</v>
      </c>
      <c r="FN131" s="88">
        <f t="shared" ca="1" si="339"/>
        <v>0</v>
      </c>
      <c r="FO131" s="88">
        <f t="shared" ca="1" si="340"/>
        <v>0</v>
      </c>
      <c r="FP131" s="88">
        <f t="shared" ca="1" si="340"/>
        <v>0</v>
      </c>
      <c r="FQ131" s="88">
        <f t="shared" ca="1" si="340"/>
        <v>0</v>
      </c>
      <c r="FR131" s="88">
        <f t="shared" ca="1" si="340"/>
        <v>0</v>
      </c>
      <c r="FS131" s="88">
        <f t="shared" ca="1" si="340"/>
        <v>0</v>
      </c>
      <c r="FT131" s="88">
        <f t="shared" ca="1" si="340"/>
        <v>0</v>
      </c>
      <c r="FU131" s="88">
        <f t="shared" ca="1" si="340"/>
        <v>0</v>
      </c>
      <c r="FV131" s="88">
        <f t="shared" ca="1" si="340"/>
        <v>0</v>
      </c>
      <c r="FW131" s="88">
        <f t="shared" ca="1" si="340"/>
        <v>0</v>
      </c>
      <c r="FX131" s="88">
        <f t="shared" ca="1" si="340"/>
        <v>0</v>
      </c>
      <c r="FY131" s="88">
        <f t="shared" ca="1" si="340"/>
        <v>0</v>
      </c>
      <c r="FZ131" s="88">
        <f t="shared" ca="1" si="340"/>
        <v>0</v>
      </c>
      <c r="GA131" s="88">
        <f t="shared" ca="1" si="340"/>
        <v>0</v>
      </c>
      <c r="GB131" s="88">
        <f t="shared" ca="1" si="340"/>
        <v>0</v>
      </c>
      <c r="GC131" s="88">
        <f t="shared" ca="1" si="340"/>
        <v>0</v>
      </c>
      <c r="GD131" s="60"/>
    </row>
    <row r="132" spans="1:186" s="54" customFormat="1" ht="14.45" customHeight="1">
      <c r="A132" s="61"/>
      <c r="B132" s="100" t="str">
        <f t="shared" si="345"/>
        <v>Residential_High Efficiency HVAC_0_CAC SEER ≥15, EER ≥12.5_2018</v>
      </c>
      <c r="C132" s="100">
        <f>INDEX('Measure Inputs'!$D:$D,MATCH($B132,'Measure Inputs'!$B:$B,0))</f>
        <v>84</v>
      </c>
      <c r="D132" s="101" t="s">
        <v>2</v>
      </c>
      <c r="E132" s="101" t="s">
        <v>250</v>
      </c>
      <c r="F132" s="101">
        <v>0</v>
      </c>
      <c r="G132" s="101" t="s">
        <v>521</v>
      </c>
      <c r="H132" s="101">
        <v>2018</v>
      </c>
      <c r="I132" s="55"/>
      <c r="J132" s="58">
        <f t="shared" ca="1" si="229"/>
        <v>1.1810203406559001</v>
      </c>
      <c r="K132" s="58">
        <f t="shared" ca="1" si="246"/>
        <v>0.70861220439354011</v>
      </c>
      <c r="L132" s="58">
        <f t="shared" ca="1" si="230"/>
        <v>4.156086249995071</v>
      </c>
      <c r="M132" s="58">
        <f t="shared" ca="1" si="231"/>
        <v>1.4146160430307109</v>
      </c>
      <c r="N132" s="58">
        <f t="shared" ca="1" si="232"/>
        <v>0.28416646566401282</v>
      </c>
      <c r="O132" s="55"/>
      <c r="P132" s="175">
        <f ca="1">IFERROR(($AW132+AV132)/SUMPRODUCT($CA132:$DI132,'General Inputs'!$F$51:$AN$51),"n/a")</f>
        <v>8.5348491948752811E-2</v>
      </c>
      <c r="Q132" s="175">
        <f t="shared" ca="1" si="309"/>
        <v>0.82209106239460317</v>
      </c>
      <c r="R132" s="56">
        <f t="shared" ca="1" si="310"/>
        <v>295.58769230769252</v>
      </c>
      <c r="S132" s="55"/>
      <c r="T132" s="56">
        <f ca="1">INDEX(OFFSET('Measure Inputs'!$L$7,,,InputRows),$C132)</f>
        <v>75</v>
      </c>
      <c r="U132" s="134">
        <f ca="1">INDEX(OFFSET('Measure Inputs'!$T$7,,,InputRows),$C132)</f>
        <v>1</v>
      </c>
      <c r="V132" s="134">
        <f ca="1">INDEX(OFFSET('Measure Inputs'!$U$7,,,InputRows),$C132)</f>
        <v>1</v>
      </c>
      <c r="W132" s="55"/>
      <c r="X132" s="96">
        <f ca="1">INDEX(OFFSET('Measure Inputs'!$V$7,,,InputRows),$C132)*$T132*$V132*$U132</f>
        <v>16421.538461538472</v>
      </c>
      <c r="Y132" s="96">
        <f ca="1">INDEX(OFFSET('Measure Inputs'!$W$7,,,InputRows),$C132)*$T132*$V132*$U132</f>
        <v>20.029090909090911</v>
      </c>
      <c r="Z132" s="96">
        <f ca="1">INDEX(OFFSET('Measure Inputs'!$X$7,,,InputRows),$C132)*$T132*$V132*$U132</f>
        <v>0</v>
      </c>
      <c r="AA132" s="55"/>
      <c r="AB132" s="96">
        <f ca="1">INDEX(OFFSET('Measure Inputs'!$Z$7,,,InputRows),$C132)*$T132*$V132*$U132</f>
        <v>0</v>
      </c>
      <c r="AC132" s="96">
        <f ca="1">INDEX(OFFSET('Measure Inputs'!$AA$7,,,InputRows),$C132)*$T132*$V132*$U132</f>
        <v>0</v>
      </c>
      <c r="AD132" s="96">
        <f ca="1">INDEX(OFFSET('Measure Inputs'!$AB$7,,,InputRows),$C132)*$T132*$V132*$U132</f>
        <v>0</v>
      </c>
      <c r="AE132" s="55"/>
      <c r="AF132" s="57">
        <f ca="1">INDEX(OFFSET('Measure Inputs'!$Q$7,,,InputRows),$C132)*$T132</f>
        <v>0</v>
      </c>
      <c r="AG132" s="57">
        <f ca="1">INDEX(OFFSET('Measure Inputs'!$P$7,,,InputRows),$C132)*$T132*$V132</f>
        <v>8100</v>
      </c>
      <c r="AH132" s="57">
        <f ca="1">INDEX(OFFSET('Measure Inputs'!$R$7,,,InputRows),$C132)*$T132*$V132</f>
        <v>0</v>
      </c>
      <c r="AI132" s="57">
        <f ca="1">INDEX(OFFSET('Measure Inputs'!$O$7,,,InputRows),$C132)*$T132</f>
        <v>13500</v>
      </c>
      <c r="AJ132" s="57">
        <f ca="1">INDEX(OFFSET('Measure Inputs'!$S$7,,,InputRows),$C132)*$T132</f>
        <v>0</v>
      </c>
      <c r="AK132" s="63">
        <f ca="1">INDEX(OFFSET('Measure Inputs'!$M$7,,,InputRows),$C132)</f>
        <v>18</v>
      </c>
      <c r="AL132" s="88">
        <f ca="1">INDEX(OFFSET('Measure Inputs'!$N$7,,,InputRows),$C132)</f>
        <v>0</v>
      </c>
      <c r="AM132" s="57">
        <f ca="1">SUMIFS(OFFSET('Program Inputs'!$N$5,,,TotalPrograms),OFFSET('Program Inputs'!$B$5,,,TotalPrograms),SUBSTITUTE($B132,"All","*"))+AF132</f>
        <v>0</v>
      </c>
      <c r="AN132" s="57">
        <f t="shared" ca="1" si="311"/>
        <v>13500</v>
      </c>
      <c r="AO132" s="55"/>
      <c r="AP132" s="59">
        <f t="shared" ca="1" si="312"/>
        <v>8789.291399589114</v>
      </c>
      <c r="AQ132" s="59">
        <f t="shared" ca="1" si="313"/>
        <v>7442.1168687982363</v>
      </c>
      <c r="AR132" s="59">
        <f ca="1">SUMPRODUCT($CA132:$DI132,'General Inputs'!$F$32:$AN$32,'General Inputs'!$F$51:$AN$51)/(1-Loss_ElectricEnergy)</f>
        <v>4681.914945544806</v>
      </c>
      <c r="AS132" s="59">
        <f ca="1">SUMPRODUCT($DK132:$ES132,'General Inputs'!$F$33:$AN$33,'General Inputs'!$F$51:$AN$51)/(1-Loss_ElectricDemand)</f>
        <v>4107.376454044308</v>
      </c>
      <c r="AT132" s="59">
        <f ca="1">SUMPRODUCT($EU132:$GC132,'General Inputs'!$F$34:$AN$34,'General Inputs'!$F$51:$AN$51)/(1-Loss_GasEnergy)</f>
        <v>0</v>
      </c>
      <c r="AU132" s="59">
        <f ca="1">INDEX('General Inputs'!$F$51:$AN$51,MATCH($H132,'General Inputs'!$F$50:$AN$50,0))*$AJ132</f>
        <v>0</v>
      </c>
      <c r="AV132" s="59">
        <f ca="1">INDEX('General Inputs'!$F$51:$AN$51,MATCH($H132,'General Inputs'!$F$50:$AN$50,0))*$AI132</f>
        <v>12403.528114663726</v>
      </c>
      <c r="AW132" s="59">
        <f ca="1">INDEX('General Inputs'!$F$51:$AN$51,MATCH($H132,'General Inputs'!$F$50:$AN$50,0))*$AM132</f>
        <v>0</v>
      </c>
      <c r="AX132" s="59">
        <f ca="1">SUM(INDEX('General Inputs'!$F$51:$AN$51,MATCH($H132,'General Inputs'!$F$50:$AN$50,0))*$AG132,INDEX('General Inputs'!$F$51:$AN$51,MATCH($H132+$AL132,'General Inputs'!$F$50:$AN$50,0))*-$AH132)</f>
        <v>7442.1168687982363</v>
      </c>
      <c r="AY132" s="55"/>
      <c r="AZ132" s="59">
        <f ca="1">SUMPRODUCT($CA132:$DI132,'General Inputs'!$F$32:$AN$32,'General Inputs'!$F$52:$AN$52)/(1-Loss_ElectricEnergy)</f>
        <v>4681.914945544806</v>
      </c>
      <c r="BA132" s="59">
        <f ca="1">SUMPRODUCT($DK132:$ES132,'General Inputs'!$F$33:$AN$33,'General Inputs'!$F$52:$AN$52)/(1-Loss_ElectricDemand)</f>
        <v>4107.376454044308</v>
      </c>
      <c r="BB132" s="59">
        <f ca="1">SUMPRODUCT($EU132:$GC132,'General Inputs'!$F$34:$AN$34,'General Inputs'!$F$52:$AN$52)/(1-Loss_GasEnergy)</f>
        <v>0</v>
      </c>
      <c r="BC132" s="59">
        <f ca="1">INDEX('General Inputs'!$F$52:$AN$52,MATCH($H132,'General Inputs'!$F$50:$AN$50,0))*$AI132</f>
        <v>12403.528114663726</v>
      </c>
      <c r="BD132" s="59">
        <f ca="1">INDEX('General Inputs'!$F$52:$AN$52,MATCH($H132,'General Inputs'!$F$50:$AN$50,0))*$AM132</f>
        <v>0</v>
      </c>
      <c r="BE132" s="55"/>
      <c r="BF132" s="59">
        <f ca="1">SUMPRODUCT($CA132:$DI132,OFFSET('General Inputs'!$F$40:$AN$40,MATCH($D132&amp;" Electric ($/kWh)",'General Inputs'!$E$40:$E$46,0),),'General Inputs'!$F$54:$AN$54)</f>
        <v>18526.551474604999</v>
      </c>
      <c r="BG132" s="59">
        <f ca="1">SUMPRODUCT($EU132:$GC132,OFFSET('General Inputs'!$F$40:$AN$40,MATCH($D132&amp;" Natural Gas ($/therm)",'General Inputs'!$E$40:$E$46,0),),'General Inputs'!$F$54:$AN$54)</f>
        <v>0</v>
      </c>
      <c r="BH132" s="59">
        <f ca="1">INDEX('General Inputs'!$F$54:$AN$54,MATCH($H132,'General Inputs'!$F$50:$AN$50,0))*$AI132</f>
        <v>12403.528114663726</v>
      </c>
      <c r="BI132" s="59">
        <f ca="1">SUM(INDEX('General Inputs'!$F$54:$AN$54,MATCH($H132,'General Inputs'!$F$50:$AN$50,0))*$AG132,INDEX('General Inputs'!$F$51:$AN$51,MATCH($H132+$AL132,'General Inputs'!$F$50:$AN$50,0))*-$AH132)</f>
        <v>7442.1168687982363</v>
      </c>
      <c r="BJ132" s="55"/>
      <c r="BK132" s="59">
        <f ca="1">SUMPRODUCT($CA132:$DI132,'General Inputs'!$F$32:$AN$32,'General Inputs'!$F$53:$AN$53)/(1-Loss_ElectricEnergy)</f>
        <v>4681.914945544806</v>
      </c>
      <c r="BL132" s="59">
        <f ca="1">SUMPRODUCT($DK132:$ES132,'General Inputs'!$F$33:$AN$33,'General Inputs'!$F$53:$AN$53)/(1-Loss_ElectricDemand)</f>
        <v>4107.376454044308</v>
      </c>
      <c r="BM132" s="59">
        <f ca="1">SUMPRODUCT($EU132:$GC132,'General Inputs'!$F$34:$AN$34,'General Inputs'!$F$53:$AN$53)/(1-Loss_GasEnergy)</f>
        <v>0</v>
      </c>
      <c r="BN132" s="59">
        <f ca="1">INDEX('General Inputs'!$F$53:$AN$53,MATCH($H132,'General Inputs'!$F$50:$AN$50,0))*$AJ132</f>
        <v>0</v>
      </c>
      <c r="BO132" s="59">
        <f ca="1">SUMPRODUCT($CA132:$DI132,'General Inputs'!$F$35:$AN$35,'General Inputs'!$F$53:$AN$53)/(1-Loss_ElectricEnergy)</f>
        <v>1738.446517122351</v>
      </c>
      <c r="BP132" s="59">
        <f ca="1">INDEX('General Inputs'!$F$51:$AN$51,MATCH($H132,'General Inputs'!$F$50:$AN$50,0))*$AM132</f>
        <v>0</v>
      </c>
      <c r="BQ132" s="59">
        <f ca="1">SUM(INDEX('General Inputs'!$F$53:$AN$53,MATCH($H132,'General Inputs'!$F$50:$AN$50,0))*$AG132,INDEX('General Inputs'!$F$53:$AN$53,MATCH($H132+$AL132,'General Inputs'!$F$50:$AN$50,0))*-$AH132)</f>
        <v>7442.1168687982363</v>
      </c>
      <c r="BR132" s="55"/>
      <c r="BS132" s="59">
        <f ca="1">SUMPRODUCT($CA132:$DI132,'General Inputs'!$F$32:$AN$32,'General Inputs'!$F$55:$AN$55)/(1-Loss_ElectricEnergy)</f>
        <v>4681.914945544806</v>
      </c>
      <c r="BT132" s="59">
        <f ca="1">SUMPRODUCT($DK132:$ES132,'General Inputs'!$F$33:$AN$33,'General Inputs'!$F$55:$AN$55)/(1-Loss_ElectricDemand)</f>
        <v>4107.376454044308</v>
      </c>
      <c r="BU132" s="59">
        <f ca="1">SUMPRODUCT($EU132:$GC132,'General Inputs'!$F$34:$AN$34,'General Inputs'!$F$55:$AN$55)/(1-Loss_GasEnergy)</f>
        <v>0</v>
      </c>
      <c r="BV132" s="59">
        <f ca="1">SUMPRODUCT($CA132:$DI132,OFFSET('General Inputs'!$F$40:$AN$40,MATCH($D132&amp;" Electric ($/kWh)",'General Inputs'!$E$40:$E$46,0),),'General Inputs'!$F$55:$AN$55)</f>
        <v>18526.551474604999</v>
      </c>
      <c r="BW132" s="59">
        <f ca="1">SUMPRODUCT($EU132:$GC132,OFFSET('General Inputs'!$F$40:$AN$40,MATCH($D132&amp;" Natural Gas ($/therm)",'General Inputs'!$E$40:$E$46,0),),'General Inputs'!$F$55:$AN$55)</f>
        <v>0</v>
      </c>
      <c r="BX132" s="59">
        <f ca="1">INDEX('General Inputs'!$F$55:$AN$55,MATCH($H132,'General Inputs'!$F$50:$AN$50,0))*$AI132</f>
        <v>12403.528114663726</v>
      </c>
      <c r="BY132" s="59">
        <f ca="1">INDEX('General Inputs'!$F$51:$AN$51,MATCH($H132,'General Inputs'!$F$50:$AN$50,0))*$AM132</f>
        <v>0</v>
      </c>
      <c r="BZ132" s="55"/>
      <c r="CA132" s="88">
        <f t="shared" ca="1" si="332"/>
        <v>0</v>
      </c>
      <c r="CB132" s="88">
        <f t="shared" ca="1" si="332"/>
        <v>16421.538461538472</v>
      </c>
      <c r="CC132" s="88">
        <f t="shared" ca="1" si="332"/>
        <v>16421.538461538472</v>
      </c>
      <c r="CD132" s="88">
        <f t="shared" ca="1" si="332"/>
        <v>16421.538461538472</v>
      </c>
      <c r="CE132" s="88">
        <f t="shared" ca="1" si="332"/>
        <v>16421.538461538472</v>
      </c>
      <c r="CF132" s="88">
        <f t="shared" ca="1" si="332"/>
        <v>16421.538461538472</v>
      </c>
      <c r="CG132" s="88">
        <f t="shared" ca="1" si="332"/>
        <v>16421.538461538472</v>
      </c>
      <c r="CH132" s="88">
        <f t="shared" ca="1" si="332"/>
        <v>16421.538461538472</v>
      </c>
      <c r="CI132" s="88">
        <f t="shared" ca="1" si="332"/>
        <v>16421.538461538472</v>
      </c>
      <c r="CJ132" s="88">
        <f t="shared" ca="1" si="332"/>
        <v>16421.538461538472</v>
      </c>
      <c r="CK132" s="88">
        <f t="shared" ca="1" si="333"/>
        <v>16421.538461538472</v>
      </c>
      <c r="CL132" s="88">
        <f t="shared" ca="1" si="333"/>
        <v>16421.538461538472</v>
      </c>
      <c r="CM132" s="88">
        <f t="shared" ca="1" si="333"/>
        <v>16421.538461538472</v>
      </c>
      <c r="CN132" s="88">
        <f t="shared" ca="1" si="333"/>
        <v>16421.538461538472</v>
      </c>
      <c r="CO132" s="88">
        <f t="shared" ca="1" si="333"/>
        <v>16421.538461538472</v>
      </c>
      <c r="CP132" s="88">
        <f t="shared" ca="1" si="333"/>
        <v>16421.538461538472</v>
      </c>
      <c r="CQ132" s="88">
        <f t="shared" ca="1" si="333"/>
        <v>16421.538461538472</v>
      </c>
      <c r="CR132" s="88">
        <f t="shared" ca="1" si="333"/>
        <v>16421.538461538472</v>
      </c>
      <c r="CS132" s="88">
        <f t="shared" ca="1" si="333"/>
        <v>16421.538461538472</v>
      </c>
      <c r="CT132" s="88">
        <f t="shared" ca="1" si="333"/>
        <v>0</v>
      </c>
      <c r="CU132" s="88">
        <f t="shared" ca="1" si="334"/>
        <v>0</v>
      </c>
      <c r="CV132" s="88">
        <f t="shared" ca="1" si="334"/>
        <v>0</v>
      </c>
      <c r="CW132" s="88">
        <f t="shared" ca="1" si="334"/>
        <v>0</v>
      </c>
      <c r="CX132" s="88">
        <f t="shared" ca="1" si="334"/>
        <v>0</v>
      </c>
      <c r="CY132" s="88">
        <f t="shared" ca="1" si="334"/>
        <v>0</v>
      </c>
      <c r="CZ132" s="88">
        <f t="shared" ca="1" si="334"/>
        <v>0</v>
      </c>
      <c r="DA132" s="88">
        <f t="shared" ca="1" si="334"/>
        <v>0</v>
      </c>
      <c r="DB132" s="88">
        <f t="shared" ca="1" si="334"/>
        <v>0</v>
      </c>
      <c r="DC132" s="88">
        <f t="shared" ca="1" si="334"/>
        <v>0</v>
      </c>
      <c r="DD132" s="88">
        <f t="shared" ca="1" si="334"/>
        <v>0</v>
      </c>
      <c r="DE132" s="88">
        <f t="shared" ca="1" si="334"/>
        <v>0</v>
      </c>
      <c r="DF132" s="88">
        <f t="shared" ca="1" si="334"/>
        <v>0</v>
      </c>
      <c r="DG132" s="88">
        <f t="shared" ca="1" si="334"/>
        <v>0</v>
      </c>
      <c r="DH132" s="88">
        <f t="shared" ca="1" si="334"/>
        <v>0</v>
      </c>
      <c r="DI132" s="88">
        <f t="shared" ca="1" si="334"/>
        <v>0</v>
      </c>
      <c r="DJ132" s="169"/>
      <c r="DK132" s="88">
        <f t="shared" ca="1" si="335"/>
        <v>0</v>
      </c>
      <c r="DL132" s="88">
        <f t="shared" ca="1" si="335"/>
        <v>20.029090909090911</v>
      </c>
      <c r="DM132" s="88">
        <f t="shared" ca="1" si="335"/>
        <v>20.029090909090911</v>
      </c>
      <c r="DN132" s="88">
        <f t="shared" ca="1" si="335"/>
        <v>20.029090909090911</v>
      </c>
      <c r="DO132" s="88">
        <f t="shared" ca="1" si="335"/>
        <v>20.029090909090911</v>
      </c>
      <c r="DP132" s="88">
        <f t="shared" ca="1" si="335"/>
        <v>20.029090909090911</v>
      </c>
      <c r="DQ132" s="88">
        <f t="shared" ca="1" si="335"/>
        <v>20.029090909090911</v>
      </c>
      <c r="DR132" s="88">
        <f t="shared" ca="1" si="335"/>
        <v>20.029090909090911</v>
      </c>
      <c r="DS132" s="88">
        <f t="shared" ca="1" si="335"/>
        <v>20.029090909090911</v>
      </c>
      <c r="DT132" s="88">
        <f t="shared" ca="1" si="335"/>
        <v>20.029090909090911</v>
      </c>
      <c r="DU132" s="88">
        <f t="shared" ca="1" si="336"/>
        <v>20.029090909090911</v>
      </c>
      <c r="DV132" s="88">
        <f t="shared" ca="1" si="336"/>
        <v>20.029090909090911</v>
      </c>
      <c r="DW132" s="88">
        <f t="shared" ca="1" si="336"/>
        <v>20.029090909090911</v>
      </c>
      <c r="DX132" s="88">
        <f t="shared" ca="1" si="336"/>
        <v>20.029090909090911</v>
      </c>
      <c r="DY132" s="88">
        <f t="shared" ca="1" si="336"/>
        <v>20.029090909090911</v>
      </c>
      <c r="DZ132" s="88">
        <f t="shared" ca="1" si="336"/>
        <v>20.029090909090911</v>
      </c>
      <c r="EA132" s="88">
        <f t="shared" ca="1" si="336"/>
        <v>20.029090909090911</v>
      </c>
      <c r="EB132" s="88">
        <f t="shared" ca="1" si="336"/>
        <v>20.029090909090911</v>
      </c>
      <c r="EC132" s="88">
        <f t="shared" ca="1" si="336"/>
        <v>20.029090909090911</v>
      </c>
      <c r="ED132" s="88">
        <f t="shared" ca="1" si="336"/>
        <v>0</v>
      </c>
      <c r="EE132" s="88">
        <f t="shared" ca="1" si="337"/>
        <v>0</v>
      </c>
      <c r="EF132" s="88">
        <f t="shared" ca="1" si="337"/>
        <v>0</v>
      </c>
      <c r="EG132" s="88">
        <f t="shared" ca="1" si="337"/>
        <v>0</v>
      </c>
      <c r="EH132" s="88">
        <f t="shared" ca="1" si="337"/>
        <v>0</v>
      </c>
      <c r="EI132" s="88">
        <f t="shared" ca="1" si="337"/>
        <v>0</v>
      </c>
      <c r="EJ132" s="88">
        <f t="shared" ca="1" si="337"/>
        <v>0</v>
      </c>
      <c r="EK132" s="88">
        <f t="shared" ca="1" si="337"/>
        <v>0</v>
      </c>
      <c r="EL132" s="88">
        <f t="shared" ca="1" si="337"/>
        <v>0</v>
      </c>
      <c r="EM132" s="88">
        <f t="shared" ca="1" si="337"/>
        <v>0</v>
      </c>
      <c r="EN132" s="88">
        <f t="shared" ca="1" si="337"/>
        <v>0</v>
      </c>
      <c r="EO132" s="88">
        <f t="shared" ca="1" si="337"/>
        <v>0</v>
      </c>
      <c r="EP132" s="88">
        <f t="shared" ca="1" si="337"/>
        <v>0</v>
      </c>
      <c r="EQ132" s="88">
        <f t="shared" ca="1" si="337"/>
        <v>0</v>
      </c>
      <c r="ER132" s="88">
        <f t="shared" ca="1" si="337"/>
        <v>0</v>
      </c>
      <c r="ES132" s="88">
        <f t="shared" ca="1" si="337"/>
        <v>0</v>
      </c>
      <c r="ET132" s="169"/>
      <c r="EU132" s="88">
        <f t="shared" ca="1" si="338"/>
        <v>0</v>
      </c>
      <c r="EV132" s="88">
        <f t="shared" ca="1" si="338"/>
        <v>0</v>
      </c>
      <c r="EW132" s="88">
        <f t="shared" ca="1" si="338"/>
        <v>0</v>
      </c>
      <c r="EX132" s="88">
        <f t="shared" ca="1" si="338"/>
        <v>0</v>
      </c>
      <c r="EY132" s="88">
        <f t="shared" ca="1" si="338"/>
        <v>0</v>
      </c>
      <c r="EZ132" s="88">
        <f t="shared" ca="1" si="338"/>
        <v>0</v>
      </c>
      <c r="FA132" s="88">
        <f t="shared" ca="1" si="338"/>
        <v>0</v>
      </c>
      <c r="FB132" s="88">
        <f t="shared" ca="1" si="338"/>
        <v>0</v>
      </c>
      <c r="FC132" s="88">
        <f t="shared" ca="1" si="338"/>
        <v>0</v>
      </c>
      <c r="FD132" s="88">
        <f t="shared" ca="1" si="338"/>
        <v>0</v>
      </c>
      <c r="FE132" s="88">
        <f t="shared" ca="1" si="339"/>
        <v>0</v>
      </c>
      <c r="FF132" s="88">
        <f t="shared" ca="1" si="339"/>
        <v>0</v>
      </c>
      <c r="FG132" s="88">
        <f t="shared" ca="1" si="339"/>
        <v>0</v>
      </c>
      <c r="FH132" s="88">
        <f t="shared" ca="1" si="339"/>
        <v>0</v>
      </c>
      <c r="FI132" s="88">
        <f t="shared" ca="1" si="339"/>
        <v>0</v>
      </c>
      <c r="FJ132" s="88">
        <f t="shared" ca="1" si="339"/>
        <v>0</v>
      </c>
      <c r="FK132" s="88">
        <f t="shared" ca="1" si="339"/>
        <v>0</v>
      </c>
      <c r="FL132" s="88">
        <f t="shared" ca="1" si="339"/>
        <v>0</v>
      </c>
      <c r="FM132" s="88">
        <f t="shared" ca="1" si="339"/>
        <v>0</v>
      </c>
      <c r="FN132" s="88">
        <f t="shared" ca="1" si="339"/>
        <v>0</v>
      </c>
      <c r="FO132" s="88">
        <f t="shared" ca="1" si="340"/>
        <v>0</v>
      </c>
      <c r="FP132" s="88">
        <f t="shared" ca="1" si="340"/>
        <v>0</v>
      </c>
      <c r="FQ132" s="88">
        <f t="shared" ca="1" si="340"/>
        <v>0</v>
      </c>
      <c r="FR132" s="88">
        <f t="shared" ca="1" si="340"/>
        <v>0</v>
      </c>
      <c r="FS132" s="88">
        <f t="shared" ca="1" si="340"/>
        <v>0</v>
      </c>
      <c r="FT132" s="88">
        <f t="shared" ca="1" si="340"/>
        <v>0</v>
      </c>
      <c r="FU132" s="88">
        <f t="shared" ca="1" si="340"/>
        <v>0</v>
      </c>
      <c r="FV132" s="88">
        <f t="shared" ca="1" si="340"/>
        <v>0</v>
      </c>
      <c r="FW132" s="88">
        <f t="shared" ca="1" si="340"/>
        <v>0</v>
      </c>
      <c r="FX132" s="88">
        <f t="shared" ca="1" si="340"/>
        <v>0</v>
      </c>
      <c r="FY132" s="88">
        <f t="shared" ca="1" si="340"/>
        <v>0</v>
      </c>
      <c r="FZ132" s="88">
        <f t="shared" ca="1" si="340"/>
        <v>0</v>
      </c>
      <c r="GA132" s="88">
        <f t="shared" ca="1" si="340"/>
        <v>0</v>
      </c>
      <c r="GB132" s="88">
        <f t="shared" ca="1" si="340"/>
        <v>0</v>
      </c>
      <c r="GC132" s="88">
        <f t="shared" ca="1" si="340"/>
        <v>0</v>
      </c>
      <c r="GD132" s="60"/>
    </row>
    <row r="133" spans="1:186" s="54" customFormat="1" ht="14.45" customHeight="1">
      <c r="A133" s="61"/>
      <c r="B133" s="100" t="str">
        <f t="shared" si="345"/>
        <v>Residential_High Efficiency HVAC_0_Ductless Mini-Split AC SEER ≥19, EER ≥12.8_2018</v>
      </c>
      <c r="C133" s="100">
        <f>INDEX('Measure Inputs'!$D:$D,MATCH($B133,'Measure Inputs'!$B:$B,0))</f>
        <v>85</v>
      </c>
      <c r="D133" s="101" t="s">
        <v>2</v>
      </c>
      <c r="E133" s="101" t="s">
        <v>250</v>
      </c>
      <c r="F133" s="101">
        <v>0</v>
      </c>
      <c r="G133" s="101" t="s">
        <v>516</v>
      </c>
      <c r="H133" s="101">
        <v>2018</v>
      </c>
      <c r="I133" s="55"/>
      <c r="J133" s="58" t="str">
        <f t="shared" ca="1" si="229"/>
        <v>n/a</v>
      </c>
      <c r="K133" s="58" t="str">
        <f t="shared" ca="1" si="246"/>
        <v>n/a</v>
      </c>
      <c r="L133" s="58" t="str">
        <f t="shared" ca="1" si="230"/>
        <v>n/a</v>
      </c>
      <c r="M133" s="58" t="str">
        <f t="shared" ca="1" si="231"/>
        <v>n/a</v>
      </c>
      <c r="N133" s="58" t="str">
        <f t="shared" ca="1" si="232"/>
        <v>n/a</v>
      </c>
      <c r="O133" s="55"/>
      <c r="P133" s="175" t="str">
        <f ca="1">IFERROR(($AW133+AV133)/SUMPRODUCT($CA133:$DI133,'General Inputs'!$F$51:$AN$51),"n/a")</f>
        <v>n/a</v>
      </c>
      <c r="Q133" s="175" t="str">
        <f t="shared" ca="1" si="309"/>
        <v>n/a</v>
      </c>
      <c r="R133" s="56">
        <f t="shared" ca="1" si="310"/>
        <v>0</v>
      </c>
      <c r="S133" s="55"/>
      <c r="T133" s="56">
        <f ca="1">INDEX(OFFSET('Measure Inputs'!$L$7,,,InputRows),$C133)</f>
        <v>0</v>
      </c>
      <c r="U133" s="134">
        <f ca="1">INDEX(OFFSET('Measure Inputs'!$T$7,,,InputRows),$C133)</f>
        <v>1</v>
      </c>
      <c r="V133" s="134">
        <f ca="1">INDEX(OFFSET('Measure Inputs'!$U$7,,,InputRows),$C133)</f>
        <v>1</v>
      </c>
      <c r="W133" s="55"/>
      <c r="X133" s="96">
        <f ca="1">INDEX(OFFSET('Measure Inputs'!$V$7,,,InputRows),$C133)*$T133*$V133*$U133</f>
        <v>0</v>
      </c>
      <c r="Y133" s="96">
        <f ca="1">INDEX(OFFSET('Measure Inputs'!$W$7,,,InputRows),$C133)*$T133*$V133*$U133</f>
        <v>0</v>
      </c>
      <c r="Z133" s="96">
        <f ca="1">INDEX(OFFSET('Measure Inputs'!$X$7,,,InputRows),$C133)*$T133*$V133*$U133</f>
        <v>0</v>
      </c>
      <c r="AA133" s="55"/>
      <c r="AB133" s="96">
        <f ca="1">INDEX(OFFSET('Measure Inputs'!$Z$7,,,InputRows),$C133)*$T133*$V133*$U133</f>
        <v>0</v>
      </c>
      <c r="AC133" s="96">
        <f ca="1">INDEX(OFFSET('Measure Inputs'!$AA$7,,,InputRows),$C133)*$T133*$V133*$U133</f>
        <v>0</v>
      </c>
      <c r="AD133" s="96">
        <f ca="1">INDEX(OFFSET('Measure Inputs'!$AB$7,,,InputRows),$C133)*$T133*$V133*$U133</f>
        <v>0</v>
      </c>
      <c r="AE133" s="55"/>
      <c r="AF133" s="57">
        <f ca="1">INDEX(OFFSET('Measure Inputs'!$Q$7,,,InputRows),$C133)*$T133</f>
        <v>0</v>
      </c>
      <c r="AG133" s="57">
        <f ca="1">INDEX(OFFSET('Measure Inputs'!$P$7,,,InputRows),$C133)*$T133*$V133</f>
        <v>0</v>
      </c>
      <c r="AH133" s="57">
        <f ca="1">INDEX(OFFSET('Measure Inputs'!$R$7,,,InputRows),$C133)*$T133*$V133</f>
        <v>0</v>
      </c>
      <c r="AI133" s="57">
        <f ca="1">INDEX(OFFSET('Measure Inputs'!$O$7,,,InputRows),$C133)*$T133</f>
        <v>0</v>
      </c>
      <c r="AJ133" s="57">
        <f ca="1">INDEX(OFFSET('Measure Inputs'!$S$7,,,InputRows),$C133)*$T133</f>
        <v>0</v>
      </c>
      <c r="AK133" s="63">
        <f ca="1">INDEX(OFFSET('Measure Inputs'!$M$7,,,InputRows),$C133)</f>
        <v>18</v>
      </c>
      <c r="AL133" s="88">
        <f ca="1">INDEX(OFFSET('Measure Inputs'!$N$7,,,InputRows),$C133)</f>
        <v>0</v>
      </c>
      <c r="AM133" s="57">
        <f ca="1">SUMIFS(OFFSET('Program Inputs'!$N$5,,,TotalPrograms),OFFSET('Program Inputs'!$B$5,,,TotalPrograms),SUBSTITUTE($B133,"All","*"))+AF133</f>
        <v>0</v>
      </c>
      <c r="AN133" s="57">
        <f t="shared" ca="1" si="311"/>
        <v>0</v>
      </c>
      <c r="AO133" s="55"/>
      <c r="AP133" s="59">
        <f t="shared" ca="1" si="312"/>
        <v>0</v>
      </c>
      <c r="AQ133" s="59">
        <f t="shared" ca="1" si="313"/>
        <v>0</v>
      </c>
      <c r="AR133" s="59">
        <f ca="1">SUMPRODUCT($CA133:$DI133,'General Inputs'!$F$32:$AN$32,'General Inputs'!$F$51:$AN$51)/(1-Loss_ElectricEnergy)</f>
        <v>0</v>
      </c>
      <c r="AS133" s="59">
        <f ca="1">SUMPRODUCT($DK133:$ES133,'General Inputs'!$F$33:$AN$33,'General Inputs'!$F$51:$AN$51)/(1-Loss_ElectricDemand)</f>
        <v>0</v>
      </c>
      <c r="AT133" s="59">
        <f ca="1">SUMPRODUCT($EU133:$GC133,'General Inputs'!$F$34:$AN$34,'General Inputs'!$F$51:$AN$51)/(1-Loss_GasEnergy)</f>
        <v>0</v>
      </c>
      <c r="AU133" s="59">
        <f ca="1">INDEX('General Inputs'!$F$51:$AN$51,MATCH($H133,'General Inputs'!$F$50:$AN$50,0))*$AJ133</f>
        <v>0</v>
      </c>
      <c r="AV133" s="59">
        <f ca="1">INDEX('General Inputs'!$F$51:$AN$51,MATCH($H133,'General Inputs'!$F$50:$AN$50,0))*$AI133</f>
        <v>0</v>
      </c>
      <c r="AW133" s="59">
        <f ca="1">INDEX('General Inputs'!$F$51:$AN$51,MATCH($H133,'General Inputs'!$F$50:$AN$50,0))*$AM133</f>
        <v>0</v>
      </c>
      <c r="AX133" s="59">
        <f ca="1">SUM(INDEX('General Inputs'!$F$51:$AN$51,MATCH($H133,'General Inputs'!$F$50:$AN$50,0))*$AG133,INDEX('General Inputs'!$F$51:$AN$51,MATCH($H133+$AL133,'General Inputs'!$F$50:$AN$50,0))*-$AH133)</f>
        <v>0</v>
      </c>
      <c r="AY133" s="55"/>
      <c r="AZ133" s="59">
        <f ca="1">SUMPRODUCT($CA133:$DI133,'General Inputs'!$F$32:$AN$32,'General Inputs'!$F$52:$AN$52)/(1-Loss_ElectricEnergy)</f>
        <v>0</v>
      </c>
      <c r="BA133" s="59">
        <f ca="1">SUMPRODUCT($DK133:$ES133,'General Inputs'!$F$33:$AN$33,'General Inputs'!$F$52:$AN$52)/(1-Loss_ElectricDemand)</f>
        <v>0</v>
      </c>
      <c r="BB133" s="59">
        <f ca="1">SUMPRODUCT($EU133:$GC133,'General Inputs'!$F$34:$AN$34,'General Inputs'!$F$52:$AN$52)/(1-Loss_GasEnergy)</f>
        <v>0</v>
      </c>
      <c r="BC133" s="59">
        <f ca="1">INDEX('General Inputs'!$F$52:$AN$52,MATCH($H133,'General Inputs'!$F$50:$AN$50,0))*$AI133</f>
        <v>0</v>
      </c>
      <c r="BD133" s="59">
        <f ca="1">INDEX('General Inputs'!$F$52:$AN$52,MATCH($H133,'General Inputs'!$F$50:$AN$50,0))*$AM133</f>
        <v>0</v>
      </c>
      <c r="BE133" s="55"/>
      <c r="BF133" s="59">
        <f ca="1">SUMPRODUCT($CA133:$DI133,OFFSET('General Inputs'!$F$40:$AN$40,MATCH($D133&amp;" Electric ($/kWh)",'General Inputs'!$E$40:$E$46,0),),'General Inputs'!$F$54:$AN$54)</f>
        <v>0</v>
      </c>
      <c r="BG133" s="59">
        <f ca="1">SUMPRODUCT($EU133:$GC133,OFFSET('General Inputs'!$F$40:$AN$40,MATCH($D133&amp;" Natural Gas ($/therm)",'General Inputs'!$E$40:$E$46,0),),'General Inputs'!$F$54:$AN$54)</f>
        <v>0</v>
      </c>
      <c r="BH133" s="59">
        <f ca="1">INDEX('General Inputs'!$F$54:$AN$54,MATCH($H133,'General Inputs'!$F$50:$AN$50,0))*$AI133</f>
        <v>0</v>
      </c>
      <c r="BI133" s="59">
        <f ca="1">SUM(INDEX('General Inputs'!$F$54:$AN$54,MATCH($H133,'General Inputs'!$F$50:$AN$50,0))*$AG133,INDEX('General Inputs'!$F$51:$AN$51,MATCH($H133+$AL133,'General Inputs'!$F$50:$AN$50,0))*-$AH133)</f>
        <v>0</v>
      </c>
      <c r="BJ133" s="55"/>
      <c r="BK133" s="59">
        <f ca="1">SUMPRODUCT($CA133:$DI133,'General Inputs'!$F$32:$AN$32,'General Inputs'!$F$53:$AN$53)/(1-Loss_ElectricEnergy)</f>
        <v>0</v>
      </c>
      <c r="BL133" s="59">
        <f ca="1">SUMPRODUCT($DK133:$ES133,'General Inputs'!$F$33:$AN$33,'General Inputs'!$F$53:$AN$53)/(1-Loss_ElectricDemand)</f>
        <v>0</v>
      </c>
      <c r="BM133" s="59">
        <f ca="1">SUMPRODUCT($EU133:$GC133,'General Inputs'!$F$34:$AN$34,'General Inputs'!$F$53:$AN$53)/(1-Loss_GasEnergy)</f>
        <v>0</v>
      </c>
      <c r="BN133" s="59">
        <f ca="1">INDEX('General Inputs'!$F$53:$AN$53,MATCH($H133,'General Inputs'!$F$50:$AN$50,0))*$AJ133</f>
        <v>0</v>
      </c>
      <c r="BO133" s="59">
        <f ca="1">SUMPRODUCT($CA133:$DI133,'General Inputs'!$F$35:$AN$35,'General Inputs'!$F$53:$AN$53)/(1-Loss_ElectricEnergy)</f>
        <v>0</v>
      </c>
      <c r="BP133" s="59">
        <f ca="1">INDEX('General Inputs'!$F$51:$AN$51,MATCH($H133,'General Inputs'!$F$50:$AN$50,0))*$AM133</f>
        <v>0</v>
      </c>
      <c r="BQ133" s="59">
        <f ca="1">SUM(INDEX('General Inputs'!$F$53:$AN$53,MATCH($H133,'General Inputs'!$F$50:$AN$50,0))*$AG133,INDEX('General Inputs'!$F$53:$AN$53,MATCH($H133+$AL133,'General Inputs'!$F$50:$AN$50,0))*-$AH133)</f>
        <v>0</v>
      </c>
      <c r="BR133" s="55"/>
      <c r="BS133" s="59">
        <f ca="1">SUMPRODUCT($CA133:$DI133,'General Inputs'!$F$32:$AN$32,'General Inputs'!$F$55:$AN$55)/(1-Loss_ElectricEnergy)</f>
        <v>0</v>
      </c>
      <c r="BT133" s="59">
        <f ca="1">SUMPRODUCT($DK133:$ES133,'General Inputs'!$F$33:$AN$33,'General Inputs'!$F$55:$AN$55)/(1-Loss_ElectricDemand)</f>
        <v>0</v>
      </c>
      <c r="BU133" s="59">
        <f ca="1">SUMPRODUCT($EU133:$GC133,'General Inputs'!$F$34:$AN$34,'General Inputs'!$F$55:$AN$55)/(1-Loss_GasEnergy)</f>
        <v>0</v>
      </c>
      <c r="BV133" s="59">
        <f ca="1">SUMPRODUCT($CA133:$DI133,OFFSET('General Inputs'!$F$40:$AN$40,MATCH($D133&amp;" Electric ($/kWh)",'General Inputs'!$E$40:$E$46,0),),'General Inputs'!$F$55:$AN$55)</f>
        <v>0</v>
      </c>
      <c r="BW133" s="59">
        <f ca="1">SUMPRODUCT($EU133:$GC133,OFFSET('General Inputs'!$F$40:$AN$40,MATCH($D133&amp;" Natural Gas ($/therm)",'General Inputs'!$E$40:$E$46,0),),'General Inputs'!$F$55:$AN$55)</f>
        <v>0</v>
      </c>
      <c r="BX133" s="59">
        <f ca="1">INDEX('General Inputs'!$F$55:$AN$55,MATCH($H133,'General Inputs'!$F$50:$AN$50,0))*$AI133</f>
        <v>0</v>
      </c>
      <c r="BY133" s="59">
        <f ca="1">INDEX('General Inputs'!$F$51:$AN$51,MATCH($H133,'General Inputs'!$F$50:$AN$50,0))*$AM133</f>
        <v>0</v>
      </c>
      <c r="BZ133" s="55"/>
      <c r="CA133" s="88">
        <f t="shared" ref="CA133:CJ142" ca="1" si="346">IF(AND($H133&lt;=CA$8,$H133+$AK133&gt;CA$8),IF(AND($H133+$AL133&lt;=CA$8,$AL133&gt;0),$AB133,$X133),0)</f>
        <v>0</v>
      </c>
      <c r="CB133" s="88">
        <f t="shared" ca="1" si="346"/>
        <v>0</v>
      </c>
      <c r="CC133" s="88">
        <f t="shared" ca="1" si="346"/>
        <v>0</v>
      </c>
      <c r="CD133" s="88">
        <f t="shared" ca="1" si="346"/>
        <v>0</v>
      </c>
      <c r="CE133" s="88">
        <f t="shared" ca="1" si="346"/>
        <v>0</v>
      </c>
      <c r="CF133" s="88">
        <f t="shared" ca="1" si="346"/>
        <v>0</v>
      </c>
      <c r="CG133" s="88">
        <f t="shared" ca="1" si="346"/>
        <v>0</v>
      </c>
      <c r="CH133" s="88">
        <f t="shared" ca="1" si="346"/>
        <v>0</v>
      </c>
      <c r="CI133" s="88">
        <f t="shared" ca="1" si="346"/>
        <v>0</v>
      </c>
      <c r="CJ133" s="88">
        <f t="shared" ca="1" si="346"/>
        <v>0</v>
      </c>
      <c r="CK133" s="88">
        <f t="shared" ref="CK133:CT142" ca="1" si="347">IF(AND($H133&lt;=CK$8,$H133+$AK133&gt;CK$8),IF(AND($H133+$AL133&lt;=CK$8,$AL133&gt;0),$AB133,$X133),0)</f>
        <v>0</v>
      </c>
      <c r="CL133" s="88">
        <f t="shared" ca="1" si="347"/>
        <v>0</v>
      </c>
      <c r="CM133" s="88">
        <f t="shared" ca="1" si="347"/>
        <v>0</v>
      </c>
      <c r="CN133" s="88">
        <f t="shared" ca="1" si="347"/>
        <v>0</v>
      </c>
      <c r="CO133" s="88">
        <f t="shared" ca="1" si="347"/>
        <v>0</v>
      </c>
      <c r="CP133" s="88">
        <f t="shared" ca="1" si="347"/>
        <v>0</v>
      </c>
      <c r="CQ133" s="88">
        <f t="shared" ca="1" si="347"/>
        <v>0</v>
      </c>
      <c r="CR133" s="88">
        <f t="shared" ca="1" si="347"/>
        <v>0</v>
      </c>
      <c r="CS133" s="88">
        <f t="shared" ca="1" si="347"/>
        <v>0</v>
      </c>
      <c r="CT133" s="88">
        <f t="shared" ca="1" si="347"/>
        <v>0</v>
      </c>
      <c r="CU133" s="88">
        <f t="shared" ref="CU133:DI142" ca="1" si="348">IF(AND($H133&lt;=CU$8,$H133+$AK133&gt;CU$8),IF(AND($H133+$AL133&lt;=CU$8,$AL133&gt;0),$AB133,$X133),0)</f>
        <v>0</v>
      </c>
      <c r="CV133" s="88">
        <f t="shared" ca="1" si="348"/>
        <v>0</v>
      </c>
      <c r="CW133" s="88">
        <f t="shared" ca="1" si="348"/>
        <v>0</v>
      </c>
      <c r="CX133" s="88">
        <f t="shared" ca="1" si="348"/>
        <v>0</v>
      </c>
      <c r="CY133" s="88">
        <f t="shared" ca="1" si="348"/>
        <v>0</v>
      </c>
      <c r="CZ133" s="88">
        <f t="shared" ca="1" si="348"/>
        <v>0</v>
      </c>
      <c r="DA133" s="88">
        <f t="shared" ca="1" si="348"/>
        <v>0</v>
      </c>
      <c r="DB133" s="88">
        <f t="shared" ca="1" si="348"/>
        <v>0</v>
      </c>
      <c r="DC133" s="88">
        <f t="shared" ca="1" si="348"/>
        <v>0</v>
      </c>
      <c r="DD133" s="88">
        <f t="shared" ca="1" si="348"/>
        <v>0</v>
      </c>
      <c r="DE133" s="88">
        <f t="shared" ca="1" si="348"/>
        <v>0</v>
      </c>
      <c r="DF133" s="88">
        <f t="shared" ca="1" si="348"/>
        <v>0</v>
      </c>
      <c r="DG133" s="88">
        <f t="shared" ca="1" si="348"/>
        <v>0</v>
      </c>
      <c r="DH133" s="88">
        <f t="shared" ca="1" si="348"/>
        <v>0</v>
      </c>
      <c r="DI133" s="88">
        <f t="shared" ca="1" si="348"/>
        <v>0</v>
      </c>
      <c r="DJ133" s="169"/>
      <c r="DK133" s="88">
        <f t="shared" ref="DK133:DT142" ca="1" si="349">IF(AND($H133&lt;=DK$8,$H133+$AK133&gt;DK$8),IF(AND($H133+$AL133&lt;=DK$8,$AL133&gt;0),$AC133,$Y133),0)</f>
        <v>0</v>
      </c>
      <c r="DL133" s="88">
        <f t="shared" ca="1" si="349"/>
        <v>0</v>
      </c>
      <c r="DM133" s="88">
        <f t="shared" ca="1" si="349"/>
        <v>0</v>
      </c>
      <c r="DN133" s="88">
        <f t="shared" ca="1" si="349"/>
        <v>0</v>
      </c>
      <c r="DO133" s="88">
        <f t="shared" ca="1" si="349"/>
        <v>0</v>
      </c>
      <c r="DP133" s="88">
        <f t="shared" ca="1" si="349"/>
        <v>0</v>
      </c>
      <c r="DQ133" s="88">
        <f t="shared" ca="1" si="349"/>
        <v>0</v>
      </c>
      <c r="DR133" s="88">
        <f t="shared" ca="1" si="349"/>
        <v>0</v>
      </c>
      <c r="DS133" s="88">
        <f t="shared" ca="1" si="349"/>
        <v>0</v>
      </c>
      <c r="DT133" s="88">
        <f t="shared" ca="1" si="349"/>
        <v>0</v>
      </c>
      <c r="DU133" s="88">
        <f t="shared" ref="DU133:ED142" ca="1" si="350">IF(AND($H133&lt;=DU$8,$H133+$AK133&gt;DU$8),IF(AND($H133+$AL133&lt;=DU$8,$AL133&gt;0),$AC133,$Y133),0)</f>
        <v>0</v>
      </c>
      <c r="DV133" s="88">
        <f t="shared" ca="1" si="350"/>
        <v>0</v>
      </c>
      <c r="DW133" s="88">
        <f t="shared" ca="1" si="350"/>
        <v>0</v>
      </c>
      <c r="DX133" s="88">
        <f t="shared" ca="1" si="350"/>
        <v>0</v>
      </c>
      <c r="DY133" s="88">
        <f t="shared" ca="1" si="350"/>
        <v>0</v>
      </c>
      <c r="DZ133" s="88">
        <f t="shared" ca="1" si="350"/>
        <v>0</v>
      </c>
      <c r="EA133" s="88">
        <f t="shared" ca="1" si="350"/>
        <v>0</v>
      </c>
      <c r="EB133" s="88">
        <f t="shared" ca="1" si="350"/>
        <v>0</v>
      </c>
      <c r="EC133" s="88">
        <f t="shared" ca="1" si="350"/>
        <v>0</v>
      </c>
      <c r="ED133" s="88">
        <f t="shared" ca="1" si="350"/>
        <v>0</v>
      </c>
      <c r="EE133" s="88">
        <f t="shared" ref="EE133:ES142" ca="1" si="351">IF(AND($H133&lt;=EE$8,$H133+$AK133&gt;EE$8),IF(AND($H133+$AL133&lt;=EE$8,$AL133&gt;0),$AC133,$Y133),0)</f>
        <v>0</v>
      </c>
      <c r="EF133" s="88">
        <f t="shared" ca="1" si="351"/>
        <v>0</v>
      </c>
      <c r="EG133" s="88">
        <f t="shared" ca="1" si="351"/>
        <v>0</v>
      </c>
      <c r="EH133" s="88">
        <f t="shared" ca="1" si="351"/>
        <v>0</v>
      </c>
      <c r="EI133" s="88">
        <f t="shared" ca="1" si="351"/>
        <v>0</v>
      </c>
      <c r="EJ133" s="88">
        <f t="shared" ca="1" si="351"/>
        <v>0</v>
      </c>
      <c r="EK133" s="88">
        <f t="shared" ca="1" si="351"/>
        <v>0</v>
      </c>
      <c r="EL133" s="88">
        <f t="shared" ca="1" si="351"/>
        <v>0</v>
      </c>
      <c r="EM133" s="88">
        <f t="shared" ca="1" si="351"/>
        <v>0</v>
      </c>
      <c r="EN133" s="88">
        <f t="shared" ca="1" si="351"/>
        <v>0</v>
      </c>
      <c r="EO133" s="88">
        <f t="shared" ca="1" si="351"/>
        <v>0</v>
      </c>
      <c r="EP133" s="88">
        <f t="shared" ca="1" si="351"/>
        <v>0</v>
      </c>
      <c r="EQ133" s="88">
        <f t="shared" ca="1" si="351"/>
        <v>0</v>
      </c>
      <c r="ER133" s="88">
        <f t="shared" ca="1" si="351"/>
        <v>0</v>
      </c>
      <c r="ES133" s="88">
        <f t="shared" ca="1" si="351"/>
        <v>0</v>
      </c>
      <c r="ET133" s="169"/>
      <c r="EU133" s="88">
        <f t="shared" ref="EU133:FD142" ca="1" si="352">IF(AND($H133&lt;=EU$8,$H133+$AK133&gt;EU$8),IF(AND($H133+$AL133&lt;=EU$8,$AL133&gt;0),$AD133,$Z133),0)</f>
        <v>0</v>
      </c>
      <c r="EV133" s="88">
        <f t="shared" ca="1" si="352"/>
        <v>0</v>
      </c>
      <c r="EW133" s="88">
        <f t="shared" ca="1" si="352"/>
        <v>0</v>
      </c>
      <c r="EX133" s="88">
        <f t="shared" ca="1" si="352"/>
        <v>0</v>
      </c>
      <c r="EY133" s="88">
        <f t="shared" ca="1" si="352"/>
        <v>0</v>
      </c>
      <c r="EZ133" s="88">
        <f t="shared" ca="1" si="352"/>
        <v>0</v>
      </c>
      <c r="FA133" s="88">
        <f t="shared" ca="1" si="352"/>
        <v>0</v>
      </c>
      <c r="FB133" s="88">
        <f t="shared" ca="1" si="352"/>
        <v>0</v>
      </c>
      <c r="FC133" s="88">
        <f t="shared" ca="1" si="352"/>
        <v>0</v>
      </c>
      <c r="FD133" s="88">
        <f t="shared" ca="1" si="352"/>
        <v>0</v>
      </c>
      <c r="FE133" s="88">
        <f t="shared" ref="FE133:FN142" ca="1" si="353">IF(AND($H133&lt;=FE$8,$H133+$AK133&gt;FE$8),IF(AND($H133+$AL133&lt;=FE$8,$AL133&gt;0),$AD133,$Z133),0)</f>
        <v>0</v>
      </c>
      <c r="FF133" s="88">
        <f t="shared" ca="1" si="353"/>
        <v>0</v>
      </c>
      <c r="FG133" s="88">
        <f t="shared" ca="1" si="353"/>
        <v>0</v>
      </c>
      <c r="FH133" s="88">
        <f t="shared" ca="1" si="353"/>
        <v>0</v>
      </c>
      <c r="FI133" s="88">
        <f t="shared" ca="1" si="353"/>
        <v>0</v>
      </c>
      <c r="FJ133" s="88">
        <f t="shared" ca="1" si="353"/>
        <v>0</v>
      </c>
      <c r="FK133" s="88">
        <f t="shared" ca="1" si="353"/>
        <v>0</v>
      </c>
      <c r="FL133" s="88">
        <f t="shared" ca="1" si="353"/>
        <v>0</v>
      </c>
      <c r="FM133" s="88">
        <f t="shared" ca="1" si="353"/>
        <v>0</v>
      </c>
      <c r="FN133" s="88">
        <f t="shared" ca="1" si="353"/>
        <v>0</v>
      </c>
      <c r="FO133" s="88">
        <f t="shared" ref="FO133:GC142" ca="1" si="354">IF(AND($H133&lt;=FO$8,$H133+$AK133&gt;FO$8),IF(AND($H133+$AL133&lt;=FO$8,$AL133&gt;0),$AD133,$Z133),0)</f>
        <v>0</v>
      </c>
      <c r="FP133" s="88">
        <f t="shared" ca="1" si="354"/>
        <v>0</v>
      </c>
      <c r="FQ133" s="88">
        <f t="shared" ca="1" si="354"/>
        <v>0</v>
      </c>
      <c r="FR133" s="88">
        <f t="shared" ca="1" si="354"/>
        <v>0</v>
      </c>
      <c r="FS133" s="88">
        <f t="shared" ca="1" si="354"/>
        <v>0</v>
      </c>
      <c r="FT133" s="88">
        <f t="shared" ca="1" si="354"/>
        <v>0</v>
      </c>
      <c r="FU133" s="88">
        <f t="shared" ca="1" si="354"/>
        <v>0</v>
      </c>
      <c r="FV133" s="88">
        <f t="shared" ca="1" si="354"/>
        <v>0</v>
      </c>
      <c r="FW133" s="88">
        <f t="shared" ca="1" si="354"/>
        <v>0</v>
      </c>
      <c r="FX133" s="88">
        <f t="shared" ca="1" si="354"/>
        <v>0</v>
      </c>
      <c r="FY133" s="88">
        <f t="shared" ca="1" si="354"/>
        <v>0</v>
      </c>
      <c r="FZ133" s="88">
        <f t="shared" ca="1" si="354"/>
        <v>0</v>
      </c>
      <c r="GA133" s="88">
        <f t="shared" ca="1" si="354"/>
        <v>0</v>
      </c>
      <c r="GB133" s="88">
        <f t="shared" ca="1" si="354"/>
        <v>0</v>
      </c>
      <c r="GC133" s="88">
        <f t="shared" ca="1" si="354"/>
        <v>0</v>
      </c>
      <c r="GD133" s="60"/>
    </row>
    <row r="134" spans="1:186" s="54" customFormat="1" ht="14.45" customHeight="1">
      <c r="A134" s="61"/>
      <c r="B134" s="100" t="str">
        <f t="shared" si="345"/>
        <v>Residential_High Efficiency HVAC_0_Ductless Mini-Split HP SEER ≥19, EER ≥12.8, HSPF ≥10_2018</v>
      </c>
      <c r="C134" s="100">
        <f>INDEX('Measure Inputs'!$D:$D,MATCH($B134,'Measure Inputs'!$B:$B,0))</f>
        <v>86</v>
      </c>
      <c r="D134" s="101" t="s">
        <v>2</v>
      </c>
      <c r="E134" s="101" t="s">
        <v>250</v>
      </c>
      <c r="F134" s="101">
        <v>0</v>
      </c>
      <c r="G134" s="101" t="s">
        <v>517</v>
      </c>
      <c r="H134" s="101">
        <v>2018</v>
      </c>
      <c r="I134" s="55"/>
      <c r="J134" s="58">
        <f t="shared" ca="1" si="229"/>
        <v>0.77841113468103273</v>
      </c>
      <c r="K134" s="58">
        <f t="shared" ca="1" si="246"/>
        <v>8.7104205970807556</v>
      </c>
      <c r="L134" s="58">
        <f t="shared" ca="1" si="230"/>
        <v>2.728485158321464</v>
      </c>
      <c r="M134" s="58">
        <f t="shared" ca="1" si="231"/>
        <v>1.0260540042146491</v>
      </c>
      <c r="N134" s="58">
        <f t="shared" ca="1" si="232"/>
        <v>0.28529058782196315</v>
      </c>
      <c r="O134" s="55"/>
      <c r="P134" s="175">
        <f ca="1">IFERROR(($AW134+AV134)/SUMPRODUCT($CA134:$DI134,'General Inputs'!$F$51:$AN$51),"n/a")</f>
        <v>4.3167414397711932E-3</v>
      </c>
      <c r="Q134" s="175">
        <f t="shared" ca="1" si="309"/>
        <v>4.1579581258859806E-2</v>
      </c>
      <c r="R134" s="56">
        <f t="shared" ca="1" si="310"/>
        <v>1948.0715665634675</v>
      </c>
      <c r="S134" s="55"/>
      <c r="T134" s="56">
        <f ca="1">INDEX(OFFSET('Measure Inputs'!$L$7,,,InputRows),$C134)</f>
        <v>30</v>
      </c>
      <c r="U134" s="134">
        <f ca="1">INDEX(OFFSET('Measure Inputs'!$T$7,,,InputRows),$C134)</f>
        <v>1</v>
      </c>
      <c r="V134" s="134">
        <f ca="1">INDEX(OFFSET('Measure Inputs'!$U$7,,,InputRows),$C134)</f>
        <v>1</v>
      </c>
      <c r="W134" s="55"/>
      <c r="X134" s="96">
        <f ca="1">INDEX(OFFSET('Measure Inputs'!$V$7,,,InputRows),$C134)*$T134*$V134*$U134</f>
        <v>108226.19814241484</v>
      </c>
      <c r="Y134" s="96">
        <f ca="1">INDEX(OFFSET('Measure Inputs'!$W$7,,,InputRows),$C134)*$T134*$V134*$U134</f>
        <v>25.148133116883113</v>
      </c>
      <c r="Z134" s="96">
        <f ca="1">INDEX(OFFSET('Measure Inputs'!$X$7,,,InputRows),$C134)*$T134*$V134*$U134</f>
        <v>0</v>
      </c>
      <c r="AA134" s="55"/>
      <c r="AB134" s="96">
        <f ca="1">INDEX(OFFSET('Measure Inputs'!$Z$7,,,InputRows),$C134)*$T134*$V134*$U134</f>
        <v>0</v>
      </c>
      <c r="AC134" s="96">
        <f ca="1">INDEX(OFFSET('Measure Inputs'!$AA$7,,,InputRows),$C134)*$T134*$V134*$U134</f>
        <v>0</v>
      </c>
      <c r="AD134" s="96">
        <f ca="1">INDEX(OFFSET('Measure Inputs'!$AB$7,,,InputRows),$C134)*$T134*$V134*$U134</f>
        <v>0</v>
      </c>
      <c r="AE134" s="55"/>
      <c r="AF134" s="57">
        <f ca="1">INDEX(OFFSET('Measure Inputs'!$Q$7,,,InputRows),$C134)*$T134</f>
        <v>0</v>
      </c>
      <c r="AG134" s="57">
        <f ca="1">INDEX(OFFSET('Measure Inputs'!$P$7,,,InputRows),$C134)*$T134*$V134</f>
        <v>50355</v>
      </c>
      <c r="AH134" s="57">
        <f ca="1">INDEX(OFFSET('Measure Inputs'!$R$7,,,InputRows),$C134)*$T134*$V134</f>
        <v>0</v>
      </c>
      <c r="AI134" s="57">
        <f ca="1">INDEX(OFFSET('Measure Inputs'!$O$7,,,InputRows),$C134)*$T134</f>
        <v>4500</v>
      </c>
      <c r="AJ134" s="57">
        <f ca="1">INDEX(OFFSET('Measure Inputs'!$S$7,,,InputRows),$C134)*$T134</f>
        <v>0</v>
      </c>
      <c r="AK134" s="63">
        <f ca="1">INDEX(OFFSET('Measure Inputs'!$M$7,,,InputRows),$C134)</f>
        <v>18</v>
      </c>
      <c r="AL134" s="88">
        <f ca="1">INDEX(OFFSET('Measure Inputs'!$N$7,,,InputRows),$C134)</f>
        <v>0</v>
      </c>
      <c r="AM134" s="57">
        <f ca="1">SUMIFS(OFFSET('Program Inputs'!$N$5,,,TotalPrograms),OFFSET('Program Inputs'!$B$5,,,TotalPrograms),SUBSTITUTE($B134,"All","*"))+AF134</f>
        <v>0</v>
      </c>
      <c r="AN134" s="57">
        <f t="shared" ca="1" si="311"/>
        <v>4500</v>
      </c>
      <c r="AO134" s="55"/>
      <c r="AP134" s="59">
        <f t="shared" ca="1" si="312"/>
        <v>36013.315588812387</v>
      </c>
      <c r="AQ134" s="59">
        <f t="shared" ca="1" si="313"/>
        <v>46265.1598676957</v>
      </c>
      <c r="AR134" s="59">
        <f ca="1">SUMPRODUCT($CA134:$DI134,'General Inputs'!$F$32:$AN$32,'General Inputs'!$F$51:$AN$51)/(1-Loss_ElectricEnergy)</f>
        <v>30856.174393723275</v>
      </c>
      <c r="AS134" s="59">
        <f ca="1">SUMPRODUCT($DK134:$ES134,'General Inputs'!$F$33:$AN$33,'General Inputs'!$F$51:$AN$51)/(1-Loss_ElectricDemand)</f>
        <v>5157.1411950891124</v>
      </c>
      <c r="AT134" s="59">
        <f ca="1">SUMPRODUCT($EU134:$GC134,'General Inputs'!$F$34:$AN$34,'General Inputs'!$F$51:$AN$51)/(1-Loss_GasEnergy)</f>
        <v>0</v>
      </c>
      <c r="AU134" s="59">
        <f ca="1">INDEX('General Inputs'!$F$51:$AN$51,MATCH($H134,'General Inputs'!$F$50:$AN$50,0))*$AJ134</f>
        <v>0</v>
      </c>
      <c r="AV134" s="59">
        <f ca="1">INDEX('General Inputs'!$F$51:$AN$51,MATCH($H134,'General Inputs'!$F$50:$AN$50,0))*$AI134</f>
        <v>4134.5093715545754</v>
      </c>
      <c r="AW134" s="59">
        <f ca="1">INDEX('General Inputs'!$F$51:$AN$51,MATCH($H134,'General Inputs'!$F$50:$AN$50,0))*$AM134</f>
        <v>0</v>
      </c>
      <c r="AX134" s="59">
        <f ca="1">SUM(INDEX('General Inputs'!$F$51:$AN$51,MATCH($H134,'General Inputs'!$F$50:$AN$50,0))*$AG134,INDEX('General Inputs'!$F$51:$AN$51,MATCH($H134+$AL134,'General Inputs'!$F$50:$AN$50,0))*-$AH134)</f>
        <v>46265.1598676957</v>
      </c>
      <c r="AY134" s="55"/>
      <c r="AZ134" s="59">
        <f ca="1">SUMPRODUCT($CA134:$DI134,'General Inputs'!$F$32:$AN$32,'General Inputs'!$F$52:$AN$52)/(1-Loss_ElectricEnergy)</f>
        <v>30856.174393723275</v>
      </c>
      <c r="BA134" s="59">
        <f ca="1">SUMPRODUCT($DK134:$ES134,'General Inputs'!$F$33:$AN$33,'General Inputs'!$F$52:$AN$52)/(1-Loss_ElectricDemand)</f>
        <v>5157.1411950891124</v>
      </c>
      <c r="BB134" s="59">
        <f ca="1">SUMPRODUCT($EU134:$GC134,'General Inputs'!$F$34:$AN$34,'General Inputs'!$F$52:$AN$52)/(1-Loss_GasEnergy)</f>
        <v>0</v>
      </c>
      <c r="BC134" s="59">
        <f ca="1">INDEX('General Inputs'!$F$52:$AN$52,MATCH($H134,'General Inputs'!$F$50:$AN$50,0))*$AI134</f>
        <v>4134.5093715545754</v>
      </c>
      <c r="BD134" s="59">
        <f ca="1">INDEX('General Inputs'!$F$52:$AN$52,MATCH($H134,'General Inputs'!$F$50:$AN$50,0))*$AM134</f>
        <v>0</v>
      </c>
      <c r="BE134" s="55"/>
      <c r="BF134" s="59">
        <f ca="1">SUMPRODUCT($CA134:$DI134,OFFSET('General Inputs'!$F$40:$AN$40,MATCH($D134&amp;" Electric ($/kWh)",'General Inputs'!$E$40:$E$46,0),),'General Inputs'!$F$54:$AN$54)</f>
        <v>122099.29267482297</v>
      </c>
      <c r="BG134" s="59">
        <f ca="1">SUMPRODUCT($EU134:$GC134,OFFSET('General Inputs'!$F$40:$AN$40,MATCH($D134&amp;" Natural Gas ($/therm)",'General Inputs'!$E$40:$E$46,0),),'General Inputs'!$F$54:$AN$54)</f>
        <v>0</v>
      </c>
      <c r="BH134" s="59">
        <f ca="1">INDEX('General Inputs'!$F$54:$AN$54,MATCH($H134,'General Inputs'!$F$50:$AN$50,0))*$AI134</f>
        <v>4134.5093715545754</v>
      </c>
      <c r="BI134" s="59">
        <f ca="1">SUM(INDEX('General Inputs'!$F$54:$AN$54,MATCH($H134,'General Inputs'!$F$50:$AN$50,0))*$AG134,INDEX('General Inputs'!$F$51:$AN$51,MATCH($H134+$AL134,'General Inputs'!$F$50:$AN$50,0))*-$AH134)</f>
        <v>46265.1598676957</v>
      </c>
      <c r="BJ134" s="55"/>
      <c r="BK134" s="59">
        <f ca="1">SUMPRODUCT($CA134:$DI134,'General Inputs'!$F$32:$AN$32,'General Inputs'!$F$53:$AN$53)/(1-Loss_ElectricEnergy)</f>
        <v>30856.174393723275</v>
      </c>
      <c r="BL134" s="59">
        <f ca="1">SUMPRODUCT($DK134:$ES134,'General Inputs'!$F$33:$AN$33,'General Inputs'!$F$53:$AN$53)/(1-Loss_ElectricDemand)</f>
        <v>5157.1411950891124</v>
      </c>
      <c r="BM134" s="59">
        <f ca="1">SUMPRODUCT($EU134:$GC134,'General Inputs'!$F$34:$AN$34,'General Inputs'!$F$53:$AN$53)/(1-Loss_GasEnergy)</f>
        <v>0</v>
      </c>
      <c r="BN134" s="59">
        <f ca="1">INDEX('General Inputs'!$F$53:$AN$53,MATCH($H134,'General Inputs'!$F$50:$AN$50,0))*$AJ134</f>
        <v>0</v>
      </c>
      <c r="BO134" s="59">
        <f ca="1">SUMPRODUCT($CA134:$DI134,'General Inputs'!$F$35:$AN$35,'General Inputs'!$F$53:$AN$53)/(1-Loss_ElectricEnergy)</f>
        <v>11457.236949067674</v>
      </c>
      <c r="BP134" s="59">
        <f ca="1">INDEX('General Inputs'!$F$51:$AN$51,MATCH($H134,'General Inputs'!$F$50:$AN$50,0))*$AM134</f>
        <v>0</v>
      </c>
      <c r="BQ134" s="59">
        <f ca="1">SUM(INDEX('General Inputs'!$F$53:$AN$53,MATCH($H134,'General Inputs'!$F$50:$AN$50,0))*$AG134,INDEX('General Inputs'!$F$53:$AN$53,MATCH($H134+$AL134,'General Inputs'!$F$50:$AN$50,0))*-$AH134)</f>
        <v>46265.1598676957</v>
      </c>
      <c r="BR134" s="55"/>
      <c r="BS134" s="59">
        <f ca="1">SUMPRODUCT($CA134:$DI134,'General Inputs'!$F$32:$AN$32,'General Inputs'!$F$55:$AN$55)/(1-Loss_ElectricEnergy)</f>
        <v>30856.174393723275</v>
      </c>
      <c r="BT134" s="59">
        <f ca="1">SUMPRODUCT($DK134:$ES134,'General Inputs'!$F$33:$AN$33,'General Inputs'!$F$55:$AN$55)/(1-Loss_ElectricDemand)</f>
        <v>5157.1411950891124</v>
      </c>
      <c r="BU134" s="59">
        <f ca="1">SUMPRODUCT($EU134:$GC134,'General Inputs'!$F$34:$AN$34,'General Inputs'!$F$55:$AN$55)/(1-Loss_GasEnergy)</f>
        <v>0</v>
      </c>
      <c r="BV134" s="59">
        <f ca="1">SUMPRODUCT($CA134:$DI134,OFFSET('General Inputs'!$F$40:$AN$40,MATCH($D134&amp;" Electric ($/kWh)",'General Inputs'!$E$40:$E$46,0),),'General Inputs'!$F$55:$AN$55)</f>
        <v>122099.29267482297</v>
      </c>
      <c r="BW134" s="59">
        <f ca="1">SUMPRODUCT($EU134:$GC134,OFFSET('General Inputs'!$F$40:$AN$40,MATCH($D134&amp;" Natural Gas ($/therm)",'General Inputs'!$E$40:$E$46,0),),'General Inputs'!$F$55:$AN$55)</f>
        <v>0</v>
      </c>
      <c r="BX134" s="59">
        <f ca="1">INDEX('General Inputs'!$F$55:$AN$55,MATCH($H134,'General Inputs'!$F$50:$AN$50,0))*$AI134</f>
        <v>4134.5093715545754</v>
      </c>
      <c r="BY134" s="59">
        <f ca="1">INDEX('General Inputs'!$F$51:$AN$51,MATCH($H134,'General Inputs'!$F$50:$AN$50,0))*$AM134</f>
        <v>0</v>
      </c>
      <c r="BZ134" s="55"/>
      <c r="CA134" s="88">
        <f t="shared" ca="1" si="346"/>
        <v>0</v>
      </c>
      <c r="CB134" s="88">
        <f t="shared" ca="1" si="346"/>
        <v>108226.19814241484</v>
      </c>
      <c r="CC134" s="88">
        <f t="shared" ca="1" si="346"/>
        <v>108226.19814241484</v>
      </c>
      <c r="CD134" s="88">
        <f t="shared" ca="1" si="346"/>
        <v>108226.19814241484</v>
      </c>
      <c r="CE134" s="88">
        <f t="shared" ca="1" si="346"/>
        <v>108226.19814241484</v>
      </c>
      <c r="CF134" s="88">
        <f t="shared" ca="1" si="346"/>
        <v>108226.19814241484</v>
      </c>
      <c r="CG134" s="88">
        <f t="shared" ca="1" si="346"/>
        <v>108226.19814241484</v>
      </c>
      <c r="CH134" s="88">
        <f t="shared" ca="1" si="346"/>
        <v>108226.19814241484</v>
      </c>
      <c r="CI134" s="88">
        <f t="shared" ca="1" si="346"/>
        <v>108226.19814241484</v>
      </c>
      <c r="CJ134" s="88">
        <f t="shared" ca="1" si="346"/>
        <v>108226.19814241484</v>
      </c>
      <c r="CK134" s="88">
        <f t="shared" ca="1" si="347"/>
        <v>108226.19814241484</v>
      </c>
      <c r="CL134" s="88">
        <f t="shared" ca="1" si="347"/>
        <v>108226.19814241484</v>
      </c>
      <c r="CM134" s="88">
        <f t="shared" ca="1" si="347"/>
        <v>108226.19814241484</v>
      </c>
      <c r="CN134" s="88">
        <f t="shared" ca="1" si="347"/>
        <v>108226.19814241484</v>
      </c>
      <c r="CO134" s="88">
        <f t="shared" ca="1" si="347"/>
        <v>108226.19814241484</v>
      </c>
      <c r="CP134" s="88">
        <f t="shared" ca="1" si="347"/>
        <v>108226.19814241484</v>
      </c>
      <c r="CQ134" s="88">
        <f t="shared" ca="1" si="347"/>
        <v>108226.19814241484</v>
      </c>
      <c r="CR134" s="88">
        <f t="shared" ca="1" si="347"/>
        <v>108226.19814241484</v>
      </c>
      <c r="CS134" s="88">
        <f t="shared" ca="1" si="347"/>
        <v>108226.19814241484</v>
      </c>
      <c r="CT134" s="88">
        <f t="shared" ca="1" si="347"/>
        <v>0</v>
      </c>
      <c r="CU134" s="88">
        <f t="shared" ca="1" si="348"/>
        <v>0</v>
      </c>
      <c r="CV134" s="88">
        <f t="shared" ca="1" si="348"/>
        <v>0</v>
      </c>
      <c r="CW134" s="88">
        <f t="shared" ca="1" si="348"/>
        <v>0</v>
      </c>
      <c r="CX134" s="88">
        <f t="shared" ca="1" si="348"/>
        <v>0</v>
      </c>
      <c r="CY134" s="88">
        <f t="shared" ca="1" si="348"/>
        <v>0</v>
      </c>
      <c r="CZ134" s="88">
        <f t="shared" ca="1" si="348"/>
        <v>0</v>
      </c>
      <c r="DA134" s="88">
        <f t="shared" ca="1" si="348"/>
        <v>0</v>
      </c>
      <c r="DB134" s="88">
        <f t="shared" ca="1" si="348"/>
        <v>0</v>
      </c>
      <c r="DC134" s="88">
        <f t="shared" ca="1" si="348"/>
        <v>0</v>
      </c>
      <c r="DD134" s="88">
        <f t="shared" ca="1" si="348"/>
        <v>0</v>
      </c>
      <c r="DE134" s="88">
        <f t="shared" ca="1" si="348"/>
        <v>0</v>
      </c>
      <c r="DF134" s="88">
        <f t="shared" ca="1" si="348"/>
        <v>0</v>
      </c>
      <c r="DG134" s="88">
        <f t="shared" ca="1" si="348"/>
        <v>0</v>
      </c>
      <c r="DH134" s="88">
        <f t="shared" ca="1" si="348"/>
        <v>0</v>
      </c>
      <c r="DI134" s="88">
        <f t="shared" ca="1" si="348"/>
        <v>0</v>
      </c>
      <c r="DJ134" s="169"/>
      <c r="DK134" s="88">
        <f t="shared" ca="1" si="349"/>
        <v>0</v>
      </c>
      <c r="DL134" s="88">
        <f t="shared" ca="1" si="349"/>
        <v>25.148133116883113</v>
      </c>
      <c r="DM134" s="88">
        <f t="shared" ca="1" si="349"/>
        <v>25.148133116883113</v>
      </c>
      <c r="DN134" s="88">
        <f t="shared" ca="1" si="349"/>
        <v>25.148133116883113</v>
      </c>
      <c r="DO134" s="88">
        <f t="shared" ca="1" si="349"/>
        <v>25.148133116883113</v>
      </c>
      <c r="DP134" s="88">
        <f t="shared" ca="1" si="349"/>
        <v>25.148133116883113</v>
      </c>
      <c r="DQ134" s="88">
        <f t="shared" ca="1" si="349"/>
        <v>25.148133116883113</v>
      </c>
      <c r="DR134" s="88">
        <f t="shared" ca="1" si="349"/>
        <v>25.148133116883113</v>
      </c>
      <c r="DS134" s="88">
        <f t="shared" ca="1" si="349"/>
        <v>25.148133116883113</v>
      </c>
      <c r="DT134" s="88">
        <f t="shared" ca="1" si="349"/>
        <v>25.148133116883113</v>
      </c>
      <c r="DU134" s="88">
        <f t="shared" ca="1" si="350"/>
        <v>25.148133116883113</v>
      </c>
      <c r="DV134" s="88">
        <f t="shared" ca="1" si="350"/>
        <v>25.148133116883113</v>
      </c>
      <c r="DW134" s="88">
        <f t="shared" ca="1" si="350"/>
        <v>25.148133116883113</v>
      </c>
      <c r="DX134" s="88">
        <f t="shared" ca="1" si="350"/>
        <v>25.148133116883113</v>
      </c>
      <c r="DY134" s="88">
        <f t="shared" ca="1" si="350"/>
        <v>25.148133116883113</v>
      </c>
      <c r="DZ134" s="88">
        <f t="shared" ca="1" si="350"/>
        <v>25.148133116883113</v>
      </c>
      <c r="EA134" s="88">
        <f t="shared" ca="1" si="350"/>
        <v>25.148133116883113</v>
      </c>
      <c r="EB134" s="88">
        <f t="shared" ca="1" si="350"/>
        <v>25.148133116883113</v>
      </c>
      <c r="EC134" s="88">
        <f t="shared" ca="1" si="350"/>
        <v>25.148133116883113</v>
      </c>
      <c r="ED134" s="88">
        <f t="shared" ca="1" si="350"/>
        <v>0</v>
      </c>
      <c r="EE134" s="88">
        <f t="shared" ca="1" si="351"/>
        <v>0</v>
      </c>
      <c r="EF134" s="88">
        <f t="shared" ca="1" si="351"/>
        <v>0</v>
      </c>
      <c r="EG134" s="88">
        <f t="shared" ca="1" si="351"/>
        <v>0</v>
      </c>
      <c r="EH134" s="88">
        <f t="shared" ca="1" si="351"/>
        <v>0</v>
      </c>
      <c r="EI134" s="88">
        <f t="shared" ca="1" si="351"/>
        <v>0</v>
      </c>
      <c r="EJ134" s="88">
        <f t="shared" ca="1" si="351"/>
        <v>0</v>
      </c>
      <c r="EK134" s="88">
        <f t="shared" ca="1" si="351"/>
        <v>0</v>
      </c>
      <c r="EL134" s="88">
        <f t="shared" ca="1" si="351"/>
        <v>0</v>
      </c>
      <c r="EM134" s="88">
        <f t="shared" ca="1" si="351"/>
        <v>0</v>
      </c>
      <c r="EN134" s="88">
        <f t="shared" ca="1" si="351"/>
        <v>0</v>
      </c>
      <c r="EO134" s="88">
        <f t="shared" ca="1" si="351"/>
        <v>0</v>
      </c>
      <c r="EP134" s="88">
        <f t="shared" ca="1" si="351"/>
        <v>0</v>
      </c>
      <c r="EQ134" s="88">
        <f t="shared" ca="1" si="351"/>
        <v>0</v>
      </c>
      <c r="ER134" s="88">
        <f t="shared" ca="1" si="351"/>
        <v>0</v>
      </c>
      <c r="ES134" s="88">
        <f t="shared" ca="1" si="351"/>
        <v>0</v>
      </c>
      <c r="ET134" s="169"/>
      <c r="EU134" s="88">
        <f t="shared" ca="1" si="352"/>
        <v>0</v>
      </c>
      <c r="EV134" s="88">
        <f t="shared" ca="1" si="352"/>
        <v>0</v>
      </c>
      <c r="EW134" s="88">
        <f t="shared" ca="1" si="352"/>
        <v>0</v>
      </c>
      <c r="EX134" s="88">
        <f t="shared" ca="1" si="352"/>
        <v>0</v>
      </c>
      <c r="EY134" s="88">
        <f t="shared" ca="1" si="352"/>
        <v>0</v>
      </c>
      <c r="EZ134" s="88">
        <f t="shared" ca="1" si="352"/>
        <v>0</v>
      </c>
      <c r="FA134" s="88">
        <f t="shared" ca="1" si="352"/>
        <v>0</v>
      </c>
      <c r="FB134" s="88">
        <f t="shared" ca="1" si="352"/>
        <v>0</v>
      </c>
      <c r="FC134" s="88">
        <f t="shared" ca="1" si="352"/>
        <v>0</v>
      </c>
      <c r="FD134" s="88">
        <f t="shared" ca="1" si="352"/>
        <v>0</v>
      </c>
      <c r="FE134" s="88">
        <f t="shared" ca="1" si="353"/>
        <v>0</v>
      </c>
      <c r="FF134" s="88">
        <f t="shared" ca="1" si="353"/>
        <v>0</v>
      </c>
      <c r="FG134" s="88">
        <f t="shared" ca="1" si="353"/>
        <v>0</v>
      </c>
      <c r="FH134" s="88">
        <f t="shared" ca="1" si="353"/>
        <v>0</v>
      </c>
      <c r="FI134" s="88">
        <f t="shared" ca="1" si="353"/>
        <v>0</v>
      </c>
      <c r="FJ134" s="88">
        <f t="shared" ca="1" si="353"/>
        <v>0</v>
      </c>
      <c r="FK134" s="88">
        <f t="shared" ca="1" si="353"/>
        <v>0</v>
      </c>
      <c r="FL134" s="88">
        <f t="shared" ca="1" si="353"/>
        <v>0</v>
      </c>
      <c r="FM134" s="88">
        <f t="shared" ca="1" si="353"/>
        <v>0</v>
      </c>
      <c r="FN134" s="88">
        <f t="shared" ca="1" si="353"/>
        <v>0</v>
      </c>
      <c r="FO134" s="88">
        <f t="shared" ca="1" si="354"/>
        <v>0</v>
      </c>
      <c r="FP134" s="88">
        <f t="shared" ca="1" si="354"/>
        <v>0</v>
      </c>
      <c r="FQ134" s="88">
        <f t="shared" ca="1" si="354"/>
        <v>0</v>
      </c>
      <c r="FR134" s="88">
        <f t="shared" ca="1" si="354"/>
        <v>0</v>
      </c>
      <c r="FS134" s="88">
        <f t="shared" ca="1" si="354"/>
        <v>0</v>
      </c>
      <c r="FT134" s="88">
        <f t="shared" ca="1" si="354"/>
        <v>0</v>
      </c>
      <c r="FU134" s="88">
        <f t="shared" ca="1" si="354"/>
        <v>0</v>
      </c>
      <c r="FV134" s="88">
        <f t="shared" ca="1" si="354"/>
        <v>0</v>
      </c>
      <c r="FW134" s="88">
        <f t="shared" ca="1" si="354"/>
        <v>0</v>
      </c>
      <c r="FX134" s="88">
        <f t="shared" ca="1" si="354"/>
        <v>0</v>
      </c>
      <c r="FY134" s="88">
        <f t="shared" ca="1" si="354"/>
        <v>0</v>
      </c>
      <c r="FZ134" s="88">
        <f t="shared" ca="1" si="354"/>
        <v>0</v>
      </c>
      <c r="GA134" s="88">
        <f t="shared" ca="1" si="354"/>
        <v>0</v>
      </c>
      <c r="GB134" s="88">
        <f t="shared" ca="1" si="354"/>
        <v>0</v>
      </c>
      <c r="GC134" s="88">
        <f t="shared" ca="1" si="354"/>
        <v>0</v>
      </c>
      <c r="GD134" s="60"/>
    </row>
    <row r="135" spans="1:186" s="54" customFormat="1" ht="14.45" customHeight="1">
      <c r="A135" s="61"/>
      <c r="B135" s="100" t="str">
        <f t="shared" si="345"/>
        <v>Residential_High Efficiency HVAC_0_Heat Pump Water Heater_2018</v>
      </c>
      <c r="C135" s="100">
        <f>INDEX('Measure Inputs'!$D:$D,MATCH($B135,'Measure Inputs'!$B:$B,0))</f>
        <v>87</v>
      </c>
      <c r="D135" s="101" t="s">
        <v>2</v>
      </c>
      <c r="E135" s="101" t="s">
        <v>250</v>
      </c>
      <c r="F135" s="101">
        <v>0</v>
      </c>
      <c r="G135" s="101" t="s">
        <v>260</v>
      </c>
      <c r="H135" s="101">
        <v>2018</v>
      </c>
      <c r="I135" s="55"/>
      <c r="J135" s="58">
        <f t="shared" ca="1" si="229"/>
        <v>0.60936073362775101</v>
      </c>
      <c r="K135" s="58">
        <f t="shared" ca="1" si="246"/>
        <v>2.388694075820784</v>
      </c>
      <c r="L135" s="58">
        <f t="shared" ca="1" si="230"/>
        <v>2.5869131643265133</v>
      </c>
      <c r="M135" s="58">
        <f t="shared" ca="1" si="231"/>
        <v>0.83298037495882449</v>
      </c>
      <c r="N135" s="58">
        <f t="shared" ca="1" si="232"/>
        <v>0.23555515586329864</v>
      </c>
      <c r="O135" s="55"/>
      <c r="P135" s="175">
        <f ca="1">IFERROR(($AW135+AV135)/SUMPRODUCT($CA135:$DI135,'General Inputs'!$F$51:$AN$51),"n/a")</f>
        <v>1.3646332130194255E-2</v>
      </c>
      <c r="Q135" s="175">
        <f t="shared" ca="1" si="309"/>
        <v>0.11215656092154104</v>
      </c>
      <c r="R135" s="56">
        <f t="shared" ca="1" si="310"/>
        <v>231.81880566209813</v>
      </c>
      <c r="S135" s="55"/>
      <c r="T135" s="56">
        <f ca="1">INDEX(OFFSET('Measure Inputs'!$L$7,,,InputRows),$C135)</f>
        <v>10</v>
      </c>
      <c r="U135" s="134">
        <f ca="1">INDEX(OFFSET('Measure Inputs'!$T$7,,,InputRows),$C135)</f>
        <v>1</v>
      </c>
      <c r="V135" s="134">
        <f ca="1">INDEX(OFFSET('Measure Inputs'!$U$7,,,InputRows),$C135)</f>
        <v>1</v>
      </c>
      <c r="W135" s="55"/>
      <c r="X135" s="96">
        <f ca="1">INDEX(OFFSET('Measure Inputs'!$V$7,,,InputRows),$C135)*$T135*$V135*$U135</f>
        <v>17832.2158201614</v>
      </c>
      <c r="Y135" s="96">
        <f ca="1">INDEX(OFFSET('Measure Inputs'!$W$7,,,InputRows),$C135)*$T135*$V135*$U135</f>
        <v>0.84479506451613418</v>
      </c>
      <c r="Z135" s="96">
        <f ca="1">INDEX(OFFSET('Measure Inputs'!$X$7,,,InputRows),$C135)*$T135*$V135*$U135</f>
        <v>0</v>
      </c>
      <c r="AA135" s="55"/>
      <c r="AB135" s="96">
        <f ca="1">INDEX(OFFSET('Measure Inputs'!$Z$7,,,InputRows),$C135)*$T135*$V135*$U135</f>
        <v>0</v>
      </c>
      <c r="AC135" s="96">
        <f ca="1">INDEX(OFFSET('Measure Inputs'!$AA$7,,,InputRows),$C135)*$T135*$V135*$U135</f>
        <v>0</v>
      </c>
      <c r="AD135" s="96">
        <f ca="1">INDEX(OFFSET('Measure Inputs'!$AB$7,,,InputRows),$C135)*$T135*$V135*$U135</f>
        <v>0</v>
      </c>
      <c r="AE135" s="55"/>
      <c r="AF135" s="57">
        <f ca="1">INDEX(OFFSET('Measure Inputs'!$Q$7,,,InputRows),$C135)*$T135</f>
        <v>0</v>
      </c>
      <c r="AG135" s="57">
        <f ca="1">INDEX(OFFSET('Measure Inputs'!$P$7,,,InputRows),$C135)*$T135*$V135</f>
        <v>7840</v>
      </c>
      <c r="AH135" s="57">
        <f ca="1">INDEX(OFFSET('Measure Inputs'!$R$7,,,InputRows),$C135)*$T135*$V135</f>
        <v>0</v>
      </c>
      <c r="AI135" s="57">
        <f ca="1">INDEX(OFFSET('Measure Inputs'!$O$7,,,InputRows),$C135)*$T135</f>
        <v>2000</v>
      </c>
      <c r="AJ135" s="57">
        <f ca="1">INDEX(OFFSET('Measure Inputs'!$S$7,,,InputRows),$C135)*$T135</f>
        <v>0</v>
      </c>
      <c r="AK135" s="63">
        <f ca="1">INDEX(OFFSET('Measure Inputs'!$M$7,,,InputRows),$C135)</f>
        <v>13</v>
      </c>
      <c r="AL135" s="88">
        <f ca="1">INDEX(OFFSET('Measure Inputs'!$N$7,,,InputRows),$C135)</f>
        <v>0</v>
      </c>
      <c r="AM135" s="57">
        <f ca="1">SUMIFS(OFFSET('Program Inputs'!$N$5,,,TotalPrograms),OFFSET('Program Inputs'!$B$5,,,TotalPrograms),SUBSTITUTE($B135,"All","*"))+AF135</f>
        <v>0</v>
      </c>
      <c r="AN135" s="57">
        <f t="shared" ca="1" si="311"/>
        <v>2000</v>
      </c>
      <c r="AO135" s="55"/>
      <c r="AP135" s="59">
        <f t="shared" ca="1" si="312"/>
        <v>4389.3680187813006</v>
      </c>
      <c r="AQ135" s="59">
        <f t="shared" ca="1" si="313"/>
        <v>7203.2341051084159</v>
      </c>
      <c r="AR135" s="59">
        <f ca="1">SUMPRODUCT($CA135:$DI135,'General Inputs'!$F$32:$AN$32,'General Inputs'!$F$51:$AN$51)/(1-Loss_ElectricEnergy)</f>
        <v>4244.7276630269207</v>
      </c>
      <c r="AS135" s="59">
        <f ca="1">SUMPRODUCT($DK135:$ES135,'General Inputs'!$F$33:$AN$33,'General Inputs'!$F$51:$AN$51)/(1-Loss_ElectricDemand)</f>
        <v>144.64035575437958</v>
      </c>
      <c r="AT135" s="59">
        <f ca="1">SUMPRODUCT($EU135:$GC135,'General Inputs'!$F$34:$AN$34,'General Inputs'!$F$51:$AN$51)/(1-Loss_GasEnergy)</f>
        <v>0</v>
      </c>
      <c r="AU135" s="59">
        <f ca="1">INDEX('General Inputs'!$F$51:$AN$51,MATCH($H135,'General Inputs'!$F$50:$AN$50,0))*$AJ135</f>
        <v>0</v>
      </c>
      <c r="AV135" s="59">
        <f ca="1">INDEX('General Inputs'!$F$51:$AN$51,MATCH($H135,'General Inputs'!$F$50:$AN$50,0))*$AI135</f>
        <v>1837.5597206909224</v>
      </c>
      <c r="AW135" s="59">
        <f ca="1">INDEX('General Inputs'!$F$51:$AN$51,MATCH($H135,'General Inputs'!$F$50:$AN$50,0))*$AM135</f>
        <v>0</v>
      </c>
      <c r="AX135" s="59">
        <f ca="1">SUM(INDEX('General Inputs'!$F$51:$AN$51,MATCH($H135,'General Inputs'!$F$50:$AN$50,0))*$AG135,INDEX('General Inputs'!$F$51:$AN$51,MATCH($H135+$AL135,'General Inputs'!$F$50:$AN$50,0))*-$AH135)</f>
        <v>7203.2341051084159</v>
      </c>
      <c r="AY135" s="55"/>
      <c r="AZ135" s="59">
        <f ca="1">SUMPRODUCT($CA135:$DI135,'General Inputs'!$F$32:$AN$32,'General Inputs'!$F$52:$AN$52)/(1-Loss_ElectricEnergy)</f>
        <v>4244.7276630269207</v>
      </c>
      <c r="BA135" s="59">
        <f ca="1">SUMPRODUCT($DK135:$ES135,'General Inputs'!$F$33:$AN$33,'General Inputs'!$F$52:$AN$52)/(1-Loss_ElectricDemand)</f>
        <v>144.64035575437958</v>
      </c>
      <c r="BB135" s="59">
        <f ca="1">SUMPRODUCT($EU135:$GC135,'General Inputs'!$F$34:$AN$34,'General Inputs'!$F$52:$AN$52)/(1-Loss_GasEnergy)</f>
        <v>0</v>
      </c>
      <c r="BC135" s="59">
        <f ca="1">INDEX('General Inputs'!$F$52:$AN$52,MATCH($H135,'General Inputs'!$F$50:$AN$50,0))*$AI135</f>
        <v>1837.5597206909224</v>
      </c>
      <c r="BD135" s="59">
        <f ca="1">INDEX('General Inputs'!$F$52:$AN$52,MATCH($H135,'General Inputs'!$F$50:$AN$50,0))*$AM135</f>
        <v>0</v>
      </c>
      <c r="BE135" s="55"/>
      <c r="BF135" s="59">
        <f ca="1">SUMPRODUCT($CA135:$DI135,OFFSET('General Inputs'!$F$40:$AN$40,MATCH($D135&amp;" Electric ($/kWh)",'General Inputs'!$E$40:$E$46,0),),'General Inputs'!$F$54:$AN$54)</f>
        <v>16796.581411539752</v>
      </c>
      <c r="BG135" s="59">
        <f ca="1">SUMPRODUCT($EU135:$GC135,OFFSET('General Inputs'!$F$40:$AN$40,MATCH($D135&amp;" Natural Gas ($/therm)",'General Inputs'!$E$40:$E$46,0),),'General Inputs'!$F$54:$AN$54)</f>
        <v>0</v>
      </c>
      <c r="BH135" s="59">
        <f ca="1">INDEX('General Inputs'!$F$54:$AN$54,MATCH($H135,'General Inputs'!$F$50:$AN$50,0))*$AI135</f>
        <v>1837.5597206909224</v>
      </c>
      <c r="BI135" s="59">
        <f ca="1">SUM(INDEX('General Inputs'!$F$54:$AN$54,MATCH($H135,'General Inputs'!$F$50:$AN$50,0))*$AG135,INDEX('General Inputs'!$F$51:$AN$51,MATCH($H135+$AL135,'General Inputs'!$F$50:$AN$50,0))*-$AH135)</f>
        <v>7203.2341051084159</v>
      </c>
      <c r="BJ135" s="55"/>
      <c r="BK135" s="59">
        <f ca="1">SUMPRODUCT($CA135:$DI135,'General Inputs'!$F$32:$AN$32,'General Inputs'!$F$53:$AN$53)/(1-Loss_ElectricEnergy)</f>
        <v>4244.7276630269207</v>
      </c>
      <c r="BL135" s="59">
        <f ca="1">SUMPRODUCT($DK135:$ES135,'General Inputs'!$F$33:$AN$33,'General Inputs'!$F$53:$AN$53)/(1-Loss_ElectricDemand)</f>
        <v>144.64035575437958</v>
      </c>
      <c r="BM135" s="59">
        <f ca="1">SUMPRODUCT($EU135:$GC135,'General Inputs'!$F$34:$AN$34,'General Inputs'!$F$53:$AN$53)/(1-Loss_GasEnergy)</f>
        <v>0</v>
      </c>
      <c r="BN135" s="59">
        <f ca="1">INDEX('General Inputs'!$F$53:$AN$53,MATCH($H135,'General Inputs'!$F$50:$AN$50,0))*$AJ135</f>
        <v>0</v>
      </c>
      <c r="BO135" s="59">
        <f ca="1">SUMPRODUCT($CA135:$DI135,'General Inputs'!$F$35:$AN$35,'General Inputs'!$F$53:$AN$53)/(1-Loss_ElectricEnergy)</f>
        <v>1610.7846270081002</v>
      </c>
      <c r="BP135" s="59">
        <f ca="1">INDEX('General Inputs'!$F$51:$AN$51,MATCH($H135,'General Inputs'!$F$50:$AN$50,0))*$AM135</f>
        <v>0</v>
      </c>
      <c r="BQ135" s="59">
        <f ca="1">SUM(INDEX('General Inputs'!$F$53:$AN$53,MATCH($H135,'General Inputs'!$F$50:$AN$50,0))*$AG135,INDEX('General Inputs'!$F$53:$AN$53,MATCH($H135+$AL135,'General Inputs'!$F$50:$AN$50,0))*-$AH135)</f>
        <v>7203.2341051084159</v>
      </c>
      <c r="BR135" s="55"/>
      <c r="BS135" s="59">
        <f ca="1">SUMPRODUCT($CA135:$DI135,'General Inputs'!$F$32:$AN$32,'General Inputs'!$F$55:$AN$55)/(1-Loss_ElectricEnergy)</f>
        <v>4244.7276630269207</v>
      </c>
      <c r="BT135" s="59">
        <f ca="1">SUMPRODUCT($DK135:$ES135,'General Inputs'!$F$33:$AN$33,'General Inputs'!$F$55:$AN$55)/(1-Loss_ElectricDemand)</f>
        <v>144.64035575437958</v>
      </c>
      <c r="BU135" s="59">
        <f ca="1">SUMPRODUCT($EU135:$GC135,'General Inputs'!$F$34:$AN$34,'General Inputs'!$F$55:$AN$55)/(1-Loss_GasEnergy)</f>
        <v>0</v>
      </c>
      <c r="BV135" s="59">
        <f ca="1">SUMPRODUCT($CA135:$DI135,OFFSET('General Inputs'!$F$40:$AN$40,MATCH($D135&amp;" Electric ($/kWh)",'General Inputs'!$E$40:$E$46,0),),'General Inputs'!$F$55:$AN$55)</f>
        <v>16796.581411539752</v>
      </c>
      <c r="BW135" s="59">
        <f ca="1">SUMPRODUCT($EU135:$GC135,OFFSET('General Inputs'!$F$40:$AN$40,MATCH($D135&amp;" Natural Gas ($/therm)",'General Inputs'!$E$40:$E$46,0),),'General Inputs'!$F$55:$AN$55)</f>
        <v>0</v>
      </c>
      <c r="BX135" s="59">
        <f ca="1">INDEX('General Inputs'!$F$55:$AN$55,MATCH($H135,'General Inputs'!$F$50:$AN$50,0))*$AI135</f>
        <v>1837.5597206909224</v>
      </c>
      <c r="BY135" s="59">
        <f ca="1">INDEX('General Inputs'!$F$51:$AN$51,MATCH($H135,'General Inputs'!$F$50:$AN$50,0))*$AM135</f>
        <v>0</v>
      </c>
      <c r="BZ135" s="55"/>
      <c r="CA135" s="88">
        <f t="shared" ca="1" si="346"/>
        <v>0</v>
      </c>
      <c r="CB135" s="88">
        <f t="shared" ca="1" si="346"/>
        <v>17832.2158201614</v>
      </c>
      <c r="CC135" s="88">
        <f t="shared" ca="1" si="346"/>
        <v>17832.2158201614</v>
      </c>
      <c r="CD135" s="88">
        <f t="shared" ca="1" si="346"/>
        <v>17832.2158201614</v>
      </c>
      <c r="CE135" s="88">
        <f t="shared" ca="1" si="346"/>
        <v>17832.2158201614</v>
      </c>
      <c r="CF135" s="88">
        <f t="shared" ca="1" si="346"/>
        <v>17832.2158201614</v>
      </c>
      <c r="CG135" s="88">
        <f t="shared" ca="1" si="346"/>
        <v>17832.2158201614</v>
      </c>
      <c r="CH135" s="88">
        <f t="shared" ca="1" si="346"/>
        <v>17832.2158201614</v>
      </c>
      <c r="CI135" s="88">
        <f t="shared" ca="1" si="346"/>
        <v>17832.2158201614</v>
      </c>
      <c r="CJ135" s="88">
        <f t="shared" ca="1" si="346"/>
        <v>17832.2158201614</v>
      </c>
      <c r="CK135" s="88">
        <f t="shared" ca="1" si="347"/>
        <v>17832.2158201614</v>
      </c>
      <c r="CL135" s="88">
        <f t="shared" ca="1" si="347"/>
        <v>17832.2158201614</v>
      </c>
      <c r="CM135" s="88">
        <f t="shared" ca="1" si="347"/>
        <v>17832.2158201614</v>
      </c>
      <c r="CN135" s="88">
        <f t="shared" ca="1" si="347"/>
        <v>17832.2158201614</v>
      </c>
      <c r="CO135" s="88">
        <f t="shared" ca="1" si="347"/>
        <v>0</v>
      </c>
      <c r="CP135" s="88">
        <f t="shared" ca="1" si="347"/>
        <v>0</v>
      </c>
      <c r="CQ135" s="88">
        <f t="shared" ca="1" si="347"/>
        <v>0</v>
      </c>
      <c r="CR135" s="88">
        <f t="shared" ca="1" si="347"/>
        <v>0</v>
      </c>
      <c r="CS135" s="88">
        <f t="shared" ca="1" si="347"/>
        <v>0</v>
      </c>
      <c r="CT135" s="88">
        <f t="shared" ca="1" si="347"/>
        <v>0</v>
      </c>
      <c r="CU135" s="88">
        <f t="shared" ca="1" si="348"/>
        <v>0</v>
      </c>
      <c r="CV135" s="88">
        <f t="shared" ca="1" si="348"/>
        <v>0</v>
      </c>
      <c r="CW135" s="88">
        <f t="shared" ca="1" si="348"/>
        <v>0</v>
      </c>
      <c r="CX135" s="88">
        <f t="shared" ca="1" si="348"/>
        <v>0</v>
      </c>
      <c r="CY135" s="88">
        <f t="shared" ca="1" si="348"/>
        <v>0</v>
      </c>
      <c r="CZ135" s="88">
        <f t="shared" ca="1" si="348"/>
        <v>0</v>
      </c>
      <c r="DA135" s="88">
        <f t="shared" ca="1" si="348"/>
        <v>0</v>
      </c>
      <c r="DB135" s="88">
        <f t="shared" ca="1" si="348"/>
        <v>0</v>
      </c>
      <c r="DC135" s="88">
        <f t="shared" ca="1" si="348"/>
        <v>0</v>
      </c>
      <c r="DD135" s="88">
        <f t="shared" ca="1" si="348"/>
        <v>0</v>
      </c>
      <c r="DE135" s="88">
        <f t="shared" ca="1" si="348"/>
        <v>0</v>
      </c>
      <c r="DF135" s="88">
        <f t="shared" ca="1" si="348"/>
        <v>0</v>
      </c>
      <c r="DG135" s="88">
        <f t="shared" ca="1" si="348"/>
        <v>0</v>
      </c>
      <c r="DH135" s="88">
        <f t="shared" ca="1" si="348"/>
        <v>0</v>
      </c>
      <c r="DI135" s="88">
        <f t="shared" ca="1" si="348"/>
        <v>0</v>
      </c>
      <c r="DJ135" s="169"/>
      <c r="DK135" s="88">
        <f t="shared" ca="1" si="349"/>
        <v>0</v>
      </c>
      <c r="DL135" s="88">
        <f t="shared" ca="1" si="349"/>
        <v>0.84479506451613418</v>
      </c>
      <c r="DM135" s="88">
        <f t="shared" ca="1" si="349"/>
        <v>0.84479506451613418</v>
      </c>
      <c r="DN135" s="88">
        <f t="shared" ca="1" si="349"/>
        <v>0.84479506451613418</v>
      </c>
      <c r="DO135" s="88">
        <f t="shared" ca="1" si="349"/>
        <v>0.84479506451613418</v>
      </c>
      <c r="DP135" s="88">
        <f t="shared" ca="1" si="349"/>
        <v>0.84479506451613418</v>
      </c>
      <c r="DQ135" s="88">
        <f t="shared" ca="1" si="349"/>
        <v>0.84479506451613418</v>
      </c>
      <c r="DR135" s="88">
        <f t="shared" ca="1" si="349"/>
        <v>0.84479506451613418</v>
      </c>
      <c r="DS135" s="88">
        <f t="shared" ca="1" si="349"/>
        <v>0.84479506451613418</v>
      </c>
      <c r="DT135" s="88">
        <f t="shared" ca="1" si="349"/>
        <v>0.84479506451613418</v>
      </c>
      <c r="DU135" s="88">
        <f t="shared" ca="1" si="350"/>
        <v>0.84479506451613418</v>
      </c>
      <c r="DV135" s="88">
        <f t="shared" ca="1" si="350"/>
        <v>0.84479506451613418</v>
      </c>
      <c r="DW135" s="88">
        <f t="shared" ca="1" si="350"/>
        <v>0.84479506451613418</v>
      </c>
      <c r="DX135" s="88">
        <f t="shared" ca="1" si="350"/>
        <v>0.84479506451613418</v>
      </c>
      <c r="DY135" s="88">
        <f t="shared" ca="1" si="350"/>
        <v>0</v>
      </c>
      <c r="DZ135" s="88">
        <f t="shared" ca="1" si="350"/>
        <v>0</v>
      </c>
      <c r="EA135" s="88">
        <f t="shared" ca="1" si="350"/>
        <v>0</v>
      </c>
      <c r="EB135" s="88">
        <f t="shared" ca="1" si="350"/>
        <v>0</v>
      </c>
      <c r="EC135" s="88">
        <f t="shared" ca="1" si="350"/>
        <v>0</v>
      </c>
      <c r="ED135" s="88">
        <f t="shared" ca="1" si="350"/>
        <v>0</v>
      </c>
      <c r="EE135" s="88">
        <f t="shared" ca="1" si="351"/>
        <v>0</v>
      </c>
      <c r="EF135" s="88">
        <f t="shared" ca="1" si="351"/>
        <v>0</v>
      </c>
      <c r="EG135" s="88">
        <f t="shared" ca="1" si="351"/>
        <v>0</v>
      </c>
      <c r="EH135" s="88">
        <f t="shared" ca="1" si="351"/>
        <v>0</v>
      </c>
      <c r="EI135" s="88">
        <f t="shared" ca="1" si="351"/>
        <v>0</v>
      </c>
      <c r="EJ135" s="88">
        <f t="shared" ca="1" si="351"/>
        <v>0</v>
      </c>
      <c r="EK135" s="88">
        <f t="shared" ca="1" si="351"/>
        <v>0</v>
      </c>
      <c r="EL135" s="88">
        <f t="shared" ca="1" si="351"/>
        <v>0</v>
      </c>
      <c r="EM135" s="88">
        <f t="shared" ca="1" si="351"/>
        <v>0</v>
      </c>
      <c r="EN135" s="88">
        <f t="shared" ca="1" si="351"/>
        <v>0</v>
      </c>
      <c r="EO135" s="88">
        <f t="shared" ca="1" si="351"/>
        <v>0</v>
      </c>
      <c r="EP135" s="88">
        <f t="shared" ca="1" si="351"/>
        <v>0</v>
      </c>
      <c r="EQ135" s="88">
        <f t="shared" ca="1" si="351"/>
        <v>0</v>
      </c>
      <c r="ER135" s="88">
        <f t="shared" ca="1" si="351"/>
        <v>0</v>
      </c>
      <c r="ES135" s="88">
        <f t="shared" ca="1" si="351"/>
        <v>0</v>
      </c>
      <c r="ET135" s="169"/>
      <c r="EU135" s="88">
        <f t="shared" ca="1" si="352"/>
        <v>0</v>
      </c>
      <c r="EV135" s="88">
        <f t="shared" ca="1" si="352"/>
        <v>0</v>
      </c>
      <c r="EW135" s="88">
        <f t="shared" ca="1" si="352"/>
        <v>0</v>
      </c>
      <c r="EX135" s="88">
        <f t="shared" ca="1" si="352"/>
        <v>0</v>
      </c>
      <c r="EY135" s="88">
        <f t="shared" ca="1" si="352"/>
        <v>0</v>
      </c>
      <c r="EZ135" s="88">
        <f t="shared" ca="1" si="352"/>
        <v>0</v>
      </c>
      <c r="FA135" s="88">
        <f t="shared" ca="1" si="352"/>
        <v>0</v>
      </c>
      <c r="FB135" s="88">
        <f t="shared" ca="1" si="352"/>
        <v>0</v>
      </c>
      <c r="FC135" s="88">
        <f t="shared" ca="1" si="352"/>
        <v>0</v>
      </c>
      <c r="FD135" s="88">
        <f t="shared" ca="1" si="352"/>
        <v>0</v>
      </c>
      <c r="FE135" s="88">
        <f t="shared" ca="1" si="353"/>
        <v>0</v>
      </c>
      <c r="FF135" s="88">
        <f t="shared" ca="1" si="353"/>
        <v>0</v>
      </c>
      <c r="FG135" s="88">
        <f t="shared" ca="1" si="353"/>
        <v>0</v>
      </c>
      <c r="FH135" s="88">
        <f t="shared" ca="1" si="353"/>
        <v>0</v>
      </c>
      <c r="FI135" s="88">
        <f t="shared" ca="1" si="353"/>
        <v>0</v>
      </c>
      <c r="FJ135" s="88">
        <f t="shared" ca="1" si="353"/>
        <v>0</v>
      </c>
      <c r="FK135" s="88">
        <f t="shared" ca="1" si="353"/>
        <v>0</v>
      </c>
      <c r="FL135" s="88">
        <f t="shared" ca="1" si="353"/>
        <v>0</v>
      </c>
      <c r="FM135" s="88">
        <f t="shared" ca="1" si="353"/>
        <v>0</v>
      </c>
      <c r="FN135" s="88">
        <f t="shared" ca="1" si="353"/>
        <v>0</v>
      </c>
      <c r="FO135" s="88">
        <f t="shared" ca="1" si="354"/>
        <v>0</v>
      </c>
      <c r="FP135" s="88">
        <f t="shared" ca="1" si="354"/>
        <v>0</v>
      </c>
      <c r="FQ135" s="88">
        <f t="shared" ca="1" si="354"/>
        <v>0</v>
      </c>
      <c r="FR135" s="88">
        <f t="shared" ca="1" si="354"/>
        <v>0</v>
      </c>
      <c r="FS135" s="88">
        <f t="shared" ca="1" si="354"/>
        <v>0</v>
      </c>
      <c r="FT135" s="88">
        <f t="shared" ca="1" si="354"/>
        <v>0</v>
      </c>
      <c r="FU135" s="88">
        <f t="shared" ca="1" si="354"/>
        <v>0</v>
      </c>
      <c r="FV135" s="88">
        <f t="shared" ca="1" si="354"/>
        <v>0</v>
      </c>
      <c r="FW135" s="88">
        <f t="shared" ca="1" si="354"/>
        <v>0</v>
      </c>
      <c r="FX135" s="88">
        <f t="shared" ca="1" si="354"/>
        <v>0</v>
      </c>
      <c r="FY135" s="88">
        <f t="shared" ca="1" si="354"/>
        <v>0</v>
      </c>
      <c r="FZ135" s="88">
        <f t="shared" ca="1" si="354"/>
        <v>0</v>
      </c>
      <c r="GA135" s="88">
        <f t="shared" ca="1" si="354"/>
        <v>0</v>
      </c>
      <c r="GB135" s="88">
        <f t="shared" ca="1" si="354"/>
        <v>0</v>
      </c>
      <c r="GC135" s="88">
        <f t="shared" ca="1" si="354"/>
        <v>0</v>
      </c>
      <c r="GD135" s="60"/>
    </row>
    <row r="136" spans="1:186" s="54" customFormat="1" ht="14.45" customHeight="1">
      <c r="A136" s="61"/>
      <c r="B136" s="100" t="str">
        <f t="shared" si="345"/>
        <v>Residential_High Efficiency HVAC_0_Geothermal EER ≥17.1, COP ≥3.6_2018</v>
      </c>
      <c r="C136" s="100">
        <f>INDEX('Measure Inputs'!$D:$D,MATCH($B136,'Measure Inputs'!$B:$B,0))</f>
        <v>88</v>
      </c>
      <c r="D136" s="101" t="s">
        <v>2</v>
      </c>
      <c r="E136" s="101" t="s">
        <v>250</v>
      </c>
      <c r="F136" s="101">
        <v>0</v>
      </c>
      <c r="G136" s="101" t="s">
        <v>610</v>
      </c>
      <c r="H136" s="101">
        <v>2018</v>
      </c>
      <c r="I136" s="55"/>
      <c r="J136" s="58" t="str">
        <f t="shared" ca="1" si="229"/>
        <v>n/a</v>
      </c>
      <c r="K136" s="58" t="str">
        <f t="shared" ca="1" si="246"/>
        <v>n/a</v>
      </c>
      <c r="L136" s="58" t="str">
        <f t="shared" ca="1" si="230"/>
        <v>n/a</v>
      </c>
      <c r="M136" s="58" t="str">
        <f t="shared" ca="1" si="231"/>
        <v>n/a</v>
      </c>
      <c r="N136" s="58" t="str">
        <f t="shared" ca="1" si="232"/>
        <v>n/a</v>
      </c>
      <c r="O136" s="55"/>
      <c r="P136" s="175" t="str">
        <f ca="1">IFERROR(($AW136+AV136)/SUMPRODUCT($CA136:$DI136,'General Inputs'!$F$51:$AN$51),"n/a")</f>
        <v>n/a</v>
      </c>
      <c r="Q136" s="175" t="str">
        <f t="shared" ca="1" si="309"/>
        <v>n/a</v>
      </c>
      <c r="R136" s="56">
        <f t="shared" ca="1" si="310"/>
        <v>0</v>
      </c>
      <c r="S136" s="55"/>
      <c r="T136" s="56">
        <f ca="1">INDEX(OFFSET('Measure Inputs'!$L$7,,,InputRows),$C136)</f>
        <v>0</v>
      </c>
      <c r="U136" s="134">
        <f ca="1">INDEX(OFFSET('Measure Inputs'!$T$7,,,InputRows),$C136)</f>
        <v>1</v>
      </c>
      <c r="V136" s="134">
        <f ca="1">INDEX(OFFSET('Measure Inputs'!$U$7,,,InputRows),$C136)</f>
        <v>1</v>
      </c>
      <c r="W136" s="55"/>
      <c r="X136" s="96">
        <f ca="1">INDEX(OFFSET('Measure Inputs'!$V$7,,,InputRows),$C136)*$T136*$V136*$U136</f>
        <v>0</v>
      </c>
      <c r="Y136" s="96">
        <f ca="1">INDEX(OFFSET('Measure Inputs'!$W$7,,,InputRows),$C136)*$T136*$V136*$U136</f>
        <v>0</v>
      </c>
      <c r="Z136" s="96">
        <f ca="1">INDEX(OFFSET('Measure Inputs'!$X$7,,,InputRows),$C136)*$T136*$V136*$U136</f>
        <v>0</v>
      </c>
      <c r="AA136" s="55"/>
      <c r="AB136" s="96">
        <f ca="1">INDEX(OFFSET('Measure Inputs'!$Z$7,,,InputRows),$C136)*$T136*$V136*$U136</f>
        <v>0</v>
      </c>
      <c r="AC136" s="96">
        <f ca="1">INDEX(OFFSET('Measure Inputs'!$AA$7,,,InputRows),$C136)*$T136*$V136*$U136</f>
        <v>0</v>
      </c>
      <c r="AD136" s="96">
        <f ca="1">INDEX(OFFSET('Measure Inputs'!$AB$7,,,InputRows),$C136)*$T136*$V136*$U136</f>
        <v>0</v>
      </c>
      <c r="AE136" s="55"/>
      <c r="AF136" s="57">
        <f ca="1">INDEX(OFFSET('Measure Inputs'!$Q$7,,,InputRows),$C136)*$T136</f>
        <v>0</v>
      </c>
      <c r="AG136" s="57">
        <f ca="1">INDEX(OFFSET('Measure Inputs'!$P$7,,,InputRows),$C136)*$T136*$V136</f>
        <v>0</v>
      </c>
      <c r="AH136" s="57">
        <f ca="1">INDEX(OFFSET('Measure Inputs'!$R$7,,,InputRows),$C136)*$T136*$V136</f>
        <v>0</v>
      </c>
      <c r="AI136" s="57">
        <f ca="1">INDEX(OFFSET('Measure Inputs'!$O$7,,,InputRows),$C136)*$T136</f>
        <v>0</v>
      </c>
      <c r="AJ136" s="57">
        <f ca="1">INDEX(OFFSET('Measure Inputs'!$S$7,,,InputRows),$C136)*$T136</f>
        <v>0</v>
      </c>
      <c r="AK136" s="63">
        <f ca="1">INDEX(OFFSET('Measure Inputs'!$M$7,,,InputRows),$C136)</f>
        <v>25</v>
      </c>
      <c r="AL136" s="88">
        <f ca="1">INDEX(OFFSET('Measure Inputs'!$N$7,,,InputRows),$C136)</f>
        <v>0</v>
      </c>
      <c r="AM136" s="57">
        <f ca="1">SUMIFS(OFFSET('Program Inputs'!$N$5,,,TotalPrograms),OFFSET('Program Inputs'!$B$5,,,TotalPrograms),SUBSTITUTE($B136,"All","*"))+AF136</f>
        <v>0</v>
      </c>
      <c r="AN136" s="57">
        <f t="shared" ca="1" si="311"/>
        <v>0</v>
      </c>
      <c r="AO136" s="55"/>
      <c r="AP136" s="59">
        <f t="shared" ca="1" si="312"/>
        <v>0</v>
      </c>
      <c r="AQ136" s="59">
        <f t="shared" ca="1" si="313"/>
        <v>0</v>
      </c>
      <c r="AR136" s="59">
        <f ca="1">SUMPRODUCT($CA136:$DI136,'General Inputs'!$F$32:$AN$32,'General Inputs'!$F$51:$AN$51)/(1-Loss_ElectricEnergy)</f>
        <v>0</v>
      </c>
      <c r="AS136" s="59">
        <f ca="1">SUMPRODUCT($DK136:$ES136,'General Inputs'!$F$33:$AN$33,'General Inputs'!$F$51:$AN$51)/(1-Loss_ElectricDemand)</f>
        <v>0</v>
      </c>
      <c r="AT136" s="59">
        <f ca="1">SUMPRODUCT($EU136:$GC136,'General Inputs'!$F$34:$AN$34,'General Inputs'!$F$51:$AN$51)/(1-Loss_GasEnergy)</f>
        <v>0</v>
      </c>
      <c r="AU136" s="59">
        <f ca="1">INDEX('General Inputs'!$F$51:$AN$51,MATCH($H136,'General Inputs'!$F$50:$AN$50,0))*$AJ136</f>
        <v>0</v>
      </c>
      <c r="AV136" s="59">
        <f ca="1">INDEX('General Inputs'!$F$51:$AN$51,MATCH($H136,'General Inputs'!$F$50:$AN$50,0))*$AI136</f>
        <v>0</v>
      </c>
      <c r="AW136" s="59">
        <f ca="1">INDEX('General Inputs'!$F$51:$AN$51,MATCH($H136,'General Inputs'!$F$50:$AN$50,0))*$AM136</f>
        <v>0</v>
      </c>
      <c r="AX136" s="59">
        <f ca="1">SUM(INDEX('General Inputs'!$F$51:$AN$51,MATCH($H136,'General Inputs'!$F$50:$AN$50,0))*$AG136,INDEX('General Inputs'!$F$51:$AN$51,MATCH($H136+$AL136,'General Inputs'!$F$50:$AN$50,0))*-$AH136)</f>
        <v>0</v>
      </c>
      <c r="AY136" s="55"/>
      <c r="AZ136" s="59">
        <f ca="1">SUMPRODUCT($CA136:$DI136,'General Inputs'!$F$32:$AN$32,'General Inputs'!$F$52:$AN$52)/(1-Loss_ElectricEnergy)</f>
        <v>0</v>
      </c>
      <c r="BA136" s="59">
        <f ca="1">SUMPRODUCT($DK136:$ES136,'General Inputs'!$F$33:$AN$33,'General Inputs'!$F$52:$AN$52)/(1-Loss_ElectricDemand)</f>
        <v>0</v>
      </c>
      <c r="BB136" s="59">
        <f ca="1">SUMPRODUCT($EU136:$GC136,'General Inputs'!$F$34:$AN$34,'General Inputs'!$F$52:$AN$52)/(1-Loss_GasEnergy)</f>
        <v>0</v>
      </c>
      <c r="BC136" s="59">
        <f ca="1">INDEX('General Inputs'!$F$52:$AN$52,MATCH($H136,'General Inputs'!$F$50:$AN$50,0))*$AI136</f>
        <v>0</v>
      </c>
      <c r="BD136" s="59">
        <f ca="1">INDEX('General Inputs'!$F$52:$AN$52,MATCH($H136,'General Inputs'!$F$50:$AN$50,0))*$AM136</f>
        <v>0</v>
      </c>
      <c r="BE136" s="55"/>
      <c r="BF136" s="59">
        <f ca="1">SUMPRODUCT($CA136:$DI136,OFFSET('General Inputs'!$F$40:$AN$40,MATCH($D136&amp;" Electric ($/kWh)",'General Inputs'!$E$40:$E$46,0),),'General Inputs'!$F$54:$AN$54)</f>
        <v>0</v>
      </c>
      <c r="BG136" s="59">
        <f ca="1">SUMPRODUCT($EU136:$GC136,OFFSET('General Inputs'!$F$40:$AN$40,MATCH($D136&amp;" Natural Gas ($/therm)",'General Inputs'!$E$40:$E$46,0),),'General Inputs'!$F$54:$AN$54)</f>
        <v>0</v>
      </c>
      <c r="BH136" s="59">
        <f ca="1">INDEX('General Inputs'!$F$54:$AN$54,MATCH($H136,'General Inputs'!$F$50:$AN$50,0))*$AI136</f>
        <v>0</v>
      </c>
      <c r="BI136" s="59">
        <f ca="1">SUM(INDEX('General Inputs'!$F$54:$AN$54,MATCH($H136,'General Inputs'!$F$50:$AN$50,0))*$AG136,INDEX('General Inputs'!$F$51:$AN$51,MATCH($H136+$AL136,'General Inputs'!$F$50:$AN$50,0))*-$AH136)</f>
        <v>0</v>
      </c>
      <c r="BJ136" s="55"/>
      <c r="BK136" s="59">
        <f ca="1">SUMPRODUCT($CA136:$DI136,'General Inputs'!$F$32:$AN$32,'General Inputs'!$F$53:$AN$53)/(1-Loss_ElectricEnergy)</f>
        <v>0</v>
      </c>
      <c r="BL136" s="59">
        <f ca="1">SUMPRODUCT($DK136:$ES136,'General Inputs'!$F$33:$AN$33,'General Inputs'!$F$53:$AN$53)/(1-Loss_ElectricDemand)</f>
        <v>0</v>
      </c>
      <c r="BM136" s="59">
        <f ca="1">SUMPRODUCT($EU136:$GC136,'General Inputs'!$F$34:$AN$34,'General Inputs'!$F$53:$AN$53)/(1-Loss_GasEnergy)</f>
        <v>0</v>
      </c>
      <c r="BN136" s="59">
        <f ca="1">INDEX('General Inputs'!$F$53:$AN$53,MATCH($H136,'General Inputs'!$F$50:$AN$50,0))*$AJ136</f>
        <v>0</v>
      </c>
      <c r="BO136" s="59">
        <f ca="1">SUMPRODUCT($CA136:$DI136,'General Inputs'!$F$35:$AN$35,'General Inputs'!$F$53:$AN$53)/(1-Loss_ElectricEnergy)</f>
        <v>0</v>
      </c>
      <c r="BP136" s="59">
        <f ca="1">INDEX('General Inputs'!$F$51:$AN$51,MATCH($H136,'General Inputs'!$F$50:$AN$50,0))*$AM136</f>
        <v>0</v>
      </c>
      <c r="BQ136" s="59">
        <f ca="1">SUM(INDEX('General Inputs'!$F$53:$AN$53,MATCH($H136,'General Inputs'!$F$50:$AN$50,0))*$AG136,INDEX('General Inputs'!$F$53:$AN$53,MATCH($H136+$AL136,'General Inputs'!$F$50:$AN$50,0))*-$AH136)</f>
        <v>0</v>
      </c>
      <c r="BR136" s="55"/>
      <c r="BS136" s="59">
        <f ca="1">SUMPRODUCT($CA136:$DI136,'General Inputs'!$F$32:$AN$32,'General Inputs'!$F$55:$AN$55)/(1-Loss_ElectricEnergy)</f>
        <v>0</v>
      </c>
      <c r="BT136" s="59">
        <f ca="1">SUMPRODUCT($DK136:$ES136,'General Inputs'!$F$33:$AN$33,'General Inputs'!$F$55:$AN$55)/(1-Loss_ElectricDemand)</f>
        <v>0</v>
      </c>
      <c r="BU136" s="59">
        <f ca="1">SUMPRODUCT($EU136:$GC136,'General Inputs'!$F$34:$AN$34,'General Inputs'!$F$55:$AN$55)/(1-Loss_GasEnergy)</f>
        <v>0</v>
      </c>
      <c r="BV136" s="59">
        <f ca="1">SUMPRODUCT($CA136:$DI136,OFFSET('General Inputs'!$F$40:$AN$40,MATCH($D136&amp;" Electric ($/kWh)",'General Inputs'!$E$40:$E$46,0),),'General Inputs'!$F$55:$AN$55)</f>
        <v>0</v>
      </c>
      <c r="BW136" s="59">
        <f ca="1">SUMPRODUCT($EU136:$GC136,OFFSET('General Inputs'!$F$40:$AN$40,MATCH($D136&amp;" Natural Gas ($/therm)",'General Inputs'!$E$40:$E$46,0),),'General Inputs'!$F$55:$AN$55)</f>
        <v>0</v>
      </c>
      <c r="BX136" s="59">
        <f ca="1">INDEX('General Inputs'!$F$55:$AN$55,MATCH($H136,'General Inputs'!$F$50:$AN$50,0))*$AI136</f>
        <v>0</v>
      </c>
      <c r="BY136" s="59">
        <f ca="1">INDEX('General Inputs'!$F$51:$AN$51,MATCH($H136,'General Inputs'!$F$50:$AN$50,0))*$AM136</f>
        <v>0</v>
      </c>
      <c r="BZ136" s="55"/>
      <c r="CA136" s="88">
        <f t="shared" ca="1" si="346"/>
        <v>0</v>
      </c>
      <c r="CB136" s="88">
        <f t="shared" ca="1" si="346"/>
        <v>0</v>
      </c>
      <c r="CC136" s="88">
        <f t="shared" ca="1" si="346"/>
        <v>0</v>
      </c>
      <c r="CD136" s="88">
        <f t="shared" ca="1" si="346"/>
        <v>0</v>
      </c>
      <c r="CE136" s="88">
        <f t="shared" ca="1" si="346"/>
        <v>0</v>
      </c>
      <c r="CF136" s="88">
        <f t="shared" ca="1" si="346"/>
        <v>0</v>
      </c>
      <c r="CG136" s="88">
        <f t="shared" ca="1" si="346"/>
        <v>0</v>
      </c>
      <c r="CH136" s="88">
        <f t="shared" ca="1" si="346"/>
        <v>0</v>
      </c>
      <c r="CI136" s="88">
        <f t="shared" ca="1" si="346"/>
        <v>0</v>
      </c>
      <c r="CJ136" s="88">
        <f t="shared" ca="1" si="346"/>
        <v>0</v>
      </c>
      <c r="CK136" s="88">
        <f t="shared" ca="1" si="347"/>
        <v>0</v>
      </c>
      <c r="CL136" s="88">
        <f t="shared" ca="1" si="347"/>
        <v>0</v>
      </c>
      <c r="CM136" s="88">
        <f t="shared" ca="1" si="347"/>
        <v>0</v>
      </c>
      <c r="CN136" s="88">
        <f t="shared" ca="1" si="347"/>
        <v>0</v>
      </c>
      <c r="CO136" s="88">
        <f t="shared" ca="1" si="347"/>
        <v>0</v>
      </c>
      <c r="CP136" s="88">
        <f t="shared" ca="1" si="347"/>
        <v>0</v>
      </c>
      <c r="CQ136" s="88">
        <f t="shared" ca="1" si="347"/>
        <v>0</v>
      </c>
      <c r="CR136" s="88">
        <f t="shared" ca="1" si="347"/>
        <v>0</v>
      </c>
      <c r="CS136" s="88">
        <f t="shared" ca="1" si="347"/>
        <v>0</v>
      </c>
      <c r="CT136" s="88">
        <f t="shared" ca="1" si="347"/>
        <v>0</v>
      </c>
      <c r="CU136" s="88">
        <f t="shared" ca="1" si="348"/>
        <v>0</v>
      </c>
      <c r="CV136" s="88">
        <f t="shared" ca="1" si="348"/>
        <v>0</v>
      </c>
      <c r="CW136" s="88">
        <f t="shared" ca="1" si="348"/>
        <v>0</v>
      </c>
      <c r="CX136" s="88">
        <f t="shared" ca="1" si="348"/>
        <v>0</v>
      </c>
      <c r="CY136" s="88">
        <f t="shared" ca="1" si="348"/>
        <v>0</v>
      </c>
      <c r="CZ136" s="88">
        <f t="shared" ca="1" si="348"/>
        <v>0</v>
      </c>
      <c r="DA136" s="88">
        <f t="shared" ca="1" si="348"/>
        <v>0</v>
      </c>
      <c r="DB136" s="88">
        <f t="shared" ca="1" si="348"/>
        <v>0</v>
      </c>
      <c r="DC136" s="88">
        <f t="shared" ca="1" si="348"/>
        <v>0</v>
      </c>
      <c r="DD136" s="88">
        <f t="shared" ca="1" si="348"/>
        <v>0</v>
      </c>
      <c r="DE136" s="88">
        <f t="shared" ca="1" si="348"/>
        <v>0</v>
      </c>
      <c r="DF136" s="88">
        <f t="shared" ca="1" si="348"/>
        <v>0</v>
      </c>
      <c r="DG136" s="88">
        <f t="shared" ca="1" si="348"/>
        <v>0</v>
      </c>
      <c r="DH136" s="88">
        <f t="shared" ca="1" si="348"/>
        <v>0</v>
      </c>
      <c r="DI136" s="88">
        <f t="shared" ca="1" si="348"/>
        <v>0</v>
      </c>
      <c r="DJ136" s="169"/>
      <c r="DK136" s="88">
        <f t="shared" ca="1" si="349"/>
        <v>0</v>
      </c>
      <c r="DL136" s="88">
        <f t="shared" ca="1" si="349"/>
        <v>0</v>
      </c>
      <c r="DM136" s="88">
        <f t="shared" ca="1" si="349"/>
        <v>0</v>
      </c>
      <c r="DN136" s="88">
        <f t="shared" ca="1" si="349"/>
        <v>0</v>
      </c>
      <c r="DO136" s="88">
        <f t="shared" ca="1" si="349"/>
        <v>0</v>
      </c>
      <c r="DP136" s="88">
        <f t="shared" ca="1" si="349"/>
        <v>0</v>
      </c>
      <c r="DQ136" s="88">
        <f t="shared" ca="1" si="349"/>
        <v>0</v>
      </c>
      <c r="DR136" s="88">
        <f t="shared" ca="1" si="349"/>
        <v>0</v>
      </c>
      <c r="DS136" s="88">
        <f t="shared" ca="1" si="349"/>
        <v>0</v>
      </c>
      <c r="DT136" s="88">
        <f t="shared" ca="1" si="349"/>
        <v>0</v>
      </c>
      <c r="DU136" s="88">
        <f t="shared" ca="1" si="350"/>
        <v>0</v>
      </c>
      <c r="DV136" s="88">
        <f t="shared" ca="1" si="350"/>
        <v>0</v>
      </c>
      <c r="DW136" s="88">
        <f t="shared" ca="1" si="350"/>
        <v>0</v>
      </c>
      <c r="DX136" s="88">
        <f t="shared" ca="1" si="350"/>
        <v>0</v>
      </c>
      <c r="DY136" s="88">
        <f t="shared" ca="1" si="350"/>
        <v>0</v>
      </c>
      <c r="DZ136" s="88">
        <f t="shared" ca="1" si="350"/>
        <v>0</v>
      </c>
      <c r="EA136" s="88">
        <f t="shared" ca="1" si="350"/>
        <v>0</v>
      </c>
      <c r="EB136" s="88">
        <f t="shared" ca="1" si="350"/>
        <v>0</v>
      </c>
      <c r="EC136" s="88">
        <f t="shared" ca="1" si="350"/>
        <v>0</v>
      </c>
      <c r="ED136" s="88">
        <f t="shared" ca="1" si="350"/>
        <v>0</v>
      </c>
      <c r="EE136" s="88">
        <f t="shared" ca="1" si="351"/>
        <v>0</v>
      </c>
      <c r="EF136" s="88">
        <f t="shared" ca="1" si="351"/>
        <v>0</v>
      </c>
      <c r="EG136" s="88">
        <f t="shared" ca="1" si="351"/>
        <v>0</v>
      </c>
      <c r="EH136" s="88">
        <f t="shared" ca="1" si="351"/>
        <v>0</v>
      </c>
      <c r="EI136" s="88">
        <f t="shared" ca="1" si="351"/>
        <v>0</v>
      </c>
      <c r="EJ136" s="88">
        <f t="shared" ca="1" si="351"/>
        <v>0</v>
      </c>
      <c r="EK136" s="88">
        <f t="shared" ca="1" si="351"/>
        <v>0</v>
      </c>
      <c r="EL136" s="88">
        <f t="shared" ca="1" si="351"/>
        <v>0</v>
      </c>
      <c r="EM136" s="88">
        <f t="shared" ca="1" si="351"/>
        <v>0</v>
      </c>
      <c r="EN136" s="88">
        <f t="shared" ca="1" si="351"/>
        <v>0</v>
      </c>
      <c r="EO136" s="88">
        <f t="shared" ca="1" si="351"/>
        <v>0</v>
      </c>
      <c r="EP136" s="88">
        <f t="shared" ca="1" si="351"/>
        <v>0</v>
      </c>
      <c r="EQ136" s="88">
        <f t="shared" ca="1" si="351"/>
        <v>0</v>
      </c>
      <c r="ER136" s="88">
        <f t="shared" ca="1" si="351"/>
        <v>0</v>
      </c>
      <c r="ES136" s="88">
        <f t="shared" ca="1" si="351"/>
        <v>0</v>
      </c>
      <c r="ET136" s="169"/>
      <c r="EU136" s="88">
        <f t="shared" ca="1" si="352"/>
        <v>0</v>
      </c>
      <c r="EV136" s="88">
        <f t="shared" ca="1" si="352"/>
        <v>0</v>
      </c>
      <c r="EW136" s="88">
        <f t="shared" ca="1" si="352"/>
        <v>0</v>
      </c>
      <c r="EX136" s="88">
        <f t="shared" ca="1" si="352"/>
        <v>0</v>
      </c>
      <c r="EY136" s="88">
        <f t="shared" ca="1" si="352"/>
        <v>0</v>
      </c>
      <c r="EZ136" s="88">
        <f t="shared" ca="1" si="352"/>
        <v>0</v>
      </c>
      <c r="FA136" s="88">
        <f t="shared" ca="1" si="352"/>
        <v>0</v>
      </c>
      <c r="FB136" s="88">
        <f t="shared" ca="1" si="352"/>
        <v>0</v>
      </c>
      <c r="FC136" s="88">
        <f t="shared" ca="1" si="352"/>
        <v>0</v>
      </c>
      <c r="FD136" s="88">
        <f t="shared" ca="1" si="352"/>
        <v>0</v>
      </c>
      <c r="FE136" s="88">
        <f t="shared" ca="1" si="353"/>
        <v>0</v>
      </c>
      <c r="FF136" s="88">
        <f t="shared" ca="1" si="353"/>
        <v>0</v>
      </c>
      <c r="FG136" s="88">
        <f t="shared" ca="1" si="353"/>
        <v>0</v>
      </c>
      <c r="FH136" s="88">
        <f t="shared" ca="1" si="353"/>
        <v>0</v>
      </c>
      <c r="FI136" s="88">
        <f t="shared" ca="1" si="353"/>
        <v>0</v>
      </c>
      <c r="FJ136" s="88">
        <f t="shared" ca="1" si="353"/>
        <v>0</v>
      </c>
      <c r="FK136" s="88">
        <f t="shared" ca="1" si="353"/>
        <v>0</v>
      </c>
      <c r="FL136" s="88">
        <f t="shared" ca="1" si="353"/>
        <v>0</v>
      </c>
      <c r="FM136" s="88">
        <f t="shared" ca="1" si="353"/>
        <v>0</v>
      </c>
      <c r="FN136" s="88">
        <f t="shared" ca="1" si="353"/>
        <v>0</v>
      </c>
      <c r="FO136" s="88">
        <f t="shared" ca="1" si="354"/>
        <v>0</v>
      </c>
      <c r="FP136" s="88">
        <f t="shared" ca="1" si="354"/>
        <v>0</v>
      </c>
      <c r="FQ136" s="88">
        <f t="shared" ca="1" si="354"/>
        <v>0</v>
      </c>
      <c r="FR136" s="88">
        <f t="shared" ca="1" si="354"/>
        <v>0</v>
      </c>
      <c r="FS136" s="88">
        <f t="shared" ca="1" si="354"/>
        <v>0</v>
      </c>
      <c r="FT136" s="88">
        <f t="shared" ca="1" si="354"/>
        <v>0</v>
      </c>
      <c r="FU136" s="88">
        <f t="shared" ca="1" si="354"/>
        <v>0</v>
      </c>
      <c r="FV136" s="88">
        <f t="shared" ca="1" si="354"/>
        <v>0</v>
      </c>
      <c r="FW136" s="88">
        <f t="shared" ca="1" si="354"/>
        <v>0</v>
      </c>
      <c r="FX136" s="88">
        <f t="shared" ca="1" si="354"/>
        <v>0</v>
      </c>
      <c r="FY136" s="88">
        <f t="shared" ca="1" si="354"/>
        <v>0</v>
      </c>
      <c r="FZ136" s="88">
        <f t="shared" ca="1" si="354"/>
        <v>0</v>
      </c>
      <c r="GA136" s="88">
        <f t="shared" ca="1" si="354"/>
        <v>0</v>
      </c>
      <c r="GB136" s="88">
        <f t="shared" ca="1" si="354"/>
        <v>0</v>
      </c>
      <c r="GC136" s="88">
        <f t="shared" ca="1" si="354"/>
        <v>0</v>
      </c>
      <c r="GD136" s="60"/>
    </row>
    <row r="137" spans="1:186" s="54" customFormat="1" ht="14.45" customHeight="1">
      <c r="A137" s="61"/>
      <c r="B137" s="100" t="str">
        <f t="shared" si="345"/>
        <v>Residential_High Efficiency HVAC_0_Early Retirement Geothermal EER ≥17.1, COP ≥3.6_2018</v>
      </c>
      <c r="C137" s="100">
        <f>INDEX('Measure Inputs'!$D:$D,MATCH($B137,'Measure Inputs'!$B:$B,0))</f>
        <v>89</v>
      </c>
      <c r="D137" s="101" t="s">
        <v>2</v>
      </c>
      <c r="E137" s="101" t="s">
        <v>250</v>
      </c>
      <c r="F137" s="101">
        <v>0</v>
      </c>
      <c r="G137" s="101" t="s">
        <v>609</v>
      </c>
      <c r="H137" s="101">
        <v>2018</v>
      </c>
      <c r="I137" s="55"/>
      <c r="J137" s="58" t="str">
        <f t="shared" ca="1" si="229"/>
        <v>n/a</v>
      </c>
      <c r="K137" s="58" t="str">
        <f t="shared" ca="1" si="246"/>
        <v>n/a</v>
      </c>
      <c r="L137" s="58" t="str">
        <f t="shared" ca="1" si="230"/>
        <v>n/a</v>
      </c>
      <c r="M137" s="58" t="str">
        <f t="shared" ca="1" si="231"/>
        <v>n/a</v>
      </c>
      <c r="N137" s="58" t="str">
        <f t="shared" ca="1" si="232"/>
        <v>n/a</v>
      </c>
      <c r="O137" s="55"/>
      <c r="P137" s="175" t="str">
        <f ca="1">IFERROR(($AW137+AV137)/SUMPRODUCT($CA137:$DI137,'General Inputs'!$F$51:$AN$51),"n/a")</f>
        <v>n/a</v>
      </c>
      <c r="Q137" s="175" t="str">
        <f t="shared" ca="1" si="309"/>
        <v>n/a</v>
      </c>
      <c r="R137" s="56">
        <f t="shared" ca="1" si="310"/>
        <v>0</v>
      </c>
      <c r="S137" s="55"/>
      <c r="T137" s="56">
        <f ca="1">INDEX(OFFSET('Measure Inputs'!$L$7,,,InputRows),$C137)</f>
        <v>0</v>
      </c>
      <c r="U137" s="134">
        <f ca="1">INDEX(OFFSET('Measure Inputs'!$T$7,,,InputRows),$C137)</f>
        <v>1</v>
      </c>
      <c r="V137" s="134">
        <f ca="1">INDEX(OFFSET('Measure Inputs'!$U$7,,,InputRows),$C137)</f>
        <v>1</v>
      </c>
      <c r="W137" s="55"/>
      <c r="X137" s="96">
        <f ca="1">INDEX(OFFSET('Measure Inputs'!$V$7,,,InputRows),$C137)*$T137*$V137*$U137</f>
        <v>0</v>
      </c>
      <c r="Y137" s="96">
        <f ca="1">INDEX(OFFSET('Measure Inputs'!$W$7,,,InputRows),$C137)*$T137*$V137*$U137</f>
        <v>0</v>
      </c>
      <c r="Z137" s="96">
        <f ca="1">INDEX(OFFSET('Measure Inputs'!$X$7,,,InputRows),$C137)*$T137*$V137*$U137</f>
        <v>0</v>
      </c>
      <c r="AA137" s="55"/>
      <c r="AB137" s="96">
        <f ca="1">INDEX(OFFSET('Measure Inputs'!$Z$7,,,InputRows),$C137)*$T137*$V137*$U137</f>
        <v>0</v>
      </c>
      <c r="AC137" s="96">
        <f ca="1">INDEX(OFFSET('Measure Inputs'!$AA$7,,,InputRows),$C137)*$T137*$V137*$U137</f>
        <v>0</v>
      </c>
      <c r="AD137" s="96">
        <f ca="1">INDEX(OFFSET('Measure Inputs'!$AB$7,,,InputRows),$C137)*$T137*$V137*$U137</f>
        <v>0</v>
      </c>
      <c r="AE137" s="55"/>
      <c r="AF137" s="57">
        <f ca="1">INDEX(OFFSET('Measure Inputs'!$Q$7,,,InputRows),$C137)*$T137</f>
        <v>0</v>
      </c>
      <c r="AG137" s="57">
        <f ca="1">INDEX(OFFSET('Measure Inputs'!$P$7,,,InputRows),$C137)*$T137*$V137</f>
        <v>0</v>
      </c>
      <c r="AH137" s="57">
        <f ca="1">INDEX(OFFSET('Measure Inputs'!$R$7,,,InputRows),$C137)*$T137*$V137</f>
        <v>0</v>
      </c>
      <c r="AI137" s="57">
        <f ca="1">INDEX(OFFSET('Measure Inputs'!$O$7,,,InputRows),$C137)*$T137</f>
        <v>0</v>
      </c>
      <c r="AJ137" s="57">
        <f ca="1">INDEX(OFFSET('Measure Inputs'!$S$7,,,InputRows),$C137)*$T137</f>
        <v>0</v>
      </c>
      <c r="AK137" s="63">
        <f ca="1">INDEX(OFFSET('Measure Inputs'!$M$7,,,InputRows),$C137)</f>
        <v>25</v>
      </c>
      <c r="AL137" s="88">
        <f ca="1">INDEX(OFFSET('Measure Inputs'!$N$7,,,InputRows),$C137)</f>
        <v>8</v>
      </c>
      <c r="AM137" s="57">
        <f ca="1">SUMIFS(OFFSET('Program Inputs'!$N$5,,,TotalPrograms),OFFSET('Program Inputs'!$B$5,,,TotalPrograms),SUBSTITUTE($B137,"All","*"))+AF137</f>
        <v>0</v>
      </c>
      <c r="AN137" s="57">
        <f t="shared" ca="1" si="311"/>
        <v>0</v>
      </c>
      <c r="AO137" s="55"/>
      <c r="AP137" s="59">
        <f t="shared" ca="1" si="312"/>
        <v>0</v>
      </c>
      <c r="AQ137" s="59">
        <f t="shared" ca="1" si="313"/>
        <v>0</v>
      </c>
      <c r="AR137" s="59">
        <f ca="1">SUMPRODUCT($CA137:$DI137,'General Inputs'!$F$32:$AN$32,'General Inputs'!$F$51:$AN$51)/(1-Loss_ElectricEnergy)</f>
        <v>0</v>
      </c>
      <c r="AS137" s="59">
        <f ca="1">SUMPRODUCT($DK137:$ES137,'General Inputs'!$F$33:$AN$33,'General Inputs'!$F$51:$AN$51)/(1-Loss_ElectricDemand)</f>
        <v>0</v>
      </c>
      <c r="AT137" s="59">
        <f ca="1">SUMPRODUCT($EU137:$GC137,'General Inputs'!$F$34:$AN$34,'General Inputs'!$F$51:$AN$51)/(1-Loss_GasEnergy)</f>
        <v>0</v>
      </c>
      <c r="AU137" s="59">
        <f ca="1">INDEX('General Inputs'!$F$51:$AN$51,MATCH($H137,'General Inputs'!$F$50:$AN$50,0))*$AJ137</f>
        <v>0</v>
      </c>
      <c r="AV137" s="59">
        <f ca="1">INDEX('General Inputs'!$F$51:$AN$51,MATCH($H137,'General Inputs'!$F$50:$AN$50,0))*$AI137</f>
        <v>0</v>
      </c>
      <c r="AW137" s="59">
        <f ca="1">INDEX('General Inputs'!$F$51:$AN$51,MATCH($H137,'General Inputs'!$F$50:$AN$50,0))*$AM137</f>
        <v>0</v>
      </c>
      <c r="AX137" s="59">
        <f ca="1">SUM(INDEX('General Inputs'!$F$51:$AN$51,MATCH($H137,'General Inputs'!$F$50:$AN$50,0))*$AG137,INDEX('General Inputs'!$F$51:$AN$51,MATCH($H137+$AL137,'General Inputs'!$F$50:$AN$50,0))*-$AH137)</f>
        <v>0</v>
      </c>
      <c r="AY137" s="55"/>
      <c r="AZ137" s="59">
        <f ca="1">SUMPRODUCT($CA137:$DI137,'General Inputs'!$F$32:$AN$32,'General Inputs'!$F$52:$AN$52)/(1-Loss_ElectricEnergy)</f>
        <v>0</v>
      </c>
      <c r="BA137" s="59">
        <f ca="1">SUMPRODUCT($DK137:$ES137,'General Inputs'!$F$33:$AN$33,'General Inputs'!$F$52:$AN$52)/(1-Loss_ElectricDemand)</f>
        <v>0</v>
      </c>
      <c r="BB137" s="59">
        <f ca="1">SUMPRODUCT($EU137:$GC137,'General Inputs'!$F$34:$AN$34,'General Inputs'!$F$52:$AN$52)/(1-Loss_GasEnergy)</f>
        <v>0</v>
      </c>
      <c r="BC137" s="59">
        <f ca="1">INDEX('General Inputs'!$F$52:$AN$52,MATCH($H137,'General Inputs'!$F$50:$AN$50,0))*$AI137</f>
        <v>0</v>
      </c>
      <c r="BD137" s="59">
        <f ca="1">INDEX('General Inputs'!$F$52:$AN$52,MATCH($H137,'General Inputs'!$F$50:$AN$50,0))*$AM137</f>
        <v>0</v>
      </c>
      <c r="BE137" s="55"/>
      <c r="BF137" s="59">
        <f ca="1">SUMPRODUCT($CA137:$DI137,OFFSET('General Inputs'!$F$40:$AN$40,MATCH($D137&amp;" Electric ($/kWh)",'General Inputs'!$E$40:$E$46,0),),'General Inputs'!$F$54:$AN$54)</f>
        <v>0</v>
      </c>
      <c r="BG137" s="59">
        <f ca="1">SUMPRODUCT($EU137:$GC137,OFFSET('General Inputs'!$F$40:$AN$40,MATCH($D137&amp;" Natural Gas ($/therm)",'General Inputs'!$E$40:$E$46,0),),'General Inputs'!$F$54:$AN$54)</f>
        <v>0</v>
      </c>
      <c r="BH137" s="59">
        <f ca="1">INDEX('General Inputs'!$F$54:$AN$54,MATCH($H137,'General Inputs'!$F$50:$AN$50,0))*$AI137</f>
        <v>0</v>
      </c>
      <c r="BI137" s="59">
        <f ca="1">SUM(INDEX('General Inputs'!$F$54:$AN$54,MATCH($H137,'General Inputs'!$F$50:$AN$50,0))*$AG137,INDEX('General Inputs'!$F$51:$AN$51,MATCH($H137+$AL137,'General Inputs'!$F$50:$AN$50,0))*-$AH137)</f>
        <v>0</v>
      </c>
      <c r="BJ137" s="55"/>
      <c r="BK137" s="59">
        <f ca="1">SUMPRODUCT($CA137:$DI137,'General Inputs'!$F$32:$AN$32,'General Inputs'!$F$53:$AN$53)/(1-Loss_ElectricEnergy)</f>
        <v>0</v>
      </c>
      <c r="BL137" s="59">
        <f ca="1">SUMPRODUCT($DK137:$ES137,'General Inputs'!$F$33:$AN$33,'General Inputs'!$F$53:$AN$53)/(1-Loss_ElectricDemand)</f>
        <v>0</v>
      </c>
      <c r="BM137" s="59">
        <f ca="1">SUMPRODUCT($EU137:$GC137,'General Inputs'!$F$34:$AN$34,'General Inputs'!$F$53:$AN$53)/(1-Loss_GasEnergy)</f>
        <v>0</v>
      </c>
      <c r="BN137" s="59">
        <f ca="1">INDEX('General Inputs'!$F$53:$AN$53,MATCH($H137,'General Inputs'!$F$50:$AN$50,0))*$AJ137</f>
        <v>0</v>
      </c>
      <c r="BO137" s="59">
        <f ca="1">SUMPRODUCT($CA137:$DI137,'General Inputs'!$F$35:$AN$35,'General Inputs'!$F$53:$AN$53)/(1-Loss_ElectricEnergy)</f>
        <v>0</v>
      </c>
      <c r="BP137" s="59">
        <f ca="1">INDEX('General Inputs'!$F$51:$AN$51,MATCH($H137,'General Inputs'!$F$50:$AN$50,0))*$AM137</f>
        <v>0</v>
      </c>
      <c r="BQ137" s="59">
        <f ca="1">SUM(INDEX('General Inputs'!$F$53:$AN$53,MATCH($H137,'General Inputs'!$F$50:$AN$50,0))*$AG137,INDEX('General Inputs'!$F$53:$AN$53,MATCH($H137+$AL137,'General Inputs'!$F$50:$AN$50,0))*-$AH137)</f>
        <v>0</v>
      </c>
      <c r="BR137" s="55"/>
      <c r="BS137" s="59">
        <f ca="1">SUMPRODUCT($CA137:$DI137,'General Inputs'!$F$32:$AN$32,'General Inputs'!$F$55:$AN$55)/(1-Loss_ElectricEnergy)</f>
        <v>0</v>
      </c>
      <c r="BT137" s="59">
        <f ca="1">SUMPRODUCT($DK137:$ES137,'General Inputs'!$F$33:$AN$33,'General Inputs'!$F$55:$AN$55)/(1-Loss_ElectricDemand)</f>
        <v>0</v>
      </c>
      <c r="BU137" s="59">
        <f ca="1">SUMPRODUCT($EU137:$GC137,'General Inputs'!$F$34:$AN$34,'General Inputs'!$F$55:$AN$55)/(1-Loss_GasEnergy)</f>
        <v>0</v>
      </c>
      <c r="BV137" s="59">
        <f ca="1">SUMPRODUCT($CA137:$DI137,OFFSET('General Inputs'!$F$40:$AN$40,MATCH($D137&amp;" Electric ($/kWh)",'General Inputs'!$E$40:$E$46,0),),'General Inputs'!$F$55:$AN$55)</f>
        <v>0</v>
      </c>
      <c r="BW137" s="59">
        <f ca="1">SUMPRODUCT($EU137:$GC137,OFFSET('General Inputs'!$F$40:$AN$40,MATCH($D137&amp;" Natural Gas ($/therm)",'General Inputs'!$E$40:$E$46,0),),'General Inputs'!$F$55:$AN$55)</f>
        <v>0</v>
      </c>
      <c r="BX137" s="59">
        <f ca="1">INDEX('General Inputs'!$F$55:$AN$55,MATCH($H137,'General Inputs'!$F$50:$AN$50,0))*$AI137</f>
        <v>0</v>
      </c>
      <c r="BY137" s="59">
        <f ca="1">INDEX('General Inputs'!$F$51:$AN$51,MATCH($H137,'General Inputs'!$F$50:$AN$50,0))*$AM137</f>
        <v>0</v>
      </c>
      <c r="BZ137" s="55"/>
      <c r="CA137" s="88">
        <f t="shared" ca="1" si="346"/>
        <v>0</v>
      </c>
      <c r="CB137" s="88">
        <f t="shared" ca="1" si="346"/>
        <v>0</v>
      </c>
      <c r="CC137" s="88">
        <f t="shared" ca="1" si="346"/>
        <v>0</v>
      </c>
      <c r="CD137" s="88">
        <f t="shared" ca="1" si="346"/>
        <v>0</v>
      </c>
      <c r="CE137" s="88">
        <f t="shared" ca="1" si="346"/>
        <v>0</v>
      </c>
      <c r="CF137" s="88">
        <f t="shared" ca="1" si="346"/>
        <v>0</v>
      </c>
      <c r="CG137" s="88">
        <f t="shared" ca="1" si="346"/>
        <v>0</v>
      </c>
      <c r="CH137" s="88">
        <f t="shared" ca="1" si="346"/>
        <v>0</v>
      </c>
      <c r="CI137" s="88">
        <f t="shared" ca="1" si="346"/>
        <v>0</v>
      </c>
      <c r="CJ137" s="88">
        <f t="shared" ca="1" si="346"/>
        <v>0</v>
      </c>
      <c r="CK137" s="88">
        <f t="shared" ca="1" si="347"/>
        <v>0</v>
      </c>
      <c r="CL137" s="88">
        <f t="shared" ca="1" si="347"/>
        <v>0</v>
      </c>
      <c r="CM137" s="88">
        <f t="shared" ca="1" si="347"/>
        <v>0</v>
      </c>
      <c r="CN137" s="88">
        <f t="shared" ca="1" si="347"/>
        <v>0</v>
      </c>
      <c r="CO137" s="88">
        <f t="shared" ca="1" si="347"/>
        <v>0</v>
      </c>
      <c r="CP137" s="88">
        <f t="shared" ca="1" si="347"/>
        <v>0</v>
      </c>
      <c r="CQ137" s="88">
        <f t="shared" ca="1" si="347"/>
        <v>0</v>
      </c>
      <c r="CR137" s="88">
        <f t="shared" ca="1" si="347"/>
        <v>0</v>
      </c>
      <c r="CS137" s="88">
        <f t="shared" ca="1" si="347"/>
        <v>0</v>
      </c>
      <c r="CT137" s="88">
        <f t="shared" ca="1" si="347"/>
        <v>0</v>
      </c>
      <c r="CU137" s="88">
        <f t="shared" ca="1" si="348"/>
        <v>0</v>
      </c>
      <c r="CV137" s="88">
        <f t="shared" ca="1" si="348"/>
        <v>0</v>
      </c>
      <c r="CW137" s="88">
        <f t="shared" ca="1" si="348"/>
        <v>0</v>
      </c>
      <c r="CX137" s="88">
        <f t="shared" ca="1" si="348"/>
        <v>0</v>
      </c>
      <c r="CY137" s="88">
        <f t="shared" ca="1" si="348"/>
        <v>0</v>
      </c>
      <c r="CZ137" s="88">
        <f t="shared" ca="1" si="348"/>
        <v>0</v>
      </c>
      <c r="DA137" s="88">
        <f t="shared" ca="1" si="348"/>
        <v>0</v>
      </c>
      <c r="DB137" s="88">
        <f t="shared" ca="1" si="348"/>
        <v>0</v>
      </c>
      <c r="DC137" s="88">
        <f t="shared" ca="1" si="348"/>
        <v>0</v>
      </c>
      <c r="DD137" s="88">
        <f t="shared" ca="1" si="348"/>
        <v>0</v>
      </c>
      <c r="DE137" s="88">
        <f t="shared" ca="1" si="348"/>
        <v>0</v>
      </c>
      <c r="DF137" s="88">
        <f t="shared" ca="1" si="348"/>
        <v>0</v>
      </c>
      <c r="DG137" s="88">
        <f t="shared" ca="1" si="348"/>
        <v>0</v>
      </c>
      <c r="DH137" s="88">
        <f t="shared" ca="1" si="348"/>
        <v>0</v>
      </c>
      <c r="DI137" s="88">
        <f t="shared" ca="1" si="348"/>
        <v>0</v>
      </c>
      <c r="DJ137" s="169"/>
      <c r="DK137" s="88">
        <f t="shared" ca="1" si="349"/>
        <v>0</v>
      </c>
      <c r="DL137" s="88">
        <f t="shared" ca="1" si="349"/>
        <v>0</v>
      </c>
      <c r="DM137" s="88">
        <f t="shared" ca="1" si="349"/>
        <v>0</v>
      </c>
      <c r="DN137" s="88">
        <f t="shared" ca="1" si="349"/>
        <v>0</v>
      </c>
      <c r="DO137" s="88">
        <f t="shared" ca="1" si="349"/>
        <v>0</v>
      </c>
      <c r="DP137" s="88">
        <f t="shared" ca="1" si="349"/>
        <v>0</v>
      </c>
      <c r="DQ137" s="88">
        <f t="shared" ca="1" si="349"/>
        <v>0</v>
      </c>
      <c r="DR137" s="88">
        <f t="shared" ca="1" si="349"/>
        <v>0</v>
      </c>
      <c r="DS137" s="88">
        <f t="shared" ca="1" si="349"/>
        <v>0</v>
      </c>
      <c r="DT137" s="88">
        <f t="shared" ca="1" si="349"/>
        <v>0</v>
      </c>
      <c r="DU137" s="88">
        <f t="shared" ca="1" si="350"/>
        <v>0</v>
      </c>
      <c r="DV137" s="88">
        <f t="shared" ca="1" si="350"/>
        <v>0</v>
      </c>
      <c r="DW137" s="88">
        <f t="shared" ca="1" si="350"/>
        <v>0</v>
      </c>
      <c r="DX137" s="88">
        <f t="shared" ca="1" si="350"/>
        <v>0</v>
      </c>
      <c r="DY137" s="88">
        <f t="shared" ca="1" si="350"/>
        <v>0</v>
      </c>
      <c r="DZ137" s="88">
        <f t="shared" ca="1" si="350"/>
        <v>0</v>
      </c>
      <c r="EA137" s="88">
        <f t="shared" ca="1" si="350"/>
        <v>0</v>
      </c>
      <c r="EB137" s="88">
        <f t="shared" ca="1" si="350"/>
        <v>0</v>
      </c>
      <c r="EC137" s="88">
        <f t="shared" ca="1" si="350"/>
        <v>0</v>
      </c>
      <c r="ED137" s="88">
        <f t="shared" ca="1" si="350"/>
        <v>0</v>
      </c>
      <c r="EE137" s="88">
        <f t="shared" ca="1" si="351"/>
        <v>0</v>
      </c>
      <c r="EF137" s="88">
        <f t="shared" ca="1" si="351"/>
        <v>0</v>
      </c>
      <c r="EG137" s="88">
        <f t="shared" ca="1" si="351"/>
        <v>0</v>
      </c>
      <c r="EH137" s="88">
        <f t="shared" ca="1" si="351"/>
        <v>0</v>
      </c>
      <c r="EI137" s="88">
        <f t="shared" ca="1" si="351"/>
        <v>0</v>
      </c>
      <c r="EJ137" s="88">
        <f t="shared" ca="1" si="351"/>
        <v>0</v>
      </c>
      <c r="EK137" s="88">
        <f t="shared" ca="1" si="351"/>
        <v>0</v>
      </c>
      <c r="EL137" s="88">
        <f t="shared" ca="1" si="351"/>
        <v>0</v>
      </c>
      <c r="EM137" s="88">
        <f t="shared" ca="1" si="351"/>
        <v>0</v>
      </c>
      <c r="EN137" s="88">
        <f t="shared" ca="1" si="351"/>
        <v>0</v>
      </c>
      <c r="EO137" s="88">
        <f t="shared" ca="1" si="351"/>
        <v>0</v>
      </c>
      <c r="EP137" s="88">
        <f t="shared" ca="1" si="351"/>
        <v>0</v>
      </c>
      <c r="EQ137" s="88">
        <f t="shared" ca="1" si="351"/>
        <v>0</v>
      </c>
      <c r="ER137" s="88">
        <f t="shared" ca="1" si="351"/>
        <v>0</v>
      </c>
      <c r="ES137" s="88">
        <f t="shared" ca="1" si="351"/>
        <v>0</v>
      </c>
      <c r="ET137" s="169"/>
      <c r="EU137" s="88">
        <f t="shared" ca="1" si="352"/>
        <v>0</v>
      </c>
      <c r="EV137" s="88">
        <f t="shared" ca="1" si="352"/>
        <v>0</v>
      </c>
      <c r="EW137" s="88">
        <f t="shared" ca="1" si="352"/>
        <v>0</v>
      </c>
      <c r="EX137" s="88">
        <f t="shared" ca="1" si="352"/>
        <v>0</v>
      </c>
      <c r="EY137" s="88">
        <f t="shared" ca="1" si="352"/>
        <v>0</v>
      </c>
      <c r="EZ137" s="88">
        <f t="shared" ca="1" si="352"/>
        <v>0</v>
      </c>
      <c r="FA137" s="88">
        <f t="shared" ca="1" si="352"/>
        <v>0</v>
      </c>
      <c r="FB137" s="88">
        <f t="shared" ca="1" si="352"/>
        <v>0</v>
      </c>
      <c r="FC137" s="88">
        <f t="shared" ca="1" si="352"/>
        <v>0</v>
      </c>
      <c r="FD137" s="88">
        <f t="shared" ca="1" si="352"/>
        <v>0</v>
      </c>
      <c r="FE137" s="88">
        <f t="shared" ca="1" si="353"/>
        <v>0</v>
      </c>
      <c r="FF137" s="88">
        <f t="shared" ca="1" si="353"/>
        <v>0</v>
      </c>
      <c r="FG137" s="88">
        <f t="shared" ca="1" si="353"/>
        <v>0</v>
      </c>
      <c r="FH137" s="88">
        <f t="shared" ca="1" si="353"/>
        <v>0</v>
      </c>
      <c r="FI137" s="88">
        <f t="shared" ca="1" si="353"/>
        <v>0</v>
      </c>
      <c r="FJ137" s="88">
        <f t="shared" ca="1" si="353"/>
        <v>0</v>
      </c>
      <c r="FK137" s="88">
        <f t="shared" ca="1" si="353"/>
        <v>0</v>
      </c>
      <c r="FL137" s="88">
        <f t="shared" ca="1" si="353"/>
        <v>0</v>
      </c>
      <c r="FM137" s="88">
        <f t="shared" ca="1" si="353"/>
        <v>0</v>
      </c>
      <c r="FN137" s="88">
        <f t="shared" ca="1" si="353"/>
        <v>0</v>
      </c>
      <c r="FO137" s="88">
        <f t="shared" ca="1" si="354"/>
        <v>0</v>
      </c>
      <c r="FP137" s="88">
        <f t="shared" ca="1" si="354"/>
        <v>0</v>
      </c>
      <c r="FQ137" s="88">
        <f t="shared" ca="1" si="354"/>
        <v>0</v>
      </c>
      <c r="FR137" s="88">
        <f t="shared" ca="1" si="354"/>
        <v>0</v>
      </c>
      <c r="FS137" s="88">
        <f t="shared" ca="1" si="354"/>
        <v>0</v>
      </c>
      <c r="FT137" s="88">
        <f t="shared" ca="1" si="354"/>
        <v>0</v>
      </c>
      <c r="FU137" s="88">
        <f t="shared" ca="1" si="354"/>
        <v>0</v>
      </c>
      <c r="FV137" s="88">
        <f t="shared" ca="1" si="354"/>
        <v>0</v>
      </c>
      <c r="FW137" s="88">
        <f t="shared" ca="1" si="354"/>
        <v>0</v>
      </c>
      <c r="FX137" s="88">
        <f t="shared" ca="1" si="354"/>
        <v>0</v>
      </c>
      <c r="FY137" s="88">
        <f t="shared" ca="1" si="354"/>
        <v>0</v>
      </c>
      <c r="FZ137" s="88">
        <f t="shared" ca="1" si="354"/>
        <v>0</v>
      </c>
      <c r="GA137" s="88">
        <f t="shared" ca="1" si="354"/>
        <v>0</v>
      </c>
      <c r="GB137" s="88">
        <f t="shared" ca="1" si="354"/>
        <v>0</v>
      </c>
      <c r="GC137" s="88">
        <f t="shared" ca="1" si="354"/>
        <v>0</v>
      </c>
      <c r="GD137" s="60"/>
    </row>
    <row r="138" spans="1:186" s="54" customFormat="1" ht="14.45" customHeight="1">
      <c r="A138" s="61"/>
      <c r="B138" s="100" t="str">
        <f t="shared" si="345"/>
        <v>Residential_Whole House Efficiency_0_Air Sealing (Electric Heat)_2018</v>
      </c>
      <c r="C138" s="100">
        <f>INDEX('Measure Inputs'!$D:$D,MATCH($B138,'Measure Inputs'!$B:$B,0))</f>
        <v>90</v>
      </c>
      <c r="D138" s="101" t="s">
        <v>2</v>
      </c>
      <c r="E138" s="101" t="s">
        <v>219</v>
      </c>
      <c r="F138" s="101">
        <v>0</v>
      </c>
      <c r="G138" s="101" t="s">
        <v>263</v>
      </c>
      <c r="H138" s="101">
        <v>2018</v>
      </c>
      <c r="I138" s="55"/>
      <c r="J138" s="58" t="str">
        <f t="shared" ca="1" si="229"/>
        <v>n/a</v>
      </c>
      <c r="K138" s="58" t="str">
        <f t="shared" ca="1" si="246"/>
        <v>n/a</v>
      </c>
      <c r="L138" s="58" t="str">
        <f t="shared" ca="1" si="230"/>
        <v>n/a</v>
      </c>
      <c r="M138" s="58" t="str">
        <f t="shared" ca="1" si="231"/>
        <v>n/a</v>
      </c>
      <c r="N138" s="58">
        <f t="shared" ca="1" si="232"/>
        <v>0.27064128553558048</v>
      </c>
      <c r="O138" s="55"/>
      <c r="P138" s="175">
        <f ca="1">IFERROR(($AW138+AV138)/SUMPRODUCT($CA138:$DI138,'General Inputs'!$F$51:$AN$51),"n/a")</f>
        <v>0</v>
      </c>
      <c r="Q138" s="175">
        <f t="shared" ca="1" si="309"/>
        <v>0</v>
      </c>
      <c r="R138" s="56">
        <f t="shared" ca="1" si="310"/>
        <v>150.50036194671148</v>
      </c>
      <c r="S138" s="55"/>
      <c r="T138" s="56">
        <f ca="1">INDEX(OFFSET('Measure Inputs'!$L$7,,,InputRows),$C138)</f>
        <v>7.5</v>
      </c>
      <c r="U138" s="134">
        <f ca="1">INDEX(OFFSET('Measure Inputs'!$T$7,,,InputRows),$C138)</f>
        <v>1</v>
      </c>
      <c r="V138" s="134">
        <f ca="1">INDEX(OFFSET('Measure Inputs'!$U$7,,,InputRows),$C138)</f>
        <v>1</v>
      </c>
      <c r="W138" s="55"/>
      <c r="X138" s="96">
        <f ca="1">INDEX(OFFSET('Measure Inputs'!$V$7,,,InputRows),$C138)*$T138*$V138*$U138</f>
        <v>10033.3574631141</v>
      </c>
      <c r="Y138" s="96">
        <f ca="1">INDEX(OFFSET('Measure Inputs'!$W$7,,,InputRows),$C138)*$T138*$V138*$U138</f>
        <v>0.98956312745267994</v>
      </c>
      <c r="Z138" s="96">
        <f ca="1">INDEX(OFFSET('Measure Inputs'!$X$7,,,InputRows),$C138)*$T138*$V138*$U138</f>
        <v>0</v>
      </c>
      <c r="AA138" s="55"/>
      <c r="AB138" s="96">
        <f ca="1">INDEX(OFFSET('Measure Inputs'!$Z$7,,,InputRows),$C138)*$T138*$V138*$U138</f>
        <v>0</v>
      </c>
      <c r="AC138" s="96">
        <f ca="1">INDEX(OFFSET('Measure Inputs'!$AA$7,,,InputRows),$C138)*$T138*$V138*$U138</f>
        <v>0</v>
      </c>
      <c r="AD138" s="96">
        <f ca="1">INDEX(OFFSET('Measure Inputs'!$AB$7,,,InputRows),$C138)*$T138*$V138*$U138</f>
        <v>0</v>
      </c>
      <c r="AE138" s="55"/>
      <c r="AF138" s="57">
        <f ca="1">INDEX(OFFSET('Measure Inputs'!$Q$7,,,InputRows),$C138)*$T138</f>
        <v>0</v>
      </c>
      <c r="AG138" s="57">
        <f ca="1">INDEX(OFFSET('Measure Inputs'!$P$7,,,InputRows),$C138)*$T138*$V138</f>
        <v>0</v>
      </c>
      <c r="AH138" s="57">
        <f ca="1">INDEX(OFFSET('Measure Inputs'!$R$7,,,InputRows),$C138)*$T138*$V138</f>
        <v>0</v>
      </c>
      <c r="AI138" s="57">
        <f ca="1">INDEX(OFFSET('Measure Inputs'!$O$7,,,InputRows),$C138)*$T138</f>
        <v>0</v>
      </c>
      <c r="AJ138" s="57">
        <f ca="1">INDEX(OFFSET('Measure Inputs'!$S$7,,,InputRows),$C138)*$T138</f>
        <v>0</v>
      </c>
      <c r="AK138" s="63">
        <f ca="1">INDEX(OFFSET('Measure Inputs'!$M$7,,,InputRows),$C138)</f>
        <v>15</v>
      </c>
      <c r="AL138" s="88">
        <f ca="1">INDEX(OFFSET('Measure Inputs'!$N$7,,,InputRows),$C138)</f>
        <v>0</v>
      </c>
      <c r="AM138" s="57">
        <f ca="1">SUMIFS(OFFSET('Program Inputs'!$N$5,,,TotalPrograms),OFFSET('Program Inputs'!$B$5,,,TotalPrograms),SUBSTITUTE($B138,"All","*"))+AF138</f>
        <v>0</v>
      </c>
      <c r="AN138" s="57">
        <f t="shared" ca="1" si="311"/>
        <v>0</v>
      </c>
      <c r="AO138" s="55"/>
      <c r="AP138" s="59">
        <f t="shared" ca="1" si="312"/>
        <v>2783.1972845198893</v>
      </c>
      <c r="AQ138" s="59">
        <f t="shared" ca="1" si="313"/>
        <v>0</v>
      </c>
      <c r="AR138" s="59">
        <f ca="1">SUMPRODUCT($CA138:$DI138,'General Inputs'!$F$32:$AN$32,'General Inputs'!$F$51:$AN$51)/(1-Loss_ElectricEnergy)</f>
        <v>2598.8360153208978</v>
      </c>
      <c r="AS138" s="59">
        <f ca="1">SUMPRODUCT($DK138:$ES138,'General Inputs'!$F$33:$AN$33,'General Inputs'!$F$51:$AN$51)/(1-Loss_ElectricDemand)</f>
        <v>184.36126919899172</v>
      </c>
      <c r="AT138" s="59">
        <f ca="1">SUMPRODUCT($EU138:$GC138,'General Inputs'!$F$34:$AN$34,'General Inputs'!$F$51:$AN$51)/(1-Loss_GasEnergy)</f>
        <v>0</v>
      </c>
      <c r="AU138" s="59">
        <f ca="1">INDEX('General Inputs'!$F$51:$AN$51,MATCH($H138,'General Inputs'!$F$50:$AN$50,0))*$AJ138</f>
        <v>0</v>
      </c>
      <c r="AV138" s="59">
        <f ca="1">INDEX('General Inputs'!$F$51:$AN$51,MATCH($H138,'General Inputs'!$F$50:$AN$50,0))*$AI138</f>
        <v>0</v>
      </c>
      <c r="AW138" s="59">
        <f ca="1">INDEX('General Inputs'!$F$51:$AN$51,MATCH($H138,'General Inputs'!$F$50:$AN$50,0))*$AM138</f>
        <v>0</v>
      </c>
      <c r="AX138" s="59">
        <f ca="1">SUM(INDEX('General Inputs'!$F$51:$AN$51,MATCH($H138,'General Inputs'!$F$50:$AN$50,0))*$AG138,INDEX('General Inputs'!$F$51:$AN$51,MATCH($H138+$AL138,'General Inputs'!$F$50:$AN$50,0))*-$AH138)</f>
        <v>0</v>
      </c>
      <c r="AY138" s="55"/>
      <c r="AZ138" s="59">
        <f ca="1">SUMPRODUCT($CA138:$DI138,'General Inputs'!$F$32:$AN$32,'General Inputs'!$F$52:$AN$52)/(1-Loss_ElectricEnergy)</f>
        <v>2598.8360153208978</v>
      </c>
      <c r="BA138" s="59">
        <f ca="1">SUMPRODUCT($DK138:$ES138,'General Inputs'!$F$33:$AN$33,'General Inputs'!$F$52:$AN$52)/(1-Loss_ElectricDemand)</f>
        <v>184.36126919899172</v>
      </c>
      <c r="BB138" s="59">
        <f ca="1">SUMPRODUCT($EU138:$GC138,'General Inputs'!$F$34:$AN$34,'General Inputs'!$F$52:$AN$52)/(1-Loss_GasEnergy)</f>
        <v>0</v>
      </c>
      <c r="BC138" s="59">
        <f ca="1">INDEX('General Inputs'!$F$52:$AN$52,MATCH($H138,'General Inputs'!$F$50:$AN$50,0))*$AI138</f>
        <v>0</v>
      </c>
      <c r="BD138" s="59">
        <f ca="1">INDEX('General Inputs'!$F$52:$AN$52,MATCH($H138,'General Inputs'!$F$50:$AN$50,0))*$AM138</f>
        <v>0</v>
      </c>
      <c r="BE138" s="55"/>
      <c r="BF138" s="59">
        <f ca="1">SUMPRODUCT($CA138:$DI138,OFFSET('General Inputs'!$F$40:$AN$40,MATCH($D138&amp;" Electric ($/kWh)",'General Inputs'!$E$40:$E$46,0),),'General Inputs'!$F$54:$AN$54)</f>
        <v>10283.71291915841</v>
      </c>
      <c r="BG138" s="59">
        <f ca="1">SUMPRODUCT($EU138:$GC138,OFFSET('General Inputs'!$F$40:$AN$40,MATCH($D138&amp;" Natural Gas ($/therm)",'General Inputs'!$E$40:$E$46,0),),'General Inputs'!$F$54:$AN$54)</f>
        <v>0</v>
      </c>
      <c r="BH138" s="59">
        <f ca="1">INDEX('General Inputs'!$F$54:$AN$54,MATCH($H138,'General Inputs'!$F$50:$AN$50,0))*$AI138</f>
        <v>0</v>
      </c>
      <c r="BI138" s="59">
        <f ca="1">SUM(INDEX('General Inputs'!$F$54:$AN$54,MATCH($H138,'General Inputs'!$F$50:$AN$50,0))*$AG138,INDEX('General Inputs'!$F$51:$AN$51,MATCH($H138+$AL138,'General Inputs'!$F$50:$AN$50,0))*-$AH138)</f>
        <v>0</v>
      </c>
      <c r="BJ138" s="55"/>
      <c r="BK138" s="59">
        <f ca="1">SUMPRODUCT($CA138:$DI138,'General Inputs'!$F$32:$AN$32,'General Inputs'!$F$53:$AN$53)/(1-Loss_ElectricEnergy)</f>
        <v>2598.8360153208978</v>
      </c>
      <c r="BL138" s="59">
        <f ca="1">SUMPRODUCT($DK138:$ES138,'General Inputs'!$F$33:$AN$33,'General Inputs'!$F$53:$AN$53)/(1-Loss_ElectricDemand)</f>
        <v>184.36126919899172</v>
      </c>
      <c r="BM138" s="59">
        <f ca="1">SUMPRODUCT($EU138:$GC138,'General Inputs'!$F$34:$AN$34,'General Inputs'!$F$53:$AN$53)/(1-Loss_GasEnergy)</f>
        <v>0</v>
      </c>
      <c r="BN138" s="59">
        <f ca="1">INDEX('General Inputs'!$F$53:$AN$53,MATCH($H138,'General Inputs'!$F$50:$AN$50,0))*$AJ138</f>
        <v>0</v>
      </c>
      <c r="BO138" s="59">
        <f ca="1">SUMPRODUCT($CA138:$DI138,'General Inputs'!$F$35:$AN$35,'General Inputs'!$F$53:$AN$53)/(1-Loss_ElectricEnergy)</f>
        <v>976.66023300058657</v>
      </c>
      <c r="BP138" s="59">
        <f ca="1">INDEX('General Inputs'!$F$51:$AN$51,MATCH($H138,'General Inputs'!$F$50:$AN$50,0))*$AM138</f>
        <v>0</v>
      </c>
      <c r="BQ138" s="59">
        <f ca="1">SUM(INDEX('General Inputs'!$F$53:$AN$53,MATCH($H138,'General Inputs'!$F$50:$AN$50,0))*$AG138,INDEX('General Inputs'!$F$53:$AN$53,MATCH($H138+$AL138,'General Inputs'!$F$50:$AN$50,0))*-$AH138)</f>
        <v>0</v>
      </c>
      <c r="BR138" s="55"/>
      <c r="BS138" s="59">
        <f ca="1">SUMPRODUCT($CA138:$DI138,'General Inputs'!$F$32:$AN$32,'General Inputs'!$F$55:$AN$55)/(1-Loss_ElectricEnergy)</f>
        <v>2598.8360153208978</v>
      </c>
      <c r="BT138" s="59">
        <f ca="1">SUMPRODUCT($DK138:$ES138,'General Inputs'!$F$33:$AN$33,'General Inputs'!$F$55:$AN$55)/(1-Loss_ElectricDemand)</f>
        <v>184.36126919899172</v>
      </c>
      <c r="BU138" s="59">
        <f ca="1">SUMPRODUCT($EU138:$GC138,'General Inputs'!$F$34:$AN$34,'General Inputs'!$F$55:$AN$55)/(1-Loss_GasEnergy)</f>
        <v>0</v>
      </c>
      <c r="BV138" s="59">
        <f ca="1">SUMPRODUCT($CA138:$DI138,OFFSET('General Inputs'!$F$40:$AN$40,MATCH($D138&amp;" Electric ($/kWh)",'General Inputs'!$E$40:$E$46,0),),'General Inputs'!$F$55:$AN$55)</f>
        <v>10283.71291915841</v>
      </c>
      <c r="BW138" s="59">
        <f ca="1">SUMPRODUCT($EU138:$GC138,OFFSET('General Inputs'!$F$40:$AN$40,MATCH($D138&amp;" Natural Gas ($/therm)",'General Inputs'!$E$40:$E$46,0),),'General Inputs'!$F$55:$AN$55)</f>
        <v>0</v>
      </c>
      <c r="BX138" s="59">
        <f ca="1">INDEX('General Inputs'!$F$55:$AN$55,MATCH($H138,'General Inputs'!$F$50:$AN$50,0))*$AI138</f>
        <v>0</v>
      </c>
      <c r="BY138" s="59">
        <f ca="1">INDEX('General Inputs'!$F$51:$AN$51,MATCH($H138,'General Inputs'!$F$50:$AN$50,0))*$AM138</f>
        <v>0</v>
      </c>
      <c r="BZ138" s="55"/>
      <c r="CA138" s="88">
        <f t="shared" ca="1" si="346"/>
        <v>0</v>
      </c>
      <c r="CB138" s="88">
        <f t="shared" ca="1" si="346"/>
        <v>10033.3574631141</v>
      </c>
      <c r="CC138" s="88">
        <f t="shared" ca="1" si="346"/>
        <v>10033.3574631141</v>
      </c>
      <c r="CD138" s="88">
        <f t="shared" ca="1" si="346"/>
        <v>10033.3574631141</v>
      </c>
      <c r="CE138" s="88">
        <f t="shared" ca="1" si="346"/>
        <v>10033.3574631141</v>
      </c>
      <c r="CF138" s="88">
        <f t="shared" ca="1" si="346"/>
        <v>10033.3574631141</v>
      </c>
      <c r="CG138" s="88">
        <f t="shared" ca="1" si="346"/>
        <v>10033.3574631141</v>
      </c>
      <c r="CH138" s="88">
        <f t="shared" ca="1" si="346"/>
        <v>10033.3574631141</v>
      </c>
      <c r="CI138" s="88">
        <f t="shared" ca="1" si="346"/>
        <v>10033.3574631141</v>
      </c>
      <c r="CJ138" s="88">
        <f t="shared" ca="1" si="346"/>
        <v>10033.3574631141</v>
      </c>
      <c r="CK138" s="88">
        <f t="shared" ca="1" si="347"/>
        <v>10033.3574631141</v>
      </c>
      <c r="CL138" s="88">
        <f t="shared" ca="1" si="347"/>
        <v>10033.3574631141</v>
      </c>
      <c r="CM138" s="88">
        <f t="shared" ca="1" si="347"/>
        <v>10033.3574631141</v>
      </c>
      <c r="CN138" s="88">
        <f t="shared" ca="1" si="347"/>
        <v>10033.3574631141</v>
      </c>
      <c r="CO138" s="88">
        <f t="shared" ca="1" si="347"/>
        <v>10033.3574631141</v>
      </c>
      <c r="CP138" s="88">
        <f t="shared" ca="1" si="347"/>
        <v>10033.3574631141</v>
      </c>
      <c r="CQ138" s="88">
        <f t="shared" ca="1" si="347"/>
        <v>0</v>
      </c>
      <c r="CR138" s="88">
        <f t="shared" ca="1" si="347"/>
        <v>0</v>
      </c>
      <c r="CS138" s="88">
        <f t="shared" ca="1" si="347"/>
        <v>0</v>
      </c>
      <c r="CT138" s="88">
        <f t="shared" ca="1" si="347"/>
        <v>0</v>
      </c>
      <c r="CU138" s="88">
        <f t="shared" ca="1" si="348"/>
        <v>0</v>
      </c>
      <c r="CV138" s="88">
        <f t="shared" ca="1" si="348"/>
        <v>0</v>
      </c>
      <c r="CW138" s="88">
        <f t="shared" ca="1" si="348"/>
        <v>0</v>
      </c>
      <c r="CX138" s="88">
        <f t="shared" ca="1" si="348"/>
        <v>0</v>
      </c>
      <c r="CY138" s="88">
        <f t="shared" ca="1" si="348"/>
        <v>0</v>
      </c>
      <c r="CZ138" s="88">
        <f t="shared" ca="1" si="348"/>
        <v>0</v>
      </c>
      <c r="DA138" s="88">
        <f t="shared" ca="1" si="348"/>
        <v>0</v>
      </c>
      <c r="DB138" s="88">
        <f t="shared" ca="1" si="348"/>
        <v>0</v>
      </c>
      <c r="DC138" s="88">
        <f t="shared" ca="1" si="348"/>
        <v>0</v>
      </c>
      <c r="DD138" s="88">
        <f t="shared" ca="1" si="348"/>
        <v>0</v>
      </c>
      <c r="DE138" s="88">
        <f t="shared" ca="1" si="348"/>
        <v>0</v>
      </c>
      <c r="DF138" s="88">
        <f t="shared" ca="1" si="348"/>
        <v>0</v>
      </c>
      <c r="DG138" s="88">
        <f t="shared" ca="1" si="348"/>
        <v>0</v>
      </c>
      <c r="DH138" s="88">
        <f t="shared" ca="1" si="348"/>
        <v>0</v>
      </c>
      <c r="DI138" s="88">
        <f t="shared" ca="1" si="348"/>
        <v>0</v>
      </c>
      <c r="DJ138" s="169"/>
      <c r="DK138" s="88">
        <f t="shared" ca="1" si="349"/>
        <v>0</v>
      </c>
      <c r="DL138" s="88">
        <f t="shared" ca="1" si="349"/>
        <v>0.98956312745267994</v>
      </c>
      <c r="DM138" s="88">
        <f t="shared" ca="1" si="349"/>
        <v>0.98956312745267994</v>
      </c>
      <c r="DN138" s="88">
        <f t="shared" ca="1" si="349"/>
        <v>0.98956312745267994</v>
      </c>
      <c r="DO138" s="88">
        <f t="shared" ca="1" si="349"/>
        <v>0.98956312745267994</v>
      </c>
      <c r="DP138" s="88">
        <f t="shared" ca="1" si="349"/>
        <v>0.98956312745267994</v>
      </c>
      <c r="DQ138" s="88">
        <f t="shared" ca="1" si="349"/>
        <v>0.98956312745267994</v>
      </c>
      <c r="DR138" s="88">
        <f t="shared" ca="1" si="349"/>
        <v>0.98956312745267994</v>
      </c>
      <c r="DS138" s="88">
        <f t="shared" ca="1" si="349"/>
        <v>0.98956312745267994</v>
      </c>
      <c r="DT138" s="88">
        <f t="shared" ca="1" si="349"/>
        <v>0.98956312745267994</v>
      </c>
      <c r="DU138" s="88">
        <f t="shared" ca="1" si="350"/>
        <v>0.98956312745267994</v>
      </c>
      <c r="DV138" s="88">
        <f t="shared" ca="1" si="350"/>
        <v>0.98956312745267994</v>
      </c>
      <c r="DW138" s="88">
        <f t="shared" ca="1" si="350"/>
        <v>0.98956312745267994</v>
      </c>
      <c r="DX138" s="88">
        <f t="shared" ca="1" si="350"/>
        <v>0.98956312745267994</v>
      </c>
      <c r="DY138" s="88">
        <f t="shared" ca="1" si="350"/>
        <v>0.98956312745267994</v>
      </c>
      <c r="DZ138" s="88">
        <f t="shared" ca="1" si="350"/>
        <v>0.98956312745267994</v>
      </c>
      <c r="EA138" s="88">
        <f t="shared" ca="1" si="350"/>
        <v>0</v>
      </c>
      <c r="EB138" s="88">
        <f t="shared" ca="1" si="350"/>
        <v>0</v>
      </c>
      <c r="EC138" s="88">
        <f t="shared" ca="1" si="350"/>
        <v>0</v>
      </c>
      <c r="ED138" s="88">
        <f t="shared" ca="1" si="350"/>
        <v>0</v>
      </c>
      <c r="EE138" s="88">
        <f t="shared" ca="1" si="351"/>
        <v>0</v>
      </c>
      <c r="EF138" s="88">
        <f t="shared" ca="1" si="351"/>
        <v>0</v>
      </c>
      <c r="EG138" s="88">
        <f t="shared" ca="1" si="351"/>
        <v>0</v>
      </c>
      <c r="EH138" s="88">
        <f t="shared" ca="1" si="351"/>
        <v>0</v>
      </c>
      <c r="EI138" s="88">
        <f t="shared" ca="1" si="351"/>
        <v>0</v>
      </c>
      <c r="EJ138" s="88">
        <f t="shared" ca="1" si="351"/>
        <v>0</v>
      </c>
      <c r="EK138" s="88">
        <f t="shared" ca="1" si="351"/>
        <v>0</v>
      </c>
      <c r="EL138" s="88">
        <f t="shared" ca="1" si="351"/>
        <v>0</v>
      </c>
      <c r="EM138" s="88">
        <f t="shared" ca="1" si="351"/>
        <v>0</v>
      </c>
      <c r="EN138" s="88">
        <f t="shared" ca="1" si="351"/>
        <v>0</v>
      </c>
      <c r="EO138" s="88">
        <f t="shared" ca="1" si="351"/>
        <v>0</v>
      </c>
      <c r="EP138" s="88">
        <f t="shared" ca="1" si="351"/>
        <v>0</v>
      </c>
      <c r="EQ138" s="88">
        <f t="shared" ca="1" si="351"/>
        <v>0</v>
      </c>
      <c r="ER138" s="88">
        <f t="shared" ca="1" si="351"/>
        <v>0</v>
      </c>
      <c r="ES138" s="88">
        <f t="shared" ca="1" si="351"/>
        <v>0</v>
      </c>
      <c r="ET138" s="169"/>
      <c r="EU138" s="88">
        <f t="shared" ca="1" si="352"/>
        <v>0</v>
      </c>
      <c r="EV138" s="88">
        <f t="shared" ca="1" si="352"/>
        <v>0</v>
      </c>
      <c r="EW138" s="88">
        <f t="shared" ca="1" si="352"/>
        <v>0</v>
      </c>
      <c r="EX138" s="88">
        <f t="shared" ca="1" si="352"/>
        <v>0</v>
      </c>
      <c r="EY138" s="88">
        <f t="shared" ca="1" si="352"/>
        <v>0</v>
      </c>
      <c r="EZ138" s="88">
        <f t="shared" ca="1" si="352"/>
        <v>0</v>
      </c>
      <c r="FA138" s="88">
        <f t="shared" ca="1" si="352"/>
        <v>0</v>
      </c>
      <c r="FB138" s="88">
        <f t="shared" ca="1" si="352"/>
        <v>0</v>
      </c>
      <c r="FC138" s="88">
        <f t="shared" ca="1" si="352"/>
        <v>0</v>
      </c>
      <c r="FD138" s="88">
        <f t="shared" ca="1" si="352"/>
        <v>0</v>
      </c>
      <c r="FE138" s="88">
        <f t="shared" ca="1" si="353"/>
        <v>0</v>
      </c>
      <c r="FF138" s="88">
        <f t="shared" ca="1" si="353"/>
        <v>0</v>
      </c>
      <c r="FG138" s="88">
        <f t="shared" ca="1" si="353"/>
        <v>0</v>
      </c>
      <c r="FH138" s="88">
        <f t="shared" ca="1" si="353"/>
        <v>0</v>
      </c>
      <c r="FI138" s="88">
        <f t="shared" ca="1" si="353"/>
        <v>0</v>
      </c>
      <c r="FJ138" s="88">
        <f t="shared" ca="1" si="353"/>
        <v>0</v>
      </c>
      <c r="FK138" s="88">
        <f t="shared" ca="1" si="353"/>
        <v>0</v>
      </c>
      <c r="FL138" s="88">
        <f t="shared" ca="1" si="353"/>
        <v>0</v>
      </c>
      <c r="FM138" s="88">
        <f t="shared" ca="1" si="353"/>
        <v>0</v>
      </c>
      <c r="FN138" s="88">
        <f t="shared" ca="1" si="353"/>
        <v>0</v>
      </c>
      <c r="FO138" s="88">
        <f t="shared" ca="1" si="354"/>
        <v>0</v>
      </c>
      <c r="FP138" s="88">
        <f t="shared" ca="1" si="354"/>
        <v>0</v>
      </c>
      <c r="FQ138" s="88">
        <f t="shared" ca="1" si="354"/>
        <v>0</v>
      </c>
      <c r="FR138" s="88">
        <f t="shared" ca="1" si="354"/>
        <v>0</v>
      </c>
      <c r="FS138" s="88">
        <f t="shared" ca="1" si="354"/>
        <v>0</v>
      </c>
      <c r="FT138" s="88">
        <f t="shared" ca="1" si="354"/>
        <v>0</v>
      </c>
      <c r="FU138" s="88">
        <f t="shared" ca="1" si="354"/>
        <v>0</v>
      </c>
      <c r="FV138" s="88">
        <f t="shared" ca="1" si="354"/>
        <v>0</v>
      </c>
      <c r="FW138" s="88">
        <f t="shared" ca="1" si="354"/>
        <v>0</v>
      </c>
      <c r="FX138" s="88">
        <f t="shared" ca="1" si="354"/>
        <v>0</v>
      </c>
      <c r="FY138" s="88">
        <f t="shared" ca="1" si="354"/>
        <v>0</v>
      </c>
      <c r="FZ138" s="88">
        <f t="shared" ca="1" si="354"/>
        <v>0</v>
      </c>
      <c r="GA138" s="88">
        <f t="shared" ca="1" si="354"/>
        <v>0</v>
      </c>
      <c r="GB138" s="88">
        <f t="shared" ca="1" si="354"/>
        <v>0</v>
      </c>
      <c r="GC138" s="88">
        <f t="shared" ca="1" si="354"/>
        <v>0</v>
      </c>
      <c r="GD138" s="60"/>
    </row>
    <row r="139" spans="1:186" s="54" customFormat="1" ht="14.45" customHeight="1">
      <c r="A139" s="61"/>
      <c r="B139" s="100" t="str">
        <f t="shared" si="345"/>
        <v>Residential_Whole House Efficiency_0_Air Sealing (Gas Heat)_2018</v>
      </c>
      <c r="C139" s="100">
        <f>INDEX('Measure Inputs'!$D:$D,MATCH($B139,'Measure Inputs'!$B:$B,0))</f>
        <v>91</v>
      </c>
      <c r="D139" s="101" t="s">
        <v>2</v>
      </c>
      <c r="E139" s="101" t="s">
        <v>219</v>
      </c>
      <c r="F139" s="101">
        <v>0</v>
      </c>
      <c r="G139" s="101" t="s">
        <v>264</v>
      </c>
      <c r="H139" s="101">
        <v>2018</v>
      </c>
      <c r="I139" s="55"/>
      <c r="J139" s="58" t="str">
        <f t="shared" ca="1" si="229"/>
        <v>n/a</v>
      </c>
      <c r="K139" s="58" t="str">
        <f t="shared" ca="1" si="246"/>
        <v>n/a</v>
      </c>
      <c r="L139" s="58" t="str">
        <f t="shared" ca="1" si="230"/>
        <v>n/a</v>
      </c>
      <c r="M139" s="58" t="str">
        <f t="shared" ca="1" si="231"/>
        <v>n/a</v>
      </c>
      <c r="N139" s="58">
        <f t="shared" ca="1" si="232"/>
        <v>0.25271378496761648</v>
      </c>
      <c r="O139" s="55"/>
      <c r="P139" s="175">
        <f ca="1">IFERROR(($AW139+AV139)/SUMPRODUCT($CA139:$DI139,'General Inputs'!$F$51:$AN$51),"n/a")</f>
        <v>0</v>
      </c>
      <c r="Q139" s="175">
        <f t="shared" ca="1" si="309"/>
        <v>0</v>
      </c>
      <c r="R139" s="56">
        <f t="shared" ca="1" si="310"/>
        <v>36.675683411214941</v>
      </c>
      <c r="S139" s="55"/>
      <c r="T139" s="56">
        <f ca="1">INDEX(OFFSET('Measure Inputs'!$L$7,,,InputRows),$C139)</f>
        <v>22.5</v>
      </c>
      <c r="U139" s="134">
        <f ca="1">INDEX(OFFSET('Measure Inputs'!$T$7,,,InputRows),$C139)</f>
        <v>1</v>
      </c>
      <c r="V139" s="134">
        <f ca="1">INDEX(OFFSET('Measure Inputs'!$U$7,,,InputRows),$C139)</f>
        <v>1</v>
      </c>
      <c r="W139" s="55"/>
      <c r="X139" s="96">
        <f ca="1">INDEX(OFFSET('Measure Inputs'!$V$7,,,InputRows),$C139)*$T139*$V139*$U139</f>
        <v>2445.0455607476633</v>
      </c>
      <c r="Y139" s="96">
        <f ca="1">INDEX(OFFSET('Measure Inputs'!$W$7,,,InputRows),$C139)*$T139*$V139*$U139</f>
        <v>0</v>
      </c>
      <c r="Z139" s="96">
        <f ca="1">INDEX(OFFSET('Measure Inputs'!$X$7,,,InputRows),$C139)*$T139*$V139*$U139</f>
        <v>0</v>
      </c>
      <c r="AA139" s="55"/>
      <c r="AB139" s="96">
        <f ca="1">INDEX(OFFSET('Measure Inputs'!$Z$7,,,InputRows),$C139)*$T139*$V139*$U139</f>
        <v>0</v>
      </c>
      <c r="AC139" s="96">
        <f ca="1">INDEX(OFFSET('Measure Inputs'!$AA$7,,,InputRows),$C139)*$T139*$V139*$U139</f>
        <v>0</v>
      </c>
      <c r="AD139" s="96">
        <f ca="1">INDEX(OFFSET('Measure Inputs'!$AB$7,,,InputRows),$C139)*$T139*$V139*$U139</f>
        <v>0</v>
      </c>
      <c r="AE139" s="55"/>
      <c r="AF139" s="57">
        <f ca="1">INDEX(OFFSET('Measure Inputs'!$Q$7,,,InputRows),$C139)*$T139</f>
        <v>0</v>
      </c>
      <c r="AG139" s="57">
        <f ca="1">INDEX(OFFSET('Measure Inputs'!$P$7,,,InputRows),$C139)*$T139*$V139</f>
        <v>0</v>
      </c>
      <c r="AH139" s="57">
        <f ca="1">INDEX(OFFSET('Measure Inputs'!$R$7,,,InputRows),$C139)*$T139*$V139</f>
        <v>0</v>
      </c>
      <c r="AI139" s="57">
        <f ca="1">INDEX(OFFSET('Measure Inputs'!$O$7,,,InputRows),$C139)*$T139</f>
        <v>0</v>
      </c>
      <c r="AJ139" s="57">
        <f ca="1">INDEX(OFFSET('Measure Inputs'!$S$7,,,InputRows),$C139)*$T139</f>
        <v>0</v>
      </c>
      <c r="AK139" s="63">
        <f ca="1">INDEX(OFFSET('Measure Inputs'!$M$7,,,InputRows),$C139)</f>
        <v>15</v>
      </c>
      <c r="AL139" s="88">
        <f ca="1">INDEX(OFFSET('Measure Inputs'!$N$7,,,InputRows),$C139)</f>
        <v>0</v>
      </c>
      <c r="AM139" s="57">
        <f ca="1">SUMIFS(OFFSET('Program Inputs'!$N$5,,,TotalPrograms),OFFSET('Program Inputs'!$B$5,,,TotalPrograms),SUBSTITUTE($B139,"All","*"))+AF139</f>
        <v>0</v>
      </c>
      <c r="AN139" s="57">
        <f t="shared" ca="1" si="311"/>
        <v>0</v>
      </c>
      <c r="AO139" s="55"/>
      <c r="AP139" s="59">
        <f t="shared" ca="1" si="312"/>
        <v>633.31466916552017</v>
      </c>
      <c r="AQ139" s="59">
        <f t="shared" ca="1" si="313"/>
        <v>0</v>
      </c>
      <c r="AR139" s="59">
        <f ca="1">SUMPRODUCT($CA139:$DI139,'General Inputs'!$F$32:$AN$32,'General Inputs'!$F$51:$AN$51)/(1-Loss_ElectricEnergy)</f>
        <v>633.31466916552017</v>
      </c>
      <c r="AS139" s="59">
        <f ca="1">SUMPRODUCT($DK139:$ES139,'General Inputs'!$F$33:$AN$33,'General Inputs'!$F$51:$AN$51)/(1-Loss_ElectricDemand)</f>
        <v>0</v>
      </c>
      <c r="AT139" s="59">
        <f ca="1">SUMPRODUCT($EU139:$GC139,'General Inputs'!$F$34:$AN$34,'General Inputs'!$F$51:$AN$51)/(1-Loss_GasEnergy)</f>
        <v>0</v>
      </c>
      <c r="AU139" s="59">
        <f ca="1">INDEX('General Inputs'!$F$51:$AN$51,MATCH($H139,'General Inputs'!$F$50:$AN$50,0))*$AJ139</f>
        <v>0</v>
      </c>
      <c r="AV139" s="59">
        <f ca="1">INDEX('General Inputs'!$F$51:$AN$51,MATCH($H139,'General Inputs'!$F$50:$AN$50,0))*$AI139</f>
        <v>0</v>
      </c>
      <c r="AW139" s="59">
        <f ca="1">INDEX('General Inputs'!$F$51:$AN$51,MATCH($H139,'General Inputs'!$F$50:$AN$50,0))*$AM139</f>
        <v>0</v>
      </c>
      <c r="AX139" s="59">
        <f ca="1">SUM(INDEX('General Inputs'!$F$51:$AN$51,MATCH($H139,'General Inputs'!$F$50:$AN$50,0))*$AG139,INDEX('General Inputs'!$F$51:$AN$51,MATCH($H139+$AL139,'General Inputs'!$F$50:$AN$50,0))*-$AH139)</f>
        <v>0</v>
      </c>
      <c r="AY139" s="55"/>
      <c r="AZ139" s="59">
        <f ca="1">SUMPRODUCT($CA139:$DI139,'General Inputs'!$F$32:$AN$32,'General Inputs'!$F$52:$AN$52)/(1-Loss_ElectricEnergy)</f>
        <v>633.31466916552017</v>
      </c>
      <c r="BA139" s="59">
        <f ca="1">SUMPRODUCT($DK139:$ES139,'General Inputs'!$F$33:$AN$33,'General Inputs'!$F$52:$AN$52)/(1-Loss_ElectricDemand)</f>
        <v>0</v>
      </c>
      <c r="BB139" s="59">
        <f ca="1">SUMPRODUCT($EU139:$GC139,'General Inputs'!$F$34:$AN$34,'General Inputs'!$F$52:$AN$52)/(1-Loss_GasEnergy)</f>
        <v>0</v>
      </c>
      <c r="BC139" s="59">
        <f ca="1">INDEX('General Inputs'!$F$52:$AN$52,MATCH($H139,'General Inputs'!$F$50:$AN$50,0))*$AI139</f>
        <v>0</v>
      </c>
      <c r="BD139" s="59">
        <f ca="1">INDEX('General Inputs'!$F$52:$AN$52,MATCH($H139,'General Inputs'!$F$50:$AN$50,0))*$AM139</f>
        <v>0</v>
      </c>
      <c r="BE139" s="55"/>
      <c r="BF139" s="59">
        <f ca="1">SUMPRODUCT($CA139:$DI139,OFFSET('General Inputs'!$F$40:$AN$40,MATCH($D139&amp;" Electric ($/kWh)",'General Inputs'!$E$40:$E$46,0),),'General Inputs'!$F$54:$AN$54)</f>
        <v>2506.0550980496573</v>
      </c>
      <c r="BG139" s="59">
        <f ca="1">SUMPRODUCT($EU139:$GC139,OFFSET('General Inputs'!$F$40:$AN$40,MATCH($D139&amp;" Natural Gas ($/therm)",'General Inputs'!$E$40:$E$46,0),),'General Inputs'!$F$54:$AN$54)</f>
        <v>0</v>
      </c>
      <c r="BH139" s="59">
        <f ca="1">INDEX('General Inputs'!$F$54:$AN$54,MATCH($H139,'General Inputs'!$F$50:$AN$50,0))*$AI139</f>
        <v>0</v>
      </c>
      <c r="BI139" s="59">
        <f ca="1">SUM(INDEX('General Inputs'!$F$54:$AN$54,MATCH($H139,'General Inputs'!$F$50:$AN$50,0))*$AG139,INDEX('General Inputs'!$F$51:$AN$51,MATCH($H139+$AL139,'General Inputs'!$F$50:$AN$50,0))*-$AH139)</f>
        <v>0</v>
      </c>
      <c r="BJ139" s="55"/>
      <c r="BK139" s="59">
        <f ca="1">SUMPRODUCT($CA139:$DI139,'General Inputs'!$F$32:$AN$32,'General Inputs'!$F$53:$AN$53)/(1-Loss_ElectricEnergy)</f>
        <v>633.31466916552017</v>
      </c>
      <c r="BL139" s="59">
        <f ca="1">SUMPRODUCT($DK139:$ES139,'General Inputs'!$F$33:$AN$33,'General Inputs'!$F$53:$AN$53)/(1-Loss_ElectricDemand)</f>
        <v>0</v>
      </c>
      <c r="BM139" s="59">
        <f ca="1">SUMPRODUCT($EU139:$GC139,'General Inputs'!$F$34:$AN$34,'General Inputs'!$F$53:$AN$53)/(1-Loss_GasEnergy)</f>
        <v>0</v>
      </c>
      <c r="BN139" s="59">
        <f ca="1">INDEX('General Inputs'!$F$53:$AN$53,MATCH($H139,'General Inputs'!$F$50:$AN$50,0))*$AJ139</f>
        <v>0</v>
      </c>
      <c r="BO139" s="59">
        <f ca="1">SUMPRODUCT($CA139:$DI139,'General Inputs'!$F$35:$AN$35,'General Inputs'!$F$53:$AN$53)/(1-Loss_ElectricEnergy)</f>
        <v>238.00395588773276</v>
      </c>
      <c r="BP139" s="59">
        <f ca="1">INDEX('General Inputs'!$F$51:$AN$51,MATCH($H139,'General Inputs'!$F$50:$AN$50,0))*$AM139</f>
        <v>0</v>
      </c>
      <c r="BQ139" s="59">
        <f ca="1">SUM(INDEX('General Inputs'!$F$53:$AN$53,MATCH($H139,'General Inputs'!$F$50:$AN$50,0))*$AG139,INDEX('General Inputs'!$F$53:$AN$53,MATCH($H139+$AL139,'General Inputs'!$F$50:$AN$50,0))*-$AH139)</f>
        <v>0</v>
      </c>
      <c r="BR139" s="55"/>
      <c r="BS139" s="59">
        <f ca="1">SUMPRODUCT($CA139:$DI139,'General Inputs'!$F$32:$AN$32,'General Inputs'!$F$55:$AN$55)/(1-Loss_ElectricEnergy)</f>
        <v>633.31466916552017</v>
      </c>
      <c r="BT139" s="59">
        <f ca="1">SUMPRODUCT($DK139:$ES139,'General Inputs'!$F$33:$AN$33,'General Inputs'!$F$55:$AN$55)/(1-Loss_ElectricDemand)</f>
        <v>0</v>
      </c>
      <c r="BU139" s="59">
        <f ca="1">SUMPRODUCT($EU139:$GC139,'General Inputs'!$F$34:$AN$34,'General Inputs'!$F$55:$AN$55)/(1-Loss_GasEnergy)</f>
        <v>0</v>
      </c>
      <c r="BV139" s="59">
        <f ca="1">SUMPRODUCT($CA139:$DI139,OFFSET('General Inputs'!$F$40:$AN$40,MATCH($D139&amp;" Electric ($/kWh)",'General Inputs'!$E$40:$E$46,0),),'General Inputs'!$F$55:$AN$55)</f>
        <v>2506.0550980496573</v>
      </c>
      <c r="BW139" s="59">
        <f ca="1">SUMPRODUCT($EU139:$GC139,OFFSET('General Inputs'!$F$40:$AN$40,MATCH($D139&amp;" Natural Gas ($/therm)",'General Inputs'!$E$40:$E$46,0),),'General Inputs'!$F$55:$AN$55)</f>
        <v>0</v>
      </c>
      <c r="BX139" s="59">
        <f ca="1">INDEX('General Inputs'!$F$55:$AN$55,MATCH($H139,'General Inputs'!$F$50:$AN$50,0))*$AI139</f>
        <v>0</v>
      </c>
      <c r="BY139" s="59">
        <f ca="1">INDEX('General Inputs'!$F$51:$AN$51,MATCH($H139,'General Inputs'!$F$50:$AN$50,0))*$AM139</f>
        <v>0</v>
      </c>
      <c r="BZ139" s="55"/>
      <c r="CA139" s="88">
        <f t="shared" ca="1" si="346"/>
        <v>0</v>
      </c>
      <c r="CB139" s="88">
        <f t="shared" ca="1" si="346"/>
        <v>2445.0455607476633</v>
      </c>
      <c r="CC139" s="88">
        <f t="shared" ca="1" si="346"/>
        <v>2445.0455607476633</v>
      </c>
      <c r="CD139" s="88">
        <f t="shared" ca="1" si="346"/>
        <v>2445.0455607476633</v>
      </c>
      <c r="CE139" s="88">
        <f t="shared" ca="1" si="346"/>
        <v>2445.0455607476633</v>
      </c>
      <c r="CF139" s="88">
        <f t="shared" ca="1" si="346"/>
        <v>2445.0455607476633</v>
      </c>
      <c r="CG139" s="88">
        <f t="shared" ca="1" si="346"/>
        <v>2445.0455607476633</v>
      </c>
      <c r="CH139" s="88">
        <f t="shared" ca="1" si="346"/>
        <v>2445.0455607476633</v>
      </c>
      <c r="CI139" s="88">
        <f t="shared" ca="1" si="346"/>
        <v>2445.0455607476633</v>
      </c>
      <c r="CJ139" s="88">
        <f t="shared" ca="1" si="346"/>
        <v>2445.0455607476633</v>
      </c>
      <c r="CK139" s="88">
        <f t="shared" ca="1" si="347"/>
        <v>2445.0455607476633</v>
      </c>
      <c r="CL139" s="88">
        <f t="shared" ca="1" si="347"/>
        <v>2445.0455607476633</v>
      </c>
      <c r="CM139" s="88">
        <f t="shared" ca="1" si="347"/>
        <v>2445.0455607476633</v>
      </c>
      <c r="CN139" s="88">
        <f t="shared" ca="1" si="347"/>
        <v>2445.0455607476633</v>
      </c>
      <c r="CO139" s="88">
        <f t="shared" ca="1" si="347"/>
        <v>2445.0455607476633</v>
      </c>
      <c r="CP139" s="88">
        <f t="shared" ca="1" si="347"/>
        <v>2445.0455607476633</v>
      </c>
      <c r="CQ139" s="88">
        <f t="shared" ca="1" si="347"/>
        <v>0</v>
      </c>
      <c r="CR139" s="88">
        <f t="shared" ca="1" si="347"/>
        <v>0</v>
      </c>
      <c r="CS139" s="88">
        <f t="shared" ca="1" si="347"/>
        <v>0</v>
      </c>
      <c r="CT139" s="88">
        <f t="shared" ca="1" si="347"/>
        <v>0</v>
      </c>
      <c r="CU139" s="88">
        <f t="shared" ca="1" si="348"/>
        <v>0</v>
      </c>
      <c r="CV139" s="88">
        <f t="shared" ca="1" si="348"/>
        <v>0</v>
      </c>
      <c r="CW139" s="88">
        <f t="shared" ca="1" si="348"/>
        <v>0</v>
      </c>
      <c r="CX139" s="88">
        <f t="shared" ca="1" si="348"/>
        <v>0</v>
      </c>
      <c r="CY139" s="88">
        <f t="shared" ca="1" si="348"/>
        <v>0</v>
      </c>
      <c r="CZ139" s="88">
        <f t="shared" ca="1" si="348"/>
        <v>0</v>
      </c>
      <c r="DA139" s="88">
        <f t="shared" ca="1" si="348"/>
        <v>0</v>
      </c>
      <c r="DB139" s="88">
        <f t="shared" ca="1" si="348"/>
        <v>0</v>
      </c>
      <c r="DC139" s="88">
        <f t="shared" ca="1" si="348"/>
        <v>0</v>
      </c>
      <c r="DD139" s="88">
        <f t="shared" ca="1" si="348"/>
        <v>0</v>
      </c>
      <c r="DE139" s="88">
        <f t="shared" ca="1" si="348"/>
        <v>0</v>
      </c>
      <c r="DF139" s="88">
        <f t="shared" ca="1" si="348"/>
        <v>0</v>
      </c>
      <c r="DG139" s="88">
        <f t="shared" ca="1" si="348"/>
        <v>0</v>
      </c>
      <c r="DH139" s="88">
        <f t="shared" ca="1" si="348"/>
        <v>0</v>
      </c>
      <c r="DI139" s="88">
        <f t="shared" ca="1" si="348"/>
        <v>0</v>
      </c>
      <c r="DJ139" s="169"/>
      <c r="DK139" s="88">
        <f t="shared" ca="1" si="349"/>
        <v>0</v>
      </c>
      <c r="DL139" s="88">
        <f t="shared" ca="1" si="349"/>
        <v>0</v>
      </c>
      <c r="DM139" s="88">
        <f t="shared" ca="1" si="349"/>
        <v>0</v>
      </c>
      <c r="DN139" s="88">
        <f t="shared" ca="1" si="349"/>
        <v>0</v>
      </c>
      <c r="DO139" s="88">
        <f t="shared" ca="1" si="349"/>
        <v>0</v>
      </c>
      <c r="DP139" s="88">
        <f t="shared" ca="1" si="349"/>
        <v>0</v>
      </c>
      <c r="DQ139" s="88">
        <f t="shared" ca="1" si="349"/>
        <v>0</v>
      </c>
      <c r="DR139" s="88">
        <f t="shared" ca="1" si="349"/>
        <v>0</v>
      </c>
      <c r="DS139" s="88">
        <f t="shared" ca="1" si="349"/>
        <v>0</v>
      </c>
      <c r="DT139" s="88">
        <f t="shared" ca="1" si="349"/>
        <v>0</v>
      </c>
      <c r="DU139" s="88">
        <f t="shared" ca="1" si="350"/>
        <v>0</v>
      </c>
      <c r="DV139" s="88">
        <f t="shared" ca="1" si="350"/>
        <v>0</v>
      </c>
      <c r="DW139" s="88">
        <f t="shared" ca="1" si="350"/>
        <v>0</v>
      </c>
      <c r="DX139" s="88">
        <f t="shared" ca="1" si="350"/>
        <v>0</v>
      </c>
      <c r="DY139" s="88">
        <f t="shared" ca="1" si="350"/>
        <v>0</v>
      </c>
      <c r="DZ139" s="88">
        <f t="shared" ca="1" si="350"/>
        <v>0</v>
      </c>
      <c r="EA139" s="88">
        <f t="shared" ca="1" si="350"/>
        <v>0</v>
      </c>
      <c r="EB139" s="88">
        <f t="shared" ca="1" si="350"/>
        <v>0</v>
      </c>
      <c r="EC139" s="88">
        <f t="shared" ca="1" si="350"/>
        <v>0</v>
      </c>
      <c r="ED139" s="88">
        <f t="shared" ca="1" si="350"/>
        <v>0</v>
      </c>
      <c r="EE139" s="88">
        <f t="shared" ca="1" si="351"/>
        <v>0</v>
      </c>
      <c r="EF139" s="88">
        <f t="shared" ca="1" si="351"/>
        <v>0</v>
      </c>
      <c r="EG139" s="88">
        <f t="shared" ca="1" si="351"/>
        <v>0</v>
      </c>
      <c r="EH139" s="88">
        <f t="shared" ca="1" si="351"/>
        <v>0</v>
      </c>
      <c r="EI139" s="88">
        <f t="shared" ca="1" si="351"/>
        <v>0</v>
      </c>
      <c r="EJ139" s="88">
        <f t="shared" ca="1" si="351"/>
        <v>0</v>
      </c>
      <c r="EK139" s="88">
        <f t="shared" ca="1" si="351"/>
        <v>0</v>
      </c>
      <c r="EL139" s="88">
        <f t="shared" ca="1" si="351"/>
        <v>0</v>
      </c>
      <c r="EM139" s="88">
        <f t="shared" ca="1" si="351"/>
        <v>0</v>
      </c>
      <c r="EN139" s="88">
        <f t="shared" ca="1" si="351"/>
        <v>0</v>
      </c>
      <c r="EO139" s="88">
        <f t="shared" ca="1" si="351"/>
        <v>0</v>
      </c>
      <c r="EP139" s="88">
        <f t="shared" ca="1" si="351"/>
        <v>0</v>
      </c>
      <c r="EQ139" s="88">
        <f t="shared" ca="1" si="351"/>
        <v>0</v>
      </c>
      <c r="ER139" s="88">
        <f t="shared" ca="1" si="351"/>
        <v>0</v>
      </c>
      <c r="ES139" s="88">
        <f t="shared" ca="1" si="351"/>
        <v>0</v>
      </c>
      <c r="ET139" s="169"/>
      <c r="EU139" s="88">
        <f t="shared" ca="1" si="352"/>
        <v>0</v>
      </c>
      <c r="EV139" s="88">
        <f t="shared" ca="1" si="352"/>
        <v>0</v>
      </c>
      <c r="EW139" s="88">
        <f t="shared" ca="1" si="352"/>
        <v>0</v>
      </c>
      <c r="EX139" s="88">
        <f t="shared" ca="1" si="352"/>
        <v>0</v>
      </c>
      <c r="EY139" s="88">
        <f t="shared" ca="1" si="352"/>
        <v>0</v>
      </c>
      <c r="EZ139" s="88">
        <f t="shared" ca="1" si="352"/>
        <v>0</v>
      </c>
      <c r="FA139" s="88">
        <f t="shared" ca="1" si="352"/>
        <v>0</v>
      </c>
      <c r="FB139" s="88">
        <f t="shared" ca="1" si="352"/>
        <v>0</v>
      </c>
      <c r="FC139" s="88">
        <f t="shared" ca="1" si="352"/>
        <v>0</v>
      </c>
      <c r="FD139" s="88">
        <f t="shared" ca="1" si="352"/>
        <v>0</v>
      </c>
      <c r="FE139" s="88">
        <f t="shared" ca="1" si="353"/>
        <v>0</v>
      </c>
      <c r="FF139" s="88">
        <f t="shared" ca="1" si="353"/>
        <v>0</v>
      </c>
      <c r="FG139" s="88">
        <f t="shared" ca="1" si="353"/>
        <v>0</v>
      </c>
      <c r="FH139" s="88">
        <f t="shared" ca="1" si="353"/>
        <v>0</v>
      </c>
      <c r="FI139" s="88">
        <f t="shared" ca="1" si="353"/>
        <v>0</v>
      </c>
      <c r="FJ139" s="88">
        <f t="shared" ca="1" si="353"/>
        <v>0</v>
      </c>
      <c r="FK139" s="88">
        <f t="shared" ca="1" si="353"/>
        <v>0</v>
      </c>
      <c r="FL139" s="88">
        <f t="shared" ca="1" si="353"/>
        <v>0</v>
      </c>
      <c r="FM139" s="88">
        <f t="shared" ca="1" si="353"/>
        <v>0</v>
      </c>
      <c r="FN139" s="88">
        <f t="shared" ca="1" si="353"/>
        <v>0</v>
      </c>
      <c r="FO139" s="88">
        <f t="shared" ca="1" si="354"/>
        <v>0</v>
      </c>
      <c r="FP139" s="88">
        <f t="shared" ca="1" si="354"/>
        <v>0</v>
      </c>
      <c r="FQ139" s="88">
        <f t="shared" ca="1" si="354"/>
        <v>0</v>
      </c>
      <c r="FR139" s="88">
        <f t="shared" ca="1" si="354"/>
        <v>0</v>
      </c>
      <c r="FS139" s="88">
        <f t="shared" ca="1" si="354"/>
        <v>0</v>
      </c>
      <c r="FT139" s="88">
        <f t="shared" ca="1" si="354"/>
        <v>0</v>
      </c>
      <c r="FU139" s="88">
        <f t="shared" ca="1" si="354"/>
        <v>0</v>
      </c>
      <c r="FV139" s="88">
        <f t="shared" ca="1" si="354"/>
        <v>0</v>
      </c>
      <c r="FW139" s="88">
        <f t="shared" ca="1" si="354"/>
        <v>0</v>
      </c>
      <c r="FX139" s="88">
        <f t="shared" ca="1" si="354"/>
        <v>0</v>
      </c>
      <c r="FY139" s="88">
        <f t="shared" ca="1" si="354"/>
        <v>0</v>
      </c>
      <c r="FZ139" s="88">
        <f t="shared" ca="1" si="354"/>
        <v>0</v>
      </c>
      <c r="GA139" s="88">
        <f t="shared" ca="1" si="354"/>
        <v>0</v>
      </c>
      <c r="GB139" s="88">
        <f t="shared" ca="1" si="354"/>
        <v>0</v>
      </c>
      <c r="GC139" s="88">
        <f t="shared" ca="1" si="354"/>
        <v>0</v>
      </c>
      <c r="GD139" s="60"/>
    </row>
    <row r="140" spans="1:186" s="54" customFormat="1" ht="14.45" customHeight="1">
      <c r="A140" s="61"/>
      <c r="B140" s="100" t="str">
        <f t="shared" si="345"/>
        <v>Residential_Whole House Efficiency_0_Hot Water Pipe Insulation_2018</v>
      </c>
      <c r="C140" s="100">
        <f>INDEX('Measure Inputs'!$D:$D,MATCH($B140,'Measure Inputs'!$B:$B,0))</f>
        <v>92</v>
      </c>
      <c r="D140" s="101" t="s">
        <v>2</v>
      </c>
      <c r="E140" s="101" t="s">
        <v>219</v>
      </c>
      <c r="F140" s="101">
        <v>0</v>
      </c>
      <c r="G140" s="101" t="s">
        <v>265</v>
      </c>
      <c r="H140" s="101">
        <v>2018</v>
      </c>
      <c r="I140" s="55"/>
      <c r="J140" s="58" t="str">
        <f t="shared" ca="1" si="229"/>
        <v>n/a</v>
      </c>
      <c r="K140" s="58" t="str">
        <f t="shared" ca="1" si="246"/>
        <v>n/a</v>
      </c>
      <c r="L140" s="58" t="str">
        <f t="shared" ca="1" si="230"/>
        <v>n/a</v>
      </c>
      <c r="M140" s="58" t="str">
        <f t="shared" ca="1" si="231"/>
        <v>n/a</v>
      </c>
      <c r="N140" s="58">
        <f t="shared" ca="1" si="232"/>
        <v>0.2734638001882867</v>
      </c>
      <c r="O140" s="55"/>
      <c r="P140" s="175">
        <f ca="1">IFERROR(($AW140+AV140)/SUMPRODUCT($CA140:$DI140,'General Inputs'!$F$51:$AN$51),"n/a")</f>
        <v>0</v>
      </c>
      <c r="Q140" s="175">
        <f t="shared" ca="1" si="309"/>
        <v>0</v>
      </c>
      <c r="R140" s="56">
        <f t="shared" ca="1" si="310"/>
        <v>47.123820685613836</v>
      </c>
      <c r="S140" s="55"/>
      <c r="T140" s="56">
        <f ca="1">INDEX(OFFSET('Measure Inputs'!$L$7,,,InputRows),$C140)</f>
        <v>25.5</v>
      </c>
      <c r="U140" s="134">
        <f ca="1">INDEX(OFFSET('Measure Inputs'!$T$7,,,InputRows),$C140)</f>
        <v>1</v>
      </c>
      <c r="V140" s="134">
        <f ca="1">INDEX(OFFSET('Measure Inputs'!$U$7,,,InputRows),$C140)</f>
        <v>1</v>
      </c>
      <c r="W140" s="55"/>
      <c r="X140" s="96">
        <f ca="1">INDEX(OFFSET('Measure Inputs'!$V$7,,,InputRows),$C140)*$T140*$V140*$U140</f>
        <v>3141.5880457075887</v>
      </c>
      <c r="Y140" s="96">
        <f ca="1">INDEX(OFFSET('Measure Inputs'!$W$7,,,InputRows),$C140)*$T140*$V140*$U140</f>
        <v>0.3586287723410489</v>
      </c>
      <c r="Z140" s="96">
        <f ca="1">INDEX(OFFSET('Measure Inputs'!$X$7,,,InputRows),$C140)*$T140*$V140*$U140</f>
        <v>0</v>
      </c>
      <c r="AA140" s="55"/>
      <c r="AB140" s="96">
        <f ca="1">INDEX(OFFSET('Measure Inputs'!$Z$7,,,InputRows),$C140)*$T140*$V140*$U140</f>
        <v>0</v>
      </c>
      <c r="AC140" s="96">
        <f ca="1">INDEX(OFFSET('Measure Inputs'!$AA$7,,,InputRows),$C140)*$T140*$V140*$U140</f>
        <v>0</v>
      </c>
      <c r="AD140" s="96">
        <f ca="1">INDEX(OFFSET('Measure Inputs'!$AB$7,,,InputRows),$C140)*$T140*$V140*$U140</f>
        <v>0</v>
      </c>
      <c r="AE140" s="55"/>
      <c r="AF140" s="57">
        <f ca="1">INDEX(OFFSET('Measure Inputs'!$Q$7,,,InputRows),$C140)*$T140</f>
        <v>0</v>
      </c>
      <c r="AG140" s="57">
        <f ca="1">INDEX(OFFSET('Measure Inputs'!$P$7,,,InputRows),$C140)*$T140*$V140</f>
        <v>0</v>
      </c>
      <c r="AH140" s="57">
        <f ca="1">INDEX(OFFSET('Measure Inputs'!$R$7,,,InputRows),$C140)*$T140*$V140</f>
        <v>0</v>
      </c>
      <c r="AI140" s="57">
        <f ca="1">INDEX(OFFSET('Measure Inputs'!$O$7,,,InputRows),$C140)*$T140</f>
        <v>0</v>
      </c>
      <c r="AJ140" s="57">
        <f ca="1">INDEX(OFFSET('Measure Inputs'!$S$7,,,InputRows),$C140)*$T140</f>
        <v>0</v>
      </c>
      <c r="AK140" s="63">
        <f ca="1">INDEX(OFFSET('Measure Inputs'!$M$7,,,InputRows),$C140)</f>
        <v>15</v>
      </c>
      <c r="AL140" s="88">
        <f ca="1">INDEX(OFFSET('Measure Inputs'!$N$7,,,InputRows),$C140)</f>
        <v>0</v>
      </c>
      <c r="AM140" s="57">
        <f ca="1">SUMIFS(OFFSET('Program Inputs'!$N$5,,,TotalPrograms),OFFSET('Program Inputs'!$B$5,,,TotalPrograms),SUBSTITUTE($B140,"All","*"))+AF140</f>
        <v>0</v>
      </c>
      <c r="AN140" s="57">
        <f t="shared" ca="1" si="311"/>
        <v>0</v>
      </c>
      <c r="AO140" s="55"/>
      <c r="AP140" s="59">
        <f t="shared" ca="1" si="312"/>
        <v>880.54740064120222</v>
      </c>
      <c r="AQ140" s="59">
        <f t="shared" ca="1" si="313"/>
        <v>0</v>
      </c>
      <c r="AR140" s="59">
        <f ca="1">SUMPRODUCT($CA140:$DI140,'General Inputs'!$F$32:$AN$32,'General Inputs'!$F$51:$AN$51)/(1-Loss_ElectricEnergy)</f>
        <v>813.73280963044965</v>
      </c>
      <c r="AS140" s="59">
        <f ca="1">SUMPRODUCT($DK140:$ES140,'General Inputs'!$F$33:$AN$33,'General Inputs'!$F$51:$AN$51)/(1-Loss_ElectricDemand)</f>
        <v>66.814591010752565</v>
      </c>
      <c r="AT140" s="59">
        <f ca="1">SUMPRODUCT($EU140:$GC140,'General Inputs'!$F$34:$AN$34,'General Inputs'!$F$51:$AN$51)/(1-Loss_GasEnergy)</f>
        <v>0</v>
      </c>
      <c r="AU140" s="59">
        <f ca="1">INDEX('General Inputs'!$F$51:$AN$51,MATCH($H140,'General Inputs'!$F$50:$AN$50,0))*$AJ140</f>
        <v>0</v>
      </c>
      <c r="AV140" s="59">
        <f ca="1">INDEX('General Inputs'!$F$51:$AN$51,MATCH($H140,'General Inputs'!$F$50:$AN$50,0))*$AI140</f>
        <v>0</v>
      </c>
      <c r="AW140" s="59">
        <f ca="1">INDEX('General Inputs'!$F$51:$AN$51,MATCH($H140,'General Inputs'!$F$50:$AN$50,0))*$AM140</f>
        <v>0</v>
      </c>
      <c r="AX140" s="59">
        <f ca="1">SUM(INDEX('General Inputs'!$F$51:$AN$51,MATCH($H140,'General Inputs'!$F$50:$AN$50,0))*$AG140,INDEX('General Inputs'!$F$51:$AN$51,MATCH($H140+$AL140,'General Inputs'!$F$50:$AN$50,0))*-$AH140)</f>
        <v>0</v>
      </c>
      <c r="AY140" s="55"/>
      <c r="AZ140" s="59">
        <f ca="1">SUMPRODUCT($CA140:$DI140,'General Inputs'!$F$32:$AN$32,'General Inputs'!$F$52:$AN$52)/(1-Loss_ElectricEnergy)</f>
        <v>813.73280963044965</v>
      </c>
      <c r="BA140" s="59">
        <f ca="1">SUMPRODUCT($DK140:$ES140,'General Inputs'!$F$33:$AN$33,'General Inputs'!$F$52:$AN$52)/(1-Loss_ElectricDemand)</f>
        <v>66.814591010752565</v>
      </c>
      <c r="BB140" s="59">
        <f ca="1">SUMPRODUCT($EU140:$GC140,'General Inputs'!$F$34:$AN$34,'General Inputs'!$F$52:$AN$52)/(1-Loss_GasEnergy)</f>
        <v>0</v>
      </c>
      <c r="BC140" s="59">
        <f ca="1">INDEX('General Inputs'!$F$52:$AN$52,MATCH($H140,'General Inputs'!$F$50:$AN$50,0))*$AI140</f>
        <v>0</v>
      </c>
      <c r="BD140" s="59">
        <f ca="1">INDEX('General Inputs'!$F$52:$AN$52,MATCH($H140,'General Inputs'!$F$50:$AN$50,0))*$AM140</f>
        <v>0</v>
      </c>
      <c r="BE140" s="55"/>
      <c r="BF140" s="59">
        <f ca="1">SUMPRODUCT($CA140:$DI140,OFFSET('General Inputs'!$F$40:$AN$40,MATCH($D140&amp;" Electric ($/kWh)",'General Inputs'!$E$40:$E$46,0),),'General Inputs'!$F$54:$AN$54)</f>
        <v>3219.9779277364069</v>
      </c>
      <c r="BG140" s="59">
        <f ca="1">SUMPRODUCT($EU140:$GC140,OFFSET('General Inputs'!$F$40:$AN$40,MATCH($D140&amp;" Natural Gas ($/therm)",'General Inputs'!$E$40:$E$46,0),),'General Inputs'!$F$54:$AN$54)</f>
        <v>0</v>
      </c>
      <c r="BH140" s="59">
        <f ca="1">INDEX('General Inputs'!$F$54:$AN$54,MATCH($H140,'General Inputs'!$F$50:$AN$50,0))*$AI140</f>
        <v>0</v>
      </c>
      <c r="BI140" s="59">
        <f ca="1">SUM(INDEX('General Inputs'!$F$54:$AN$54,MATCH($H140,'General Inputs'!$F$50:$AN$50,0))*$AG140,INDEX('General Inputs'!$F$51:$AN$51,MATCH($H140+$AL140,'General Inputs'!$F$50:$AN$50,0))*-$AH140)</f>
        <v>0</v>
      </c>
      <c r="BJ140" s="55"/>
      <c r="BK140" s="59">
        <f ca="1">SUMPRODUCT($CA140:$DI140,'General Inputs'!$F$32:$AN$32,'General Inputs'!$F$53:$AN$53)/(1-Loss_ElectricEnergy)</f>
        <v>813.73280963044965</v>
      </c>
      <c r="BL140" s="59">
        <f ca="1">SUMPRODUCT($DK140:$ES140,'General Inputs'!$F$33:$AN$33,'General Inputs'!$F$53:$AN$53)/(1-Loss_ElectricDemand)</f>
        <v>66.814591010752565</v>
      </c>
      <c r="BM140" s="59">
        <f ca="1">SUMPRODUCT($EU140:$GC140,'General Inputs'!$F$34:$AN$34,'General Inputs'!$F$53:$AN$53)/(1-Loss_GasEnergy)</f>
        <v>0</v>
      </c>
      <c r="BN140" s="59">
        <f ca="1">INDEX('General Inputs'!$F$53:$AN$53,MATCH($H140,'General Inputs'!$F$50:$AN$50,0))*$AJ140</f>
        <v>0</v>
      </c>
      <c r="BO140" s="59">
        <f ca="1">SUMPRODUCT($CA140:$DI140,'General Inputs'!$F$35:$AN$35,'General Inputs'!$F$53:$AN$53)/(1-Loss_ElectricEnergy)</f>
        <v>305.80631897075057</v>
      </c>
      <c r="BP140" s="59">
        <f ca="1">INDEX('General Inputs'!$F$51:$AN$51,MATCH($H140,'General Inputs'!$F$50:$AN$50,0))*$AM140</f>
        <v>0</v>
      </c>
      <c r="BQ140" s="59">
        <f ca="1">SUM(INDEX('General Inputs'!$F$53:$AN$53,MATCH($H140,'General Inputs'!$F$50:$AN$50,0))*$AG140,INDEX('General Inputs'!$F$53:$AN$53,MATCH($H140+$AL140,'General Inputs'!$F$50:$AN$50,0))*-$AH140)</f>
        <v>0</v>
      </c>
      <c r="BR140" s="55"/>
      <c r="BS140" s="59">
        <f ca="1">SUMPRODUCT($CA140:$DI140,'General Inputs'!$F$32:$AN$32,'General Inputs'!$F$55:$AN$55)/(1-Loss_ElectricEnergy)</f>
        <v>813.73280963044965</v>
      </c>
      <c r="BT140" s="59">
        <f ca="1">SUMPRODUCT($DK140:$ES140,'General Inputs'!$F$33:$AN$33,'General Inputs'!$F$55:$AN$55)/(1-Loss_ElectricDemand)</f>
        <v>66.814591010752565</v>
      </c>
      <c r="BU140" s="59">
        <f ca="1">SUMPRODUCT($EU140:$GC140,'General Inputs'!$F$34:$AN$34,'General Inputs'!$F$55:$AN$55)/(1-Loss_GasEnergy)</f>
        <v>0</v>
      </c>
      <c r="BV140" s="59">
        <f ca="1">SUMPRODUCT($CA140:$DI140,OFFSET('General Inputs'!$F$40:$AN$40,MATCH($D140&amp;" Electric ($/kWh)",'General Inputs'!$E$40:$E$46,0),),'General Inputs'!$F$55:$AN$55)</f>
        <v>3219.9779277364069</v>
      </c>
      <c r="BW140" s="59">
        <f ca="1">SUMPRODUCT($EU140:$GC140,OFFSET('General Inputs'!$F$40:$AN$40,MATCH($D140&amp;" Natural Gas ($/therm)",'General Inputs'!$E$40:$E$46,0),),'General Inputs'!$F$55:$AN$55)</f>
        <v>0</v>
      </c>
      <c r="BX140" s="59">
        <f ca="1">INDEX('General Inputs'!$F$55:$AN$55,MATCH($H140,'General Inputs'!$F$50:$AN$50,0))*$AI140</f>
        <v>0</v>
      </c>
      <c r="BY140" s="59">
        <f ca="1">INDEX('General Inputs'!$F$51:$AN$51,MATCH($H140,'General Inputs'!$F$50:$AN$50,0))*$AM140</f>
        <v>0</v>
      </c>
      <c r="BZ140" s="55"/>
      <c r="CA140" s="88">
        <f t="shared" ca="1" si="346"/>
        <v>0</v>
      </c>
      <c r="CB140" s="88">
        <f t="shared" ca="1" si="346"/>
        <v>3141.5880457075887</v>
      </c>
      <c r="CC140" s="88">
        <f t="shared" ca="1" si="346"/>
        <v>3141.5880457075887</v>
      </c>
      <c r="CD140" s="88">
        <f t="shared" ca="1" si="346"/>
        <v>3141.5880457075887</v>
      </c>
      <c r="CE140" s="88">
        <f t="shared" ca="1" si="346"/>
        <v>3141.5880457075887</v>
      </c>
      <c r="CF140" s="88">
        <f t="shared" ca="1" si="346"/>
        <v>3141.5880457075887</v>
      </c>
      <c r="CG140" s="88">
        <f t="shared" ca="1" si="346"/>
        <v>3141.5880457075887</v>
      </c>
      <c r="CH140" s="88">
        <f t="shared" ca="1" si="346"/>
        <v>3141.5880457075887</v>
      </c>
      <c r="CI140" s="88">
        <f t="shared" ca="1" si="346"/>
        <v>3141.5880457075887</v>
      </c>
      <c r="CJ140" s="88">
        <f t="shared" ca="1" si="346"/>
        <v>3141.5880457075887</v>
      </c>
      <c r="CK140" s="88">
        <f t="shared" ca="1" si="347"/>
        <v>3141.5880457075887</v>
      </c>
      <c r="CL140" s="88">
        <f t="shared" ca="1" si="347"/>
        <v>3141.5880457075887</v>
      </c>
      <c r="CM140" s="88">
        <f t="shared" ca="1" si="347"/>
        <v>3141.5880457075887</v>
      </c>
      <c r="CN140" s="88">
        <f t="shared" ca="1" si="347"/>
        <v>3141.5880457075887</v>
      </c>
      <c r="CO140" s="88">
        <f t="shared" ca="1" si="347"/>
        <v>3141.5880457075887</v>
      </c>
      <c r="CP140" s="88">
        <f t="shared" ca="1" si="347"/>
        <v>3141.5880457075887</v>
      </c>
      <c r="CQ140" s="88">
        <f t="shared" ca="1" si="347"/>
        <v>0</v>
      </c>
      <c r="CR140" s="88">
        <f t="shared" ca="1" si="347"/>
        <v>0</v>
      </c>
      <c r="CS140" s="88">
        <f t="shared" ca="1" si="347"/>
        <v>0</v>
      </c>
      <c r="CT140" s="88">
        <f t="shared" ca="1" si="347"/>
        <v>0</v>
      </c>
      <c r="CU140" s="88">
        <f t="shared" ca="1" si="348"/>
        <v>0</v>
      </c>
      <c r="CV140" s="88">
        <f t="shared" ca="1" si="348"/>
        <v>0</v>
      </c>
      <c r="CW140" s="88">
        <f t="shared" ca="1" si="348"/>
        <v>0</v>
      </c>
      <c r="CX140" s="88">
        <f t="shared" ca="1" si="348"/>
        <v>0</v>
      </c>
      <c r="CY140" s="88">
        <f t="shared" ca="1" si="348"/>
        <v>0</v>
      </c>
      <c r="CZ140" s="88">
        <f t="shared" ca="1" si="348"/>
        <v>0</v>
      </c>
      <c r="DA140" s="88">
        <f t="shared" ca="1" si="348"/>
        <v>0</v>
      </c>
      <c r="DB140" s="88">
        <f t="shared" ca="1" si="348"/>
        <v>0</v>
      </c>
      <c r="DC140" s="88">
        <f t="shared" ca="1" si="348"/>
        <v>0</v>
      </c>
      <c r="DD140" s="88">
        <f t="shared" ca="1" si="348"/>
        <v>0</v>
      </c>
      <c r="DE140" s="88">
        <f t="shared" ca="1" si="348"/>
        <v>0</v>
      </c>
      <c r="DF140" s="88">
        <f t="shared" ca="1" si="348"/>
        <v>0</v>
      </c>
      <c r="DG140" s="88">
        <f t="shared" ca="1" si="348"/>
        <v>0</v>
      </c>
      <c r="DH140" s="88">
        <f t="shared" ca="1" si="348"/>
        <v>0</v>
      </c>
      <c r="DI140" s="88">
        <f t="shared" ca="1" si="348"/>
        <v>0</v>
      </c>
      <c r="DJ140" s="169"/>
      <c r="DK140" s="88">
        <f t="shared" ca="1" si="349"/>
        <v>0</v>
      </c>
      <c r="DL140" s="88">
        <f t="shared" ca="1" si="349"/>
        <v>0.3586287723410489</v>
      </c>
      <c r="DM140" s="88">
        <f t="shared" ca="1" si="349"/>
        <v>0.3586287723410489</v>
      </c>
      <c r="DN140" s="88">
        <f t="shared" ca="1" si="349"/>
        <v>0.3586287723410489</v>
      </c>
      <c r="DO140" s="88">
        <f t="shared" ca="1" si="349"/>
        <v>0.3586287723410489</v>
      </c>
      <c r="DP140" s="88">
        <f t="shared" ca="1" si="349"/>
        <v>0.3586287723410489</v>
      </c>
      <c r="DQ140" s="88">
        <f t="shared" ca="1" si="349"/>
        <v>0.3586287723410489</v>
      </c>
      <c r="DR140" s="88">
        <f t="shared" ca="1" si="349"/>
        <v>0.3586287723410489</v>
      </c>
      <c r="DS140" s="88">
        <f t="shared" ca="1" si="349"/>
        <v>0.3586287723410489</v>
      </c>
      <c r="DT140" s="88">
        <f t="shared" ca="1" si="349"/>
        <v>0.3586287723410489</v>
      </c>
      <c r="DU140" s="88">
        <f t="shared" ca="1" si="350"/>
        <v>0.3586287723410489</v>
      </c>
      <c r="DV140" s="88">
        <f t="shared" ca="1" si="350"/>
        <v>0.3586287723410489</v>
      </c>
      <c r="DW140" s="88">
        <f t="shared" ca="1" si="350"/>
        <v>0.3586287723410489</v>
      </c>
      <c r="DX140" s="88">
        <f t="shared" ca="1" si="350"/>
        <v>0.3586287723410489</v>
      </c>
      <c r="DY140" s="88">
        <f t="shared" ca="1" si="350"/>
        <v>0.3586287723410489</v>
      </c>
      <c r="DZ140" s="88">
        <f t="shared" ca="1" si="350"/>
        <v>0.3586287723410489</v>
      </c>
      <c r="EA140" s="88">
        <f t="shared" ca="1" si="350"/>
        <v>0</v>
      </c>
      <c r="EB140" s="88">
        <f t="shared" ca="1" si="350"/>
        <v>0</v>
      </c>
      <c r="EC140" s="88">
        <f t="shared" ca="1" si="350"/>
        <v>0</v>
      </c>
      <c r="ED140" s="88">
        <f t="shared" ca="1" si="350"/>
        <v>0</v>
      </c>
      <c r="EE140" s="88">
        <f t="shared" ca="1" si="351"/>
        <v>0</v>
      </c>
      <c r="EF140" s="88">
        <f t="shared" ca="1" si="351"/>
        <v>0</v>
      </c>
      <c r="EG140" s="88">
        <f t="shared" ca="1" si="351"/>
        <v>0</v>
      </c>
      <c r="EH140" s="88">
        <f t="shared" ca="1" si="351"/>
        <v>0</v>
      </c>
      <c r="EI140" s="88">
        <f t="shared" ca="1" si="351"/>
        <v>0</v>
      </c>
      <c r="EJ140" s="88">
        <f t="shared" ca="1" si="351"/>
        <v>0</v>
      </c>
      <c r="EK140" s="88">
        <f t="shared" ca="1" si="351"/>
        <v>0</v>
      </c>
      <c r="EL140" s="88">
        <f t="shared" ca="1" si="351"/>
        <v>0</v>
      </c>
      <c r="EM140" s="88">
        <f t="shared" ca="1" si="351"/>
        <v>0</v>
      </c>
      <c r="EN140" s="88">
        <f t="shared" ca="1" si="351"/>
        <v>0</v>
      </c>
      <c r="EO140" s="88">
        <f t="shared" ca="1" si="351"/>
        <v>0</v>
      </c>
      <c r="EP140" s="88">
        <f t="shared" ca="1" si="351"/>
        <v>0</v>
      </c>
      <c r="EQ140" s="88">
        <f t="shared" ca="1" si="351"/>
        <v>0</v>
      </c>
      <c r="ER140" s="88">
        <f t="shared" ca="1" si="351"/>
        <v>0</v>
      </c>
      <c r="ES140" s="88">
        <f t="shared" ca="1" si="351"/>
        <v>0</v>
      </c>
      <c r="ET140" s="169"/>
      <c r="EU140" s="88">
        <f t="shared" ca="1" si="352"/>
        <v>0</v>
      </c>
      <c r="EV140" s="88">
        <f t="shared" ca="1" si="352"/>
        <v>0</v>
      </c>
      <c r="EW140" s="88">
        <f t="shared" ca="1" si="352"/>
        <v>0</v>
      </c>
      <c r="EX140" s="88">
        <f t="shared" ca="1" si="352"/>
        <v>0</v>
      </c>
      <c r="EY140" s="88">
        <f t="shared" ca="1" si="352"/>
        <v>0</v>
      </c>
      <c r="EZ140" s="88">
        <f t="shared" ca="1" si="352"/>
        <v>0</v>
      </c>
      <c r="FA140" s="88">
        <f t="shared" ca="1" si="352"/>
        <v>0</v>
      </c>
      <c r="FB140" s="88">
        <f t="shared" ca="1" si="352"/>
        <v>0</v>
      </c>
      <c r="FC140" s="88">
        <f t="shared" ca="1" si="352"/>
        <v>0</v>
      </c>
      <c r="FD140" s="88">
        <f t="shared" ca="1" si="352"/>
        <v>0</v>
      </c>
      <c r="FE140" s="88">
        <f t="shared" ca="1" si="353"/>
        <v>0</v>
      </c>
      <c r="FF140" s="88">
        <f t="shared" ca="1" si="353"/>
        <v>0</v>
      </c>
      <c r="FG140" s="88">
        <f t="shared" ca="1" si="353"/>
        <v>0</v>
      </c>
      <c r="FH140" s="88">
        <f t="shared" ca="1" si="353"/>
        <v>0</v>
      </c>
      <c r="FI140" s="88">
        <f t="shared" ca="1" si="353"/>
        <v>0</v>
      </c>
      <c r="FJ140" s="88">
        <f t="shared" ca="1" si="353"/>
        <v>0</v>
      </c>
      <c r="FK140" s="88">
        <f t="shared" ca="1" si="353"/>
        <v>0</v>
      </c>
      <c r="FL140" s="88">
        <f t="shared" ca="1" si="353"/>
        <v>0</v>
      </c>
      <c r="FM140" s="88">
        <f t="shared" ca="1" si="353"/>
        <v>0</v>
      </c>
      <c r="FN140" s="88">
        <f t="shared" ca="1" si="353"/>
        <v>0</v>
      </c>
      <c r="FO140" s="88">
        <f t="shared" ca="1" si="354"/>
        <v>0</v>
      </c>
      <c r="FP140" s="88">
        <f t="shared" ca="1" si="354"/>
        <v>0</v>
      </c>
      <c r="FQ140" s="88">
        <f t="shared" ca="1" si="354"/>
        <v>0</v>
      </c>
      <c r="FR140" s="88">
        <f t="shared" ca="1" si="354"/>
        <v>0</v>
      </c>
      <c r="FS140" s="88">
        <f t="shared" ca="1" si="354"/>
        <v>0</v>
      </c>
      <c r="FT140" s="88">
        <f t="shared" ca="1" si="354"/>
        <v>0</v>
      </c>
      <c r="FU140" s="88">
        <f t="shared" ca="1" si="354"/>
        <v>0</v>
      </c>
      <c r="FV140" s="88">
        <f t="shared" ca="1" si="354"/>
        <v>0</v>
      </c>
      <c r="FW140" s="88">
        <f t="shared" ca="1" si="354"/>
        <v>0</v>
      </c>
      <c r="FX140" s="88">
        <f t="shared" ca="1" si="354"/>
        <v>0</v>
      </c>
      <c r="FY140" s="88">
        <f t="shared" ca="1" si="354"/>
        <v>0</v>
      </c>
      <c r="FZ140" s="88">
        <f t="shared" ca="1" si="354"/>
        <v>0</v>
      </c>
      <c r="GA140" s="88">
        <f t="shared" ca="1" si="354"/>
        <v>0</v>
      </c>
      <c r="GB140" s="88">
        <f t="shared" ca="1" si="354"/>
        <v>0</v>
      </c>
      <c r="GC140" s="88">
        <f t="shared" ca="1" si="354"/>
        <v>0</v>
      </c>
      <c r="GD140" s="60"/>
    </row>
    <row r="141" spans="1:186" s="54" customFormat="1" ht="14.45" customHeight="1">
      <c r="A141" s="61"/>
      <c r="B141" s="100" t="str">
        <f t="shared" si="345"/>
        <v>Residential_Whole House Efficiency_0_Water Heater Tank Wrap_2018</v>
      </c>
      <c r="C141" s="100">
        <f>INDEX('Measure Inputs'!$D:$D,MATCH($B141,'Measure Inputs'!$B:$B,0))</f>
        <v>93</v>
      </c>
      <c r="D141" s="101" t="s">
        <v>2</v>
      </c>
      <c r="E141" s="101" t="s">
        <v>219</v>
      </c>
      <c r="F141" s="101">
        <v>0</v>
      </c>
      <c r="G141" s="101" t="s">
        <v>266</v>
      </c>
      <c r="H141" s="101">
        <v>2018</v>
      </c>
      <c r="I141" s="55"/>
      <c r="J141" s="58" t="str">
        <f t="shared" ca="1" si="229"/>
        <v>n/a</v>
      </c>
      <c r="K141" s="58" t="str">
        <f t="shared" ca="1" si="246"/>
        <v>n/a</v>
      </c>
      <c r="L141" s="58" t="str">
        <f t="shared" ca="1" si="230"/>
        <v>n/a</v>
      </c>
      <c r="M141" s="58" t="str">
        <f t="shared" ca="1" si="231"/>
        <v>n/a</v>
      </c>
      <c r="N141" s="58">
        <f t="shared" ca="1" si="232"/>
        <v>0.27356014990931132</v>
      </c>
      <c r="O141" s="55"/>
      <c r="P141" s="175">
        <f ca="1">IFERROR(($AW141+AV141)/SUMPRODUCT($CA141:$DI141,'General Inputs'!$F$51:$AN$51),"n/a")</f>
        <v>0</v>
      </c>
      <c r="Q141" s="175">
        <f t="shared" ca="1" si="309"/>
        <v>0</v>
      </c>
      <c r="R141" s="56">
        <f t="shared" ca="1" si="310"/>
        <v>21.45</v>
      </c>
      <c r="S141" s="55"/>
      <c r="T141" s="56">
        <f ca="1">INDEX(OFFSET('Measure Inputs'!$L$7,,,InputRows),$C141)</f>
        <v>30</v>
      </c>
      <c r="U141" s="134">
        <f ca="1">INDEX(OFFSET('Measure Inputs'!$T$7,,,InputRows),$C141)</f>
        <v>1</v>
      </c>
      <c r="V141" s="134">
        <f ca="1">INDEX(OFFSET('Measure Inputs'!$U$7,,,InputRows),$C141)</f>
        <v>1</v>
      </c>
      <c r="W141" s="55"/>
      <c r="X141" s="96">
        <f ca="1">INDEX(OFFSET('Measure Inputs'!$V$7,,,InputRows),$C141)*$T141*$V141*$U141</f>
        <v>4290</v>
      </c>
      <c r="Y141" s="96">
        <f ca="1">INDEX(OFFSET('Measure Inputs'!$W$7,,,InputRows),$C141)*$T141*$V141*$U141</f>
        <v>0.49200000000000005</v>
      </c>
      <c r="Z141" s="96">
        <f ca="1">INDEX(OFFSET('Measure Inputs'!$X$7,,,InputRows),$C141)*$T141*$V141*$U141</f>
        <v>0</v>
      </c>
      <c r="AA141" s="55"/>
      <c r="AB141" s="96">
        <f ca="1">INDEX(OFFSET('Measure Inputs'!$Z$7,,,InputRows),$C141)*$T141*$V141*$U141</f>
        <v>0</v>
      </c>
      <c r="AC141" s="96">
        <f ca="1">INDEX(OFFSET('Measure Inputs'!$AA$7,,,InputRows),$C141)*$T141*$V141*$U141</f>
        <v>0</v>
      </c>
      <c r="AD141" s="96">
        <f ca="1">INDEX(OFFSET('Measure Inputs'!$AB$7,,,InputRows),$C141)*$T141*$V141*$U141</f>
        <v>0</v>
      </c>
      <c r="AE141" s="55"/>
      <c r="AF141" s="57">
        <f ca="1">INDEX(OFFSET('Measure Inputs'!$Q$7,,,InputRows),$C141)*$T141</f>
        <v>0</v>
      </c>
      <c r="AG141" s="57">
        <f ca="1">INDEX(OFFSET('Measure Inputs'!$P$7,,,InputRows),$C141)*$T141*$V141</f>
        <v>0</v>
      </c>
      <c r="AH141" s="57">
        <f ca="1">INDEX(OFFSET('Measure Inputs'!$R$7,,,InputRows),$C141)*$T141*$V141</f>
        <v>0</v>
      </c>
      <c r="AI141" s="57">
        <f ca="1">INDEX(OFFSET('Measure Inputs'!$O$7,,,InputRows),$C141)*$T141</f>
        <v>0</v>
      </c>
      <c r="AJ141" s="57">
        <f ca="1">INDEX(OFFSET('Measure Inputs'!$S$7,,,InputRows),$C141)*$T141</f>
        <v>0</v>
      </c>
      <c r="AK141" s="63">
        <f ca="1">INDEX(OFFSET('Measure Inputs'!$M$7,,,InputRows),$C141)</f>
        <v>5</v>
      </c>
      <c r="AL141" s="88">
        <f ca="1">INDEX(OFFSET('Measure Inputs'!$N$7,,,InputRows),$C141)</f>
        <v>0</v>
      </c>
      <c r="AM141" s="57">
        <f ca="1">SUMIFS(OFFSET('Program Inputs'!$N$5,,,TotalPrograms),OFFSET('Program Inputs'!$B$5,,,TotalPrograms),SUBSTITUTE($B141,"All","*"))+AF141</f>
        <v>0</v>
      </c>
      <c r="AN141" s="57">
        <f t="shared" ca="1" si="311"/>
        <v>0</v>
      </c>
      <c r="AO141" s="55"/>
      <c r="AP141" s="59">
        <f t="shared" ca="1" si="312"/>
        <v>546.05753696145575</v>
      </c>
      <c r="AQ141" s="59">
        <f t="shared" ca="1" si="313"/>
        <v>0</v>
      </c>
      <c r="AR141" s="59">
        <f ca="1">SUMPRODUCT($CA141:$DI141,'General Inputs'!$F$32:$AN$32,'General Inputs'!$F$51:$AN$51)/(1-Loss_ElectricEnergy)</f>
        <v>504.44579380940945</v>
      </c>
      <c r="AS141" s="59">
        <f ca="1">SUMPRODUCT($DK141:$ES141,'General Inputs'!$F$33:$AN$33,'General Inputs'!$F$51:$AN$51)/(1-Loss_ElectricDemand)</f>
        <v>41.61174315204628</v>
      </c>
      <c r="AT141" s="59">
        <f ca="1">SUMPRODUCT($EU141:$GC141,'General Inputs'!$F$34:$AN$34,'General Inputs'!$F$51:$AN$51)/(1-Loss_GasEnergy)</f>
        <v>0</v>
      </c>
      <c r="AU141" s="59">
        <f ca="1">INDEX('General Inputs'!$F$51:$AN$51,MATCH($H141,'General Inputs'!$F$50:$AN$50,0))*$AJ141</f>
        <v>0</v>
      </c>
      <c r="AV141" s="59">
        <f ca="1">INDEX('General Inputs'!$F$51:$AN$51,MATCH($H141,'General Inputs'!$F$50:$AN$50,0))*$AI141</f>
        <v>0</v>
      </c>
      <c r="AW141" s="59">
        <f ca="1">INDEX('General Inputs'!$F$51:$AN$51,MATCH($H141,'General Inputs'!$F$50:$AN$50,0))*$AM141</f>
        <v>0</v>
      </c>
      <c r="AX141" s="59">
        <f ca="1">SUM(INDEX('General Inputs'!$F$51:$AN$51,MATCH($H141,'General Inputs'!$F$50:$AN$50,0))*$AG141,INDEX('General Inputs'!$F$51:$AN$51,MATCH($H141+$AL141,'General Inputs'!$F$50:$AN$50,0))*-$AH141)</f>
        <v>0</v>
      </c>
      <c r="AY141" s="55"/>
      <c r="AZ141" s="59">
        <f ca="1">SUMPRODUCT($CA141:$DI141,'General Inputs'!$F$32:$AN$32,'General Inputs'!$F$52:$AN$52)/(1-Loss_ElectricEnergy)</f>
        <v>504.44579380940945</v>
      </c>
      <c r="BA141" s="59">
        <f ca="1">SUMPRODUCT($DK141:$ES141,'General Inputs'!$F$33:$AN$33,'General Inputs'!$F$52:$AN$52)/(1-Loss_ElectricDemand)</f>
        <v>41.61174315204628</v>
      </c>
      <c r="BB141" s="59">
        <f ca="1">SUMPRODUCT($EU141:$GC141,'General Inputs'!$F$34:$AN$34,'General Inputs'!$F$52:$AN$52)/(1-Loss_GasEnergy)</f>
        <v>0</v>
      </c>
      <c r="BC141" s="59">
        <f ca="1">INDEX('General Inputs'!$F$52:$AN$52,MATCH($H141,'General Inputs'!$F$50:$AN$50,0))*$AI141</f>
        <v>0</v>
      </c>
      <c r="BD141" s="59">
        <f ca="1">INDEX('General Inputs'!$F$52:$AN$52,MATCH($H141,'General Inputs'!$F$50:$AN$50,0))*$AM141</f>
        <v>0</v>
      </c>
      <c r="BE141" s="55"/>
      <c r="BF141" s="59">
        <f ca="1">SUMPRODUCT($CA141:$DI141,OFFSET('General Inputs'!$F$40:$AN$40,MATCH($D141&amp;" Electric ($/kWh)",'General Inputs'!$E$40:$E$46,0),),'General Inputs'!$F$54:$AN$54)</f>
        <v>1996.1150669879394</v>
      </c>
      <c r="BG141" s="59">
        <f ca="1">SUMPRODUCT($EU141:$GC141,OFFSET('General Inputs'!$F$40:$AN$40,MATCH($D141&amp;" Natural Gas ($/therm)",'General Inputs'!$E$40:$E$46,0),),'General Inputs'!$F$54:$AN$54)</f>
        <v>0</v>
      </c>
      <c r="BH141" s="59">
        <f ca="1">INDEX('General Inputs'!$F$54:$AN$54,MATCH($H141,'General Inputs'!$F$50:$AN$50,0))*$AI141</f>
        <v>0</v>
      </c>
      <c r="BI141" s="59">
        <f ca="1">SUM(INDEX('General Inputs'!$F$54:$AN$54,MATCH($H141,'General Inputs'!$F$50:$AN$50,0))*$AG141,INDEX('General Inputs'!$F$51:$AN$51,MATCH($H141+$AL141,'General Inputs'!$F$50:$AN$50,0))*-$AH141)</f>
        <v>0</v>
      </c>
      <c r="BJ141" s="55"/>
      <c r="BK141" s="59">
        <f ca="1">SUMPRODUCT($CA141:$DI141,'General Inputs'!$F$32:$AN$32,'General Inputs'!$F$53:$AN$53)/(1-Loss_ElectricEnergy)</f>
        <v>504.44579380940945</v>
      </c>
      <c r="BL141" s="59">
        <f ca="1">SUMPRODUCT($DK141:$ES141,'General Inputs'!$F$33:$AN$33,'General Inputs'!$F$53:$AN$53)/(1-Loss_ElectricDemand)</f>
        <v>41.61174315204628</v>
      </c>
      <c r="BM141" s="59">
        <f ca="1">SUMPRODUCT($EU141:$GC141,'General Inputs'!$F$34:$AN$34,'General Inputs'!$F$53:$AN$53)/(1-Loss_GasEnergy)</f>
        <v>0</v>
      </c>
      <c r="BN141" s="59">
        <f ca="1">INDEX('General Inputs'!$F$53:$AN$53,MATCH($H141,'General Inputs'!$F$50:$AN$50,0))*$AJ141</f>
        <v>0</v>
      </c>
      <c r="BO141" s="59">
        <f ca="1">SUMPRODUCT($CA141:$DI141,'General Inputs'!$F$35:$AN$35,'General Inputs'!$F$53:$AN$53)/(1-Loss_ElectricEnergy)</f>
        <v>200.44033806675895</v>
      </c>
      <c r="BP141" s="59">
        <f ca="1">INDEX('General Inputs'!$F$51:$AN$51,MATCH($H141,'General Inputs'!$F$50:$AN$50,0))*$AM141</f>
        <v>0</v>
      </c>
      <c r="BQ141" s="59">
        <f ca="1">SUM(INDEX('General Inputs'!$F$53:$AN$53,MATCH($H141,'General Inputs'!$F$50:$AN$50,0))*$AG141,INDEX('General Inputs'!$F$53:$AN$53,MATCH($H141+$AL141,'General Inputs'!$F$50:$AN$50,0))*-$AH141)</f>
        <v>0</v>
      </c>
      <c r="BR141" s="55"/>
      <c r="BS141" s="59">
        <f ca="1">SUMPRODUCT($CA141:$DI141,'General Inputs'!$F$32:$AN$32,'General Inputs'!$F$55:$AN$55)/(1-Loss_ElectricEnergy)</f>
        <v>504.44579380940945</v>
      </c>
      <c r="BT141" s="59">
        <f ca="1">SUMPRODUCT($DK141:$ES141,'General Inputs'!$F$33:$AN$33,'General Inputs'!$F$55:$AN$55)/(1-Loss_ElectricDemand)</f>
        <v>41.61174315204628</v>
      </c>
      <c r="BU141" s="59">
        <f ca="1">SUMPRODUCT($EU141:$GC141,'General Inputs'!$F$34:$AN$34,'General Inputs'!$F$55:$AN$55)/(1-Loss_GasEnergy)</f>
        <v>0</v>
      </c>
      <c r="BV141" s="59">
        <f ca="1">SUMPRODUCT($CA141:$DI141,OFFSET('General Inputs'!$F$40:$AN$40,MATCH($D141&amp;" Electric ($/kWh)",'General Inputs'!$E$40:$E$46,0),),'General Inputs'!$F$55:$AN$55)</f>
        <v>1996.1150669879394</v>
      </c>
      <c r="BW141" s="59">
        <f ca="1">SUMPRODUCT($EU141:$GC141,OFFSET('General Inputs'!$F$40:$AN$40,MATCH($D141&amp;" Natural Gas ($/therm)",'General Inputs'!$E$40:$E$46,0),),'General Inputs'!$F$55:$AN$55)</f>
        <v>0</v>
      </c>
      <c r="BX141" s="59">
        <f ca="1">INDEX('General Inputs'!$F$55:$AN$55,MATCH($H141,'General Inputs'!$F$50:$AN$50,0))*$AI141</f>
        <v>0</v>
      </c>
      <c r="BY141" s="59">
        <f ca="1">INDEX('General Inputs'!$F$51:$AN$51,MATCH($H141,'General Inputs'!$F$50:$AN$50,0))*$AM141</f>
        <v>0</v>
      </c>
      <c r="BZ141" s="55"/>
      <c r="CA141" s="88">
        <f t="shared" ca="1" si="346"/>
        <v>0</v>
      </c>
      <c r="CB141" s="88">
        <f t="shared" ca="1" si="346"/>
        <v>4290</v>
      </c>
      <c r="CC141" s="88">
        <f t="shared" ca="1" si="346"/>
        <v>4290</v>
      </c>
      <c r="CD141" s="88">
        <f t="shared" ca="1" si="346"/>
        <v>4290</v>
      </c>
      <c r="CE141" s="88">
        <f t="shared" ca="1" si="346"/>
        <v>4290</v>
      </c>
      <c r="CF141" s="88">
        <f t="shared" ca="1" si="346"/>
        <v>4290</v>
      </c>
      <c r="CG141" s="88">
        <f t="shared" ca="1" si="346"/>
        <v>0</v>
      </c>
      <c r="CH141" s="88">
        <f t="shared" ca="1" si="346"/>
        <v>0</v>
      </c>
      <c r="CI141" s="88">
        <f t="shared" ca="1" si="346"/>
        <v>0</v>
      </c>
      <c r="CJ141" s="88">
        <f t="shared" ca="1" si="346"/>
        <v>0</v>
      </c>
      <c r="CK141" s="88">
        <f t="shared" ca="1" si="347"/>
        <v>0</v>
      </c>
      <c r="CL141" s="88">
        <f t="shared" ca="1" si="347"/>
        <v>0</v>
      </c>
      <c r="CM141" s="88">
        <f t="shared" ca="1" si="347"/>
        <v>0</v>
      </c>
      <c r="CN141" s="88">
        <f t="shared" ca="1" si="347"/>
        <v>0</v>
      </c>
      <c r="CO141" s="88">
        <f t="shared" ca="1" si="347"/>
        <v>0</v>
      </c>
      <c r="CP141" s="88">
        <f t="shared" ca="1" si="347"/>
        <v>0</v>
      </c>
      <c r="CQ141" s="88">
        <f t="shared" ca="1" si="347"/>
        <v>0</v>
      </c>
      <c r="CR141" s="88">
        <f t="shared" ca="1" si="347"/>
        <v>0</v>
      </c>
      <c r="CS141" s="88">
        <f t="shared" ca="1" si="347"/>
        <v>0</v>
      </c>
      <c r="CT141" s="88">
        <f t="shared" ca="1" si="347"/>
        <v>0</v>
      </c>
      <c r="CU141" s="88">
        <f t="shared" ca="1" si="348"/>
        <v>0</v>
      </c>
      <c r="CV141" s="88">
        <f t="shared" ca="1" si="348"/>
        <v>0</v>
      </c>
      <c r="CW141" s="88">
        <f t="shared" ca="1" si="348"/>
        <v>0</v>
      </c>
      <c r="CX141" s="88">
        <f t="shared" ca="1" si="348"/>
        <v>0</v>
      </c>
      <c r="CY141" s="88">
        <f t="shared" ca="1" si="348"/>
        <v>0</v>
      </c>
      <c r="CZ141" s="88">
        <f t="shared" ca="1" si="348"/>
        <v>0</v>
      </c>
      <c r="DA141" s="88">
        <f t="shared" ca="1" si="348"/>
        <v>0</v>
      </c>
      <c r="DB141" s="88">
        <f t="shared" ca="1" si="348"/>
        <v>0</v>
      </c>
      <c r="DC141" s="88">
        <f t="shared" ca="1" si="348"/>
        <v>0</v>
      </c>
      <c r="DD141" s="88">
        <f t="shared" ca="1" si="348"/>
        <v>0</v>
      </c>
      <c r="DE141" s="88">
        <f t="shared" ca="1" si="348"/>
        <v>0</v>
      </c>
      <c r="DF141" s="88">
        <f t="shared" ca="1" si="348"/>
        <v>0</v>
      </c>
      <c r="DG141" s="88">
        <f t="shared" ca="1" si="348"/>
        <v>0</v>
      </c>
      <c r="DH141" s="88">
        <f t="shared" ca="1" si="348"/>
        <v>0</v>
      </c>
      <c r="DI141" s="88">
        <f t="shared" ca="1" si="348"/>
        <v>0</v>
      </c>
      <c r="DJ141" s="169"/>
      <c r="DK141" s="88">
        <f t="shared" ca="1" si="349"/>
        <v>0</v>
      </c>
      <c r="DL141" s="88">
        <f t="shared" ca="1" si="349"/>
        <v>0.49200000000000005</v>
      </c>
      <c r="DM141" s="88">
        <f t="shared" ca="1" si="349"/>
        <v>0.49200000000000005</v>
      </c>
      <c r="DN141" s="88">
        <f t="shared" ca="1" si="349"/>
        <v>0.49200000000000005</v>
      </c>
      <c r="DO141" s="88">
        <f t="shared" ca="1" si="349"/>
        <v>0.49200000000000005</v>
      </c>
      <c r="DP141" s="88">
        <f t="shared" ca="1" si="349"/>
        <v>0.49200000000000005</v>
      </c>
      <c r="DQ141" s="88">
        <f t="shared" ca="1" si="349"/>
        <v>0</v>
      </c>
      <c r="DR141" s="88">
        <f t="shared" ca="1" si="349"/>
        <v>0</v>
      </c>
      <c r="DS141" s="88">
        <f t="shared" ca="1" si="349"/>
        <v>0</v>
      </c>
      <c r="DT141" s="88">
        <f t="shared" ca="1" si="349"/>
        <v>0</v>
      </c>
      <c r="DU141" s="88">
        <f t="shared" ca="1" si="350"/>
        <v>0</v>
      </c>
      <c r="DV141" s="88">
        <f t="shared" ca="1" si="350"/>
        <v>0</v>
      </c>
      <c r="DW141" s="88">
        <f t="shared" ca="1" si="350"/>
        <v>0</v>
      </c>
      <c r="DX141" s="88">
        <f t="shared" ca="1" si="350"/>
        <v>0</v>
      </c>
      <c r="DY141" s="88">
        <f t="shared" ca="1" si="350"/>
        <v>0</v>
      </c>
      <c r="DZ141" s="88">
        <f t="shared" ca="1" si="350"/>
        <v>0</v>
      </c>
      <c r="EA141" s="88">
        <f t="shared" ca="1" si="350"/>
        <v>0</v>
      </c>
      <c r="EB141" s="88">
        <f t="shared" ca="1" si="350"/>
        <v>0</v>
      </c>
      <c r="EC141" s="88">
        <f t="shared" ca="1" si="350"/>
        <v>0</v>
      </c>
      <c r="ED141" s="88">
        <f t="shared" ca="1" si="350"/>
        <v>0</v>
      </c>
      <c r="EE141" s="88">
        <f t="shared" ca="1" si="351"/>
        <v>0</v>
      </c>
      <c r="EF141" s="88">
        <f t="shared" ca="1" si="351"/>
        <v>0</v>
      </c>
      <c r="EG141" s="88">
        <f t="shared" ca="1" si="351"/>
        <v>0</v>
      </c>
      <c r="EH141" s="88">
        <f t="shared" ca="1" si="351"/>
        <v>0</v>
      </c>
      <c r="EI141" s="88">
        <f t="shared" ca="1" si="351"/>
        <v>0</v>
      </c>
      <c r="EJ141" s="88">
        <f t="shared" ca="1" si="351"/>
        <v>0</v>
      </c>
      <c r="EK141" s="88">
        <f t="shared" ca="1" si="351"/>
        <v>0</v>
      </c>
      <c r="EL141" s="88">
        <f t="shared" ca="1" si="351"/>
        <v>0</v>
      </c>
      <c r="EM141" s="88">
        <f t="shared" ca="1" si="351"/>
        <v>0</v>
      </c>
      <c r="EN141" s="88">
        <f t="shared" ca="1" si="351"/>
        <v>0</v>
      </c>
      <c r="EO141" s="88">
        <f t="shared" ca="1" si="351"/>
        <v>0</v>
      </c>
      <c r="EP141" s="88">
        <f t="shared" ca="1" si="351"/>
        <v>0</v>
      </c>
      <c r="EQ141" s="88">
        <f t="shared" ca="1" si="351"/>
        <v>0</v>
      </c>
      <c r="ER141" s="88">
        <f t="shared" ca="1" si="351"/>
        <v>0</v>
      </c>
      <c r="ES141" s="88">
        <f t="shared" ca="1" si="351"/>
        <v>0</v>
      </c>
      <c r="ET141" s="169"/>
      <c r="EU141" s="88">
        <f t="shared" ca="1" si="352"/>
        <v>0</v>
      </c>
      <c r="EV141" s="88">
        <f t="shared" ca="1" si="352"/>
        <v>0</v>
      </c>
      <c r="EW141" s="88">
        <f t="shared" ca="1" si="352"/>
        <v>0</v>
      </c>
      <c r="EX141" s="88">
        <f t="shared" ca="1" si="352"/>
        <v>0</v>
      </c>
      <c r="EY141" s="88">
        <f t="shared" ca="1" si="352"/>
        <v>0</v>
      </c>
      <c r="EZ141" s="88">
        <f t="shared" ca="1" si="352"/>
        <v>0</v>
      </c>
      <c r="FA141" s="88">
        <f t="shared" ca="1" si="352"/>
        <v>0</v>
      </c>
      <c r="FB141" s="88">
        <f t="shared" ca="1" si="352"/>
        <v>0</v>
      </c>
      <c r="FC141" s="88">
        <f t="shared" ca="1" si="352"/>
        <v>0</v>
      </c>
      <c r="FD141" s="88">
        <f t="shared" ca="1" si="352"/>
        <v>0</v>
      </c>
      <c r="FE141" s="88">
        <f t="shared" ca="1" si="353"/>
        <v>0</v>
      </c>
      <c r="FF141" s="88">
        <f t="shared" ca="1" si="353"/>
        <v>0</v>
      </c>
      <c r="FG141" s="88">
        <f t="shared" ca="1" si="353"/>
        <v>0</v>
      </c>
      <c r="FH141" s="88">
        <f t="shared" ca="1" si="353"/>
        <v>0</v>
      </c>
      <c r="FI141" s="88">
        <f t="shared" ca="1" si="353"/>
        <v>0</v>
      </c>
      <c r="FJ141" s="88">
        <f t="shared" ca="1" si="353"/>
        <v>0</v>
      </c>
      <c r="FK141" s="88">
        <f t="shared" ca="1" si="353"/>
        <v>0</v>
      </c>
      <c r="FL141" s="88">
        <f t="shared" ca="1" si="353"/>
        <v>0</v>
      </c>
      <c r="FM141" s="88">
        <f t="shared" ca="1" si="353"/>
        <v>0</v>
      </c>
      <c r="FN141" s="88">
        <f t="shared" ca="1" si="353"/>
        <v>0</v>
      </c>
      <c r="FO141" s="88">
        <f t="shared" ca="1" si="354"/>
        <v>0</v>
      </c>
      <c r="FP141" s="88">
        <f t="shared" ca="1" si="354"/>
        <v>0</v>
      </c>
      <c r="FQ141" s="88">
        <f t="shared" ca="1" si="354"/>
        <v>0</v>
      </c>
      <c r="FR141" s="88">
        <f t="shared" ca="1" si="354"/>
        <v>0</v>
      </c>
      <c r="FS141" s="88">
        <f t="shared" ca="1" si="354"/>
        <v>0</v>
      </c>
      <c r="FT141" s="88">
        <f t="shared" ca="1" si="354"/>
        <v>0</v>
      </c>
      <c r="FU141" s="88">
        <f t="shared" ca="1" si="354"/>
        <v>0</v>
      </c>
      <c r="FV141" s="88">
        <f t="shared" ca="1" si="354"/>
        <v>0</v>
      </c>
      <c r="FW141" s="88">
        <f t="shared" ca="1" si="354"/>
        <v>0</v>
      </c>
      <c r="FX141" s="88">
        <f t="shared" ca="1" si="354"/>
        <v>0</v>
      </c>
      <c r="FY141" s="88">
        <f t="shared" ca="1" si="354"/>
        <v>0</v>
      </c>
      <c r="FZ141" s="88">
        <f t="shared" ca="1" si="354"/>
        <v>0</v>
      </c>
      <c r="GA141" s="88">
        <f t="shared" ca="1" si="354"/>
        <v>0</v>
      </c>
      <c r="GB141" s="88">
        <f t="shared" ca="1" si="354"/>
        <v>0</v>
      </c>
      <c r="GC141" s="88">
        <f t="shared" ca="1" si="354"/>
        <v>0</v>
      </c>
      <c r="GD141" s="60"/>
    </row>
    <row r="142" spans="1:186" s="54" customFormat="1" ht="14.45" customHeight="1">
      <c r="A142" s="61"/>
      <c r="B142" s="100" t="str">
        <f t="shared" si="345"/>
        <v>Residential_Whole House Efficiency_0_LED_2018</v>
      </c>
      <c r="C142" s="100">
        <f>INDEX('Measure Inputs'!$D:$D,MATCH($B142,'Measure Inputs'!$B:$B,0))</f>
        <v>94</v>
      </c>
      <c r="D142" s="101" t="s">
        <v>2</v>
      </c>
      <c r="E142" s="101" t="s">
        <v>219</v>
      </c>
      <c r="F142" s="101">
        <v>0</v>
      </c>
      <c r="G142" s="101" t="s">
        <v>216</v>
      </c>
      <c r="H142" s="101">
        <v>2018</v>
      </c>
      <c r="I142" s="55"/>
      <c r="J142" s="58" t="str">
        <f t="shared" ca="1" si="229"/>
        <v>n/a</v>
      </c>
      <c r="K142" s="58" t="str">
        <f t="shared" ca="1" si="246"/>
        <v>n/a</v>
      </c>
      <c r="L142" s="58" t="str">
        <f t="shared" ca="1" si="230"/>
        <v>n/a</v>
      </c>
      <c r="M142" s="58" t="str">
        <f t="shared" ca="1" si="231"/>
        <v>n/a</v>
      </c>
      <c r="N142" s="58">
        <f t="shared" ca="1" si="232"/>
        <v>0.26866943777996122</v>
      </c>
      <c r="O142" s="55"/>
      <c r="P142" s="175">
        <f ca="1">IFERROR(($AW142+AV142)/SUMPRODUCT($CA142:$DI142,'General Inputs'!$F$51:$AN$51),"n/a")</f>
        <v>0</v>
      </c>
      <c r="Q142" s="175">
        <f t="shared" ca="1" si="309"/>
        <v>0</v>
      </c>
      <c r="R142" s="56">
        <f t="shared" ca="1" si="310"/>
        <v>48.700450259999997</v>
      </c>
      <c r="S142" s="55"/>
      <c r="T142" s="56">
        <f ca="1">INDEX(OFFSET('Measure Inputs'!$L$7,,,InputRows),$C142)</f>
        <v>150</v>
      </c>
      <c r="U142" s="134">
        <f ca="1">INDEX(OFFSET('Measure Inputs'!$T$7,,,InputRows),$C142)</f>
        <v>1</v>
      </c>
      <c r="V142" s="134">
        <f ca="1">INDEX(OFFSET('Measure Inputs'!$U$7,,,InputRows),$C142)</f>
        <v>1</v>
      </c>
      <c r="W142" s="55"/>
      <c r="X142" s="96">
        <f ca="1">INDEX(OFFSET('Measure Inputs'!$V$7,,,InputRows),$C142)*$T142*$V142*$U142</f>
        <v>4870.0450259999998</v>
      </c>
      <c r="Y142" s="96">
        <f ca="1">INDEX(OFFSET('Measure Inputs'!$W$7,,,InputRows),$C142)*$T142*$V142*$U142</f>
        <v>0.42748908299999994</v>
      </c>
      <c r="Z142" s="96">
        <f ca="1">INDEX(OFFSET('Measure Inputs'!$X$7,,,InputRows),$C142)*$T142*$V142*$U142</f>
        <v>0</v>
      </c>
      <c r="AA142" s="55"/>
      <c r="AB142" s="96">
        <f ca="1">INDEX(OFFSET('Measure Inputs'!$Z$7,,,InputRows),$C142)*$T142*$V142*$U142</f>
        <v>0</v>
      </c>
      <c r="AC142" s="96">
        <f ca="1">INDEX(OFFSET('Measure Inputs'!$AA$7,,,InputRows),$C142)*$T142*$V142*$U142</f>
        <v>0</v>
      </c>
      <c r="AD142" s="96">
        <f ca="1">INDEX(OFFSET('Measure Inputs'!$AB$7,,,InputRows),$C142)*$T142*$V142*$U142</f>
        <v>0</v>
      </c>
      <c r="AE142" s="55"/>
      <c r="AF142" s="57">
        <f ca="1">INDEX(OFFSET('Measure Inputs'!$Q$7,,,InputRows),$C142)*$T142</f>
        <v>0</v>
      </c>
      <c r="AG142" s="57">
        <f ca="1">INDEX(OFFSET('Measure Inputs'!$P$7,,,InputRows),$C142)*$T142*$V142</f>
        <v>0</v>
      </c>
      <c r="AH142" s="57">
        <f ca="1">INDEX(OFFSET('Measure Inputs'!$R$7,,,InputRows),$C142)*$T142*$V142</f>
        <v>0</v>
      </c>
      <c r="AI142" s="57">
        <f ca="1">INDEX(OFFSET('Measure Inputs'!$O$7,,,InputRows),$C142)*$T142</f>
        <v>0</v>
      </c>
      <c r="AJ142" s="57">
        <f ca="1">INDEX(OFFSET('Measure Inputs'!$S$7,,,InputRows),$C142)*$T142</f>
        <v>0</v>
      </c>
      <c r="AK142" s="63">
        <f ca="1">INDEX(OFFSET('Measure Inputs'!$M$7,,,InputRows),$C142)</f>
        <v>10</v>
      </c>
      <c r="AL142" s="88">
        <f ca="1">INDEX(OFFSET('Measure Inputs'!$N$7,,,InputRows),$C142)</f>
        <v>0</v>
      </c>
      <c r="AM142" s="57">
        <f ca="1">SUMIFS(OFFSET('Program Inputs'!$N$5,,,TotalPrograms),OFFSET('Program Inputs'!$B$5,,,TotalPrograms),SUBSTITUTE($B142,"All","*"))+AF142</f>
        <v>0</v>
      </c>
      <c r="AN142" s="57">
        <f t="shared" ca="1" si="311"/>
        <v>0</v>
      </c>
      <c r="AO142" s="55"/>
      <c r="AP142" s="59">
        <f t="shared" ca="1" si="312"/>
        <v>1038.2118132508188</v>
      </c>
      <c r="AQ142" s="59">
        <f t="shared" ca="1" si="313"/>
        <v>0</v>
      </c>
      <c r="AR142" s="59">
        <f ca="1">SUMPRODUCT($CA142:$DI142,'General Inputs'!$F$32:$AN$32,'General Inputs'!$F$51:$AN$51)/(1-Loss_ElectricEnergy)</f>
        <v>976.55482920832469</v>
      </c>
      <c r="AS142" s="59">
        <f ca="1">SUMPRODUCT($DK142:$ES142,'General Inputs'!$F$33:$AN$33,'General Inputs'!$F$51:$AN$51)/(1-Loss_ElectricDemand)</f>
        <v>61.656984042494095</v>
      </c>
      <c r="AT142" s="59">
        <f ca="1">SUMPRODUCT($EU142:$GC142,'General Inputs'!$F$34:$AN$34,'General Inputs'!$F$51:$AN$51)/(1-Loss_GasEnergy)</f>
        <v>0</v>
      </c>
      <c r="AU142" s="59">
        <f ca="1">INDEX('General Inputs'!$F$51:$AN$51,MATCH($H142,'General Inputs'!$F$50:$AN$50,0))*$AJ142</f>
        <v>0</v>
      </c>
      <c r="AV142" s="59">
        <f ca="1">INDEX('General Inputs'!$F$51:$AN$51,MATCH($H142,'General Inputs'!$F$50:$AN$50,0))*$AI142</f>
        <v>0</v>
      </c>
      <c r="AW142" s="59">
        <f ca="1">INDEX('General Inputs'!$F$51:$AN$51,MATCH($H142,'General Inputs'!$F$50:$AN$50,0))*$AM142</f>
        <v>0</v>
      </c>
      <c r="AX142" s="59">
        <f ca="1">SUM(INDEX('General Inputs'!$F$51:$AN$51,MATCH($H142,'General Inputs'!$F$50:$AN$50,0))*$AG142,INDEX('General Inputs'!$F$51:$AN$51,MATCH($H142+$AL142,'General Inputs'!$F$50:$AN$50,0))*-$AH142)</f>
        <v>0</v>
      </c>
      <c r="AY142" s="55"/>
      <c r="AZ142" s="59">
        <f ca="1">SUMPRODUCT($CA142:$DI142,'General Inputs'!$F$32:$AN$32,'General Inputs'!$F$52:$AN$52)/(1-Loss_ElectricEnergy)</f>
        <v>976.55482920832469</v>
      </c>
      <c r="BA142" s="59">
        <f ca="1">SUMPRODUCT($DK142:$ES142,'General Inputs'!$F$33:$AN$33,'General Inputs'!$F$52:$AN$52)/(1-Loss_ElectricDemand)</f>
        <v>61.656984042494095</v>
      </c>
      <c r="BB142" s="59">
        <f ca="1">SUMPRODUCT($EU142:$GC142,'General Inputs'!$F$34:$AN$34,'General Inputs'!$F$52:$AN$52)/(1-Loss_GasEnergy)</f>
        <v>0</v>
      </c>
      <c r="BC142" s="59">
        <f ca="1">INDEX('General Inputs'!$F$52:$AN$52,MATCH($H142,'General Inputs'!$F$50:$AN$50,0))*$AI142</f>
        <v>0</v>
      </c>
      <c r="BD142" s="59">
        <f ca="1">INDEX('General Inputs'!$F$52:$AN$52,MATCH($H142,'General Inputs'!$F$50:$AN$50,0))*$AM142</f>
        <v>0</v>
      </c>
      <c r="BE142" s="55"/>
      <c r="BF142" s="59">
        <f ca="1">SUMPRODUCT($CA142:$DI142,OFFSET('General Inputs'!$F$40:$AN$40,MATCH($D142&amp;" Electric ($/kWh)",'General Inputs'!$E$40:$E$46,0),),'General Inputs'!$F$54:$AN$54)</f>
        <v>3864.2721026613699</v>
      </c>
      <c r="BG142" s="59">
        <f ca="1">SUMPRODUCT($EU142:$GC142,OFFSET('General Inputs'!$F$40:$AN$40,MATCH($D142&amp;" Natural Gas ($/therm)",'General Inputs'!$E$40:$E$46,0),),'General Inputs'!$F$54:$AN$54)</f>
        <v>0</v>
      </c>
      <c r="BH142" s="59">
        <f ca="1">INDEX('General Inputs'!$F$54:$AN$54,MATCH($H142,'General Inputs'!$F$50:$AN$50,0))*$AI142</f>
        <v>0</v>
      </c>
      <c r="BI142" s="59">
        <f ca="1">SUM(INDEX('General Inputs'!$F$54:$AN$54,MATCH($H142,'General Inputs'!$F$50:$AN$50,0))*$AG142,INDEX('General Inputs'!$F$51:$AN$51,MATCH($H142+$AL142,'General Inputs'!$F$50:$AN$50,0))*-$AH142)</f>
        <v>0</v>
      </c>
      <c r="BJ142" s="55"/>
      <c r="BK142" s="59">
        <f ca="1">SUMPRODUCT($CA142:$DI142,'General Inputs'!$F$32:$AN$32,'General Inputs'!$F$53:$AN$53)/(1-Loss_ElectricEnergy)</f>
        <v>976.55482920832469</v>
      </c>
      <c r="BL142" s="59">
        <f ca="1">SUMPRODUCT($DK142:$ES142,'General Inputs'!$F$33:$AN$33,'General Inputs'!$F$53:$AN$53)/(1-Loss_ElectricDemand)</f>
        <v>61.656984042494095</v>
      </c>
      <c r="BM142" s="59">
        <f ca="1">SUMPRODUCT($EU142:$GC142,'General Inputs'!$F$34:$AN$34,'General Inputs'!$F$53:$AN$53)/(1-Loss_GasEnergy)</f>
        <v>0</v>
      </c>
      <c r="BN142" s="59">
        <f ca="1">INDEX('General Inputs'!$F$53:$AN$53,MATCH($H142,'General Inputs'!$F$50:$AN$50,0))*$AJ142</f>
        <v>0</v>
      </c>
      <c r="BO142" s="59">
        <f ca="1">SUMPRODUCT($CA142:$DI142,'General Inputs'!$F$35:$AN$35,'General Inputs'!$F$53:$AN$53)/(1-Loss_ElectricEnergy)</f>
        <v>376.51823154434027</v>
      </c>
      <c r="BP142" s="59">
        <f ca="1">INDEX('General Inputs'!$F$51:$AN$51,MATCH($H142,'General Inputs'!$F$50:$AN$50,0))*$AM142</f>
        <v>0</v>
      </c>
      <c r="BQ142" s="59">
        <f ca="1">SUM(INDEX('General Inputs'!$F$53:$AN$53,MATCH($H142,'General Inputs'!$F$50:$AN$50,0))*$AG142,INDEX('General Inputs'!$F$53:$AN$53,MATCH($H142+$AL142,'General Inputs'!$F$50:$AN$50,0))*-$AH142)</f>
        <v>0</v>
      </c>
      <c r="BR142" s="55"/>
      <c r="BS142" s="59">
        <f ca="1">SUMPRODUCT($CA142:$DI142,'General Inputs'!$F$32:$AN$32,'General Inputs'!$F$55:$AN$55)/(1-Loss_ElectricEnergy)</f>
        <v>976.55482920832469</v>
      </c>
      <c r="BT142" s="59">
        <f ca="1">SUMPRODUCT($DK142:$ES142,'General Inputs'!$F$33:$AN$33,'General Inputs'!$F$55:$AN$55)/(1-Loss_ElectricDemand)</f>
        <v>61.656984042494095</v>
      </c>
      <c r="BU142" s="59">
        <f ca="1">SUMPRODUCT($EU142:$GC142,'General Inputs'!$F$34:$AN$34,'General Inputs'!$F$55:$AN$55)/(1-Loss_GasEnergy)</f>
        <v>0</v>
      </c>
      <c r="BV142" s="59">
        <f ca="1">SUMPRODUCT($CA142:$DI142,OFFSET('General Inputs'!$F$40:$AN$40,MATCH($D142&amp;" Electric ($/kWh)",'General Inputs'!$E$40:$E$46,0),),'General Inputs'!$F$55:$AN$55)</f>
        <v>3864.2721026613699</v>
      </c>
      <c r="BW142" s="59">
        <f ca="1">SUMPRODUCT($EU142:$GC142,OFFSET('General Inputs'!$F$40:$AN$40,MATCH($D142&amp;" Natural Gas ($/therm)",'General Inputs'!$E$40:$E$46,0),),'General Inputs'!$F$55:$AN$55)</f>
        <v>0</v>
      </c>
      <c r="BX142" s="59">
        <f ca="1">INDEX('General Inputs'!$F$55:$AN$55,MATCH($H142,'General Inputs'!$F$50:$AN$50,0))*$AI142</f>
        <v>0</v>
      </c>
      <c r="BY142" s="59">
        <f ca="1">INDEX('General Inputs'!$F$51:$AN$51,MATCH($H142,'General Inputs'!$F$50:$AN$50,0))*$AM142</f>
        <v>0</v>
      </c>
      <c r="BZ142" s="55"/>
      <c r="CA142" s="88">
        <f t="shared" ca="1" si="346"/>
        <v>0</v>
      </c>
      <c r="CB142" s="88">
        <f t="shared" ca="1" si="346"/>
        <v>4870.0450259999998</v>
      </c>
      <c r="CC142" s="88">
        <f t="shared" ca="1" si="346"/>
        <v>4870.0450259999998</v>
      </c>
      <c r="CD142" s="88">
        <f t="shared" ca="1" si="346"/>
        <v>4870.0450259999998</v>
      </c>
      <c r="CE142" s="88">
        <f t="shared" ca="1" si="346"/>
        <v>4870.0450259999998</v>
      </c>
      <c r="CF142" s="88">
        <f t="shared" ca="1" si="346"/>
        <v>4870.0450259999998</v>
      </c>
      <c r="CG142" s="88">
        <f t="shared" ca="1" si="346"/>
        <v>4870.0450259999998</v>
      </c>
      <c r="CH142" s="88">
        <f t="shared" ca="1" si="346"/>
        <v>4870.0450259999998</v>
      </c>
      <c r="CI142" s="88">
        <f t="shared" ca="1" si="346"/>
        <v>4870.0450259999998</v>
      </c>
      <c r="CJ142" s="88">
        <f t="shared" ca="1" si="346"/>
        <v>4870.0450259999998</v>
      </c>
      <c r="CK142" s="88">
        <f t="shared" ca="1" si="347"/>
        <v>4870.0450259999998</v>
      </c>
      <c r="CL142" s="88">
        <f t="shared" ca="1" si="347"/>
        <v>0</v>
      </c>
      <c r="CM142" s="88">
        <f t="shared" ca="1" si="347"/>
        <v>0</v>
      </c>
      <c r="CN142" s="88">
        <f t="shared" ca="1" si="347"/>
        <v>0</v>
      </c>
      <c r="CO142" s="88">
        <f t="shared" ca="1" si="347"/>
        <v>0</v>
      </c>
      <c r="CP142" s="88">
        <f t="shared" ca="1" si="347"/>
        <v>0</v>
      </c>
      <c r="CQ142" s="88">
        <f t="shared" ca="1" si="347"/>
        <v>0</v>
      </c>
      <c r="CR142" s="88">
        <f t="shared" ca="1" si="347"/>
        <v>0</v>
      </c>
      <c r="CS142" s="88">
        <f t="shared" ca="1" si="347"/>
        <v>0</v>
      </c>
      <c r="CT142" s="88">
        <f t="shared" ca="1" si="347"/>
        <v>0</v>
      </c>
      <c r="CU142" s="88">
        <f t="shared" ca="1" si="348"/>
        <v>0</v>
      </c>
      <c r="CV142" s="88">
        <f t="shared" ca="1" si="348"/>
        <v>0</v>
      </c>
      <c r="CW142" s="88">
        <f t="shared" ca="1" si="348"/>
        <v>0</v>
      </c>
      <c r="CX142" s="88">
        <f t="shared" ca="1" si="348"/>
        <v>0</v>
      </c>
      <c r="CY142" s="88">
        <f t="shared" ca="1" si="348"/>
        <v>0</v>
      </c>
      <c r="CZ142" s="88">
        <f t="shared" ca="1" si="348"/>
        <v>0</v>
      </c>
      <c r="DA142" s="88">
        <f t="shared" ca="1" si="348"/>
        <v>0</v>
      </c>
      <c r="DB142" s="88">
        <f t="shared" ca="1" si="348"/>
        <v>0</v>
      </c>
      <c r="DC142" s="88">
        <f t="shared" ca="1" si="348"/>
        <v>0</v>
      </c>
      <c r="DD142" s="88">
        <f t="shared" ca="1" si="348"/>
        <v>0</v>
      </c>
      <c r="DE142" s="88">
        <f t="shared" ca="1" si="348"/>
        <v>0</v>
      </c>
      <c r="DF142" s="88">
        <f t="shared" ca="1" si="348"/>
        <v>0</v>
      </c>
      <c r="DG142" s="88">
        <f t="shared" ca="1" si="348"/>
        <v>0</v>
      </c>
      <c r="DH142" s="88">
        <f t="shared" ca="1" si="348"/>
        <v>0</v>
      </c>
      <c r="DI142" s="88">
        <f t="shared" ca="1" si="348"/>
        <v>0</v>
      </c>
      <c r="DJ142" s="169"/>
      <c r="DK142" s="88">
        <f t="shared" ca="1" si="349"/>
        <v>0</v>
      </c>
      <c r="DL142" s="88">
        <f t="shared" ca="1" si="349"/>
        <v>0.42748908299999994</v>
      </c>
      <c r="DM142" s="88">
        <f t="shared" ca="1" si="349"/>
        <v>0.42748908299999994</v>
      </c>
      <c r="DN142" s="88">
        <f t="shared" ca="1" si="349"/>
        <v>0.42748908299999994</v>
      </c>
      <c r="DO142" s="88">
        <f t="shared" ca="1" si="349"/>
        <v>0.42748908299999994</v>
      </c>
      <c r="DP142" s="88">
        <f t="shared" ca="1" si="349"/>
        <v>0.42748908299999994</v>
      </c>
      <c r="DQ142" s="88">
        <f t="shared" ca="1" si="349"/>
        <v>0.42748908299999994</v>
      </c>
      <c r="DR142" s="88">
        <f t="shared" ca="1" si="349"/>
        <v>0.42748908299999994</v>
      </c>
      <c r="DS142" s="88">
        <f t="shared" ca="1" si="349"/>
        <v>0.42748908299999994</v>
      </c>
      <c r="DT142" s="88">
        <f t="shared" ca="1" si="349"/>
        <v>0.42748908299999994</v>
      </c>
      <c r="DU142" s="88">
        <f t="shared" ca="1" si="350"/>
        <v>0.42748908299999994</v>
      </c>
      <c r="DV142" s="88">
        <f t="shared" ca="1" si="350"/>
        <v>0</v>
      </c>
      <c r="DW142" s="88">
        <f t="shared" ca="1" si="350"/>
        <v>0</v>
      </c>
      <c r="DX142" s="88">
        <f t="shared" ca="1" si="350"/>
        <v>0</v>
      </c>
      <c r="DY142" s="88">
        <f t="shared" ca="1" si="350"/>
        <v>0</v>
      </c>
      <c r="DZ142" s="88">
        <f t="shared" ca="1" si="350"/>
        <v>0</v>
      </c>
      <c r="EA142" s="88">
        <f t="shared" ca="1" si="350"/>
        <v>0</v>
      </c>
      <c r="EB142" s="88">
        <f t="shared" ca="1" si="350"/>
        <v>0</v>
      </c>
      <c r="EC142" s="88">
        <f t="shared" ca="1" si="350"/>
        <v>0</v>
      </c>
      <c r="ED142" s="88">
        <f t="shared" ca="1" si="350"/>
        <v>0</v>
      </c>
      <c r="EE142" s="88">
        <f t="shared" ca="1" si="351"/>
        <v>0</v>
      </c>
      <c r="EF142" s="88">
        <f t="shared" ca="1" si="351"/>
        <v>0</v>
      </c>
      <c r="EG142" s="88">
        <f t="shared" ca="1" si="351"/>
        <v>0</v>
      </c>
      <c r="EH142" s="88">
        <f t="shared" ca="1" si="351"/>
        <v>0</v>
      </c>
      <c r="EI142" s="88">
        <f t="shared" ca="1" si="351"/>
        <v>0</v>
      </c>
      <c r="EJ142" s="88">
        <f t="shared" ca="1" si="351"/>
        <v>0</v>
      </c>
      <c r="EK142" s="88">
        <f t="shared" ca="1" si="351"/>
        <v>0</v>
      </c>
      <c r="EL142" s="88">
        <f t="shared" ca="1" si="351"/>
        <v>0</v>
      </c>
      <c r="EM142" s="88">
        <f t="shared" ca="1" si="351"/>
        <v>0</v>
      </c>
      <c r="EN142" s="88">
        <f t="shared" ca="1" si="351"/>
        <v>0</v>
      </c>
      <c r="EO142" s="88">
        <f t="shared" ca="1" si="351"/>
        <v>0</v>
      </c>
      <c r="EP142" s="88">
        <f t="shared" ca="1" si="351"/>
        <v>0</v>
      </c>
      <c r="EQ142" s="88">
        <f t="shared" ca="1" si="351"/>
        <v>0</v>
      </c>
      <c r="ER142" s="88">
        <f t="shared" ca="1" si="351"/>
        <v>0</v>
      </c>
      <c r="ES142" s="88">
        <f t="shared" ca="1" si="351"/>
        <v>0</v>
      </c>
      <c r="ET142" s="169"/>
      <c r="EU142" s="88">
        <f t="shared" ca="1" si="352"/>
        <v>0</v>
      </c>
      <c r="EV142" s="88">
        <f t="shared" ca="1" si="352"/>
        <v>0</v>
      </c>
      <c r="EW142" s="88">
        <f t="shared" ca="1" si="352"/>
        <v>0</v>
      </c>
      <c r="EX142" s="88">
        <f t="shared" ca="1" si="352"/>
        <v>0</v>
      </c>
      <c r="EY142" s="88">
        <f t="shared" ca="1" si="352"/>
        <v>0</v>
      </c>
      <c r="EZ142" s="88">
        <f t="shared" ca="1" si="352"/>
        <v>0</v>
      </c>
      <c r="FA142" s="88">
        <f t="shared" ca="1" si="352"/>
        <v>0</v>
      </c>
      <c r="FB142" s="88">
        <f t="shared" ca="1" si="352"/>
        <v>0</v>
      </c>
      <c r="FC142" s="88">
        <f t="shared" ca="1" si="352"/>
        <v>0</v>
      </c>
      <c r="FD142" s="88">
        <f t="shared" ca="1" si="352"/>
        <v>0</v>
      </c>
      <c r="FE142" s="88">
        <f t="shared" ca="1" si="353"/>
        <v>0</v>
      </c>
      <c r="FF142" s="88">
        <f t="shared" ca="1" si="353"/>
        <v>0</v>
      </c>
      <c r="FG142" s="88">
        <f t="shared" ca="1" si="353"/>
        <v>0</v>
      </c>
      <c r="FH142" s="88">
        <f t="shared" ca="1" si="353"/>
        <v>0</v>
      </c>
      <c r="FI142" s="88">
        <f t="shared" ca="1" si="353"/>
        <v>0</v>
      </c>
      <c r="FJ142" s="88">
        <f t="shared" ca="1" si="353"/>
        <v>0</v>
      </c>
      <c r="FK142" s="88">
        <f t="shared" ca="1" si="353"/>
        <v>0</v>
      </c>
      <c r="FL142" s="88">
        <f t="shared" ca="1" si="353"/>
        <v>0</v>
      </c>
      <c r="FM142" s="88">
        <f t="shared" ca="1" si="353"/>
        <v>0</v>
      </c>
      <c r="FN142" s="88">
        <f t="shared" ca="1" si="353"/>
        <v>0</v>
      </c>
      <c r="FO142" s="88">
        <f t="shared" ca="1" si="354"/>
        <v>0</v>
      </c>
      <c r="FP142" s="88">
        <f t="shared" ca="1" si="354"/>
        <v>0</v>
      </c>
      <c r="FQ142" s="88">
        <f t="shared" ca="1" si="354"/>
        <v>0</v>
      </c>
      <c r="FR142" s="88">
        <f t="shared" ca="1" si="354"/>
        <v>0</v>
      </c>
      <c r="FS142" s="88">
        <f t="shared" ca="1" si="354"/>
        <v>0</v>
      </c>
      <c r="FT142" s="88">
        <f t="shared" ca="1" si="354"/>
        <v>0</v>
      </c>
      <c r="FU142" s="88">
        <f t="shared" ca="1" si="354"/>
        <v>0</v>
      </c>
      <c r="FV142" s="88">
        <f t="shared" ca="1" si="354"/>
        <v>0</v>
      </c>
      <c r="FW142" s="88">
        <f t="shared" ca="1" si="354"/>
        <v>0</v>
      </c>
      <c r="FX142" s="88">
        <f t="shared" ca="1" si="354"/>
        <v>0</v>
      </c>
      <c r="FY142" s="88">
        <f t="shared" ca="1" si="354"/>
        <v>0</v>
      </c>
      <c r="FZ142" s="88">
        <f t="shared" ca="1" si="354"/>
        <v>0</v>
      </c>
      <c r="GA142" s="88">
        <f t="shared" ca="1" si="354"/>
        <v>0</v>
      </c>
      <c r="GB142" s="88">
        <f t="shared" ca="1" si="354"/>
        <v>0</v>
      </c>
      <c r="GC142" s="88">
        <f t="shared" ca="1" si="354"/>
        <v>0</v>
      </c>
      <c r="GD142" s="60"/>
    </row>
    <row r="143" spans="1:186" s="54" customFormat="1" ht="14.45" customHeight="1">
      <c r="A143" s="61"/>
      <c r="B143" s="100" t="str">
        <f t="shared" si="345"/>
        <v>Residential_Whole House Efficiency_0_Faucet Aerator_2018</v>
      </c>
      <c r="C143" s="100">
        <f>INDEX('Measure Inputs'!$D:$D,MATCH($B143,'Measure Inputs'!$B:$B,0))</f>
        <v>95</v>
      </c>
      <c r="D143" s="101" t="s">
        <v>2</v>
      </c>
      <c r="E143" s="101" t="s">
        <v>219</v>
      </c>
      <c r="F143" s="101">
        <v>0</v>
      </c>
      <c r="G143" s="29" t="s">
        <v>525</v>
      </c>
      <c r="H143" s="101">
        <v>2018</v>
      </c>
      <c r="I143" s="55"/>
      <c r="J143" s="58" t="str">
        <f t="shared" ca="1" si="229"/>
        <v>n/a</v>
      </c>
      <c r="K143" s="58" t="str">
        <f t="shared" ca="1" si="246"/>
        <v>n/a</v>
      </c>
      <c r="L143" s="58" t="str">
        <f t="shared" ca="1" si="230"/>
        <v>n/a</v>
      </c>
      <c r="M143" s="58" t="str">
        <f t="shared" ca="1" si="231"/>
        <v>n/a</v>
      </c>
      <c r="N143" s="58">
        <f t="shared" ca="1" si="232"/>
        <v>0.32961653368545418</v>
      </c>
      <c r="O143" s="55"/>
      <c r="P143" s="175">
        <f ca="1">IFERROR(($AW143+AV143)/SUMPRODUCT($CA143:$DI143,'General Inputs'!$F$51:$AN$51),"n/a")</f>
        <v>0</v>
      </c>
      <c r="Q143" s="175">
        <f t="shared" ca="1" si="309"/>
        <v>0</v>
      </c>
      <c r="R143" s="56">
        <f t="shared" ca="1" si="310"/>
        <v>37.043314784348901</v>
      </c>
      <c r="S143" s="55"/>
      <c r="T143" s="56">
        <f ca="1">INDEX(OFFSET('Measure Inputs'!$L$7,,,InputRows),$C143)</f>
        <v>60</v>
      </c>
      <c r="U143" s="134">
        <f ca="1">INDEX(OFFSET('Measure Inputs'!$T$7,,,InputRows),$C143)</f>
        <v>1</v>
      </c>
      <c r="V143" s="134">
        <f ca="1">INDEX(OFFSET('Measure Inputs'!$U$7,,,InputRows),$C143)</f>
        <v>1</v>
      </c>
      <c r="W143" s="55"/>
      <c r="X143" s="96">
        <f ca="1">INDEX(OFFSET('Measure Inputs'!$V$7,,,InputRows),$C143)*$T143*$V143*$U143</f>
        <v>4115.9238649276558</v>
      </c>
      <c r="Y143" s="96">
        <f ca="1">INDEX(OFFSET('Measure Inputs'!$W$7,,,InputRows),$C143)*$T143*$V143*$U143</f>
        <v>1.74135240439247</v>
      </c>
      <c r="Z143" s="96">
        <f ca="1">INDEX(OFFSET('Measure Inputs'!$X$7,,,InputRows),$C143)*$T143*$V143*$U143</f>
        <v>0</v>
      </c>
      <c r="AA143" s="55"/>
      <c r="AB143" s="96">
        <f ca="1">INDEX(OFFSET('Measure Inputs'!$Z$7,,,InputRows),$C143)*$T143*$V143*$U143</f>
        <v>0</v>
      </c>
      <c r="AC143" s="96">
        <f ca="1">INDEX(OFFSET('Measure Inputs'!$AA$7,,,InputRows),$C143)*$T143*$V143*$U143</f>
        <v>0</v>
      </c>
      <c r="AD143" s="96">
        <f ca="1">INDEX(OFFSET('Measure Inputs'!$AB$7,,,InputRows),$C143)*$T143*$V143*$U143</f>
        <v>0</v>
      </c>
      <c r="AE143" s="55"/>
      <c r="AF143" s="57">
        <f ca="1">INDEX(OFFSET('Measure Inputs'!$Q$7,,,InputRows),$C143)*$T143</f>
        <v>0</v>
      </c>
      <c r="AG143" s="57">
        <f ca="1">INDEX(OFFSET('Measure Inputs'!$P$7,,,InputRows),$C143)*$T143*$V143</f>
        <v>0</v>
      </c>
      <c r="AH143" s="57">
        <f ca="1">INDEX(OFFSET('Measure Inputs'!$R$7,,,InputRows),$C143)*$T143*$V143</f>
        <v>0</v>
      </c>
      <c r="AI143" s="57">
        <f ca="1">INDEX(OFFSET('Measure Inputs'!$O$7,,,InputRows),$C143)*$T143</f>
        <v>0</v>
      </c>
      <c r="AJ143" s="57">
        <f ca="1">INDEX(OFFSET('Measure Inputs'!$S$7,,,InputRows),$C143)*$T143</f>
        <v>0</v>
      </c>
      <c r="AK143" s="63">
        <f ca="1">INDEX(OFFSET('Measure Inputs'!$M$7,,,InputRows),$C143)</f>
        <v>9</v>
      </c>
      <c r="AL143" s="88">
        <f ca="1">INDEX(OFFSET('Measure Inputs'!$N$7,,,InputRows),$C143)</f>
        <v>0</v>
      </c>
      <c r="AM143" s="57">
        <f ca="1">SUMIFS(OFFSET('Program Inputs'!$N$5,,,TotalPrograms),OFFSET('Program Inputs'!$B$5,,,TotalPrograms),SUBSTITUTE($B143,"All","*"))+AF143</f>
        <v>0</v>
      </c>
      <c r="AN143" s="57">
        <f t="shared" ca="1" si="311"/>
        <v>0</v>
      </c>
      <c r="AO143" s="55"/>
      <c r="AP143" s="59">
        <f t="shared" ca="1" si="312"/>
        <v>999.42668452032694</v>
      </c>
      <c r="AQ143" s="59">
        <f t="shared" ca="1" si="313"/>
        <v>0</v>
      </c>
      <c r="AR143" s="59">
        <f ca="1">SUMPRODUCT($CA143:$DI143,'General Inputs'!$F$32:$AN$32,'General Inputs'!$F$51:$AN$51)/(1-Loss_ElectricEnergy)</f>
        <v>766.25070174358632</v>
      </c>
      <c r="AS143" s="59">
        <f ca="1">SUMPRODUCT($DK143:$ES143,'General Inputs'!$F$33:$AN$33,'General Inputs'!$F$51:$AN$51)/(1-Loss_ElectricDemand)</f>
        <v>233.17598277674068</v>
      </c>
      <c r="AT143" s="59">
        <f ca="1">SUMPRODUCT($EU143:$GC143,'General Inputs'!$F$34:$AN$34,'General Inputs'!$F$51:$AN$51)/(1-Loss_GasEnergy)</f>
        <v>0</v>
      </c>
      <c r="AU143" s="59">
        <f ca="1">INDEX('General Inputs'!$F$51:$AN$51,MATCH($H143,'General Inputs'!$F$50:$AN$50,0))*$AJ143</f>
        <v>0</v>
      </c>
      <c r="AV143" s="59">
        <f ca="1">INDEX('General Inputs'!$F$51:$AN$51,MATCH($H143,'General Inputs'!$F$50:$AN$50,0))*$AI143</f>
        <v>0</v>
      </c>
      <c r="AW143" s="59">
        <f ca="1">INDEX('General Inputs'!$F$51:$AN$51,MATCH($H143,'General Inputs'!$F$50:$AN$50,0))*$AM143</f>
        <v>0</v>
      </c>
      <c r="AX143" s="59">
        <f ca="1">SUM(INDEX('General Inputs'!$F$51:$AN$51,MATCH($H143,'General Inputs'!$F$50:$AN$50,0))*$AG143,INDEX('General Inputs'!$F$51:$AN$51,MATCH($H143+$AL143,'General Inputs'!$F$50:$AN$50,0))*-$AH143)</f>
        <v>0</v>
      </c>
      <c r="AY143" s="55"/>
      <c r="AZ143" s="59">
        <f ca="1">SUMPRODUCT($CA143:$DI143,'General Inputs'!$F$32:$AN$32,'General Inputs'!$F$52:$AN$52)/(1-Loss_ElectricEnergy)</f>
        <v>766.25070174358632</v>
      </c>
      <c r="BA143" s="59">
        <f ca="1">SUMPRODUCT($DK143:$ES143,'General Inputs'!$F$33:$AN$33,'General Inputs'!$F$52:$AN$52)/(1-Loss_ElectricDemand)</f>
        <v>233.17598277674068</v>
      </c>
      <c r="BB143" s="59">
        <f ca="1">SUMPRODUCT($EU143:$GC143,'General Inputs'!$F$34:$AN$34,'General Inputs'!$F$52:$AN$52)/(1-Loss_GasEnergy)</f>
        <v>0</v>
      </c>
      <c r="BC143" s="59">
        <f ca="1">INDEX('General Inputs'!$F$52:$AN$52,MATCH($H143,'General Inputs'!$F$50:$AN$50,0))*$AI143</f>
        <v>0</v>
      </c>
      <c r="BD143" s="59">
        <f ca="1">INDEX('General Inputs'!$F$52:$AN$52,MATCH($H143,'General Inputs'!$F$50:$AN$50,0))*$AM143</f>
        <v>0</v>
      </c>
      <c r="BE143" s="55"/>
      <c r="BF143" s="59">
        <f ca="1">SUMPRODUCT($CA143:$DI143,OFFSET('General Inputs'!$F$40:$AN$40,MATCH($D143&amp;" Electric ($/kWh)",'General Inputs'!$E$40:$E$46,0),),'General Inputs'!$F$54:$AN$54)</f>
        <v>3032.0890561699125</v>
      </c>
      <c r="BG143" s="59">
        <f ca="1">SUMPRODUCT($EU143:$GC143,OFFSET('General Inputs'!$F$40:$AN$40,MATCH($D143&amp;" Natural Gas ($/therm)",'General Inputs'!$E$40:$E$46,0),),'General Inputs'!$F$54:$AN$54)</f>
        <v>0</v>
      </c>
      <c r="BH143" s="59">
        <f ca="1">INDEX('General Inputs'!$F$54:$AN$54,MATCH($H143,'General Inputs'!$F$50:$AN$50,0))*$AI143</f>
        <v>0</v>
      </c>
      <c r="BI143" s="59">
        <f ca="1">SUM(INDEX('General Inputs'!$F$54:$AN$54,MATCH($H143,'General Inputs'!$F$50:$AN$50,0))*$AG143,INDEX('General Inputs'!$F$51:$AN$51,MATCH($H143+$AL143,'General Inputs'!$F$50:$AN$50,0))*-$AH143)</f>
        <v>0</v>
      </c>
      <c r="BJ143" s="55"/>
      <c r="BK143" s="59">
        <f ca="1">SUMPRODUCT($CA143:$DI143,'General Inputs'!$F$32:$AN$32,'General Inputs'!$F$53:$AN$53)/(1-Loss_ElectricEnergy)</f>
        <v>766.25070174358632</v>
      </c>
      <c r="BL143" s="59">
        <f ca="1">SUMPRODUCT($DK143:$ES143,'General Inputs'!$F$33:$AN$33,'General Inputs'!$F$53:$AN$53)/(1-Loss_ElectricDemand)</f>
        <v>233.17598277674068</v>
      </c>
      <c r="BM143" s="59">
        <f ca="1">SUMPRODUCT($EU143:$GC143,'General Inputs'!$F$34:$AN$34,'General Inputs'!$F$53:$AN$53)/(1-Loss_GasEnergy)</f>
        <v>0</v>
      </c>
      <c r="BN143" s="59">
        <f ca="1">INDEX('General Inputs'!$F$53:$AN$53,MATCH($H143,'General Inputs'!$F$50:$AN$50,0))*$AJ143</f>
        <v>0</v>
      </c>
      <c r="BO143" s="59">
        <f ca="1">SUMPRODUCT($CA143:$DI143,'General Inputs'!$F$35:$AN$35,'General Inputs'!$F$53:$AN$53)/(1-Loss_ElectricEnergy)</f>
        <v>297.10937628662958</v>
      </c>
      <c r="BP143" s="59">
        <f ca="1">INDEX('General Inputs'!$F$51:$AN$51,MATCH($H143,'General Inputs'!$F$50:$AN$50,0))*$AM143</f>
        <v>0</v>
      </c>
      <c r="BQ143" s="59">
        <f ca="1">SUM(INDEX('General Inputs'!$F$53:$AN$53,MATCH($H143,'General Inputs'!$F$50:$AN$50,0))*$AG143,INDEX('General Inputs'!$F$53:$AN$53,MATCH($H143+$AL143,'General Inputs'!$F$50:$AN$50,0))*-$AH143)</f>
        <v>0</v>
      </c>
      <c r="BR143" s="55"/>
      <c r="BS143" s="59">
        <f ca="1">SUMPRODUCT($CA143:$DI143,'General Inputs'!$F$32:$AN$32,'General Inputs'!$F$55:$AN$55)/(1-Loss_ElectricEnergy)</f>
        <v>766.25070174358632</v>
      </c>
      <c r="BT143" s="59">
        <f ca="1">SUMPRODUCT($DK143:$ES143,'General Inputs'!$F$33:$AN$33,'General Inputs'!$F$55:$AN$55)/(1-Loss_ElectricDemand)</f>
        <v>233.17598277674068</v>
      </c>
      <c r="BU143" s="59">
        <f ca="1">SUMPRODUCT($EU143:$GC143,'General Inputs'!$F$34:$AN$34,'General Inputs'!$F$55:$AN$55)/(1-Loss_GasEnergy)</f>
        <v>0</v>
      </c>
      <c r="BV143" s="59">
        <f ca="1">SUMPRODUCT($CA143:$DI143,OFFSET('General Inputs'!$F$40:$AN$40,MATCH($D143&amp;" Electric ($/kWh)",'General Inputs'!$E$40:$E$46,0),),'General Inputs'!$F$55:$AN$55)</f>
        <v>3032.0890561699125</v>
      </c>
      <c r="BW143" s="59">
        <f ca="1">SUMPRODUCT($EU143:$GC143,OFFSET('General Inputs'!$F$40:$AN$40,MATCH($D143&amp;" Natural Gas ($/therm)",'General Inputs'!$E$40:$E$46,0),),'General Inputs'!$F$55:$AN$55)</f>
        <v>0</v>
      </c>
      <c r="BX143" s="59">
        <f ca="1">INDEX('General Inputs'!$F$55:$AN$55,MATCH($H143,'General Inputs'!$F$50:$AN$50,0))*$AI143</f>
        <v>0</v>
      </c>
      <c r="BY143" s="59">
        <f ca="1">INDEX('General Inputs'!$F$51:$AN$51,MATCH($H143,'General Inputs'!$F$50:$AN$50,0))*$AM143</f>
        <v>0</v>
      </c>
      <c r="BZ143" s="55"/>
      <c r="CA143" s="88">
        <f t="shared" ref="CA143:CJ152" ca="1" si="355">IF(AND($H143&lt;=CA$8,$H143+$AK143&gt;CA$8),IF(AND($H143+$AL143&lt;=CA$8,$AL143&gt;0),$AB143,$X143),0)</f>
        <v>0</v>
      </c>
      <c r="CB143" s="88">
        <f t="shared" ca="1" si="355"/>
        <v>4115.9238649276558</v>
      </c>
      <c r="CC143" s="88">
        <f t="shared" ca="1" si="355"/>
        <v>4115.9238649276558</v>
      </c>
      <c r="CD143" s="88">
        <f t="shared" ca="1" si="355"/>
        <v>4115.9238649276558</v>
      </c>
      <c r="CE143" s="88">
        <f t="shared" ca="1" si="355"/>
        <v>4115.9238649276558</v>
      </c>
      <c r="CF143" s="88">
        <f t="shared" ca="1" si="355"/>
        <v>4115.9238649276558</v>
      </c>
      <c r="CG143" s="88">
        <f t="shared" ca="1" si="355"/>
        <v>4115.9238649276558</v>
      </c>
      <c r="CH143" s="88">
        <f t="shared" ca="1" si="355"/>
        <v>4115.9238649276558</v>
      </c>
      <c r="CI143" s="88">
        <f t="shared" ca="1" si="355"/>
        <v>4115.9238649276558</v>
      </c>
      <c r="CJ143" s="88">
        <f t="shared" ca="1" si="355"/>
        <v>4115.9238649276558</v>
      </c>
      <c r="CK143" s="88">
        <f t="shared" ref="CK143:CT152" ca="1" si="356">IF(AND($H143&lt;=CK$8,$H143+$AK143&gt;CK$8),IF(AND($H143+$AL143&lt;=CK$8,$AL143&gt;0),$AB143,$X143),0)</f>
        <v>0</v>
      </c>
      <c r="CL143" s="88">
        <f t="shared" ca="1" si="356"/>
        <v>0</v>
      </c>
      <c r="CM143" s="88">
        <f t="shared" ca="1" si="356"/>
        <v>0</v>
      </c>
      <c r="CN143" s="88">
        <f t="shared" ca="1" si="356"/>
        <v>0</v>
      </c>
      <c r="CO143" s="88">
        <f t="shared" ca="1" si="356"/>
        <v>0</v>
      </c>
      <c r="CP143" s="88">
        <f t="shared" ca="1" si="356"/>
        <v>0</v>
      </c>
      <c r="CQ143" s="88">
        <f t="shared" ca="1" si="356"/>
        <v>0</v>
      </c>
      <c r="CR143" s="88">
        <f t="shared" ca="1" si="356"/>
        <v>0</v>
      </c>
      <c r="CS143" s="88">
        <f t="shared" ca="1" si="356"/>
        <v>0</v>
      </c>
      <c r="CT143" s="88">
        <f t="shared" ca="1" si="356"/>
        <v>0</v>
      </c>
      <c r="CU143" s="88">
        <f t="shared" ref="CU143:DI152" ca="1" si="357">IF(AND($H143&lt;=CU$8,$H143+$AK143&gt;CU$8),IF(AND($H143+$AL143&lt;=CU$8,$AL143&gt;0),$AB143,$X143),0)</f>
        <v>0</v>
      </c>
      <c r="CV143" s="88">
        <f t="shared" ca="1" si="357"/>
        <v>0</v>
      </c>
      <c r="CW143" s="88">
        <f t="shared" ca="1" si="357"/>
        <v>0</v>
      </c>
      <c r="CX143" s="88">
        <f t="shared" ca="1" si="357"/>
        <v>0</v>
      </c>
      <c r="CY143" s="88">
        <f t="shared" ca="1" si="357"/>
        <v>0</v>
      </c>
      <c r="CZ143" s="88">
        <f t="shared" ca="1" si="357"/>
        <v>0</v>
      </c>
      <c r="DA143" s="88">
        <f t="shared" ca="1" si="357"/>
        <v>0</v>
      </c>
      <c r="DB143" s="88">
        <f t="shared" ca="1" si="357"/>
        <v>0</v>
      </c>
      <c r="DC143" s="88">
        <f t="shared" ca="1" si="357"/>
        <v>0</v>
      </c>
      <c r="DD143" s="88">
        <f t="shared" ca="1" si="357"/>
        <v>0</v>
      </c>
      <c r="DE143" s="88">
        <f t="shared" ca="1" si="357"/>
        <v>0</v>
      </c>
      <c r="DF143" s="88">
        <f t="shared" ca="1" si="357"/>
        <v>0</v>
      </c>
      <c r="DG143" s="88">
        <f t="shared" ca="1" si="357"/>
        <v>0</v>
      </c>
      <c r="DH143" s="88">
        <f t="shared" ca="1" si="357"/>
        <v>0</v>
      </c>
      <c r="DI143" s="88">
        <f t="shared" ca="1" si="357"/>
        <v>0</v>
      </c>
      <c r="DJ143" s="169"/>
      <c r="DK143" s="88">
        <f t="shared" ref="DK143:DT152" ca="1" si="358">IF(AND($H143&lt;=DK$8,$H143+$AK143&gt;DK$8),IF(AND($H143+$AL143&lt;=DK$8,$AL143&gt;0),$AC143,$Y143),0)</f>
        <v>0</v>
      </c>
      <c r="DL143" s="88">
        <f t="shared" ca="1" si="358"/>
        <v>1.74135240439247</v>
      </c>
      <c r="DM143" s="88">
        <f t="shared" ca="1" si="358"/>
        <v>1.74135240439247</v>
      </c>
      <c r="DN143" s="88">
        <f t="shared" ca="1" si="358"/>
        <v>1.74135240439247</v>
      </c>
      <c r="DO143" s="88">
        <f t="shared" ca="1" si="358"/>
        <v>1.74135240439247</v>
      </c>
      <c r="DP143" s="88">
        <f t="shared" ca="1" si="358"/>
        <v>1.74135240439247</v>
      </c>
      <c r="DQ143" s="88">
        <f t="shared" ca="1" si="358"/>
        <v>1.74135240439247</v>
      </c>
      <c r="DR143" s="88">
        <f t="shared" ca="1" si="358"/>
        <v>1.74135240439247</v>
      </c>
      <c r="DS143" s="88">
        <f t="shared" ca="1" si="358"/>
        <v>1.74135240439247</v>
      </c>
      <c r="DT143" s="88">
        <f t="shared" ca="1" si="358"/>
        <v>1.74135240439247</v>
      </c>
      <c r="DU143" s="88">
        <f t="shared" ref="DU143:ED152" ca="1" si="359">IF(AND($H143&lt;=DU$8,$H143+$AK143&gt;DU$8),IF(AND($H143+$AL143&lt;=DU$8,$AL143&gt;0),$AC143,$Y143),0)</f>
        <v>0</v>
      </c>
      <c r="DV143" s="88">
        <f t="shared" ca="1" si="359"/>
        <v>0</v>
      </c>
      <c r="DW143" s="88">
        <f t="shared" ca="1" si="359"/>
        <v>0</v>
      </c>
      <c r="DX143" s="88">
        <f t="shared" ca="1" si="359"/>
        <v>0</v>
      </c>
      <c r="DY143" s="88">
        <f t="shared" ca="1" si="359"/>
        <v>0</v>
      </c>
      <c r="DZ143" s="88">
        <f t="shared" ca="1" si="359"/>
        <v>0</v>
      </c>
      <c r="EA143" s="88">
        <f t="shared" ca="1" si="359"/>
        <v>0</v>
      </c>
      <c r="EB143" s="88">
        <f t="shared" ca="1" si="359"/>
        <v>0</v>
      </c>
      <c r="EC143" s="88">
        <f t="shared" ca="1" si="359"/>
        <v>0</v>
      </c>
      <c r="ED143" s="88">
        <f t="shared" ca="1" si="359"/>
        <v>0</v>
      </c>
      <c r="EE143" s="88">
        <f t="shared" ref="EE143:ES152" ca="1" si="360">IF(AND($H143&lt;=EE$8,$H143+$AK143&gt;EE$8),IF(AND($H143+$AL143&lt;=EE$8,$AL143&gt;0),$AC143,$Y143),0)</f>
        <v>0</v>
      </c>
      <c r="EF143" s="88">
        <f t="shared" ca="1" si="360"/>
        <v>0</v>
      </c>
      <c r="EG143" s="88">
        <f t="shared" ca="1" si="360"/>
        <v>0</v>
      </c>
      <c r="EH143" s="88">
        <f t="shared" ca="1" si="360"/>
        <v>0</v>
      </c>
      <c r="EI143" s="88">
        <f t="shared" ca="1" si="360"/>
        <v>0</v>
      </c>
      <c r="EJ143" s="88">
        <f t="shared" ca="1" si="360"/>
        <v>0</v>
      </c>
      <c r="EK143" s="88">
        <f t="shared" ca="1" si="360"/>
        <v>0</v>
      </c>
      <c r="EL143" s="88">
        <f t="shared" ca="1" si="360"/>
        <v>0</v>
      </c>
      <c r="EM143" s="88">
        <f t="shared" ca="1" si="360"/>
        <v>0</v>
      </c>
      <c r="EN143" s="88">
        <f t="shared" ca="1" si="360"/>
        <v>0</v>
      </c>
      <c r="EO143" s="88">
        <f t="shared" ca="1" si="360"/>
        <v>0</v>
      </c>
      <c r="EP143" s="88">
        <f t="shared" ca="1" si="360"/>
        <v>0</v>
      </c>
      <c r="EQ143" s="88">
        <f t="shared" ca="1" si="360"/>
        <v>0</v>
      </c>
      <c r="ER143" s="88">
        <f t="shared" ca="1" si="360"/>
        <v>0</v>
      </c>
      <c r="ES143" s="88">
        <f t="shared" ca="1" si="360"/>
        <v>0</v>
      </c>
      <c r="ET143" s="169"/>
      <c r="EU143" s="88">
        <f t="shared" ref="EU143:FD152" ca="1" si="361">IF(AND($H143&lt;=EU$8,$H143+$AK143&gt;EU$8),IF(AND($H143+$AL143&lt;=EU$8,$AL143&gt;0),$AD143,$Z143),0)</f>
        <v>0</v>
      </c>
      <c r="EV143" s="88">
        <f t="shared" ca="1" si="361"/>
        <v>0</v>
      </c>
      <c r="EW143" s="88">
        <f t="shared" ca="1" si="361"/>
        <v>0</v>
      </c>
      <c r="EX143" s="88">
        <f t="shared" ca="1" si="361"/>
        <v>0</v>
      </c>
      <c r="EY143" s="88">
        <f t="shared" ca="1" si="361"/>
        <v>0</v>
      </c>
      <c r="EZ143" s="88">
        <f t="shared" ca="1" si="361"/>
        <v>0</v>
      </c>
      <c r="FA143" s="88">
        <f t="shared" ca="1" si="361"/>
        <v>0</v>
      </c>
      <c r="FB143" s="88">
        <f t="shared" ca="1" si="361"/>
        <v>0</v>
      </c>
      <c r="FC143" s="88">
        <f t="shared" ca="1" si="361"/>
        <v>0</v>
      </c>
      <c r="FD143" s="88">
        <f t="shared" ca="1" si="361"/>
        <v>0</v>
      </c>
      <c r="FE143" s="88">
        <f t="shared" ref="FE143:FN152" ca="1" si="362">IF(AND($H143&lt;=FE$8,$H143+$AK143&gt;FE$8),IF(AND($H143+$AL143&lt;=FE$8,$AL143&gt;0),$AD143,$Z143),0)</f>
        <v>0</v>
      </c>
      <c r="FF143" s="88">
        <f t="shared" ca="1" si="362"/>
        <v>0</v>
      </c>
      <c r="FG143" s="88">
        <f t="shared" ca="1" si="362"/>
        <v>0</v>
      </c>
      <c r="FH143" s="88">
        <f t="shared" ca="1" si="362"/>
        <v>0</v>
      </c>
      <c r="FI143" s="88">
        <f t="shared" ca="1" si="362"/>
        <v>0</v>
      </c>
      <c r="FJ143" s="88">
        <f t="shared" ca="1" si="362"/>
        <v>0</v>
      </c>
      <c r="FK143" s="88">
        <f t="shared" ca="1" si="362"/>
        <v>0</v>
      </c>
      <c r="FL143" s="88">
        <f t="shared" ca="1" si="362"/>
        <v>0</v>
      </c>
      <c r="FM143" s="88">
        <f t="shared" ca="1" si="362"/>
        <v>0</v>
      </c>
      <c r="FN143" s="88">
        <f t="shared" ca="1" si="362"/>
        <v>0</v>
      </c>
      <c r="FO143" s="88">
        <f t="shared" ref="FO143:GC152" ca="1" si="363">IF(AND($H143&lt;=FO$8,$H143+$AK143&gt;FO$8),IF(AND($H143+$AL143&lt;=FO$8,$AL143&gt;0),$AD143,$Z143),0)</f>
        <v>0</v>
      </c>
      <c r="FP143" s="88">
        <f t="shared" ca="1" si="363"/>
        <v>0</v>
      </c>
      <c r="FQ143" s="88">
        <f t="shared" ca="1" si="363"/>
        <v>0</v>
      </c>
      <c r="FR143" s="88">
        <f t="shared" ca="1" si="363"/>
        <v>0</v>
      </c>
      <c r="FS143" s="88">
        <f t="shared" ca="1" si="363"/>
        <v>0</v>
      </c>
      <c r="FT143" s="88">
        <f t="shared" ca="1" si="363"/>
        <v>0</v>
      </c>
      <c r="FU143" s="88">
        <f t="shared" ca="1" si="363"/>
        <v>0</v>
      </c>
      <c r="FV143" s="88">
        <f t="shared" ca="1" si="363"/>
        <v>0</v>
      </c>
      <c r="FW143" s="88">
        <f t="shared" ca="1" si="363"/>
        <v>0</v>
      </c>
      <c r="FX143" s="88">
        <f t="shared" ca="1" si="363"/>
        <v>0</v>
      </c>
      <c r="FY143" s="88">
        <f t="shared" ca="1" si="363"/>
        <v>0</v>
      </c>
      <c r="FZ143" s="88">
        <f t="shared" ca="1" si="363"/>
        <v>0</v>
      </c>
      <c r="GA143" s="88">
        <f t="shared" ca="1" si="363"/>
        <v>0</v>
      </c>
      <c r="GB143" s="88">
        <f t="shared" ca="1" si="363"/>
        <v>0</v>
      </c>
      <c r="GC143" s="88">
        <f t="shared" ca="1" si="363"/>
        <v>0</v>
      </c>
      <c r="GD143" s="60"/>
    </row>
    <row r="144" spans="1:186" s="54" customFormat="1" ht="14.45" customHeight="1">
      <c r="A144" s="61"/>
      <c r="B144" s="100" t="str">
        <f t="shared" si="345"/>
        <v>Residential_Whole House Efficiency_0_Low Flow Showerhead_2018</v>
      </c>
      <c r="C144" s="100">
        <f>INDEX('Measure Inputs'!$D:$D,MATCH($B144,'Measure Inputs'!$B:$B,0))</f>
        <v>96</v>
      </c>
      <c r="D144" s="101" t="s">
        <v>2</v>
      </c>
      <c r="E144" s="101" t="s">
        <v>219</v>
      </c>
      <c r="F144" s="101">
        <v>0</v>
      </c>
      <c r="G144" s="101" t="s">
        <v>267</v>
      </c>
      <c r="H144" s="101">
        <v>2018</v>
      </c>
      <c r="I144" s="55"/>
      <c r="J144" s="58" t="str">
        <f t="shared" ca="1" si="229"/>
        <v>n/a</v>
      </c>
      <c r="K144" s="58" t="str">
        <f t="shared" ca="1" si="246"/>
        <v>n/a</v>
      </c>
      <c r="L144" s="58" t="str">
        <f t="shared" ca="1" si="230"/>
        <v>n/a</v>
      </c>
      <c r="M144" s="58" t="str">
        <f t="shared" ca="1" si="231"/>
        <v>n/a</v>
      </c>
      <c r="N144" s="58">
        <f t="shared" ca="1" si="232"/>
        <v>0.26944626743999855</v>
      </c>
      <c r="O144" s="55"/>
      <c r="P144" s="175">
        <f ca="1">IFERROR(($AW144+AV144)/SUMPRODUCT($CA144:$DI144,'General Inputs'!$F$51:$AN$51),"n/a")</f>
        <v>0</v>
      </c>
      <c r="Q144" s="175">
        <f t="shared" ca="1" si="309"/>
        <v>0</v>
      </c>
      <c r="R144" s="56">
        <f t="shared" ca="1" si="310"/>
        <v>58.742681608886194</v>
      </c>
      <c r="S144" s="55"/>
      <c r="T144" s="56">
        <f ca="1">INDEX(OFFSET('Measure Inputs'!$L$7,,,InputRows),$C144)</f>
        <v>60</v>
      </c>
      <c r="U144" s="134">
        <f ca="1">INDEX(OFFSET('Measure Inputs'!$T$7,,,InputRows),$C144)</f>
        <v>1</v>
      </c>
      <c r="V144" s="134">
        <f ca="1">INDEX(OFFSET('Measure Inputs'!$U$7,,,InputRows),$C144)</f>
        <v>1</v>
      </c>
      <c r="W144" s="55"/>
      <c r="X144" s="96">
        <f ca="1">INDEX(OFFSET('Measure Inputs'!$V$7,,,InputRows),$C144)*$T144*$V144*$U144</f>
        <v>5874.2681608886196</v>
      </c>
      <c r="Y144" s="96">
        <f ca="1">INDEX(OFFSET('Measure Inputs'!$W$7,,,InputRows),$C144)*$T144*$V144*$U144</f>
        <v>0.54074389030696568</v>
      </c>
      <c r="Z144" s="96">
        <f ca="1">INDEX(OFFSET('Measure Inputs'!$X$7,,,InputRows),$C144)*$T144*$V144*$U144</f>
        <v>0</v>
      </c>
      <c r="AA144" s="55"/>
      <c r="AB144" s="96">
        <f ca="1">INDEX(OFFSET('Measure Inputs'!$Z$7,,,InputRows),$C144)*$T144*$V144*$U144</f>
        <v>0</v>
      </c>
      <c r="AC144" s="96">
        <f ca="1">INDEX(OFFSET('Measure Inputs'!$AA$7,,,InputRows),$C144)*$T144*$V144*$U144</f>
        <v>0</v>
      </c>
      <c r="AD144" s="96">
        <f ca="1">INDEX(OFFSET('Measure Inputs'!$AB$7,,,InputRows),$C144)*$T144*$V144*$U144</f>
        <v>0</v>
      </c>
      <c r="AE144" s="55"/>
      <c r="AF144" s="57">
        <f ca="1">INDEX(OFFSET('Measure Inputs'!$Q$7,,,InputRows),$C144)*$T144</f>
        <v>0</v>
      </c>
      <c r="AG144" s="57">
        <f ca="1">INDEX(OFFSET('Measure Inputs'!$P$7,,,InputRows),$C144)*$T144*$V144</f>
        <v>0</v>
      </c>
      <c r="AH144" s="57">
        <f ca="1">INDEX(OFFSET('Measure Inputs'!$R$7,,,InputRows),$C144)*$T144*$V144</f>
        <v>0</v>
      </c>
      <c r="AI144" s="57">
        <f ca="1">INDEX(OFFSET('Measure Inputs'!$O$7,,,InputRows),$C144)*$T144</f>
        <v>0</v>
      </c>
      <c r="AJ144" s="57">
        <f ca="1">INDEX(OFFSET('Measure Inputs'!$S$7,,,InputRows),$C144)*$T144</f>
        <v>0</v>
      </c>
      <c r="AK144" s="63">
        <f ca="1">INDEX(OFFSET('Measure Inputs'!$M$7,,,InputRows),$C144)</f>
        <v>10</v>
      </c>
      <c r="AL144" s="88">
        <f ca="1">INDEX(OFFSET('Measure Inputs'!$N$7,,,InputRows),$C144)</f>
        <v>0</v>
      </c>
      <c r="AM144" s="57">
        <f ca="1">SUMIFS(OFFSET('Program Inputs'!$N$5,,,TotalPrograms),OFFSET('Program Inputs'!$B$5,,,TotalPrograms),SUBSTITUTE($B144,"All","*"))+AF144</f>
        <v>0</v>
      </c>
      <c r="AN144" s="57">
        <f t="shared" ca="1" si="311"/>
        <v>0</v>
      </c>
      <c r="AO144" s="55"/>
      <c r="AP144" s="59">
        <f t="shared" ca="1" si="312"/>
        <v>1255.9162022619266</v>
      </c>
      <c r="AQ144" s="59">
        <f t="shared" ca="1" si="313"/>
        <v>0</v>
      </c>
      <c r="AR144" s="59">
        <f ca="1">SUMPRODUCT($CA144:$DI144,'General Inputs'!$F$32:$AN$32,'General Inputs'!$F$51:$AN$51)/(1-Loss_ElectricEnergy)</f>
        <v>1177.9244154734608</v>
      </c>
      <c r="AS144" s="59">
        <f ca="1">SUMPRODUCT($DK144:$ES144,'General Inputs'!$F$33:$AN$33,'General Inputs'!$F$51:$AN$51)/(1-Loss_ElectricDemand)</f>
        <v>77.991786788465831</v>
      </c>
      <c r="AT144" s="59">
        <f ca="1">SUMPRODUCT($EU144:$GC144,'General Inputs'!$F$34:$AN$34,'General Inputs'!$F$51:$AN$51)/(1-Loss_GasEnergy)</f>
        <v>0</v>
      </c>
      <c r="AU144" s="59">
        <f ca="1">INDEX('General Inputs'!$F$51:$AN$51,MATCH($H144,'General Inputs'!$F$50:$AN$50,0))*$AJ144</f>
        <v>0</v>
      </c>
      <c r="AV144" s="59">
        <f ca="1">INDEX('General Inputs'!$F$51:$AN$51,MATCH($H144,'General Inputs'!$F$50:$AN$50,0))*$AI144</f>
        <v>0</v>
      </c>
      <c r="AW144" s="59">
        <f ca="1">INDEX('General Inputs'!$F$51:$AN$51,MATCH($H144,'General Inputs'!$F$50:$AN$50,0))*$AM144</f>
        <v>0</v>
      </c>
      <c r="AX144" s="59">
        <f ca="1">SUM(INDEX('General Inputs'!$F$51:$AN$51,MATCH($H144,'General Inputs'!$F$50:$AN$50,0))*$AG144,INDEX('General Inputs'!$F$51:$AN$51,MATCH($H144+$AL144,'General Inputs'!$F$50:$AN$50,0))*-$AH144)</f>
        <v>0</v>
      </c>
      <c r="AY144" s="55"/>
      <c r="AZ144" s="59">
        <f ca="1">SUMPRODUCT($CA144:$DI144,'General Inputs'!$F$32:$AN$32,'General Inputs'!$F$52:$AN$52)/(1-Loss_ElectricEnergy)</f>
        <v>1177.9244154734608</v>
      </c>
      <c r="BA144" s="59">
        <f ca="1">SUMPRODUCT($DK144:$ES144,'General Inputs'!$F$33:$AN$33,'General Inputs'!$F$52:$AN$52)/(1-Loss_ElectricDemand)</f>
        <v>77.991786788465831</v>
      </c>
      <c r="BB144" s="59">
        <f ca="1">SUMPRODUCT($EU144:$GC144,'General Inputs'!$F$34:$AN$34,'General Inputs'!$F$52:$AN$52)/(1-Loss_GasEnergy)</f>
        <v>0</v>
      </c>
      <c r="BC144" s="59">
        <f ca="1">INDEX('General Inputs'!$F$52:$AN$52,MATCH($H144,'General Inputs'!$F$50:$AN$50,0))*$AI144</f>
        <v>0</v>
      </c>
      <c r="BD144" s="59">
        <f ca="1">INDEX('General Inputs'!$F$52:$AN$52,MATCH($H144,'General Inputs'!$F$50:$AN$50,0))*$AM144</f>
        <v>0</v>
      </c>
      <c r="BE144" s="55"/>
      <c r="BF144" s="59">
        <f ca="1">SUMPRODUCT($CA144:$DI144,OFFSET('General Inputs'!$F$40:$AN$40,MATCH($D144&amp;" Electric ($/kWh)",'General Inputs'!$E$40:$E$46,0),),'General Inputs'!$F$54:$AN$54)</f>
        <v>4661.1007611808891</v>
      </c>
      <c r="BG144" s="59">
        <f ca="1">SUMPRODUCT($EU144:$GC144,OFFSET('General Inputs'!$F$40:$AN$40,MATCH($D144&amp;" Natural Gas ($/therm)",'General Inputs'!$E$40:$E$46,0),),'General Inputs'!$F$54:$AN$54)</f>
        <v>0</v>
      </c>
      <c r="BH144" s="59">
        <f ca="1">INDEX('General Inputs'!$F$54:$AN$54,MATCH($H144,'General Inputs'!$F$50:$AN$50,0))*$AI144</f>
        <v>0</v>
      </c>
      <c r="BI144" s="59">
        <f ca="1">SUM(INDEX('General Inputs'!$F$54:$AN$54,MATCH($H144,'General Inputs'!$F$50:$AN$50,0))*$AG144,INDEX('General Inputs'!$F$51:$AN$51,MATCH($H144+$AL144,'General Inputs'!$F$50:$AN$50,0))*-$AH144)</f>
        <v>0</v>
      </c>
      <c r="BJ144" s="55"/>
      <c r="BK144" s="59">
        <f ca="1">SUMPRODUCT($CA144:$DI144,'General Inputs'!$F$32:$AN$32,'General Inputs'!$F$53:$AN$53)/(1-Loss_ElectricEnergy)</f>
        <v>1177.9244154734608</v>
      </c>
      <c r="BL144" s="59">
        <f ca="1">SUMPRODUCT($DK144:$ES144,'General Inputs'!$F$33:$AN$33,'General Inputs'!$F$53:$AN$53)/(1-Loss_ElectricDemand)</f>
        <v>77.991786788465831</v>
      </c>
      <c r="BM144" s="59">
        <f ca="1">SUMPRODUCT($EU144:$GC144,'General Inputs'!$F$34:$AN$34,'General Inputs'!$F$53:$AN$53)/(1-Loss_GasEnergy)</f>
        <v>0</v>
      </c>
      <c r="BN144" s="59">
        <f ca="1">INDEX('General Inputs'!$F$53:$AN$53,MATCH($H144,'General Inputs'!$F$50:$AN$50,0))*$AJ144</f>
        <v>0</v>
      </c>
      <c r="BO144" s="59">
        <f ca="1">SUMPRODUCT($CA144:$DI144,'General Inputs'!$F$35:$AN$35,'General Inputs'!$F$53:$AN$53)/(1-Loss_ElectricEnergy)</f>
        <v>454.15782559440481</v>
      </c>
      <c r="BP144" s="59">
        <f ca="1">INDEX('General Inputs'!$F$51:$AN$51,MATCH($H144,'General Inputs'!$F$50:$AN$50,0))*$AM144</f>
        <v>0</v>
      </c>
      <c r="BQ144" s="59">
        <f ca="1">SUM(INDEX('General Inputs'!$F$53:$AN$53,MATCH($H144,'General Inputs'!$F$50:$AN$50,0))*$AG144,INDEX('General Inputs'!$F$53:$AN$53,MATCH($H144+$AL144,'General Inputs'!$F$50:$AN$50,0))*-$AH144)</f>
        <v>0</v>
      </c>
      <c r="BR144" s="55"/>
      <c r="BS144" s="59">
        <f ca="1">SUMPRODUCT($CA144:$DI144,'General Inputs'!$F$32:$AN$32,'General Inputs'!$F$55:$AN$55)/(1-Loss_ElectricEnergy)</f>
        <v>1177.9244154734608</v>
      </c>
      <c r="BT144" s="59">
        <f ca="1">SUMPRODUCT($DK144:$ES144,'General Inputs'!$F$33:$AN$33,'General Inputs'!$F$55:$AN$55)/(1-Loss_ElectricDemand)</f>
        <v>77.991786788465831</v>
      </c>
      <c r="BU144" s="59">
        <f ca="1">SUMPRODUCT($EU144:$GC144,'General Inputs'!$F$34:$AN$34,'General Inputs'!$F$55:$AN$55)/(1-Loss_GasEnergy)</f>
        <v>0</v>
      </c>
      <c r="BV144" s="59">
        <f ca="1">SUMPRODUCT($CA144:$DI144,OFFSET('General Inputs'!$F$40:$AN$40,MATCH($D144&amp;" Electric ($/kWh)",'General Inputs'!$E$40:$E$46,0),),'General Inputs'!$F$55:$AN$55)</f>
        <v>4661.1007611808891</v>
      </c>
      <c r="BW144" s="59">
        <f ca="1">SUMPRODUCT($EU144:$GC144,OFFSET('General Inputs'!$F$40:$AN$40,MATCH($D144&amp;" Natural Gas ($/therm)",'General Inputs'!$E$40:$E$46,0),),'General Inputs'!$F$55:$AN$55)</f>
        <v>0</v>
      </c>
      <c r="BX144" s="59">
        <f ca="1">INDEX('General Inputs'!$F$55:$AN$55,MATCH($H144,'General Inputs'!$F$50:$AN$50,0))*$AI144</f>
        <v>0</v>
      </c>
      <c r="BY144" s="59">
        <f ca="1">INDEX('General Inputs'!$F$51:$AN$51,MATCH($H144,'General Inputs'!$F$50:$AN$50,0))*$AM144</f>
        <v>0</v>
      </c>
      <c r="BZ144" s="55"/>
      <c r="CA144" s="88">
        <f t="shared" ca="1" si="355"/>
        <v>0</v>
      </c>
      <c r="CB144" s="88">
        <f t="shared" ca="1" si="355"/>
        <v>5874.2681608886196</v>
      </c>
      <c r="CC144" s="88">
        <f t="shared" ca="1" si="355"/>
        <v>5874.2681608886196</v>
      </c>
      <c r="CD144" s="88">
        <f t="shared" ca="1" si="355"/>
        <v>5874.2681608886196</v>
      </c>
      <c r="CE144" s="88">
        <f t="shared" ca="1" si="355"/>
        <v>5874.2681608886196</v>
      </c>
      <c r="CF144" s="88">
        <f t="shared" ca="1" si="355"/>
        <v>5874.2681608886196</v>
      </c>
      <c r="CG144" s="88">
        <f t="shared" ca="1" si="355"/>
        <v>5874.2681608886196</v>
      </c>
      <c r="CH144" s="88">
        <f t="shared" ca="1" si="355"/>
        <v>5874.2681608886196</v>
      </c>
      <c r="CI144" s="88">
        <f t="shared" ca="1" si="355"/>
        <v>5874.2681608886196</v>
      </c>
      <c r="CJ144" s="88">
        <f t="shared" ca="1" si="355"/>
        <v>5874.2681608886196</v>
      </c>
      <c r="CK144" s="88">
        <f t="shared" ca="1" si="356"/>
        <v>5874.2681608886196</v>
      </c>
      <c r="CL144" s="88">
        <f t="shared" ca="1" si="356"/>
        <v>0</v>
      </c>
      <c r="CM144" s="88">
        <f t="shared" ca="1" si="356"/>
        <v>0</v>
      </c>
      <c r="CN144" s="88">
        <f t="shared" ca="1" si="356"/>
        <v>0</v>
      </c>
      <c r="CO144" s="88">
        <f t="shared" ca="1" si="356"/>
        <v>0</v>
      </c>
      <c r="CP144" s="88">
        <f t="shared" ca="1" si="356"/>
        <v>0</v>
      </c>
      <c r="CQ144" s="88">
        <f t="shared" ca="1" si="356"/>
        <v>0</v>
      </c>
      <c r="CR144" s="88">
        <f t="shared" ca="1" si="356"/>
        <v>0</v>
      </c>
      <c r="CS144" s="88">
        <f t="shared" ca="1" si="356"/>
        <v>0</v>
      </c>
      <c r="CT144" s="88">
        <f t="shared" ca="1" si="356"/>
        <v>0</v>
      </c>
      <c r="CU144" s="88">
        <f t="shared" ca="1" si="357"/>
        <v>0</v>
      </c>
      <c r="CV144" s="88">
        <f t="shared" ca="1" si="357"/>
        <v>0</v>
      </c>
      <c r="CW144" s="88">
        <f t="shared" ca="1" si="357"/>
        <v>0</v>
      </c>
      <c r="CX144" s="88">
        <f t="shared" ca="1" si="357"/>
        <v>0</v>
      </c>
      <c r="CY144" s="88">
        <f t="shared" ca="1" si="357"/>
        <v>0</v>
      </c>
      <c r="CZ144" s="88">
        <f t="shared" ca="1" si="357"/>
        <v>0</v>
      </c>
      <c r="DA144" s="88">
        <f t="shared" ca="1" si="357"/>
        <v>0</v>
      </c>
      <c r="DB144" s="88">
        <f t="shared" ca="1" si="357"/>
        <v>0</v>
      </c>
      <c r="DC144" s="88">
        <f t="shared" ca="1" si="357"/>
        <v>0</v>
      </c>
      <c r="DD144" s="88">
        <f t="shared" ca="1" si="357"/>
        <v>0</v>
      </c>
      <c r="DE144" s="88">
        <f t="shared" ca="1" si="357"/>
        <v>0</v>
      </c>
      <c r="DF144" s="88">
        <f t="shared" ca="1" si="357"/>
        <v>0</v>
      </c>
      <c r="DG144" s="88">
        <f t="shared" ca="1" si="357"/>
        <v>0</v>
      </c>
      <c r="DH144" s="88">
        <f t="shared" ca="1" si="357"/>
        <v>0</v>
      </c>
      <c r="DI144" s="88">
        <f t="shared" ca="1" si="357"/>
        <v>0</v>
      </c>
      <c r="DJ144" s="169"/>
      <c r="DK144" s="88">
        <f t="shared" ca="1" si="358"/>
        <v>0</v>
      </c>
      <c r="DL144" s="88">
        <f t="shared" ca="1" si="358"/>
        <v>0.54074389030696568</v>
      </c>
      <c r="DM144" s="88">
        <f t="shared" ca="1" si="358"/>
        <v>0.54074389030696568</v>
      </c>
      <c r="DN144" s="88">
        <f t="shared" ca="1" si="358"/>
        <v>0.54074389030696568</v>
      </c>
      <c r="DO144" s="88">
        <f t="shared" ca="1" si="358"/>
        <v>0.54074389030696568</v>
      </c>
      <c r="DP144" s="88">
        <f t="shared" ca="1" si="358"/>
        <v>0.54074389030696568</v>
      </c>
      <c r="DQ144" s="88">
        <f t="shared" ca="1" si="358"/>
        <v>0.54074389030696568</v>
      </c>
      <c r="DR144" s="88">
        <f t="shared" ca="1" si="358"/>
        <v>0.54074389030696568</v>
      </c>
      <c r="DS144" s="88">
        <f t="shared" ca="1" si="358"/>
        <v>0.54074389030696568</v>
      </c>
      <c r="DT144" s="88">
        <f t="shared" ca="1" si="358"/>
        <v>0.54074389030696568</v>
      </c>
      <c r="DU144" s="88">
        <f t="shared" ca="1" si="359"/>
        <v>0.54074389030696568</v>
      </c>
      <c r="DV144" s="88">
        <f t="shared" ca="1" si="359"/>
        <v>0</v>
      </c>
      <c r="DW144" s="88">
        <f t="shared" ca="1" si="359"/>
        <v>0</v>
      </c>
      <c r="DX144" s="88">
        <f t="shared" ca="1" si="359"/>
        <v>0</v>
      </c>
      <c r="DY144" s="88">
        <f t="shared" ca="1" si="359"/>
        <v>0</v>
      </c>
      <c r="DZ144" s="88">
        <f t="shared" ca="1" si="359"/>
        <v>0</v>
      </c>
      <c r="EA144" s="88">
        <f t="shared" ca="1" si="359"/>
        <v>0</v>
      </c>
      <c r="EB144" s="88">
        <f t="shared" ca="1" si="359"/>
        <v>0</v>
      </c>
      <c r="EC144" s="88">
        <f t="shared" ca="1" si="359"/>
        <v>0</v>
      </c>
      <c r="ED144" s="88">
        <f t="shared" ca="1" si="359"/>
        <v>0</v>
      </c>
      <c r="EE144" s="88">
        <f t="shared" ca="1" si="360"/>
        <v>0</v>
      </c>
      <c r="EF144" s="88">
        <f t="shared" ca="1" si="360"/>
        <v>0</v>
      </c>
      <c r="EG144" s="88">
        <f t="shared" ca="1" si="360"/>
        <v>0</v>
      </c>
      <c r="EH144" s="88">
        <f t="shared" ca="1" si="360"/>
        <v>0</v>
      </c>
      <c r="EI144" s="88">
        <f t="shared" ca="1" si="360"/>
        <v>0</v>
      </c>
      <c r="EJ144" s="88">
        <f t="shared" ca="1" si="360"/>
        <v>0</v>
      </c>
      <c r="EK144" s="88">
        <f t="shared" ca="1" si="360"/>
        <v>0</v>
      </c>
      <c r="EL144" s="88">
        <f t="shared" ca="1" si="360"/>
        <v>0</v>
      </c>
      <c r="EM144" s="88">
        <f t="shared" ca="1" si="360"/>
        <v>0</v>
      </c>
      <c r="EN144" s="88">
        <f t="shared" ca="1" si="360"/>
        <v>0</v>
      </c>
      <c r="EO144" s="88">
        <f t="shared" ca="1" si="360"/>
        <v>0</v>
      </c>
      <c r="EP144" s="88">
        <f t="shared" ca="1" si="360"/>
        <v>0</v>
      </c>
      <c r="EQ144" s="88">
        <f t="shared" ca="1" si="360"/>
        <v>0</v>
      </c>
      <c r="ER144" s="88">
        <f t="shared" ca="1" si="360"/>
        <v>0</v>
      </c>
      <c r="ES144" s="88">
        <f t="shared" ca="1" si="360"/>
        <v>0</v>
      </c>
      <c r="ET144" s="169"/>
      <c r="EU144" s="88">
        <f t="shared" ca="1" si="361"/>
        <v>0</v>
      </c>
      <c r="EV144" s="88">
        <f t="shared" ca="1" si="361"/>
        <v>0</v>
      </c>
      <c r="EW144" s="88">
        <f t="shared" ca="1" si="361"/>
        <v>0</v>
      </c>
      <c r="EX144" s="88">
        <f t="shared" ca="1" si="361"/>
        <v>0</v>
      </c>
      <c r="EY144" s="88">
        <f t="shared" ca="1" si="361"/>
        <v>0</v>
      </c>
      <c r="EZ144" s="88">
        <f t="shared" ca="1" si="361"/>
        <v>0</v>
      </c>
      <c r="FA144" s="88">
        <f t="shared" ca="1" si="361"/>
        <v>0</v>
      </c>
      <c r="FB144" s="88">
        <f t="shared" ca="1" si="361"/>
        <v>0</v>
      </c>
      <c r="FC144" s="88">
        <f t="shared" ca="1" si="361"/>
        <v>0</v>
      </c>
      <c r="FD144" s="88">
        <f t="shared" ca="1" si="361"/>
        <v>0</v>
      </c>
      <c r="FE144" s="88">
        <f t="shared" ca="1" si="362"/>
        <v>0</v>
      </c>
      <c r="FF144" s="88">
        <f t="shared" ca="1" si="362"/>
        <v>0</v>
      </c>
      <c r="FG144" s="88">
        <f t="shared" ca="1" si="362"/>
        <v>0</v>
      </c>
      <c r="FH144" s="88">
        <f t="shared" ca="1" si="362"/>
        <v>0</v>
      </c>
      <c r="FI144" s="88">
        <f t="shared" ca="1" si="362"/>
        <v>0</v>
      </c>
      <c r="FJ144" s="88">
        <f t="shared" ca="1" si="362"/>
        <v>0</v>
      </c>
      <c r="FK144" s="88">
        <f t="shared" ca="1" si="362"/>
        <v>0</v>
      </c>
      <c r="FL144" s="88">
        <f t="shared" ca="1" si="362"/>
        <v>0</v>
      </c>
      <c r="FM144" s="88">
        <f t="shared" ca="1" si="362"/>
        <v>0</v>
      </c>
      <c r="FN144" s="88">
        <f t="shared" ca="1" si="362"/>
        <v>0</v>
      </c>
      <c r="FO144" s="88">
        <f t="shared" ca="1" si="363"/>
        <v>0</v>
      </c>
      <c r="FP144" s="88">
        <f t="shared" ca="1" si="363"/>
        <v>0</v>
      </c>
      <c r="FQ144" s="88">
        <f t="shared" ca="1" si="363"/>
        <v>0</v>
      </c>
      <c r="FR144" s="88">
        <f t="shared" ca="1" si="363"/>
        <v>0</v>
      </c>
      <c r="FS144" s="88">
        <f t="shared" ca="1" si="363"/>
        <v>0</v>
      </c>
      <c r="FT144" s="88">
        <f t="shared" ca="1" si="363"/>
        <v>0</v>
      </c>
      <c r="FU144" s="88">
        <f t="shared" ca="1" si="363"/>
        <v>0</v>
      </c>
      <c r="FV144" s="88">
        <f t="shared" ca="1" si="363"/>
        <v>0</v>
      </c>
      <c r="FW144" s="88">
        <f t="shared" ca="1" si="363"/>
        <v>0</v>
      </c>
      <c r="FX144" s="88">
        <f t="shared" ca="1" si="363"/>
        <v>0</v>
      </c>
      <c r="FY144" s="88">
        <f t="shared" ca="1" si="363"/>
        <v>0</v>
      </c>
      <c r="FZ144" s="88">
        <f t="shared" ca="1" si="363"/>
        <v>0</v>
      </c>
      <c r="GA144" s="88">
        <f t="shared" ca="1" si="363"/>
        <v>0</v>
      </c>
      <c r="GB144" s="88">
        <f t="shared" ca="1" si="363"/>
        <v>0</v>
      </c>
      <c r="GC144" s="88">
        <f t="shared" ca="1" si="363"/>
        <v>0</v>
      </c>
      <c r="GD144" s="60"/>
    </row>
    <row r="145" spans="1:186" s="54" customFormat="1" ht="14.45" customHeight="1">
      <c r="A145" s="61"/>
      <c r="B145" s="100" t="str">
        <f t="shared" si="345"/>
        <v>Residential_Residential Audit_0_Residential Audit_2018</v>
      </c>
      <c r="C145" s="100">
        <f>INDEX('Measure Inputs'!$D:$D,MATCH($B145,'Measure Inputs'!$B:$B,0))</f>
        <v>97</v>
      </c>
      <c r="D145" s="101" t="s">
        <v>2</v>
      </c>
      <c r="E145" s="101" t="s">
        <v>251</v>
      </c>
      <c r="F145" s="101">
        <v>0</v>
      </c>
      <c r="G145" s="101" t="s">
        <v>251</v>
      </c>
      <c r="H145" s="101">
        <v>2018</v>
      </c>
      <c r="I145" s="55"/>
      <c r="J145" s="58" t="str">
        <f t="shared" ca="1" si="229"/>
        <v>n/a</v>
      </c>
      <c r="K145" s="58" t="str">
        <f t="shared" ca="1" si="246"/>
        <v>n/a</v>
      </c>
      <c r="L145" s="58" t="str">
        <f t="shared" ca="1" si="230"/>
        <v>n/a</v>
      </c>
      <c r="M145" s="58" t="str">
        <f t="shared" ca="1" si="231"/>
        <v>n/a</v>
      </c>
      <c r="N145" s="58" t="str">
        <f t="shared" ca="1" si="232"/>
        <v>n/a</v>
      </c>
      <c r="O145" s="55"/>
      <c r="P145" s="175" t="str">
        <f ca="1">IFERROR(($AW145+AV145)/SUMPRODUCT($CA145:$DI145,'General Inputs'!$F$51:$AN$51),"n/a")</f>
        <v>n/a</v>
      </c>
      <c r="Q145" s="175" t="str">
        <f t="shared" ca="1" si="309"/>
        <v>n/a</v>
      </c>
      <c r="R145" s="56">
        <f t="shared" ca="1" si="310"/>
        <v>0</v>
      </c>
      <c r="S145" s="55"/>
      <c r="T145" s="56">
        <f ca="1">INDEX(OFFSET('Measure Inputs'!$L$7,,,InputRows),$C145)</f>
        <v>650</v>
      </c>
      <c r="U145" s="134">
        <f ca="1">INDEX(OFFSET('Measure Inputs'!$T$7,,,InputRows),$C145)</f>
        <v>1</v>
      </c>
      <c r="V145" s="134">
        <f ca="1">INDEX(OFFSET('Measure Inputs'!$U$7,,,InputRows),$C145)</f>
        <v>1</v>
      </c>
      <c r="W145" s="55"/>
      <c r="X145" s="96">
        <f ca="1">INDEX(OFFSET('Measure Inputs'!$V$7,,,InputRows),$C145)*$T145*$V145*$U145</f>
        <v>0</v>
      </c>
      <c r="Y145" s="96">
        <f ca="1">INDEX(OFFSET('Measure Inputs'!$W$7,,,InputRows),$C145)*$T145*$V145*$U145</f>
        <v>0</v>
      </c>
      <c r="Z145" s="96">
        <f ca="1">INDEX(OFFSET('Measure Inputs'!$X$7,,,InputRows),$C145)*$T145*$V145*$U145</f>
        <v>0</v>
      </c>
      <c r="AA145" s="55"/>
      <c r="AB145" s="96">
        <f ca="1">INDEX(OFFSET('Measure Inputs'!$Z$7,,,InputRows),$C145)*$T145*$V145*$U145</f>
        <v>0</v>
      </c>
      <c r="AC145" s="96">
        <f ca="1">INDEX(OFFSET('Measure Inputs'!$AA$7,,,InputRows),$C145)*$T145*$V145*$U145</f>
        <v>0</v>
      </c>
      <c r="AD145" s="96">
        <f ca="1">INDEX(OFFSET('Measure Inputs'!$AB$7,,,InputRows),$C145)*$T145*$V145*$U145</f>
        <v>0</v>
      </c>
      <c r="AE145" s="55"/>
      <c r="AF145" s="57">
        <f ca="1">INDEX(OFFSET('Measure Inputs'!$Q$7,,,InputRows),$C145)*$T145</f>
        <v>0</v>
      </c>
      <c r="AG145" s="57">
        <f ca="1">INDEX(OFFSET('Measure Inputs'!$P$7,,,InputRows),$C145)*$T145*$V145</f>
        <v>0</v>
      </c>
      <c r="AH145" s="57">
        <f ca="1">INDEX(OFFSET('Measure Inputs'!$R$7,,,InputRows),$C145)*$T145*$V145</f>
        <v>0</v>
      </c>
      <c r="AI145" s="57">
        <f ca="1">INDEX(OFFSET('Measure Inputs'!$O$7,,,InputRows),$C145)*$T145</f>
        <v>0</v>
      </c>
      <c r="AJ145" s="57">
        <f ca="1">INDEX(OFFSET('Measure Inputs'!$S$7,,,InputRows),$C145)*$T145</f>
        <v>0</v>
      </c>
      <c r="AK145" s="63">
        <f ca="1">INDEX(OFFSET('Measure Inputs'!$M$7,,,InputRows),$C145)</f>
        <v>1</v>
      </c>
      <c r="AL145" s="88">
        <f ca="1">INDEX(OFFSET('Measure Inputs'!$N$7,,,InputRows),$C145)</f>
        <v>0</v>
      </c>
      <c r="AM145" s="57">
        <f ca="1">SUMIFS(OFFSET('Program Inputs'!$N$5,,,TotalPrograms),OFFSET('Program Inputs'!$B$5,,,TotalPrograms),SUBSTITUTE($B145,"All","*"))+AF145</f>
        <v>0</v>
      </c>
      <c r="AN145" s="57">
        <f t="shared" ca="1" si="311"/>
        <v>0</v>
      </c>
      <c r="AO145" s="55"/>
      <c r="AP145" s="59">
        <f t="shared" ca="1" si="312"/>
        <v>0</v>
      </c>
      <c r="AQ145" s="59">
        <f t="shared" ca="1" si="313"/>
        <v>0</v>
      </c>
      <c r="AR145" s="59">
        <f ca="1">SUMPRODUCT($CA145:$DI145,'General Inputs'!$F$32:$AN$32,'General Inputs'!$F$51:$AN$51)/(1-Loss_ElectricEnergy)</f>
        <v>0</v>
      </c>
      <c r="AS145" s="59">
        <f ca="1">SUMPRODUCT($DK145:$ES145,'General Inputs'!$F$33:$AN$33,'General Inputs'!$F$51:$AN$51)/(1-Loss_ElectricDemand)</f>
        <v>0</v>
      </c>
      <c r="AT145" s="59">
        <f ca="1">SUMPRODUCT($EU145:$GC145,'General Inputs'!$F$34:$AN$34,'General Inputs'!$F$51:$AN$51)/(1-Loss_GasEnergy)</f>
        <v>0</v>
      </c>
      <c r="AU145" s="59">
        <f ca="1">INDEX('General Inputs'!$F$51:$AN$51,MATCH($H145,'General Inputs'!$F$50:$AN$50,0))*$AJ145</f>
        <v>0</v>
      </c>
      <c r="AV145" s="59">
        <f ca="1">INDEX('General Inputs'!$F$51:$AN$51,MATCH($H145,'General Inputs'!$F$50:$AN$50,0))*$AI145</f>
        <v>0</v>
      </c>
      <c r="AW145" s="59">
        <f ca="1">INDEX('General Inputs'!$F$51:$AN$51,MATCH($H145,'General Inputs'!$F$50:$AN$50,0))*$AM145</f>
        <v>0</v>
      </c>
      <c r="AX145" s="59">
        <f ca="1">SUM(INDEX('General Inputs'!$F$51:$AN$51,MATCH($H145,'General Inputs'!$F$50:$AN$50,0))*$AG145,INDEX('General Inputs'!$F$51:$AN$51,MATCH($H145+$AL145,'General Inputs'!$F$50:$AN$50,0))*-$AH145)</f>
        <v>0</v>
      </c>
      <c r="AY145" s="55"/>
      <c r="AZ145" s="59">
        <f ca="1">SUMPRODUCT($CA145:$DI145,'General Inputs'!$F$32:$AN$32,'General Inputs'!$F$52:$AN$52)/(1-Loss_ElectricEnergy)</f>
        <v>0</v>
      </c>
      <c r="BA145" s="59">
        <f ca="1">SUMPRODUCT($DK145:$ES145,'General Inputs'!$F$33:$AN$33,'General Inputs'!$F$52:$AN$52)/(1-Loss_ElectricDemand)</f>
        <v>0</v>
      </c>
      <c r="BB145" s="59">
        <f ca="1">SUMPRODUCT($EU145:$GC145,'General Inputs'!$F$34:$AN$34,'General Inputs'!$F$52:$AN$52)/(1-Loss_GasEnergy)</f>
        <v>0</v>
      </c>
      <c r="BC145" s="59">
        <f ca="1">INDEX('General Inputs'!$F$52:$AN$52,MATCH($H145,'General Inputs'!$F$50:$AN$50,0))*$AI145</f>
        <v>0</v>
      </c>
      <c r="BD145" s="59">
        <f ca="1">INDEX('General Inputs'!$F$52:$AN$52,MATCH($H145,'General Inputs'!$F$50:$AN$50,0))*$AM145</f>
        <v>0</v>
      </c>
      <c r="BE145" s="55"/>
      <c r="BF145" s="59">
        <f ca="1">SUMPRODUCT($CA145:$DI145,OFFSET('General Inputs'!$F$40:$AN$40,MATCH($D145&amp;" Electric ($/kWh)",'General Inputs'!$E$40:$E$46,0),),'General Inputs'!$F$54:$AN$54)</f>
        <v>0</v>
      </c>
      <c r="BG145" s="59">
        <f ca="1">SUMPRODUCT($EU145:$GC145,OFFSET('General Inputs'!$F$40:$AN$40,MATCH($D145&amp;" Natural Gas ($/therm)",'General Inputs'!$E$40:$E$46,0),),'General Inputs'!$F$54:$AN$54)</f>
        <v>0</v>
      </c>
      <c r="BH145" s="59">
        <f ca="1">INDEX('General Inputs'!$F$54:$AN$54,MATCH($H145,'General Inputs'!$F$50:$AN$50,0))*$AI145</f>
        <v>0</v>
      </c>
      <c r="BI145" s="59">
        <f ca="1">SUM(INDEX('General Inputs'!$F$54:$AN$54,MATCH($H145,'General Inputs'!$F$50:$AN$50,0))*$AG145,INDEX('General Inputs'!$F$51:$AN$51,MATCH($H145+$AL145,'General Inputs'!$F$50:$AN$50,0))*-$AH145)</f>
        <v>0</v>
      </c>
      <c r="BJ145" s="55"/>
      <c r="BK145" s="59">
        <f ca="1">SUMPRODUCT($CA145:$DI145,'General Inputs'!$F$32:$AN$32,'General Inputs'!$F$53:$AN$53)/(1-Loss_ElectricEnergy)</f>
        <v>0</v>
      </c>
      <c r="BL145" s="59">
        <f ca="1">SUMPRODUCT($DK145:$ES145,'General Inputs'!$F$33:$AN$33,'General Inputs'!$F$53:$AN$53)/(1-Loss_ElectricDemand)</f>
        <v>0</v>
      </c>
      <c r="BM145" s="59">
        <f ca="1">SUMPRODUCT($EU145:$GC145,'General Inputs'!$F$34:$AN$34,'General Inputs'!$F$53:$AN$53)/(1-Loss_GasEnergy)</f>
        <v>0</v>
      </c>
      <c r="BN145" s="59">
        <f ca="1">INDEX('General Inputs'!$F$53:$AN$53,MATCH($H145,'General Inputs'!$F$50:$AN$50,0))*$AJ145</f>
        <v>0</v>
      </c>
      <c r="BO145" s="59">
        <f ca="1">SUMPRODUCT($CA145:$DI145,'General Inputs'!$F$35:$AN$35,'General Inputs'!$F$53:$AN$53)/(1-Loss_ElectricEnergy)</f>
        <v>0</v>
      </c>
      <c r="BP145" s="59">
        <f ca="1">INDEX('General Inputs'!$F$51:$AN$51,MATCH($H145,'General Inputs'!$F$50:$AN$50,0))*$AM145</f>
        <v>0</v>
      </c>
      <c r="BQ145" s="59">
        <f ca="1">SUM(INDEX('General Inputs'!$F$53:$AN$53,MATCH($H145,'General Inputs'!$F$50:$AN$50,0))*$AG145,INDEX('General Inputs'!$F$53:$AN$53,MATCH($H145+$AL145,'General Inputs'!$F$50:$AN$50,0))*-$AH145)</f>
        <v>0</v>
      </c>
      <c r="BR145" s="55"/>
      <c r="BS145" s="59">
        <f ca="1">SUMPRODUCT($CA145:$DI145,'General Inputs'!$F$32:$AN$32,'General Inputs'!$F$55:$AN$55)/(1-Loss_ElectricEnergy)</f>
        <v>0</v>
      </c>
      <c r="BT145" s="59">
        <f ca="1">SUMPRODUCT($DK145:$ES145,'General Inputs'!$F$33:$AN$33,'General Inputs'!$F$55:$AN$55)/(1-Loss_ElectricDemand)</f>
        <v>0</v>
      </c>
      <c r="BU145" s="59">
        <f ca="1">SUMPRODUCT($EU145:$GC145,'General Inputs'!$F$34:$AN$34,'General Inputs'!$F$55:$AN$55)/(1-Loss_GasEnergy)</f>
        <v>0</v>
      </c>
      <c r="BV145" s="59">
        <f ca="1">SUMPRODUCT($CA145:$DI145,OFFSET('General Inputs'!$F$40:$AN$40,MATCH($D145&amp;" Electric ($/kWh)",'General Inputs'!$E$40:$E$46,0),),'General Inputs'!$F$55:$AN$55)</f>
        <v>0</v>
      </c>
      <c r="BW145" s="59">
        <f ca="1">SUMPRODUCT($EU145:$GC145,OFFSET('General Inputs'!$F$40:$AN$40,MATCH($D145&amp;" Natural Gas ($/therm)",'General Inputs'!$E$40:$E$46,0),),'General Inputs'!$F$55:$AN$55)</f>
        <v>0</v>
      </c>
      <c r="BX145" s="59">
        <f ca="1">INDEX('General Inputs'!$F$55:$AN$55,MATCH($H145,'General Inputs'!$F$50:$AN$50,0))*$AI145</f>
        <v>0</v>
      </c>
      <c r="BY145" s="59">
        <f ca="1">INDEX('General Inputs'!$F$51:$AN$51,MATCH($H145,'General Inputs'!$F$50:$AN$50,0))*$AM145</f>
        <v>0</v>
      </c>
      <c r="BZ145" s="55"/>
      <c r="CA145" s="88">
        <f t="shared" ca="1" si="355"/>
        <v>0</v>
      </c>
      <c r="CB145" s="88">
        <f t="shared" ca="1" si="355"/>
        <v>0</v>
      </c>
      <c r="CC145" s="88">
        <f t="shared" ca="1" si="355"/>
        <v>0</v>
      </c>
      <c r="CD145" s="88">
        <f t="shared" ca="1" si="355"/>
        <v>0</v>
      </c>
      <c r="CE145" s="88">
        <f t="shared" ca="1" si="355"/>
        <v>0</v>
      </c>
      <c r="CF145" s="88">
        <f t="shared" ca="1" si="355"/>
        <v>0</v>
      </c>
      <c r="CG145" s="88">
        <f t="shared" ca="1" si="355"/>
        <v>0</v>
      </c>
      <c r="CH145" s="88">
        <f t="shared" ca="1" si="355"/>
        <v>0</v>
      </c>
      <c r="CI145" s="88">
        <f t="shared" ca="1" si="355"/>
        <v>0</v>
      </c>
      <c r="CJ145" s="88">
        <f t="shared" ca="1" si="355"/>
        <v>0</v>
      </c>
      <c r="CK145" s="88">
        <f t="shared" ca="1" si="356"/>
        <v>0</v>
      </c>
      <c r="CL145" s="88">
        <f t="shared" ca="1" si="356"/>
        <v>0</v>
      </c>
      <c r="CM145" s="88">
        <f t="shared" ca="1" si="356"/>
        <v>0</v>
      </c>
      <c r="CN145" s="88">
        <f t="shared" ca="1" si="356"/>
        <v>0</v>
      </c>
      <c r="CO145" s="88">
        <f t="shared" ca="1" si="356"/>
        <v>0</v>
      </c>
      <c r="CP145" s="88">
        <f t="shared" ca="1" si="356"/>
        <v>0</v>
      </c>
      <c r="CQ145" s="88">
        <f t="shared" ca="1" si="356"/>
        <v>0</v>
      </c>
      <c r="CR145" s="88">
        <f t="shared" ca="1" si="356"/>
        <v>0</v>
      </c>
      <c r="CS145" s="88">
        <f t="shared" ca="1" si="356"/>
        <v>0</v>
      </c>
      <c r="CT145" s="88">
        <f t="shared" ca="1" si="356"/>
        <v>0</v>
      </c>
      <c r="CU145" s="88">
        <f t="shared" ca="1" si="357"/>
        <v>0</v>
      </c>
      <c r="CV145" s="88">
        <f t="shared" ca="1" si="357"/>
        <v>0</v>
      </c>
      <c r="CW145" s="88">
        <f t="shared" ca="1" si="357"/>
        <v>0</v>
      </c>
      <c r="CX145" s="88">
        <f t="shared" ca="1" si="357"/>
        <v>0</v>
      </c>
      <c r="CY145" s="88">
        <f t="shared" ca="1" si="357"/>
        <v>0</v>
      </c>
      <c r="CZ145" s="88">
        <f t="shared" ca="1" si="357"/>
        <v>0</v>
      </c>
      <c r="DA145" s="88">
        <f t="shared" ca="1" si="357"/>
        <v>0</v>
      </c>
      <c r="DB145" s="88">
        <f t="shared" ca="1" si="357"/>
        <v>0</v>
      </c>
      <c r="DC145" s="88">
        <f t="shared" ca="1" si="357"/>
        <v>0</v>
      </c>
      <c r="DD145" s="88">
        <f t="shared" ca="1" si="357"/>
        <v>0</v>
      </c>
      <c r="DE145" s="88">
        <f t="shared" ca="1" si="357"/>
        <v>0</v>
      </c>
      <c r="DF145" s="88">
        <f t="shared" ca="1" si="357"/>
        <v>0</v>
      </c>
      <c r="DG145" s="88">
        <f t="shared" ca="1" si="357"/>
        <v>0</v>
      </c>
      <c r="DH145" s="88">
        <f t="shared" ca="1" si="357"/>
        <v>0</v>
      </c>
      <c r="DI145" s="88">
        <f t="shared" ca="1" si="357"/>
        <v>0</v>
      </c>
      <c r="DJ145" s="169"/>
      <c r="DK145" s="88">
        <f t="shared" ca="1" si="358"/>
        <v>0</v>
      </c>
      <c r="DL145" s="88">
        <f t="shared" ca="1" si="358"/>
        <v>0</v>
      </c>
      <c r="DM145" s="88">
        <f t="shared" ca="1" si="358"/>
        <v>0</v>
      </c>
      <c r="DN145" s="88">
        <f t="shared" ca="1" si="358"/>
        <v>0</v>
      </c>
      <c r="DO145" s="88">
        <f t="shared" ca="1" si="358"/>
        <v>0</v>
      </c>
      <c r="DP145" s="88">
        <f t="shared" ca="1" si="358"/>
        <v>0</v>
      </c>
      <c r="DQ145" s="88">
        <f t="shared" ca="1" si="358"/>
        <v>0</v>
      </c>
      <c r="DR145" s="88">
        <f t="shared" ca="1" si="358"/>
        <v>0</v>
      </c>
      <c r="DS145" s="88">
        <f t="shared" ca="1" si="358"/>
        <v>0</v>
      </c>
      <c r="DT145" s="88">
        <f t="shared" ca="1" si="358"/>
        <v>0</v>
      </c>
      <c r="DU145" s="88">
        <f t="shared" ca="1" si="359"/>
        <v>0</v>
      </c>
      <c r="DV145" s="88">
        <f t="shared" ca="1" si="359"/>
        <v>0</v>
      </c>
      <c r="DW145" s="88">
        <f t="shared" ca="1" si="359"/>
        <v>0</v>
      </c>
      <c r="DX145" s="88">
        <f t="shared" ca="1" si="359"/>
        <v>0</v>
      </c>
      <c r="DY145" s="88">
        <f t="shared" ca="1" si="359"/>
        <v>0</v>
      </c>
      <c r="DZ145" s="88">
        <f t="shared" ca="1" si="359"/>
        <v>0</v>
      </c>
      <c r="EA145" s="88">
        <f t="shared" ca="1" si="359"/>
        <v>0</v>
      </c>
      <c r="EB145" s="88">
        <f t="shared" ca="1" si="359"/>
        <v>0</v>
      </c>
      <c r="EC145" s="88">
        <f t="shared" ca="1" si="359"/>
        <v>0</v>
      </c>
      <c r="ED145" s="88">
        <f t="shared" ca="1" si="359"/>
        <v>0</v>
      </c>
      <c r="EE145" s="88">
        <f t="shared" ca="1" si="360"/>
        <v>0</v>
      </c>
      <c r="EF145" s="88">
        <f t="shared" ca="1" si="360"/>
        <v>0</v>
      </c>
      <c r="EG145" s="88">
        <f t="shared" ca="1" si="360"/>
        <v>0</v>
      </c>
      <c r="EH145" s="88">
        <f t="shared" ca="1" si="360"/>
        <v>0</v>
      </c>
      <c r="EI145" s="88">
        <f t="shared" ca="1" si="360"/>
        <v>0</v>
      </c>
      <c r="EJ145" s="88">
        <f t="shared" ca="1" si="360"/>
        <v>0</v>
      </c>
      <c r="EK145" s="88">
        <f t="shared" ca="1" si="360"/>
        <v>0</v>
      </c>
      <c r="EL145" s="88">
        <f t="shared" ca="1" si="360"/>
        <v>0</v>
      </c>
      <c r="EM145" s="88">
        <f t="shared" ca="1" si="360"/>
        <v>0</v>
      </c>
      <c r="EN145" s="88">
        <f t="shared" ca="1" si="360"/>
        <v>0</v>
      </c>
      <c r="EO145" s="88">
        <f t="shared" ca="1" si="360"/>
        <v>0</v>
      </c>
      <c r="EP145" s="88">
        <f t="shared" ca="1" si="360"/>
        <v>0</v>
      </c>
      <c r="EQ145" s="88">
        <f t="shared" ca="1" si="360"/>
        <v>0</v>
      </c>
      <c r="ER145" s="88">
        <f t="shared" ca="1" si="360"/>
        <v>0</v>
      </c>
      <c r="ES145" s="88">
        <f t="shared" ca="1" si="360"/>
        <v>0</v>
      </c>
      <c r="ET145" s="169"/>
      <c r="EU145" s="88">
        <f t="shared" ca="1" si="361"/>
        <v>0</v>
      </c>
      <c r="EV145" s="88">
        <f t="shared" ca="1" si="361"/>
        <v>0</v>
      </c>
      <c r="EW145" s="88">
        <f t="shared" ca="1" si="361"/>
        <v>0</v>
      </c>
      <c r="EX145" s="88">
        <f t="shared" ca="1" si="361"/>
        <v>0</v>
      </c>
      <c r="EY145" s="88">
        <f t="shared" ca="1" si="361"/>
        <v>0</v>
      </c>
      <c r="EZ145" s="88">
        <f t="shared" ca="1" si="361"/>
        <v>0</v>
      </c>
      <c r="FA145" s="88">
        <f t="shared" ca="1" si="361"/>
        <v>0</v>
      </c>
      <c r="FB145" s="88">
        <f t="shared" ca="1" si="361"/>
        <v>0</v>
      </c>
      <c r="FC145" s="88">
        <f t="shared" ca="1" si="361"/>
        <v>0</v>
      </c>
      <c r="FD145" s="88">
        <f t="shared" ca="1" si="361"/>
        <v>0</v>
      </c>
      <c r="FE145" s="88">
        <f t="shared" ca="1" si="362"/>
        <v>0</v>
      </c>
      <c r="FF145" s="88">
        <f t="shared" ca="1" si="362"/>
        <v>0</v>
      </c>
      <c r="FG145" s="88">
        <f t="shared" ca="1" si="362"/>
        <v>0</v>
      </c>
      <c r="FH145" s="88">
        <f t="shared" ca="1" si="362"/>
        <v>0</v>
      </c>
      <c r="FI145" s="88">
        <f t="shared" ca="1" si="362"/>
        <v>0</v>
      </c>
      <c r="FJ145" s="88">
        <f t="shared" ca="1" si="362"/>
        <v>0</v>
      </c>
      <c r="FK145" s="88">
        <f t="shared" ca="1" si="362"/>
        <v>0</v>
      </c>
      <c r="FL145" s="88">
        <f t="shared" ca="1" si="362"/>
        <v>0</v>
      </c>
      <c r="FM145" s="88">
        <f t="shared" ca="1" si="362"/>
        <v>0</v>
      </c>
      <c r="FN145" s="88">
        <f t="shared" ca="1" si="362"/>
        <v>0</v>
      </c>
      <c r="FO145" s="88">
        <f t="shared" ca="1" si="363"/>
        <v>0</v>
      </c>
      <c r="FP145" s="88">
        <f t="shared" ca="1" si="363"/>
        <v>0</v>
      </c>
      <c r="FQ145" s="88">
        <f t="shared" ca="1" si="363"/>
        <v>0</v>
      </c>
      <c r="FR145" s="88">
        <f t="shared" ca="1" si="363"/>
        <v>0</v>
      </c>
      <c r="FS145" s="88">
        <f t="shared" ca="1" si="363"/>
        <v>0</v>
      </c>
      <c r="FT145" s="88">
        <f t="shared" ca="1" si="363"/>
        <v>0</v>
      </c>
      <c r="FU145" s="88">
        <f t="shared" ca="1" si="363"/>
        <v>0</v>
      </c>
      <c r="FV145" s="88">
        <f t="shared" ca="1" si="363"/>
        <v>0</v>
      </c>
      <c r="FW145" s="88">
        <f t="shared" ca="1" si="363"/>
        <v>0</v>
      </c>
      <c r="FX145" s="88">
        <f t="shared" ca="1" si="363"/>
        <v>0</v>
      </c>
      <c r="FY145" s="88">
        <f t="shared" ca="1" si="363"/>
        <v>0</v>
      </c>
      <c r="FZ145" s="88">
        <f t="shared" ca="1" si="363"/>
        <v>0</v>
      </c>
      <c r="GA145" s="88">
        <f t="shared" ca="1" si="363"/>
        <v>0</v>
      </c>
      <c r="GB145" s="88">
        <f t="shared" ca="1" si="363"/>
        <v>0</v>
      </c>
      <c r="GC145" s="88">
        <f t="shared" ca="1" si="363"/>
        <v>0</v>
      </c>
      <c r="GD145" s="60"/>
    </row>
    <row r="146" spans="1:186" s="54" customFormat="1" ht="14.45" customHeight="1">
      <c r="A146" s="61"/>
      <c r="B146" s="100" t="str">
        <f t="shared" si="345"/>
        <v>Residential_Residential Audit_0_LED_2018</v>
      </c>
      <c r="C146" s="100">
        <f>INDEX('Measure Inputs'!$D:$D,MATCH($B146,'Measure Inputs'!$B:$B,0))</f>
        <v>98</v>
      </c>
      <c r="D146" s="101" t="s">
        <v>2</v>
      </c>
      <c r="E146" s="101" t="s">
        <v>251</v>
      </c>
      <c r="F146" s="101">
        <v>0</v>
      </c>
      <c r="G146" s="101" t="s">
        <v>216</v>
      </c>
      <c r="H146" s="101">
        <v>2018</v>
      </c>
      <c r="I146" s="55"/>
      <c r="J146" s="58" t="str">
        <f t="shared" ca="1" si="229"/>
        <v>n/a</v>
      </c>
      <c r="K146" s="58" t="str">
        <f t="shared" ca="1" si="246"/>
        <v>n/a</v>
      </c>
      <c r="L146" s="58" t="str">
        <f t="shared" ca="1" si="230"/>
        <v>n/a</v>
      </c>
      <c r="M146" s="58" t="str">
        <f t="shared" ca="1" si="231"/>
        <v>n/a</v>
      </c>
      <c r="N146" s="58">
        <f t="shared" ca="1" si="232"/>
        <v>0.26866943777996116</v>
      </c>
      <c r="O146" s="55"/>
      <c r="P146" s="175">
        <f ca="1">IFERROR(($AW146+AV146)/SUMPRODUCT($CA146:$DI146,'General Inputs'!$F$51:$AN$51),"n/a")</f>
        <v>0</v>
      </c>
      <c r="Q146" s="175">
        <f t="shared" ca="1" si="309"/>
        <v>0</v>
      </c>
      <c r="R146" s="56">
        <f t="shared" ca="1" si="310"/>
        <v>422.07056892000003</v>
      </c>
      <c r="S146" s="55"/>
      <c r="T146" s="56">
        <f ca="1">INDEX(OFFSET('Measure Inputs'!$L$7,,,InputRows),$C146)</f>
        <v>1300</v>
      </c>
      <c r="U146" s="134">
        <f ca="1">INDEX(OFFSET('Measure Inputs'!$T$7,,,InputRows),$C146)</f>
        <v>1</v>
      </c>
      <c r="V146" s="134">
        <f ca="1">INDEX(OFFSET('Measure Inputs'!$U$7,,,InputRows),$C146)</f>
        <v>1</v>
      </c>
      <c r="W146" s="55"/>
      <c r="X146" s="96">
        <f ca="1">INDEX(OFFSET('Measure Inputs'!$V$7,,,InputRows),$C146)*$T146*$V146*$U146</f>
        <v>42207.056892000001</v>
      </c>
      <c r="Y146" s="96">
        <f ca="1">INDEX(OFFSET('Measure Inputs'!$W$7,,,InputRows),$C146)*$T146*$V146*$U146</f>
        <v>3.7049053859999992</v>
      </c>
      <c r="Z146" s="96">
        <f ca="1">INDEX(OFFSET('Measure Inputs'!$X$7,,,InputRows),$C146)*$T146*$V146*$U146</f>
        <v>0</v>
      </c>
      <c r="AA146" s="55"/>
      <c r="AB146" s="96">
        <f ca="1">INDEX(OFFSET('Measure Inputs'!$Z$7,,,InputRows),$C146)*$T146*$V146*$U146</f>
        <v>0</v>
      </c>
      <c r="AC146" s="96">
        <f ca="1">INDEX(OFFSET('Measure Inputs'!$AA$7,,,InputRows),$C146)*$T146*$V146*$U146</f>
        <v>0</v>
      </c>
      <c r="AD146" s="96">
        <f ca="1">INDEX(OFFSET('Measure Inputs'!$AB$7,,,InputRows),$C146)*$T146*$V146*$U146</f>
        <v>0</v>
      </c>
      <c r="AE146" s="55"/>
      <c r="AF146" s="57">
        <f ca="1">INDEX(OFFSET('Measure Inputs'!$Q$7,,,InputRows),$C146)*$T146</f>
        <v>0</v>
      </c>
      <c r="AG146" s="57">
        <f ca="1">INDEX(OFFSET('Measure Inputs'!$P$7,,,InputRows),$C146)*$T146*$V146</f>
        <v>0</v>
      </c>
      <c r="AH146" s="57">
        <f ca="1">INDEX(OFFSET('Measure Inputs'!$R$7,,,InputRows),$C146)*$T146*$V146</f>
        <v>0</v>
      </c>
      <c r="AI146" s="57">
        <f ca="1">INDEX(OFFSET('Measure Inputs'!$O$7,,,InputRows),$C146)*$T146</f>
        <v>0</v>
      </c>
      <c r="AJ146" s="57">
        <f ca="1">INDEX(OFFSET('Measure Inputs'!$S$7,,,InputRows),$C146)*$T146</f>
        <v>0</v>
      </c>
      <c r="AK146" s="63">
        <f ca="1">INDEX(OFFSET('Measure Inputs'!$M$7,,,InputRows),$C146)</f>
        <v>10</v>
      </c>
      <c r="AL146" s="88">
        <f ca="1">INDEX(OFFSET('Measure Inputs'!$N$7,,,InputRows),$C146)</f>
        <v>0</v>
      </c>
      <c r="AM146" s="57">
        <f ca="1">SUMIFS(OFFSET('Program Inputs'!$N$5,,,TotalPrograms),OFFSET('Program Inputs'!$B$5,,,TotalPrograms),SUBSTITUTE($B146,"All","*"))+AF146</f>
        <v>0</v>
      </c>
      <c r="AN146" s="57">
        <f t="shared" ca="1" si="311"/>
        <v>0</v>
      </c>
      <c r="AO146" s="55"/>
      <c r="AP146" s="59">
        <f t="shared" ca="1" si="312"/>
        <v>8997.8357148404284</v>
      </c>
      <c r="AQ146" s="59">
        <f t="shared" ca="1" si="313"/>
        <v>0</v>
      </c>
      <c r="AR146" s="59">
        <f ca="1">SUMPRODUCT($CA146:$DI146,'General Inputs'!$F$32:$AN$32,'General Inputs'!$F$51:$AN$51)/(1-Loss_ElectricEnergy)</f>
        <v>8463.4751864721457</v>
      </c>
      <c r="AS146" s="59">
        <f ca="1">SUMPRODUCT($DK146:$ES146,'General Inputs'!$F$33:$AN$33,'General Inputs'!$F$51:$AN$51)/(1-Loss_ElectricDemand)</f>
        <v>534.36052836828219</v>
      </c>
      <c r="AT146" s="59">
        <f ca="1">SUMPRODUCT($EU146:$GC146,'General Inputs'!$F$34:$AN$34,'General Inputs'!$F$51:$AN$51)/(1-Loss_GasEnergy)</f>
        <v>0</v>
      </c>
      <c r="AU146" s="59">
        <f ca="1">INDEX('General Inputs'!$F$51:$AN$51,MATCH($H146,'General Inputs'!$F$50:$AN$50,0))*$AJ146</f>
        <v>0</v>
      </c>
      <c r="AV146" s="59">
        <f ca="1">INDEX('General Inputs'!$F$51:$AN$51,MATCH($H146,'General Inputs'!$F$50:$AN$50,0))*$AI146</f>
        <v>0</v>
      </c>
      <c r="AW146" s="59">
        <f ca="1">INDEX('General Inputs'!$F$51:$AN$51,MATCH($H146,'General Inputs'!$F$50:$AN$50,0))*$AM146</f>
        <v>0</v>
      </c>
      <c r="AX146" s="59">
        <f ca="1">SUM(INDEX('General Inputs'!$F$51:$AN$51,MATCH($H146,'General Inputs'!$F$50:$AN$50,0))*$AG146,INDEX('General Inputs'!$F$51:$AN$51,MATCH($H146+$AL146,'General Inputs'!$F$50:$AN$50,0))*-$AH146)</f>
        <v>0</v>
      </c>
      <c r="AY146" s="55"/>
      <c r="AZ146" s="59">
        <f ca="1">SUMPRODUCT($CA146:$DI146,'General Inputs'!$F$32:$AN$32,'General Inputs'!$F$52:$AN$52)/(1-Loss_ElectricEnergy)</f>
        <v>8463.4751864721457</v>
      </c>
      <c r="BA146" s="59">
        <f ca="1">SUMPRODUCT($DK146:$ES146,'General Inputs'!$F$33:$AN$33,'General Inputs'!$F$52:$AN$52)/(1-Loss_ElectricDemand)</f>
        <v>534.36052836828219</v>
      </c>
      <c r="BB146" s="59">
        <f ca="1">SUMPRODUCT($EU146:$GC146,'General Inputs'!$F$34:$AN$34,'General Inputs'!$F$52:$AN$52)/(1-Loss_GasEnergy)</f>
        <v>0</v>
      </c>
      <c r="BC146" s="59">
        <f ca="1">INDEX('General Inputs'!$F$52:$AN$52,MATCH($H146,'General Inputs'!$F$50:$AN$50,0))*$AI146</f>
        <v>0</v>
      </c>
      <c r="BD146" s="59">
        <f ca="1">INDEX('General Inputs'!$F$52:$AN$52,MATCH($H146,'General Inputs'!$F$50:$AN$50,0))*$AM146</f>
        <v>0</v>
      </c>
      <c r="BE146" s="55"/>
      <c r="BF146" s="59">
        <f ca="1">SUMPRODUCT($CA146:$DI146,OFFSET('General Inputs'!$F$40:$AN$40,MATCH($D146&amp;" Electric ($/kWh)",'General Inputs'!$E$40:$E$46,0),),'General Inputs'!$F$54:$AN$54)</f>
        <v>33490.35822306521</v>
      </c>
      <c r="BG146" s="59">
        <f ca="1">SUMPRODUCT($EU146:$GC146,OFFSET('General Inputs'!$F$40:$AN$40,MATCH($D146&amp;" Natural Gas ($/therm)",'General Inputs'!$E$40:$E$46,0),),'General Inputs'!$F$54:$AN$54)</f>
        <v>0</v>
      </c>
      <c r="BH146" s="59">
        <f ca="1">INDEX('General Inputs'!$F$54:$AN$54,MATCH($H146,'General Inputs'!$F$50:$AN$50,0))*$AI146</f>
        <v>0</v>
      </c>
      <c r="BI146" s="59">
        <f ca="1">SUM(INDEX('General Inputs'!$F$54:$AN$54,MATCH($H146,'General Inputs'!$F$50:$AN$50,0))*$AG146,INDEX('General Inputs'!$F$51:$AN$51,MATCH($H146+$AL146,'General Inputs'!$F$50:$AN$50,0))*-$AH146)</f>
        <v>0</v>
      </c>
      <c r="BJ146" s="55"/>
      <c r="BK146" s="59">
        <f ca="1">SUMPRODUCT($CA146:$DI146,'General Inputs'!$F$32:$AN$32,'General Inputs'!$F$53:$AN$53)/(1-Loss_ElectricEnergy)</f>
        <v>8463.4751864721457</v>
      </c>
      <c r="BL146" s="59">
        <f ca="1">SUMPRODUCT($DK146:$ES146,'General Inputs'!$F$33:$AN$33,'General Inputs'!$F$53:$AN$53)/(1-Loss_ElectricDemand)</f>
        <v>534.36052836828219</v>
      </c>
      <c r="BM146" s="59">
        <f ca="1">SUMPRODUCT($EU146:$GC146,'General Inputs'!$F$34:$AN$34,'General Inputs'!$F$53:$AN$53)/(1-Loss_GasEnergy)</f>
        <v>0</v>
      </c>
      <c r="BN146" s="59">
        <f ca="1">INDEX('General Inputs'!$F$53:$AN$53,MATCH($H146,'General Inputs'!$F$50:$AN$50,0))*$AJ146</f>
        <v>0</v>
      </c>
      <c r="BO146" s="59">
        <f ca="1">SUMPRODUCT($CA146:$DI146,'General Inputs'!$F$35:$AN$35,'General Inputs'!$F$53:$AN$53)/(1-Loss_ElectricEnergy)</f>
        <v>3263.1580067176155</v>
      </c>
      <c r="BP146" s="59">
        <f ca="1">INDEX('General Inputs'!$F$51:$AN$51,MATCH($H146,'General Inputs'!$F$50:$AN$50,0))*$AM146</f>
        <v>0</v>
      </c>
      <c r="BQ146" s="59">
        <f ca="1">SUM(INDEX('General Inputs'!$F$53:$AN$53,MATCH($H146,'General Inputs'!$F$50:$AN$50,0))*$AG146,INDEX('General Inputs'!$F$53:$AN$53,MATCH($H146+$AL146,'General Inputs'!$F$50:$AN$50,0))*-$AH146)</f>
        <v>0</v>
      </c>
      <c r="BR146" s="55"/>
      <c r="BS146" s="59">
        <f ca="1">SUMPRODUCT($CA146:$DI146,'General Inputs'!$F$32:$AN$32,'General Inputs'!$F$55:$AN$55)/(1-Loss_ElectricEnergy)</f>
        <v>8463.4751864721457</v>
      </c>
      <c r="BT146" s="59">
        <f ca="1">SUMPRODUCT($DK146:$ES146,'General Inputs'!$F$33:$AN$33,'General Inputs'!$F$55:$AN$55)/(1-Loss_ElectricDemand)</f>
        <v>534.36052836828219</v>
      </c>
      <c r="BU146" s="59">
        <f ca="1">SUMPRODUCT($EU146:$GC146,'General Inputs'!$F$34:$AN$34,'General Inputs'!$F$55:$AN$55)/(1-Loss_GasEnergy)</f>
        <v>0</v>
      </c>
      <c r="BV146" s="59">
        <f ca="1">SUMPRODUCT($CA146:$DI146,OFFSET('General Inputs'!$F$40:$AN$40,MATCH($D146&amp;" Electric ($/kWh)",'General Inputs'!$E$40:$E$46,0),),'General Inputs'!$F$55:$AN$55)</f>
        <v>33490.35822306521</v>
      </c>
      <c r="BW146" s="59">
        <f ca="1">SUMPRODUCT($EU146:$GC146,OFFSET('General Inputs'!$F$40:$AN$40,MATCH($D146&amp;" Natural Gas ($/therm)",'General Inputs'!$E$40:$E$46,0),),'General Inputs'!$F$55:$AN$55)</f>
        <v>0</v>
      </c>
      <c r="BX146" s="59">
        <f ca="1">INDEX('General Inputs'!$F$55:$AN$55,MATCH($H146,'General Inputs'!$F$50:$AN$50,0))*$AI146</f>
        <v>0</v>
      </c>
      <c r="BY146" s="59">
        <f ca="1">INDEX('General Inputs'!$F$51:$AN$51,MATCH($H146,'General Inputs'!$F$50:$AN$50,0))*$AM146</f>
        <v>0</v>
      </c>
      <c r="BZ146" s="55"/>
      <c r="CA146" s="88">
        <f t="shared" ca="1" si="355"/>
        <v>0</v>
      </c>
      <c r="CB146" s="88">
        <f t="shared" ca="1" si="355"/>
        <v>42207.056892000001</v>
      </c>
      <c r="CC146" s="88">
        <f t="shared" ca="1" si="355"/>
        <v>42207.056892000001</v>
      </c>
      <c r="CD146" s="88">
        <f t="shared" ca="1" si="355"/>
        <v>42207.056892000001</v>
      </c>
      <c r="CE146" s="88">
        <f t="shared" ca="1" si="355"/>
        <v>42207.056892000001</v>
      </c>
      <c r="CF146" s="88">
        <f t="shared" ca="1" si="355"/>
        <v>42207.056892000001</v>
      </c>
      <c r="CG146" s="88">
        <f t="shared" ca="1" si="355"/>
        <v>42207.056892000001</v>
      </c>
      <c r="CH146" s="88">
        <f t="shared" ca="1" si="355"/>
        <v>42207.056892000001</v>
      </c>
      <c r="CI146" s="88">
        <f t="shared" ca="1" si="355"/>
        <v>42207.056892000001</v>
      </c>
      <c r="CJ146" s="88">
        <f t="shared" ca="1" si="355"/>
        <v>42207.056892000001</v>
      </c>
      <c r="CK146" s="88">
        <f t="shared" ca="1" si="356"/>
        <v>42207.056892000001</v>
      </c>
      <c r="CL146" s="88">
        <f t="shared" ca="1" si="356"/>
        <v>0</v>
      </c>
      <c r="CM146" s="88">
        <f t="shared" ca="1" si="356"/>
        <v>0</v>
      </c>
      <c r="CN146" s="88">
        <f t="shared" ca="1" si="356"/>
        <v>0</v>
      </c>
      <c r="CO146" s="88">
        <f t="shared" ca="1" si="356"/>
        <v>0</v>
      </c>
      <c r="CP146" s="88">
        <f t="shared" ca="1" si="356"/>
        <v>0</v>
      </c>
      <c r="CQ146" s="88">
        <f t="shared" ca="1" si="356"/>
        <v>0</v>
      </c>
      <c r="CR146" s="88">
        <f t="shared" ca="1" si="356"/>
        <v>0</v>
      </c>
      <c r="CS146" s="88">
        <f t="shared" ca="1" si="356"/>
        <v>0</v>
      </c>
      <c r="CT146" s="88">
        <f t="shared" ca="1" si="356"/>
        <v>0</v>
      </c>
      <c r="CU146" s="88">
        <f t="shared" ca="1" si="357"/>
        <v>0</v>
      </c>
      <c r="CV146" s="88">
        <f t="shared" ca="1" si="357"/>
        <v>0</v>
      </c>
      <c r="CW146" s="88">
        <f t="shared" ca="1" si="357"/>
        <v>0</v>
      </c>
      <c r="CX146" s="88">
        <f t="shared" ca="1" si="357"/>
        <v>0</v>
      </c>
      <c r="CY146" s="88">
        <f t="shared" ca="1" si="357"/>
        <v>0</v>
      </c>
      <c r="CZ146" s="88">
        <f t="shared" ca="1" si="357"/>
        <v>0</v>
      </c>
      <c r="DA146" s="88">
        <f t="shared" ca="1" si="357"/>
        <v>0</v>
      </c>
      <c r="DB146" s="88">
        <f t="shared" ca="1" si="357"/>
        <v>0</v>
      </c>
      <c r="DC146" s="88">
        <f t="shared" ca="1" si="357"/>
        <v>0</v>
      </c>
      <c r="DD146" s="88">
        <f t="shared" ca="1" si="357"/>
        <v>0</v>
      </c>
      <c r="DE146" s="88">
        <f t="shared" ca="1" si="357"/>
        <v>0</v>
      </c>
      <c r="DF146" s="88">
        <f t="shared" ca="1" si="357"/>
        <v>0</v>
      </c>
      <c r="DG146" s="88">
        <f t="shared" ca="1" si="357"/>
        <v>0</v>
      </c>
      <c r="DH146" s="88">
        <f t="shared" ca="1" si="357"/>
        <v>0</v>
      </c>
      <c r="DI146" s="88">
        <f t="shared" ca="1" si="357"/>
        <v>0</v>
      </c>
      <c r="DJ146" s="169"/>
      <c r="DK146" s="88">
        <f t="shared" ca="1" si="358"/>
        <v>0</v>
      </c>
      <c r="DL146" s="88">
        <f t="shared" ca="1" si="358"/>
        <v>3.7049053859999992</v>
      </c>
      <c r="DM146" s="88">
        <f t="shared" ca="1" si="358"/>
        <v>3.7049053859999992</v>
      </c>
      <c r="DN146" s="88">
        <f t="shared" ca="1" si="358"/>
        <v>3.7049053859999992</v>
      </c>
      <c r="DO146" s="88">
        <f t="shared" ca="1" si="358"/>
        <v>3.7049053859999992</v>
      </c>
      <c r="DP146" s="88">
        <f t="shared" ca="1" si="358"/>
        <v>3.7049053859999992</v>
      </c>
      <c r="DQ146" s="88">
        <f t="shared" ca="1" si="358"/>
        <v>3.7049053859999992</v>
      </c>
      <c r="DR146" s="88">
        <f t="shared" ca="1" si="358"/>
        <v>3.7049053859999992</v>
      </c>
      <c r="DS146" s="88">
        <f t="shared" ca="1" si="358"/>
        <v>3.7049053859999992</v>
      </c>
      <c r="DT146" s="88">
        <f t="shared" ca="1" si="358"/>
        <v>3.7049053859999992</v>
      </c>
      <c r="DU146" s="88">
        <f t="shared" ca="1" si="359"/>
        <v>3.7049053859999992</v>
      </c>
      <c r="DV146" s="88">
        <f t="shared" ca="1" si="359"/>
        <v>0</v>
      </c>
      <c r="DW146" s="88">
        <f t="shared" ca="1" si="359"/>
        <v>0</v>
      </c>
      <c r="DX146" s="88">
        <f t="shared" ca="1" si="359"/>
        <v>0</v>
      </c>
      <c r="DY146" s="88">
        <f t="shared" ca="1" si="359"/>
        <v>0</v>
      </c>
      <c r="DZ146" s="88">
        <f t="shared" ca="1" si="359"/>
        <v>0</v>
      </c>
      <c r="EA146" s="88">
        <f t="shared" ca="1" si="359"/>
        <v>0</v>
      </c>
      <c r="EB146" s="88">
        <f t="shared" ca="1" si="359"/>
        <v>0</v>
      </c>
      <c r="EC146" s="88">
        <f t="shared" ca="1" si="359"/>
        <v>0</v>
      </c>
      <c r="ED146" s="88">
        <f t="shared" ca="1" si="359"/>
        <v>0</v>
      </c>
      <c r="EE146" s="88">
        <f t="shared" ca="1" si="360"/>
        <v>0</v>
      </c>
      <c r="EF146" s="88">
        <f t="shared" ca="1" si="360"/>
        <v>0</v>
      </c>
      <c r="EG146" s="88">
        <f t="shared" ca="1" si="360"/>
        <v>0</v>
      </c>
      <c r="EH146" s="88">
        <f t="shared" ca="1" si="360"/>
        <v>0</v>
      </c>
      <c r="EI146" s="88">
        <f t="shared" ca="1" si="360"/>
        <v>0</v>
      </c>
      <c r="EJ146" s="88">
        <f t="shared" ca="1" si="360"/>
        <v>0</v>
      </c>
      <c r="EK146" s="88">
        <f t="shared" ca="1" si="360"/>
        <v>0</v>
      </c>
      <c r="EL146" s="88">
        <f t="shared" ca="1" si="360"/>
        <v>0</v>
      </c>
      <c r="EM146" s="88">
        <f t="shared" ca="1" si="360"/>
        <v>0</v>
      </c>
      <c r="EN146" s="88">
        <f t="shared" ca="1" si="360"/>
        <v>0</v>
      </c>
      <c r="EO146" s="88">
        <f t="shared" ca="1" si="360"/>
        <v>0</v>
      </c>
      <c r="EP146" s="88">
        <f t="shared" ca="1" si="360"/>
        <v>0</v>
      </c>
      <c r="EQ146" s="88">
        <f t="shared" ca="1" si="360"/>
        <v>0</v>
      </c>
      <c r="ER146" s="88">
        <f t="shared" ca="1" si="360"/>
        <v>0</v>
      </c>
      <c r="ES146" s="88">
        <f t="shared" ca="1" si="360"/>
        <v>0</v>
      </c>
      <c r="ET146" s="169"/>
      <c r="EU146" s="88">
        <f t="shared" ca="1" si="361"/>
        <v>0</v>
      </c>
      <c r="EV146" s="88">
        <f t="shared" ca="1" si="361"/>
        <v>0</v>
      </c>
      <c r="EW146" s="88">
        <f t="shared" ca="1" si="361"/>
        <v>0</v>
      </c>
      <c r="EX146" s="88">
        <f t="shared" ca="1" si="361"/>
        <v>0</v>
      </c>
      <c r="EY146" s="88">
        <f t="shared" ca="1" si="361"/>
        <v>0</v>
      </c>
      <c r="EZ146" s="88">
        <f t="shared" ca="1" si="361"/>
        <v>0</v>
      </c>
      <c r="FA146" s="88">
        <f t="shared" ca="1" si="361"/>
        <v>0</v>
      </c>
      <c r="FB146" s="88">
        <f t="shared" ca="1" si="361"/>
        <v>0</v>
      </c>
      <c r="FC146" s="88">
        <f t="shared" ca="1" si="361"/>
        <v>0</v>
      </c>
      <c r="FD146" s="88">
        <f t="shared" ca="1" si="361"/>
        <v>0</v>
      </c>
      <c r="FE146" s="88">
        <f t="shared" ca="1" si="362"/>
        <v>0</v>
      </c>
      <c r="FF146" s="88">
        <f t="shared" ca="1" si="362"/>
        <v>0</v>
      </c>
      <c r="FG146" s="88">
        <f t="shared" ca="1" si="362"/>
        <v>0</v>
      </c>
      <c r="FH146" s="88">
        <f t="shared" ca="1" si="362"/>
        <v>0</v>
      </c>
      <c r="FI146" s="88">
        <f t="shared" ca="1" si="362"/>
        <v>0</v>
      </c>
      <c r="FJ146" s="88">
        <f t="shared" ca="1" si="362"/>
        <v>0</v>
      </c>
      <c r="FK146" s="88">
        <f t="shared" ca="1" si="362"/>
        <v>0</v>
      </c>
      <c r="FL146" s="88">
        <f t="shared" ca="1" si="362"/>
        <v>0</v>
      </c>
      <c r="FM146" s="88">
        <f t="shared" ca="1" si="362"/>
        <v>0</v>
      </c>
      <c r="FN146" s="88">
        <f t="shared" ca="1" si="362"/>
        <v>0</v>
      </c>
      <c r="FO146" s="88">
        <f t="shared" ca="1" si="363"/>
        <v>0</v>
      </c>
      <c r="FP146" s="88">
        <f t="shared" ca="1" si="363"/>
        <v>0</v>
      </c>
      <c r="FQ146" s="88">
        <f t="shared" ca="1" si="363"/>
        <v>0</v>
      </c>
      <c r="FR146" s="88">
        <f t="shared" ca="1" si="363"/>
        <v>0</v>
      </c>
      <c r="FS146" s="88">
        <f t="shared" ca="1" si="363"/>
        <v>0</v>
      </c>
      <c r="FT146" s="88">
        <f t="shared" ca="1" si="363"/>
        <v>0</v>
      </c>
      <c r="FU146" s="88">
        <f t="shared" ca="1" si="363"/>
        <v>0</v>
      </c>
      <c r="FV146" s="88">
        <f t="shared" ca="1" si="363"/>
        <v>0</v>
      </c>
      <c r="FW146" s="88">
        <f t="shared" ca="1" si="363"/>
        <v>0</v>
      </c>
      <c r="FX146" s="88">
        <f t="shared" ca="1" si="363"/>
        <v>0</v>
      </c>
      <c r="FY146" s="88">
        <f t="shared" ca="1" si="363"/>
        <v>0</v>
      </c>
      <c r="FZ146" s="88">
        <f t="shared" ca="1" si="363"/>
        <v>0</v>
      </c>
      <c r="GA146" s="88">
        <f t="shared" ca="1" si="363"/>
        <v>0</v>
      </c>
      <c r="GB146" s="88">
        <f t="shared" ca="1" si="363"/>
        <v>0</v>
      </c>
      <c r="GC146" s="88">
        <f t="shared" ca="1" si="363"/>
        <v>0</v>
      </c>
      <c r="GD146" s="60"/>
    </row>
    <row r="147" spans="1:186" s="54" customFormat="1" ht="14.45" customHeight="1">
      <c r="A147" s="61"/>
      <c r="B147" s="100" t="str">
        <f t="shared" si="345"/>
        <v>Residential_Residential Audit_0_Faucet Aerator_2018</v>
      </c>
      <c r="C147" s="100">
        <f>INDEX('Measure Inputs'!$D:$D,MATCH($B147,'Measure Inputs'!$B:$B,0))</f>
        <v>99</v>
      </c>
      <c r="D147" s="101" t="s">
        <v>2</v>
      </c>
      <c r="E147" s="101" t="s">
        <v>251</v>
      </c>
      <c r="F147" s="101">
        <v>0</v>
      </c>
      <c r="G147" s="29" t="s">
        <v>525</v>
      </c>
      <c r="H147" s="101">
        <v>2018</v>
      </c>
      <c r="I147" s="55"/>
      <c r="J147" s="58" t="str">
        <f t="shared" ca="1" si="229"/>
        <v>n/a</v>
      </c>
      <c r="K147" s="58" t="str">
        <f t="shared" ca="1" si="246"/>
        <v>n/a</v>
      </c>
      <c r="L147" s="58" t="str">
        <f t="shared" ca="1" si="230"/>
        <v>n/a</v>
      </c>
      <c r="M147" s="58" t="str">
        <f t="shared" ca="1" si="231"/>
        <v>n/a</v>
      </c>
      <c r="N147" s="58">
        <f t="shared" ca="1" si="232"/>
        <v>0.32961653368545424</v>
      </c>
      <c r="O147" s="55"/>
      <c r="P147" s="175">
        <f ca="1">IFERROR(($AW147+AV147)/SUMPRODUCT($CA147:$DI147,'General Inputs'!$F$51:$AN$51),"n/a")</f>
        <v>0</v>
      </c>
      <c r="Q147" s="175">
        <f t="shared" ca="1" si="309"/>
        <v>0</v>
      </c>
      <c r="R147" s="56">
        <f t="shared" ca="1" si="310"/>
        <v>200.65128841522323</v>
      </c>
      <c r="S147" s="55"/>
      <c r="T147" s="56">
        <f ca="1">INDEX(OFFSET('Measure Inputs'!$L$7,,,InputRows),$C147)</f>
        <v>325</v>
      </c>
      <c r="U147" s="134">
        <f ca="1">INDEX(OFFSET('Measure Inputs'!$T$7,,,InputRows),$C147)</f>
        <v>1</v>
      </c>
      <c r="V147" s="134">
        <f ca="1">INDEX(OFFSET('Measure Inputs'!$U$7,,,InputRows),$C147)</f>
        <v>1</v>
      </c>
      <c r="W147" s="55"/>
      <c r="X147" s="96">
        <f ca="1">INDEX(OFFSET('Measure Inputs'!$V$7,,,InputRows),$C147)*$T147*$V147*$U147</f>
        <v>22294.58760169147</v>
      </c>
      <c r="Y147" s="96">
        <f ca="1">INDEX(OFFSET('Measure Inputs'!$W$7,,,InputRows),$C147)*$T147*$V147*$U147</f>
        <v>9.4323255237925459</v>
      </c>
      <c r="Z147" s="96">
        <f ca="1">INDEX(OFFSET('Measure Inputs'!$X$7,,,InputRows),$C147)*$T147*$V147*$U147</f>
        <v>0</v>
      </c>
      <c r="AA147" s="55"/>
      <c r="AB147" s="96">
        <f ca="1">INDEX(OFFSET('Measure Inputs'!$Z$7,,,InputRows),$C147)*$T147*$V147*$U147</f>
        <v>0</v>
      </c>
      <c r="AC147" s="96">
        <f ca="1">INDEX(OFFSET('Measure Inputs'!$AA$7,,,InputRows),$C147)*$T147*$V147*$U147</f>
        <v>0</v>
      </c>
      <c r="AD147" s="96">
        <f ca="1">INDEX(OFFSET('Measure Inputs'!$AB$7,,,InputRows),$C147)*$T147*$V147*$U147</f>
        <v>0</v>
      </c>
      <c r="AE147" s="55"/>
      <c r="AF147" s="57">
        <f ca="1">INDEX(OFFSET('Measure Inputs'!$Q$7,,,InputRows),$C147)*$T147</f>
        <v>0</v>
      </c>
      <c r="AG147" s="57">
        <f ca="1">INDEX(OFFSET('Measure Inputs'!$P$7,,,InputRows),$C147)*$T147*$V147</f>
        <v>0</v>
      </c>
      <c r="AH147" s="57">
        <f ca="1">INDEX(OFFSET('Measure Inputs'!$R$7,,,InputRows),$C147)*$T147*$V147</f>
        <v>0</v>
      </c>
      <c r="AI147" s="57">
        <f ca="1">INDEX(OFFSET('Measure Inputs'!$O$7,,,InputRows),$C147)*$T147</f>
        <v>0</v>
      </c>
      <c r="AJ147" s="57">
        <f ca="1">INDEX(OFFSET('Measure Inputs'!$S$7,,,InputRows),$C147)*$T147</f>
        <v>0</v>
      </c>
      <c r="AK147" s="63">
        <f ca="1">INDEX(OFFSET('Measure Inputs'!$M$7,,,InputRows),$C147)</f>
        <v>9</v>
      </c>
      <c r="AL147" s="88">
        <f ca="1">INDEX(OFFSET('Measure Inputs'!$N$7,,,InputRows),$C147)</f>
        <v>0</v>
      </c>
      <c r="AM147" s="57">
        <f ca="1">SUMIFS(OFFSET('Program Inputs'!$N$5,,,TotalPrograms),OFFSET('Program Inputs'!$B$5,,,TotalPrograms),SUBSTITUTE($B147,"All","*"))+AF147</f>
        <v>0</v>
      </c>
      <c r="AN147" s="57">
        <f t="shared" ca="1" si="311"/>
        <v>0</v>
      </c>
      <c r="AO147" s="55"/>
      <c r="AP147" s="59">
        <f t="shared" ca="1" si="312"/>
        <v>5413.5612078184386</v>
      </c>
      <c r="AQ147" s="59">
        <f t="shared" ca="1" si="313"/>
        <v>0</v>
      </c>
      <c r="AR147" s="59">
        <f ca="1">SUMPRODUCT($CA147:$DI147,'General Inputs'!$F$32:$AN$32,'General Inputs'!$F$51:$AN$51)/(1-Loss_ElectricEnergy)</f>
        <v>4150.5246344444267</v>
      </c>
      <c r="AS147" s="59">
        <f ca="1">SUMPRODUCT($DK147:$ES147,'General Inputs'!$F$33:$AN$33,'General Inputs'!$F$51:$AN$51)/(1-Loss_ElectricDemand)</f>
        <v>1263.0365733740118</v>
      </c>
      <c r="AT147" s="59">
        <f ca="1">SUMPRODUCT($EU147:$GC147,'General Inputs'!$F$34:$AN$34,'General Inputs'!$F$51:$AN$51)/(1-Loss_GasEnergy)</f>
        <v>0</v>
      </c>
      <c r="AU147" s="59">
        <f ca="1">INDEX('General Inputs'!$F$51:$AN$51,MATCH($H147,'General Inputs'!$F$50:$AN$50,0))*$AJ147</f>
        <v>0</v>
      </c>
      <c r="AV147" s="59">
        <f ca="1">INDEX('General Inputs'!$F$51:$AN$51,MATCH($H147,'General Inputs'!$F$50:$AN$50,0))*$AI147</f>
        <v>0</v>
      </c>
      <c r="AW147" s="59">
        <f ca="1">INDEX('General Inputs'!$F$51:$AN$51,MATCH($H147,'General Inputs'!$F$50:$AN$50,0))*$AM147</f>
        <v>0</v>
      </c>
      <c r="AX147" s="59">
        <f ca="1">SUM(INDEX('General Inputs'!$F$51:$AN$51,MATCH($H147,'General Inputs'!$F$50:$AN$50,0))*$AG147,INDEX('General Inputs'!$F$51:$AN$51,MATCH($H147+$AL147,'General Inputs'!$F$50:$AN$50,0))*-$AH147)</f>
        <v>0</v>
      </c>
      <c r="AY147" s="55"/>
      <c r="AZ147" s="59">
        <f ca="1">SUMPRODUCT($CA147:$DI147,'General Inputs'!$F$32:$AN$32,'General Inputs'!$F$52:$AN$52)/(1-Loss_ElectricEnergy)</f>
        <v>4150.5246344444267</v>
      </c>
      <c r="BA147" s="59">
        <f ca="1">SUMPRODUCT($DK147:$ES147,'General Inputs'!$F$33:$AN$33,'General Inputs'!$F$52:$AN$52)/(1-Loss_ElectricDemand)</f>
        <v>1263.0365733740118</v>
      </c>
      <c r="BB147" s="59">
        <f ca="1">SUMPRODUCT($EU147:$GC147,'General Inputs'!$F$34:$AN$34,'General Inputs'!$F$52:$AN$52)/(1-Loss_GasEnergy)</f>
        <v>0</v>
      </c>
      <c r="BC147" s="59">
        <f ca="1">INDEX('General Inputs'!$F$52:$AN$52,MATCH($H147,'General Inputs'!$F$50:$AN$50,0))*$AI147</f>
        <v>0</v>
      </c>
      <c r="BD147" s="59">
        <f ca="1">INDEX('General Inputs'!$F$52:$AN$52,MATCH($H147,'General Inputs'!$F$50:$AN$50,0))*$AM147</f>
        <v>0</v>
      </c>
      <c r="BE147" s="55"/>
      <c r="BF147" s="59">
        <f ca="1">SUMPRODUCT($CA147:$DI147,OFFSET('General Inputs'!$F$40:$AN$40,MATCH($D147&amp;" Electric ($/kWh)",'General Inputs'!$E$40:$E$46,0),),'General Inputs'!$F$54:$AN$54)</f>
        <v>16423.81572092036</v>
      </c>
      <c r="BG147" s="59">
        <f ca="1">SUMPRODUCT($EU147:$GC147,OFFSET('General Inputs'!$F$40:$AN$40,MATCH($D147&amp;" Natural Gas ($/therm)",'General Inputs'!$E$40:$E$46,0),),'General Inputs'!$F$54:$AN$54)</f>
        <v>0</v>
      </c>
      <c r="BH147" s="59">
        <f ca="1">INDEX('General Inputs'!$F$54:$AN$54,MATCH($H147,'General Inputs'!$F$50:$AN$50,0))*$AI147</f>
        <v>0</v>
      </c>
      <c r="BI147" s="59">
        <f ca="1">SUM(INDEX('General Inputs'!$F$54:$AN$54,MATCH($H147,'General Inputs'!$F$50:$AN$50,0))*$AG147,INDEX('General Inputs'!$F$51:$AN$51,MATCH($H147+$AL147,'General Inputs'!$F$50:$AN$50,0))*-$AH147)</f>
        <v>0</v>
      </c>
      <c r="BJ147" s="55"/>
      <c r="BK147" s="59">
        <f ca="1">SUMPRODUCT($CA147:$DI147,'General Inputs'!$F$32:$AN$32,'General Inputs'!$F$53:$AN$53)/(1-Loss_ElectricEnergy)</f>
        <v>4150.5246344444267</v>
      </c>
      <c r="BL147" s="59">
        <f ca="1">SUMPRODUCT($DK147:$ES147,'General Inputs'!$F$33:$AN$33,'General Inputs'!$F$53:$AN$53)/(1-Loss_ElectricDemand)</f>
        <v>1263.0365733740118</v>
      </c>
      <c r="BM147" s="59">
        <f ca="1">SUMPRODUCT($EU147:$GC147,'General Inputs'!$F$34:$AN$34,'General Inputs'!$F$53:$AN$53)/(1-Loss_GasEnergy)</f>
        <v>0</v>
      </c>
      <c r="BN147" s="59">
        <f ca="1">INDEX('General Inputs'!$F$53:$AN$53,MATCH($H147,'General Inputs'!$F$50:$AN$50,0))*$AJ147</f>
        <v>0</v>
      </c>
      <c r="BO147" s="59">
        <f ca="1">SUMPRODUCT($CA147:$DI147,'General Inputs'!$F$35:$AN$35,'General Inputs'!$F$53:$AN$53)/(1-Loss_ElectricEnergy)</f>
        <v>1609.34245488591</v>
      </c>
      <c r="BP147" s="59">
        <f ca="1">INDEX('General Inputs'!$F$51:$AN$51,MATCH($H147,'General Inputs'!$F$50:$AN$50,0))*$AM147</f>
        <v>0</v>
      </c>
      <c r="BQ147" s="59">
        <f ca="1">SUM(INDEX('General Inputs'!$F$53:$AN$53,MATCH($H147,'General Inputs'!$F$50:$AN$50,0))*$AG147,INDEX('General Inputs'!$F$53:$AN$53,MATCH($H147+$AL147,'General Inputs'!$F$50:$AN$50,0))*-$AH147)</f>
        <v>0</v>
      </c>
      <c r="BR147" s="55"/>
      <c r="BS147" s="59">
        <f ca="1">SUMPRODUCT($CA147:$DI147,'General Inputs'!$F$32:$AN$32,'General Inputs'!$F$55:$AN$55)/(1-Loss_ElectricEnergy)</f>
        <v>4150.5246344444267</v>
      </c>
      <c r="BT147" s="59">
        <f ca="1">SUMPRODUCT($DK147:$ES147,'General Inputs'!$F$33:$AN$33,'General Inputs'!$F$55:$AN$55)/(1-Loss_ElectricDemand)</f>
        <v>1263.0365733740118</v>
      </c>
      <c r="BU147" s="59">
        <f ca="1">SUMPRODUCT($EU147:$GC147,'General Inputs'!$F$34:$AN$34,'General Inputs'!$F$55:$AN$55)/(1-Loss_GasEnergy)</f>
        <v>0</v>
      </c>
      <c r="BV147" s="59">
        <f ca="1">SUMPRODUCT($CA147:$DI147,OFFSET('General Inputs'!$F$40:$AN$40,MATCH($D147&amp;" Electric ($/kWh)",'General Inputs'!$E$40:$E$46,0),),'General Inputs'!$F$55:$AN$55)</f>
        <v>16423.81572092036</v>
      </c>
      <c r="BW147" s="59">
        <f ca="1">SUMPRODUCT($EU147:$GC147,OFFSET('General Inputs'!$F$40:$AN$40,MATCH($D147&amp;" Natural Gas ($/therm)",'General Inputs'!$E$40:$E$46,0),),'General Inputs'!$F$55:$AN$55)</f>
        <v>0</v>
      </c>
      <c r="BX147" s="59">
        <f ca="1">INDEX('General Inputs'!$F$55:$AN$55,MATCH($H147,'General Inputs'!$F$50:$AN$50,0))*$AI147</f>
        <v>0</v>
      </c>
      <c r="BY147" s="59">
        <f ca="1">INDEX('General Inputs'!$F$51:$AN$51,MATCH($H147,'General Inputs'!$F$50:$AN$50,0))*$AM147</f>
        <v>0</v>
      </c>
      <c r="BZ147" s="55"/>
      <c r="CA147" s="88">
        <f t="shared" ca="1" si="355"/>
        <v>0</v>
      </c>
      <c r="CB147" s="88">
        <f t="shared" ca="1" si="355"/>
        <v>22294.58760169147</v>
      </c>
      <c r="CC147" s="88">
        <f t="shared" ca="1" si="355"/>
        <v>22294.58760169147</v>
      </c>
      <c r="CD147" s="88">
        <f t="shared" ca="1" si="355"/>
        <v>22294.58760169147</v>
      </c>
      <c r="CE147" s="88">
        <f t="shared" ca="1" si="355"/>
        <v>22294.58760169147</v>
      </c>
      <c r="CF147" s="88">
        <f t="shared" ca="1" si="355"/>
        <v>22294.58760169147</v>
      </c>
      <c r="CG147" s="88">
        <f t="shared" ca="1" si="355"/>
        <v>22294.58760169147</v>
      </c>
      <c r="CH147" s="88">
        <f t="shared" ca="1" si="355"/>
        <v>22294.58760169147</v>
      </c>
      <c r="CI147" s="88">
        <f t="shared" ca="1" si="355"/>
        <v>22294.58760169147</v>
      </c>
      <c r="CJ147" s="88">
        <f t="shared" ca="1" si="355"/>
        <v>22294.58760169147</v>
      </c>
      <c r="CK147" s="88">
        <f t="shared" ca="1" si="356"/>
        <v>0</v>
      </c>
      <c r="CL147" s="88">
        <f t="shared" ca="1" si="356"/>
        <v>0</v>
      </c>
      <c r="CM147" s="88">
        <f t="shared" ca="1" si="356"/>
        <v>0</v>
      </c>
      <c r="CN147" s="88">
        <f t="shared" ca="1" si="356"/>
        <v>0</v>
      </c>
      <c r="CO147" s="88">
        <f t="shared" ca="1" si="356"/>
        <v>0</v>
      </c>
      <c r="CP147" s="88">
        <f t="shared" ca="1" si="356"/>
        <v>0</v>
      </c>
      <c r="CQ147" s="88">
        <f t="shared" ca="1" si="356"/>
        <v>0</v>
      </c>
      <c r="CR147" s="88">
        <f t="shared" ca="1" si="356"/>
        <v>0</v>
      </c>
      <c r="CS147" s="88">
        <f t="shared" ca="1" si="356"/>
        <v>0</v>
      </c>
      <c r="CT147" s="88">
        <f t="shared" ca="1" si="356"/>
        <v>0</v>
      </c>
      <c r="CU147" s="88">
        <f t="shared" ca="1" si="357"/>
        <v>0</v>
      </c>
      <c r="CV147" s="88">
        <f t="shared" ca="1" si="357"/>
        <v>0</v>
      </c>
      <c r="CW147" s="88">
        <f t="shared" ca="1" si="357"/>
        <v>0</v>
      </c>
      <c r="CX147" s="88">
        <f t="shared" ca="1" si="357"/>
        <v>0</v>
      </c>
      <c r="CY147" s="88">
        <f t="shared" ca="1" si="357"/>
        <v>0</v>
      </c>
      <c r="CZ147" s="88">
        <f t="shared" ca="1" si="357"/>
        <v>0</v>
      </c>
      <c r="DA147" s="88">
        <f t="shared" ca="1" si="357"/>
        <v>0</v>
      </c>
      <c r="DB147" s="88">
        <f t="shared" ca="1" si="357"/>
        <v>0</v>
      </c>
      <c r="DC147" s="88">
        <f t="shared" ca="1" si="357"/>
        <v>0</v>
      </c>
      <c r="DD147" s="88">
        <f t="shared" ca="1" si="357"/>
        <v>0</v>
      </c>
      <c r="DE147" s="88">
        <f t="shared" ca="1" si="357"/>
        <v>0</v>
      </c>
      <c r="DF147" s="88">
        <f t="shared" ca="1" si="357"/>
        <v>0</v>
      </c>
      <c r="DG147" s="88">
        <f t="shared" ca="1" si="357"/>
        <v>0</v>
      </c>
      <c r="DH147" s="88">
        <f t="shared" ca="1" si="357"/>
        <v>0</v>
      </c>
      <c r="DI147" s="88">
        <f t="shared" ca="1" si="357"/>
        <v>0</v>
      </c>
      <c r="DJ147" s="169"/>
      <c r="DK147" s="88">
        <f t="shared" ca="1" si="358"/>
        <v>0</v>
      </c>
      <c r="DL147" s="88">
        <f t="shared" ca="1" si="358"/>
        <v>9.4323255237925459</v>
      </c>
      <c r="DM147" s="88">
        <f t="shared" ca="1" si="358"/>
        <v>9.4323255237925459</v>
      </c>
      <c r="DN147" s="88">
        <f t="shared" ca="1" si="358"/>
        <v>9.4323255237925459</v>
      </c>
      <c r="DO147" s="88">
        <f t="shared" ca="1" si="358"/>
        <v>9.4323255237925459</v>
      </c>
      <c r="DP147" s="88">
        <f t="shared" ca="1" si="358"/>
        <v>9.4323255237925459</v>
      </c>
      <c r="DQ147" s="88">
        <f t="shared" ca="1" si="358"/>
        <v>9.4323255237925459</v>
      </c>
      <c r="DR147" s="88">
        <f t="shared" ca="1" si="358"/>
        <v>9.4323255237925459</v>
      </c>
      <c r="DS147" s="88">
        <f t="shared" ca="1" si="358"/>
        <v>9.4323255237925459</v>
      </c>
      <c r="DT147" s="88">
        <f t="shared" ca="1" si="358"/>
        <v>9.4323255237925459</v>
      </c>
      <c r="DU147" s="88">
        <f t="shared" ca="1" si="359"/>
        <v>0</v>
      </c>
      <c r="DV147" s="88">
        <f t="shared" ca="1" si="359"/>
        <v>0</v>
      </c>
      <c r="DW147" s="88">
        <f t="shared" ca="1" si="359"/>
        <v>0</v>
      </c>
      <c r="DX147" s="88">
        <f t="shared" ca="1" si="359"/>
        <v>0</v>
      </c>
      <c r="DY147" s="88">
        <f t="shared" ca="1" si="359"/>
        <v>0</v>
      </c>
      <c r="DZ147" s="88">
        <f t="shared" ca="1" si="359"/>
        <v>0</v>
      </c>
      <c r="EA147" s="88">
        <f t="shared" ca="1" si="359"/>
        <v>0</v>
      </c>
      <c r="EB147" s="88">
        <f t="shared" ca="1" si="359"/>
        <v>0</v>
      </c>
      <c r="EC147" s="88">
        <f t="shared" ca="1" si="359"/>
        <v>0</v>
      </c>
      <c r="ED147" s="88">
        <f t="shared" ca="1" si="359"/>
        <v>0</v>
      </c>
      <c r="EE147" s="88">
        <f t="shared" ca="1" si="360"/>
        <v>0</v>
      </c>
      <c r="EF147" s="88">
        <f t="shared" ca="1" si="360"/>
        <v>0</v>
      </c>
      <c r="EG147" s="88">
        <f t="shared" ca="1" si="360"/>
        <v>0</v>
      </c>
      <c r="EH147" s="88">
        <f t="shared" ca="1" si="360"/>
        <v>0</v>
      </c>
      <c r="EI147" s="88">
        <f t="shared" ca="1" si="360"/>
        <v>0</v>
      </c>
      <c r="EJ147" s="88">
        <f t="shared" ca="1" si="360"/>
        <v>0</v>
      </c>
      <c r="EK147" s="88">
        <f t="shared" ca="1" si="360"/>
        <v>0</v>
      </c>
      <c r="EL147" s="88">
        <f t="shared" ca="1" si="360"/>
        <v>0</v>
      </c>
      <c r="EM147" s="88">
        <f t="shared" ca="1" si="360"/>
        <v>0</v>
      </c>
      <c r="EN147" s="88">
        <f t="shared" ca="1" si="360"/>
        <v>0</v>
      </c>
      <c r="EO147" s="88">
        <f t="shared" ca="1" si="360"/>
        <v>0</v>
      </c>
      <c r="EP147" s="88">
        <f t="shared" ca="1" si="360"/>
        <v>0</v>
      </c>
      <c r="EQ147" s="88">
        <f t="shared" ca="1" si="360"/>
        <v>0</v>
      </c>
      <c r="ER147" s="88">
        <f t="shared" ca="1" si="360"/>
        <v>0</v>
      </c>
      <c r="ES147" s="88">
        <f t="shared" ca="1" si="360"/>
        <v>0</v>
      </c>
      <c r="ET147" s="169"/>
      <c r="EU147" s="88">
        <f t="shared" ca="1" si="361"/>
        <v>0</v>
      </c>
      <c r="EV147" s="88">
        <f t="shared" ca="1" si="361"/>
        <v>0</v>
      </c>
      <c r="EW147" s="88">
        <f t="shared" ca="1" si="361"/>
        <v>0</v>
      </c>
      <c r="EX147" s="88">
        <f t="shared" ca="1" si="361"/>
        <v>0</v>
      </c>
      <c r="EY147" s="88">
        <f t="shared" ca="1" si="361"/>
        <v>0</v>
      </c>
      <c r="EZ147" s="88">
        <f t="shared" ca="1" si="361"/>
        <v>0</v>
      </c>
      <c r="FA147" s="88">
        <f t="shared" ca="1" si="361"/>
        <v>0</v>
      </c>
      <c r="FB147" s="88">
        <f t="shared" ca="1" si="361"/>
        <v>0</v>
      </c>
      <c r="FC147" s="88">
        <f t="shared" ca="1" si="361"/>
        <v>0</v>
      </c>
      <c r="FD147" s="88">
        <f t="shared" ca="1" si="361"/>
        <v>0</v>
      </c>
      <c r="FE147" s="88">
        <f t="shared" ca="1" si="362"/>
        <v>0</v>
      </c>
      <c r="FF147" s="88">
        <f t="shared" ca="1" si="362"/>
        <v>0</v>
      </c>
      <c r="FG147" s="88">
        <f t="shared" ca="1" si="362"/>
        <v>0</v>
      </c>
      <c r="FH147" s="88">
        <f t="shared" ca="1" si="362"/>
        <v>0</v>
      </c>
      <c r="FI147" s="88">
        <f t="shared" ca="1" si="362"/>
        <v>0</v>
      </c>
      <c r="FJ147" s="88">
        <f t="shared" ca="1" si="362"/>
        <v>0</v>
      </c>
      <c r="FK147" s="88">
        <f t="shared" ca="1" si="362"/>
        <v>0</v>
      </c>
      <c r="FL147" s="88">
        <f t="shared" ca="1" si="362"/>
        <v>0</v>
      </c>
      <c r="FM147" s="88">
        <f t="shared" ca="1" si="362"/>
        <v>0</v>
      </c>
      <c r="FN147" s="88">
        <f t="shared" ca="1" si="362"/>
        <v>0</v>
      </c>
      <c r="FO147" s="88">
        <f t="shared" ca="1" si="363"/>
        <v>0</v>
      </c>
      <c r="FP147" s="88">
        <f t="shared" ca="1" si="363"/>
        <v>0</v>
      </c>
      <c r="FQ147" s="88">
        <f t="shared" ca="1" si="363"/>
        <v>0</v>
      </c>
      <c r="FR147" s="88">
        <f t="shared" ca="1" si="363"/>
        <v>0</v>
      </c>
      <c r="FS147" s="88">
        <f t="shared" ca="1" si="363"/>
        <v>0</v>
      </c>
      <c r="FT147" s="88">
        <f t="shared" ca="1" si="363"/>
        <v>0</v>
      </c>
      <c r="FU147" s="88">
        <f t="shared" ca="1" si="363"/>
        <v>0</v>
      </c>
      <c r="FV147" s="88">
        <f t="shared" ca="1" si="363"/>
        <v>0</v>
      </c>
      <c r="FW147" s="88">
        <f t="shared" ca="1" si="363"/>
        <v>0</v>
      </c>
      <c r="FX147" s="88">
        <f t="shared" ca="1" si="363"/>
        <v>0</v>
      </c>
      <c r="FY147" s="88">
        <f t="shared" ca="1" si="363"/>
        <v>0</v>
      </c>
      <c r="FZ147" s="88">
        <f t="shared" ca="1" si="363"/>
        <v>0</v>
      </c>
      <c r="GA147" s="88">
        <f t="shared" ca="1" si="363"/>
        <v>0</v>
      </c>
      <c r="GB147" s="88">
        <f t="shared" ca="1" si="363"/>
        <v>0</v>
      </c>
      <c r="GC147" s="88">
        <f t="shared" ca="1" si="363"/>
        <v>0</v>
      </c>
      <c r="GD147" s="60"/>
    </row>
    <row r="148" spans="1:186" s="54" customFormat="1" ht="14.45" customHeight="1">
      <c r="A148" s="61"/>
      <c r="B148" s="100" t="str">
        <f t="shared" si="345"/>
        <v>Residential_Residential Audit_0_Low Flow Showerhead_2018</v>
      </c>
      <c r="C148" s="100">
        <f>INDEX('Measure Inputs'!$D:$D,MATCH($B148,'Measure Inputs'!$B:$B,0))</f>
        <v>100</v>
      </c>
      <c r="D148" s="101" t="s">
        <v>2</v>
      </c>
      <c r="E148" s="101" t="s">
        <v>251</v>
      </c>
      <c r="F148" s="101">
        <v>0</v>
      </c>
      <c r="G148" s="101" t="s">
        <v>267</v>
      </c>
      <c r="H148" s="101">
        <v>2018</v>
      </c>
      <c r="I148" s="55"/>
      <c r="J148" s="58" t="str">
        <f t="shared" ca="1" si="229"/>
        <v>n/a</v>
      </c>
      <c r="K148" s="58" t="str">
        <f t="shared" ca="1" si="246"/>
        <v>n/a</v>
      </c>
      <c r="L148" s="58" t="str">
        <f t="shared" ca="1" si="230"/>
        <v>n/a</v>
      </c>
      <c r="M148" s="58" t="str">
        <f t="shared" ca="1" si="231"/>
        <v>n/a</v>
      </c>
      <c r="N148" s="58">
        <f t="shared" ca="1" si="232"/>
        <v>0.26944626743999855</v>
      </c>
      <c r="O148" s="55"/>
      <c r="P148" s="175">
        <f ca="1">IFERROR(($AW148+AV148)/SUMPRODUCT($CA148:$DI148,'General Inputs'!$F$51:$AN$51),"n/a")</f>
        <v>0</v>
      </c>
      <c r="Q148" s="175">
        <f t="shared" ca="1" si="309"/>
        <v>0</v>
      </c>
      <c r="R148" s="56">
        <f t="shared" ca="1" si="310"/>
        <v>318.18952538146692</v>
      </c>
      <c r="S148" s="55"/>
      <c r="T148" s="56">
        <f ca="1">INDEX(OFFSET('Measure Inputs'!$L$7,,,InputRows),$C148)</f>
        <v>325</v>
      </c>
      <c r="U148" s="134">
        <f ca="1">INDEX(OFFSET('Measure Inputs'!$T$7,,,InputRows),$C148)</f>
        <v>1</v>
      </c>
      <c r="V148" s="134">
        <f ca="1">INDEX(OFFSET('Measure Inputs'!$U$7,,,InputRows),$C148)</f>
        <v>1</v>
      </c>
      <c r="W148" s="55"/>
      <c r="X148" s="96">
        <f ca="1">INDEX(OFFSET('Measure Inputs'!$V$7,,,InputRows),$C148)*$T148*$V148*$U148</f>
        <v>31818.952538146692</v>
      </c>
      <c r="Y148" s="96">
        <f ca="1">INDEX(OFFSET('Measure Inputs'!$W$7,,,InputRows),$C148)*$T148*$V148*$U148</f>
        <v>2.9290294058293975</v>
      </c>
      <c r="Z148" s="96">
        <f ca="1">INDEX(OFFSET('Measure Inputs'!$X$7,,,InputRows),$C148)*$T148*$V148*$U148</f>
        <v>0</v>
      </c>
      <c r="AA148" s="55"/>
      <c r="AB148" s="96">
        <f ca="1">INDEX(OFFSET('Measure Inputs'!$Z$7,,,InputRows),$C148)*$T148*$V148*$U148</f>
        <v>0</v>
      </c>
      <c r="AC148" s="96">
        <f ca="1">INDEX(OFFSET('Measure Inputs'!$AA$7,,,InputRows),$C148)*$T148*$V148*$U148</f>
        <v>0</v>
      </c>
      <c r="AD148" s="96">
        <f ca="1">INDEX(OFFSET('Measure Inputs'!$AB$7,,,InputRows),$C148)*$T148*$V148*$U148</f>
        <v>0</v>
      </c>
      <c r="AE148" s="55"/>
      <c r="AF148" s="57">
        <f ca="1">INDEX(OFFSET('Measure Inputs'!$Q$7,,,InputRows),$C148)*$T148</f>
        <v>0</v>
      </c>
      <c r="AG148" s="57">
        <f ca="1">INDEX(OFFSET('Measure Inputs'!$P$7,,,InputRows),$C148)*$T148*$V148</f>
        <v>0</v>
      </c>
      <c r="AH148" s="57">
        <f ca="1">INDEX(OFFSET('Measure Inputs'!$R$7,,,InputRows),$C148)*$T148*$V148</f>
        <v>0</v>
      </c>
      <c r="AI148" s="57">
        <f ca="1">INDEX(OFFSET('Measure Inputs'!$O$7,,,InputRows),$C148)*$T148</f>
        <v>0</v>
      </c>
      <c r="AJ148" s="57">
        <f ca="1">INDEX(OFFSET('Measure Inputs'!$S$7,,,InputRows),$C148)*$T148</f>
        <v>0</v>
      </c>
      <c r="AK148" s="63">
        <f ca="1">INDEX(OFFSET('Measure Inputs'!$M$7,,,InputRows),$C148)</f>
        <v>10</v>
      </c>
      <c r="AL148" s="88">
        <f ca="1">INDEX(OFFSET('Measure Inputs'!$N$7,,,InputRows),$C148)</f>
        <v>0</v>
      </c>
      <c r="AM148" s="57">
        <f ca="1">SUMIFS(OFFSET('Program Inputs'!$N$5,,,TotalPrograms),OFFSET('Program Inputs'!$B$5,,,TotalPrograms),SUBSTITUTE($B148,"All","*"))+AF148</f>
        <v>0</v>
      </c>
      <c r="AN148" s="57">
        <f t="shared" ca="1" si="311"/>
        <v>0</v>
      </c>
      <c r="AO148" s="55"/>
      <c r="AP148" s="59">
        <f t="shared" ca="1" si="312"/>
        <v>6802.8794289187699</v>
      </c>
      <c r="AQ148" s="59">
        <f t="shared" ca="1" si="313"/>
        <v>0</v>
      </c>
      <c r="AR148" s="59">
        <f ca="1">SUMPRODUCT($CA148:$DI148,'General Inputs'!$F$32:$AN$32,'General Inputs'!$F$51:$AN$51)/(1-Loss_ElectricEnergy)</f>
        <v>6380.423917147913</v>
      </c>
      <c r="AS148" s="59">
        <f ca="1">SUMPRODUCT($DK148:$ES148,'General Inputs'!$F$33:$AN$33,'General Inputs'!$F$51:$AN$51)/(1-Loss_ElectricDemand)</f>
        <v>422.45551177085656</v>
      </c>
      <c r="AT148" s="59">
        <f ca="1">SUMPRODUCT($EU148:$GC148,'General Inputs'!$F$34:$AN$34,'General Inputs'!$F$51:$AN$51)/(1-Loss_GasEnergy)</f>
        <v>0</v>
      </c>
      <c r="AU148" s="59">
        <f ca="1">INDEX('General Inputs'!$F$51:$AN$51,MATCH($H148,'General Inputs'!$F$50:$AN$50,0))*$AJ148</f>
        <v>0</v>
      </c>
      <c r="AV148" s="59">
        <f ca="1">INDEX('General Inputs'!$F$51:$AN$51,MATCH($H148,'General Inputs'!$F$50:$AN$50,0))*$AI148</f>
        <v>0</v>
      </c>
      <c r="AW148" s="59">
        <f ca="1">INDEX('General Inputs'!$F$51:$AN$51,MATCH($H148,'General Inputs'!$F$50:$AN$50,0))*$AM148</f>
        <v>0</v>
      </c>
      <c r="AX148" s="59">
        <f ca="1">SUM(INDEX('General Inputs'!$F$51:$AN$51,MATCH($H148,'General Inputs'!$F$50:$AN$50,0))*$AG148,INDEX('General Inputs'!$F$51:$AN$51,MATCH($H148+$AL148,'General Inputs'!$F$50:$AN$50,0))*-$AH148)</f>
        <v>0</v>
      </c>
      <c r="AY148" s="55"/>
      <c r="AZ148" s="59">
        <f ca="1">SUMPRODUCT($CA148:$DI148,'General Inputs'!$F$32:$AN$32,'General Inputs'!$F$52:$AN$52)/(1-Loss_ElectricEnergy)</f>
        <v>6380.423917147913</v>
      </c>
      <c r="BA148" s="59">
        <f ca="1">SUMPRODUCT($DK148:$ES148,'General Inputs'!$F$33:$AN$33,'General Inputs'!$F$52:$AN$52)/(1-Loss_ElectricDemand)</f>
        <v>422.45551177085656</v>
      </c>
      <c r="BB148" s="59">
        <f ca="1">SUMPRODUCT($EU148:$GC148,'General Inputs'!$F$34:$AN$34,'General Inputs'!$F$52:$AN$52)/(1-Loss_GasEnergy)</f>
        <v>0</v>
      </c>
      <c r="BC148" s="59">
        <f ca="1">INDEX('General Inputs'!$F$52:$AN$52,MATCH($H148,'General Inputs'!$F$50:$AN$50,0))*$AI148</f>
        <v>0</v>
      </c>
      <c r="BD148" s="59">
        <f ca="1">INDEX('General Inputs'!$F$52:$AN$52,MATCH($H148,'General Inputs'!$F$50:$AN$50,0))*$AM148</f>
        <v>0</v>
      </c>
      <c r="BE148" s="55"/>
      <c r="BF148" s="59">
        <f ca="1">SUMPRODUCT($CA148:$DI148,OFFSET('General Inputs'!$F$40:$AN$40,MATCH($D148&amp;" Electric ($/kWh)",'General Inputs'!$E$40:$E$46,0),),'General Inputs'!$F$54:$AN$54)</f>
        <v>25247.62912306315</v>
      </c>
      <c r="BG148" s="59">
        <f ca="1">SUMPRODUCT($EU148:$GC148,OFFSET('General Inputs'!$F$40:$AN$40,MATCH($D148&amp;" Natural Gas ($/therm)",'General Inputs'!$E$40:$E$46,0),),'General Inputs'!$F$54:$AN$54)</f>
        <v>0</v>
      </c>
      <c r="BH148" s="59">
        <f ca="1">INDEX('General Inputs'!$F$54:$AN$54,MATCH($H148,'General Inputs'!$F$50:$AN$50,0))*$AI148</f>
        <v>0</v>
      </c>
      <c r="BI148" s="59">
        <f ca="1">SUM(INDEX('General Inputs'!$F$54:$AN$54,MATCH($H148,'General Inputs'!$F$50:$AN$50,0))*$AG148,INDEX('General Inputs'!$F$51:$AN$51,MATCH($H148+$AL148,'General Inputs'!$F$50:$AN$50,0))*-$AH148)</f>
        <v>0</v>
      </c>
      <c r="BJ148" s="55"/>
      <c r="BK148" s="59">
        <f ca="1">SUMPRODUCT($CA148:$DI148,'General Inputs'!$F$32:$AN$32,'General Inputs'!$F$53:$AN$53)/(1-Loss_ElectricEnergy)</f>
        <v>6380.423917147913</v>
      </c>
      <c r="BL148" s="59">
        <f ca="1">SUMPRODUCT($DK148:$ES148,'General Inputs'!$F$33:$AN$33,'General Inputs'!$F$53:$AN$53)/(1-Loss_ElectricDemand)</f>
        <v>422.45551177085656</v>
      </c>
      <c r="BM148" s="59">
        <f ca="1">SUMPRODUCT($EU148:$GC148,'General Inputs'!$F$34:$AN$34,'General Inputs'!$F$53:$AN$53)/(1-Loss_GasEnergy)</f>
        <v>0</v>
      </c>
      <c r="BN148" s="59">
        <f ca="1">INDEX('General Inputs'!$F$53:$AN$53,MATCH($H148,'General Inputs'!$F$50:$AN$50,0))*$AJ148</f>
        <v>0</v>
      </c>
      <c r="BO148" s="59">
        <f ca="1">SUMPRODUCT($CA148:$DI148,'General Inputs'!$F$35:$AN$35,'General Inputs'!$F$53:$AN$53)/(1-Loss_ElectricEnergy)</f>
        <v>2460.0215553030266</v>
      </c>
      <c r="BP148" s="59">
        <f ca="1">INDEX('General Inputs'!$F$51:$AN$51,MATCH($H148,'General Inputs'!$F$50:$AN$50,0))*$AM148</f>
        <v>0</v>
      </c>
      <c r="BQ148" s="59">
        <f ca="1">SUM(INDEX('General Inputs'!$F$53:$AN$53,MATCH($H148,'General Inputs'!$F$50:$AN$50,0))*$AG148,INDEX('General Inputs'!$F$53:$AN$53,MATCH($H148+$AL148,'General Inputs'!$F$50:$AN$50,0))*-$AH148)</f>
        <v>0</v>
      </c>
      <c r="BR148" s="55"/>
      <c r="BS148" s="59">
        <f ca="1">SUMPRODUCT($CA148:$DI148,'General Inputs'!$F$32:$AN$32,'General Inputs'!$F$55:$AN$55)/(1-Loss_ElectricEnergy)</f>
        <v>6380.423917147913</v>
      </c>
      <c r="BT148" s="59">
        <f ca="1">SUMPRODUCT($DK148:$ES148,'General Inputs'!$F$33:$AN$33,'General Inputs'!$F$55:$AN$55)/(1-Loss_ElectricDemand)</f>
        <v>422.45551177085656</v>
      </c>
      <c r="BU148" s="59">
        <f ca="1">SUMPRODUCT($EU148:$GC148,'General Inputs'!$F$34:$AN$34,'General Inputs'!$F$55:$AN$55)/(1-Loss_GasEnergy)</f>
        <v>0</v>
      </c>
      <c r="BV148" s="59">
        <f ca="1">SUMPRODUCT($CA148:$DI148,OFFSET('General Inputs'!$F$40:$AN$40,MATCH($D148&amp;" Electric ($/kWh)",'General Inputs'!$E$40:$E$46,0),),'General Inputs'!$F$55:$AN$55)</f>
        <v>25247.62912306315</v>
      </c>
      <c r="BW148" s="59">
        <f ca="1">SUMPRODUCT($EU148:$GC148,OFFSET('General Inputs'!$F$40:$AN$40,MATCH($D148&amp;" Natural Gas ($/therm)",'General Inputs'!$E$40:$E$46,0),),'General Inputs'!$F$55:$AN$55)</f>
        <v>0</v>
      </c>
      <c r="BX148" s="59">
        <f ca="1">INDEX('General Inputs'!$F$55:$AN$55,MATCH($H148,'General Inputs'!$F$50:$AN$50,0))*$AI148</f>
        <v>0</v>
      </c>
      <c r="BY148" s="59">
        <f ca="1">INDEX('General Inputs'!$F$51:$AN$51,MATCH($H148,'General Inputs'!$F$50:$AN$50,0))*$AM148</f>
        <v>0</v>
      </c>
      <c r="BZ148" s="55"/>
      <c r="CA148" s="88">
        <f t="shared" ca="1" si="355"/>
        <v>0</v>
      </c>
      <c r="CB148" s="88">
        <f t="shared" ca="1" si="355"/>
        <v>31818.952538146692</v>
      </c>
      <c r="CC148" s="88">
        <f t="shared" ca="1" si="355"/>
        <v>31818.952538146692</v>
      </c>
      <c r="CD148" s="88">
        <f t="shared" ca="1" si="355"/>
        <v>31818.952538146692</v>
      </c>
      <c r="CE148" s="88">
        <f t="shared" ca="1" si="355"/>
        <v>31818.952538146692</v>
      </c>
      <c r="CF148" s="88">
        <f t="shared" ca="1" si="355"/>
        <v>31818.952538146692</v>
      </c>
      <c r="CG148" s="88">
        <f t="shared" ca="1" si="355"/>
        <v>31818.952538146692</v>
      </c>
      <c r="CH148" s="88">
        <f t="shared" ca="1" si="355"/>
        <v>31818.952538146692</v>
      </c>
      <c r="CI148" s="88">
        <f t="shared" ca="1" si="355"/>
        <v>31818.952538146692</v>
      </c>
      <c r="CJ148" s="88">
        <f t="shared" ca="1" si="355"/>
        <v>31818.952538146692</v>
      </c>
      <c r="CK148" s="88">
        <f t="shared" ca="1" si="356"/>
        <v>31818.952538146692</v>
      </c>
      <c r="CL148" s="88">
        <f t="shared" ca="1" si="356"/>
        <v>0</v>
      </c>
      <c r="CM148" s="88">
        <f t="shared" ca="1" si="356"/>
        <v>0</v>
      </c>
      <c r="CN148" s="88">
        <f t="shared" ca="1" si="356"/>
        <v>0</v>
      </c>
      <c r="CO148" s="88">
        <f t="shared" ca="1" si="356"/>
        <v>0</v>
      </c>
      <c r="CP148" s="88">
        <f t="shared" ca="1" si="356"/>
        <v>0</v>
      </c>
      <c r="CQ148" s="88">
        <f t="shared" ca="1" si="356"/>
        <v>0</v>
      </c>
      <c r="CR148" s="88">
        <f t="shared" ca="1" si="356"/>
        <v>0</v>
      </c>
      <c r="CS148" s="88">
        <f t="shared" ca="1" si="356"/>
        <v>0</v>
      </c>
      <c r="CT148" s="88">
        <f t="shared" ca="1" si="356"/>
        <v>0</v>
      </c>
      <c r="CU148" s="88">
        <f t="shared" ca="1" si="357"/>
        <v>0</v>
      </c>
      <c r="CV148" s="88">
        <f t="shared" ca="1" si="357"/>
        <v>0</v>
      </c>
      <c r="CW148" s="88">
        <f t="shared" ca="1" si="357"/>
        <v>0</v>
      </c>
      <c r="CX148" s="88">
        <f t="shared" ca="1" si="357"/>
        <v>0</v>
      </c>
      <c r="CY148" s="88">
        <f t="shared" ca="1" si="357"/>
        <v>0</v>
      </c>
      <c r="CZ148" s="88">
        <f t="shared" ca="1" si="357"/>
        <v>0</v>
      </c>
      <c r="DA148" s="88">
        <f t="shared" ca="1" si="357"/>
        <v>0</v>
      </c>
      <c r="DB148" s="88">
        <f t="shared" ca="1" si="357"/>
        <v>0</v>
      </c>
      <c r="DC148" s="88">
        <f t="shared" ca="1" si="357"/>
        <v>0</v>
      </c>
      <c r="DD148" s="88">
        <f t="shared" ca="1" si="357"/>
        <v>0</v>
      </c>
      <c r="DE148" s="88">
        <f t="shared" ca="1" si="357"/>
        <v>0</v>
      </c>
      <c r="DF148" s="88">
        <f t="shared" ca="1" si="357"/>
        <v>0</v>
      </c>
      <c r="DG148" s="88">
        <f t="shared" ca="1" si="357"/>
        <v>0</v>
      </c>
      <c r="DH148" s="88">
        <f t="shared" ca="1" si="357"/>
        <v>0</v>
      </c>
      <c r="DI148" s="88">
        <f t="shared" ca="1" si="357"/>
        <v>0</v>
      </c>
      <c r="DJ148" s="169"/>
      <c r="DK148" s="88">
        <f t="shared" ca="1" si="358"/>
        <v>0</v>
      </c>
      <c r="DL148" s="88">
        <f t="shared" ca="1" si="358"/>
        <v>2.9290294058293975</v>
      </c>
      <c r="DM148" s="88">
        <f t="shared" ca="1" si="358"/>
        <v>2.9290294058293975</v>
      </c>
      <c r="DN148" s="88">
        <f t="shared" ca="1" si="358"/>
        <v>2.9290294058293975</v>
      </c>
      <c r="DO148" s="88">
        <f t="shared" ca="1" si="358"/>
        <v>2.9290294058293975</v>
      </c>
      <c r="DP148" s="88">
        <f t="shared" ca="1" si="358"/>
        <v>2.9290294058293975</v>
      </c>
      <c r="DQ148" s="88">
        <f t="shared" ca="1" si="358"/>
        <v>2.9290294058293975</v>
      </c>
      <c r="DR148" s="88">
        <f t="shared" ca="1" si="358"/>
        <v>2.9290294058293975</v>
      </c>
      <c r="DS148" s="88">
        <f t="shared" ca="1" si="358"/>
        <v>2.9290294058293975</v>
      </c>
      <c r="DT148" s="88">
        <f t="shared" ca="1" si="358"/>
        <v>2.9290294058293975</v>
      </c>
      <c r="DU148" s="88">
        <f t="shared" ca="1" si="359"/>
        <v>2.9290294058293975</v>
      </c>
      <c r="DV148" s="88">
        <f t="shared" ca="1" si="359"/>
        <v>0</v>
      </c>
      <c r="DW148" s="88">
        <f t="shared" ca="1" si="359"/>
        <v>0</v>
      </c>
      <c r="DX148" s="88">
        <f t="shared" ca="1" si="359"/>
        <v>0</v>
      </c>
      <c r="DY148" s="88">
        <f t="shared" ca="1" si="359"/>
        <v>0</v>
      </c>
      <c r="DZ148" s="88">
        <f t="shared" ca="1" si="359"/>
        <v>0</v>
      </c>
      <c r="EA148" s="88">
        <f t="shared" ca="1" si="359"/>
        <v>0</v>
      </c>
      <c r="EB148" s="88">
        <f t="shared" ca="1" si="359"/>
        <v>0</v>
      </c>
      <c r="EC148" s="88">
        <f t="shared" ca="1" si="359"/>
        <v>0</v>
      </c>
      <c r="ED148" s="88">
        <f t="shared" ca="1" si="359"/>
        <v>0</v>
      </c>
      <c r="EE148" s="88">
        <f t="shared" ca="1" si="360"/>
        <v>0</v>
      </c>
      <c r="EF148" s="88">
        <f t="shared" ca="1" si="360"/>
        <v>0</v>
      </c>
      <c r="EG148" s="88">
        <f t="shared" ca="1" si="360"/>
        <v>0</v>
      </c>
      <c r="EH148" s="88">
        <f t="shared" ca="1" si="360"/>
        <v>0</v>
      </c>
      <c r="EI148" s="88">
        <f t="shared" ca="1" si="360"/>
        <v>0</v>
      </c>
      <c r="EJ148" s="88">
        <f t="shared" ca="1" si="360"/>
        <v>0</v>
      </c>
      <c r="EK148" s="88">
        <f t="shared" ca="1" si="360"/>
        <v>0</v>
      </c>
      <c r="EL148" s="88">
        <f t="shared" ca="1" si="360"/>
        <v>0</v>
      </c>
      <c r="EM148" s="88">
        <f t="shared" ca="1" si="360"/>
        <v>0</v>
      </c>
      <c r="EN148" s="88">
        <f t="shared" ca="1" si="360"/>
        <v>0</v>
      </c>
      <c r="EO148" s="88">
        <f t="shared" ca="1" si="360"/>
        <v>0</v>
      </c>
      <c r="EP148" s="88">
        <f t="shared" ca="1" si="360"/>
        <v>0</v>
      </c>
      <c r="EQ148" s="88">
        <f t="shared" ca="1" si="360"/>
        <v>0</v>
      </c>
      <c r="ER148" s="88">
        <f t="shared" ca="1" si="360"/>
        <v>0</v>
      </c>
      <c r="ES148" s="88">
        <f t="shared" ca="1" si="360"/>
        <v>0</v>
      </c>
      <c r="ET148" s="169"/>
      <c r="EU148" s="88">
        <f t="shared" ca="1" si="361"/>
        <v>0</v>
      </c>
      <c r="EV148" s="88">
        <f t="shared" ca="1" si="361"/>
        <v>0</v>
      </c>
      <c r="EW148" s="88">
        <f t="shared" ca="1" si="361"/>
        <v>0</v>
      </c>
      <c r="EX148" s="88">
        <f t="shared" ca="1" si="361"/>
        <v>0</v>
      </c>
      <c r="EY148" s="88">
        <f t="shared" ca="1" si="361"/>
        <v>0</v>
      </c>
      <c r="EZ148" s="88">
        <f t="shared" ca="1" si="361"/>
        <v>0</v>
      </c>
      <c r="FA148" s="88">
        <f t="shared" ca="1" si="361"/>
        <v>0</v>
      </c>
      <c r="FB148" s="88">
        <f t="shared" ca="1" si="361"/>
        <v>0</v>
      </c>
      <c r="FC148" s="88">
        <f t="shared" ca="1" si="361"/>
        <v>0</v>
      </c>
      <c r="FD148" s="88">
        <f t="shared" ca="1" si="361"/>
        <v>0</v>
      </c>
      <c r="FE148" s="88">
        <f t="shared" ca="1" si="362"/>
        <v>0</v>
      </c>
      <c r="FF148" s="88">
        <f t="shared" ca="1" si="362"/>
        <v>0</v>
      </c>
      <c r="FG148" s="88">
        <f t="shared" ca="1" si="362"/>
        <v>0</v>
      </c>
      <c r="FH148" s="88">
        <f t="shared" ca="1" si="362"/>
        <v>0</v>
      </c>
      <c r="FI148" s="88">
        <f t="shared" ca="1" si="362"/>
        <v>0</v>
      </c>
      <c r="FJ148" s="88">
        <f t="shared" ca="1" si="362"/>
        <v>0</v>
      </c>
      <c r="FK148" s="88">
        <f t="shared" ca="1" si="362"/>
        <v>0</v>
      </c>
      <c r="FL148" s="88">
        <f t="shared" ca="1" si="362"/>
        <v>0</v>
      </c>
      <c r="FM148" s="88">
        <f t="shared" ca="1" si="362"/>
        <v>0</v>
      </c>
      <c r="FN148" s="88">
        <f t="shared" ca="1" si="362"/>
        <v>0</v>
      </c>
      <c r="FO148" s="88">
        <f t="shared" ca="1" si="363"/>
        <v>0</v>
      </c>
      <c r="FP148" s="88">
        <f t="shared" ca="1" si="363"/>
        <v>0</v>
      </c>
      <c r="FQ148" s="88">
        <f t="shared" ca="1" si="363"/>
        <v>0</v>
      </c>
      <c r="FR148" s="88">
        <f t="shared" ca="1" si="363"/>
        <v>0</v>
      </c>
      <c r="FS148" s="88">
        <f t="shared" ca="1" si="363"/>
        <v>0</v>
      </c>
      <c r="FT148" s="88">
        <f t="shared" ca="1" si="363"/>
        <v>0</v>
      </c>
      <c r="FU148" s="88">
        <f t="shared" ca="1" si="363"/>
        <v>0</v>
      </c>
      <c r="FV148" s="88">
        <f t="shared" ca="1" si="363"/>
        <v>0</v>
      </c>
      <c r="FW148" s="88">
        <f t="shared" ca="1" si="363"/>
        <v>0</v>
      </c>
      <c r="FX148" s="88">
        <f t="shared" ca="1" si="363"/>
        <v>0</v>
      </c>
      <c r="FY148" s="88">
        <f t="shared" ca="1" si="363"/>
        <v>0</v>
      </c>
      <c r="FZ148" s="88">
        <f t="shared" ca="1" si="363"/>
        <v>0</v>
      </c>
      <c r="GA148" s="88">
        <f t="shared" ca="1" si="363"/>
        <v>0</v>
      </c>
      <c r="GB148" s="88">
        <f t="shared" ca="1" si="363"/>
        <v>0</v>
      </c>
      <c r="GC148" s="88">
        <f t="shared" ca="1" si="363"/>
        <v>0</v>
      </c>
      <c r="GD148" s="60"/>
    </row>
    <row r="149" spans="1:186" s="54" customFormat="1" ht="14.45" customHeight="1">
      <c r="A149" s="61"/>
      <c r="B149" s="100" t="str">
        <f t="shared" si="345"/>
        <v>Residential_School-Based Education_0_School-Based Education_2018</v>
      </c>
      <c r="C149" s="100">
        <f>INDEX('Measure Inputs'!$D:$D,MATCH($B149,'Measure Inputs'!$B:$B,0))</f>
        <v>101</v>
      </c>
      <c r="D149" s="101" t="s">
        <v>2</v>
      </c>
      <c r="E149" s="101" t="s">
        <v>252</v>
      </c>
      <c r="F149" s="101">
        <v>0</v>
      </c>
      <c r="G149" s="101" t="s">
        <v>252</v>
      </c>
      <c r="H149" s="101">
        <v>2018</v>
      </c>
      <c r="I149" s="55"/>
      <c r="J149" s="58" t="str">
        <f t="shared" ca="1" si="229"/>
        <v>n/a</v>
      </c>
      <c r="K149" s="58" t="str">
        <f t="shared" ca="1" si="246"/>
        <v>n/a</v>
      </c>
      <c r="L149" s="58" t="str">
        <f t="shared" ca="1" si="230"/>
        <v>n/a</v>
      </c>
      <c r="M149" s="58" t="str">
        <f t="shared" ca="1" si="231"/>
        <v>n/a</v>
      </c>
      <c r="N149" s="58">
        <f t="shared" ca="1" si="232"/>
        <v>0.2710281560842987</v>
      </c>
      <c r="O149" s="55"/>
      <c r="P149" s="175">
        <f ca="1">IFERROR(($AW149+AV149)/SUMPRODUCT($CA149:$DI149,'General Inputs'!$F$51:$AN$51),"n/a")</f>
        <v>0</v>
      </c>
      <c r="Q149" s="175">
        <f t="shared" ca="1" si="309"/>
        <v>0</v>
      </c>
      <c r="R149" s="56">
        <f t="shared" ca="1" si="310"/>
        <v>2382</v>
      </c>
      <c r="S149" s="55"/>
      <c r="T149" s="56">
        <f ca="1">INDEX(OFFSET('Measure Inputs'!$L$7,,,InputRows),$C149)</f>
        <v>1200</v>
      </c>
      <c r="U149" s="134">
        <f ca="1">INDEX(OFFSET('Measure Inputs'!$T$7,,,InputRows),$C149)</f>
        <v>1</v>
      </c>
      <c r="V149" s="134">
        <f ca="1">INDEX(OFFSET('Measure Inputs'!$U$7,,,InputRows),$C149)</f>
        <v>1</v>
      </c>
      <c r="W149" s="55"/>
      <c r="X149" s="96">
        <f ca="1">INDEX(OFFSET('Measure Inputs'!$V$7,,,InputRows),$C149)*$T149*$V149*$U149</f>
        <v>476400</v>
      </c>
      <c r="Y149" s="96">
        <f ca="1">INDEX(OFFSET('Measure Inputs'!$W$7,,,InputRows),$C149)*$T149*$V149*$U149</f>
        <v>48</v>
      </c>
      <c r="Z149" s="96">
        <f ca="1">INDEX(OFFSET('Measure Inputs'!$X$7,,,InputRows),$C149)*$T149*$V149*$U149</f>
        <v>0</v>
      </c>
      <c r="AA149" s="55"/>
      <c r="AB149" s="96">
        <f ca="1">INDEX(OFFSET('Measure Inputs'!$Z$7,,,InputRows),$C149)*$T149*$V149*$U149</f>
        <v>0</v>
      </c>
      <c r="AC149" s="96">
        <f ca="1">INDEX(OFFSET('Measure Inputs'!$AA$7,,,InputRows),$C149)*$T149*$V149*$U149</f>
        <v>0</v>
      </c>
      <c r="AD149" s="96">
        <f ca="1">INDEX(OFFSET('Measure Inputs'!$AB$7,,,InputRows),$C149)*$T149*$V149*$U149</f>
        <v>0</v>
      </c>
      <c r="AE149" s="55"/>
      <c r="AF149" s="57">
        <f ca="1">INDEX(OFFSET('Measure Inputs'!$Q$7,,,InputRows),$C149)*$T149</f>
        <v>0</v>
      </c>
      <c r="AG149" s="57">
        <f ca="1">INDEX(OFFSET('Measure Inputs'!$P$7,,,InputRows),$C149)*$T149*$V149</f>
        <v>0</v>
      </c>
      <c r="AH149" s="57">
        <f ca="1">INDEX(OFFSET('Measure Inputs'!$R$7,,,InputRows),$C149)*$T149*$V149</f>
        <v>0</v>
      </c>
      <c r="AI149" s="57">
        <f ca="1">INDEX(OFFSET('Measure Inputs'!$O$7,,,InputRows),$C149)*$T149</f>
        <v>0</v>
      </c>
      <c r="AJ149" s="57">
        <f ca="1">INDEX(OFFSET('Measure Inputs'!$S$7,,,InputRows),$C149)*$T149</f>
        <v>0</v>
      </c>
      <c r="AK149" s="63">
        <f ca="1">INDEX(OFFSET('Measure Inputs'!$M$7,,,InputRows),$C149)</f>
        <v>5</v>
      </c>
      <c r="AL149" s="88">
        <f ca="1">INDEX(OFFSET('Measure Inputs'!$N$7,,,InputRows),$C149)</f>
        <v>0</v>
      </c>
      <c r="AM149" s="57">
        <f ca="1">SUMIFS(OFFSET('Program Inputs'!$N$5,,,TotalPrograms),OFFSET('Program Inputs'!$B$5,,,TotalPrograms),SUBSTITUTE($B149,"All","*"))+AF149</f>
        <v>0</v>
      </c>
      <c r="AN149" s="57">
        <f t="shared" ca="1" si="311"/>
        <v>0</v>
      </c>
      <c r="AO149" s="55"/>
      <c r="AP149" s="59">
        <f t="shared" ca="1" si="312"/>
        <v>60077.858522326584</v>
      </c>
      <c r="AQ149" s="59">
        <f t="shared" ca="1" si="313"/>
        <v>0</v>
      </c>
      <c r="AR149" s="59">
        <f ca="1">SUMPRODUCT($CA149:$DI149,'General Inputs'!$F$32:$AN$32,'General Inputs'!$F$51:$AN$51)/(1-Loss_ElectricEnergy)</f>
        <v>56018.176263590365</v>
      </c>
      <c r="AS149" s="59">
        <f ca="1">SUMPRODUCT($DK149:$ES149,'General Inputs'!$F$33:$AN$33,'General Inputs'!$F$51:$AN$51)/(1-Loss_ElectricDemand)</f>
        <v>4059.6822587362221</v>
      </c>
      <c r="AT149" s="59">
        <f ca="1">SUMPRODUCT($EU149:$GC149,'General Inputs'!$F$34:$AN$34,'General Inputs'!$F$51:$AN$51)/(1-Loss_GasEnergy)</f>
        <v>0</v>
      </c>
      <c r="AU149" s="59">
        <f ca="1">INDEX('General Inputs'!$F$51:$AN$51,MATCH($H149,'General Inputs'!$F$50:$AN$50,0))*$AJ149</f>
        <v>0</v>
      </c>
      <c r="AV149" s="59">
        <f ca="1">INDEX('General Inputs'!$F$51:$AN$51,MATCH($H149,'General Inputs'!$F$50:$AN$50,0))*$AI149</f>
        <v>0</v>
      </c>
      <c r="AW149" s="59">
        <f ca="1">INDEX('General Inputs'!$F$51:$AN$51,MATCH($H149,'General Inputs'!$F$50:$AN$50,0))*$AM149</f>
        <v>0</v>
      </c>
      <c r="AX149" s="59">
        <f ca="1">SUM(INDEX('General Inputs'!$F$51:$AN$51,MATCH($H149,'General Inputs'!$F$50:$AN$50,0))*$AG149,INDEX('General Inputs'!$F$51:$AN$51,MATCH($H149+$AL149,'General Inputs'!$F$50:$AN$50,0))*-$AH149)</f>
        <v>0</v>
      </c>
      <c r="AY149" s="55"/>
      <c r="AZ149" s="59">
        <f ca="1">SUMPRODUCT($CA149:$DI149,'General Inputs'!$F$32:$AN$32,'General Inputs'!$F$52:$AN$52)/(1-Loss_ElectricEnergy)</f>
        <v>56018.176263590365</v>
      </c>
      <c r="BA149" s="59">
        <f ca="1">SUMPRODUCT($DK149:$ES149,'General Inputs'!$F$33:$AN$33,'General Inputs'!$F$52:$AN$52)/(1-Loss_ElectricDemand)</f>
        <v>4059.6822587362221</v>
      </c>
      <c r="BB149" s="59">
        <f ca="1">SUMPRODUCT($EU149:$GC149,'General Inputs'!$F$34:$AN$34,'General Inputs'!$F$52:$AN$52)/(1-Loss_GasEnergy)</f>
        <v>0</v>
      </c>
      <c r="BC149" s="59">
        <f ca="1">INDEX('General Inputs'!$F$52:$AN$52,MATCH($H149,'General Inputs'!$F$50:$AN$50,0))*$AI149</f>
        <v>0</v>
      </c>
      <c r="BD149" s="59">
        <f ca="1">INDEX('General Inputs'!$F$52:$AN$52,MATCH($H149,'General Inputs'!$F$50:$AN$50,0))*$AM149</f>
        <v>0</v>
      </c>
      <c r="BE149" s="55"/>
      <c r="BF149" s="59">
        <f ca="1">SUMPRODUCT($CA149:$DI149,OFFSET('General Inputs'!$F$40:$AN$40,MATCH($D149&amp;" Electric ($/kWh)",'General Inputs'!$E$40:$E$46,0),),'General Inputs'!$F$54:$AN$54)</f>
        <v>221666.48436201731</v>
      </c>
      <c r="BG149" s="59">
        <f ca="1">SUMPRODUCT($EU149:$GC149,OFFSET('General Inputs'!$F$40:$AN$40,MATCH($D149&amp;" Natural Gas ($/therm)",'General Inputs'!$E$40:$E$46,0),),'General Inputs'!$F$54:$AN$54)</f>
        <v>0</v>
      </c>
      <c r="BH149" s="59">
        <f ca="1">INDEX('General Inputs'!$F$54:$AN$54,MATCH($H149,'General Inputs'!$F$50:$AN$50,0))*$AI149</f>
        <v>0</v>
      </c>
      <c r="BI149" s="59">
        <f ca="1">SUM(INDEX('General Inputs'!$F$54:$AN$54,MATCH($H149,'General Inputs'!$F$50:$AN$50,0))*$AG149,INDEX('General Inputs'!$F$51:$AN$51,MATCH($H149+$AL149,'General Inputs'!$F$50:$AN$50,0))*-$AH149)</f>
        <v>0</v>
      </c>
      <c r="BJ149" s="55"/>
      <c r="BK149" s="59">
        <f ca="1">SUMPRODUCT($CA149:$DI149,'General Inputs'!$F$32:$AN$32,'General Inputs'!$F$53:$AN$53)/(1-Loss_ElectricEnergy)</f>
        <v>56018.176263590365</v>
      </c>
      <c r="BL149" s="59">
        <f ca="1">SUMPRODUCT($DK149:$ES149,'General Inputs'!$F$33:$AN$33,'General Inputs'!$F$53:$AN$53)/(1-Loss_ElectricDemand)</f>
        <v>4059.6822587362221</v>
      </c>
      <c r="BM149" s="59">
        <f ca="1">SUMPRODUCT($EU149:$GC149,'General Inputs'!$F$34:$AN$34,'General Inputs'!$F$53:$AN$53)/(1-Loss_GasEnergy)</f>
        <v>0</v>
      </c>
      <c r="BN149" s="59">
        <f ca="1">INDEX('General Inputs'!$F$53:$AN$53,MATCH($H149,'General Inputs'!$F$50:$AN$50,0))*$AJ149</f>
        <v>0</v>
      </c>
      <c r="BO149" s="59">
        <f ca="1">SUMPRODUCT($CA149:$DI149,'General Inputs'!$F$35:$AN$35,'General Inputs'!$F$53:$AN$53)/(1-Loss_ElectricEnergy)</f>
        <v>22258.689290210714</v>
      </c>
      <c r="BP149" s="59">
        <f ca="1">INDEX('General Inputs'!$F$51:$AN$51,MATCH($H149,'General Inputs'!$F$50:$AN$50,0))*$AM149</f>
        <v>0</v>
      </c>
      <c r="BQ149" s="59">
        <f ca="1">SUM(INDEX('General Inputs'!$F$53:$AN$53,MATCH($H149,'General Inputs'!$F$50:$AN$50,0))*$AG149,INDEX('General Inputs'!$F$53:$AN$53,MATCH($H149+$AL149,'General Inputs'!$F$50:$AN$50,0))*-$AH149)</f>
        <v>0</v>
      </c>
      <c r="BR149" s="55"/>
      <c r="BS149" s="59">
        <f ca="1">SUMPRODUCT($CA149:$DI149,'General Inputs'!$F$32:$AN$32,'General Inputs'!$F$55:$AN$55)/(1-Loss_ElectricEnergy)</f>
        <v>56018.176263590365</v>
      </c>
      <c r="BT149" s="59">
        <f ca="1">SUMPRODUCT($DK149:$ES149,'General Inputs'!$F$33:$AN$33,'General Inputs'!$F$55:$AN$55)/(1-Loss_ElectricDemand)</f>
        <v>4059.6822587362221</v>
      </c>
      <c r="BU149" s="59">
        <f ca="1">SUMPRODUCT($EU149:$GC149,'General Inputs'!$F$34:$AN$34,'General Inputs'!$F$55:$AN$55)/(1-Loss_GasEnergy)</f>
        <v>0</v>
      </c>
      <c r="BV149" s="59">
        <f ca="1">SUMPRODUCT($CA149:$DI149,OFFSET('General Inputs'!$F$40:$AN$40,MATCH($D149&amp;" Electric ($/kWh)",'General Inputs'!$E$40:$E$46,0),),'General Inputs'!$F$55:$AN$55)</f>
        <v>221666.48436201731</v>
      </c>
      <c r="BW149" s="59">
        <f ca="1">SUMPRODUCT($EU149:$GC149,OFFSET('General Inputs'!$F$40:$AN$40,MATCH($D149&amp;" Natural Gas ($/therm)",'General Inputs'!$E$40:$E$46,0),),'General Inputs'!$F$55:$AN$55)</f>
        <v>0</v>
      </c>
      <c r="BX149" s="59">
        <f ca="1">INDEX('General Inputs'!$F$55:$AN$55,MATCH($H149,'General Inputs'!$F$50:$AN$50,0))*$AI149</f>
        <v>0</v>
      </c>
      <c r="BY149" s="59">
        <f ca="1">INDEX('General Inputs'!$F$51:$AN$51,MATCH($H149,'General Inputs'!$F$50:$AN$50,0))*$AM149</f>
        <v>0</v>
      </c>
      <c r="BZ149" s="55"/>
      <c r="CA149" s="88">
        <f t="shared" ca="1" si="355"/>
        <v>0</v>
      </c>
      <c r="CB149" s="88">
        <f t="shared" ca="1" si="355"/>
        <v>476400</v>
      </c>
      <c r="CC149" s="88">
        <f t="shared" ca="1" si="355"/>
        <v>476400</v>
      </c>
      <c r="CD149" s="88">
        <f t="shared" ca="1" si="355"/>
        <v>476400</v>
      </c>
      <c r="CE149" s="88">
        <f t="shared" ca="1" si="355"/>
        <v>476400</v>
      </c>
      <c r="CF149" s="88">
        <f t="shared" ca="1" si="355"/>
        <v>476400</v>
      </c>
      <c r="CG149" s="88">
        <f t="shared" ca="1" si="355"/>
        <v>0</v>
      </c>
      <c r="CH149" s="88">
        <f t="shared" ca="1" si="355"/>
        <v>0</v>
      </c>
      <c r="CI149" s="88">
        <f t="shared" ca="1" si="355"/>
        <v>0</v>
      </c>
      <c r="CJ149" s="88">
        <f t="shared" ca="1" si="355"/>
        <v>0</v>
      </c>
      <c r="CK149" s="88">
        <f t="shared" ca="1" si="356"/>
        <v>0</v>
      </c>
      <c r="CL149" s="88">
        <f t="shared" ca="1" si="356"/>
        <v>0</v>
      </c>
      <c r="CM149" s="88">
        <f t="shared" ca="1" si="356"/>
        <v>0</v>
      </c>
      <c r="CN149" s="88">
        <f t="shared" ca="1" si="356"/>
        <v>0</v>
      </c>
      <c r="CO149" s="88">
        <f t="shared" ca="1" si="356"/>
        <v>0</v>
      </c>
      <c r="CP149" s="88">
        <f t="shared" ca="1" si="356"/>
        <v>0</v>
      </c>
      <c r="CQ149" s="88">
        <f t="shared" ca="1" si="356"/>
        <v>0</v>
      </c>
      <c r="CR149" s="88">
        <f t="shared" ca="1" si="356"/>
        <v>0</v>
      </c>
      <c r="CS149" s="88">
        <f t="shared" ca="1" si="356"/>
        <v>0</v>
      </c>
      <c r="CT149" s="88">
        <f t="shared" ca="1" si="356"/>
        <v>0</v>
      </c>
      <c r="CU149" s="88">
        <f t="shared" ca="1" si="357"/>
        <v>0</v>
      </c>
      <c r="CV149" s="88">
        <f t="shared" ca="1" si="357"/>
        <v>0</v>
      </c>
      <c r="CW149" s="88">
        <f t="shared" ca="1" si="357"/>
        <v>0</v>
      </c>
      <c r="CX149" s="88">
        <f t="shared" ca="1" si="357"/>
        <v>0</v>
      </c>
      <c r="CY149" s="88">
        <f t="shared" ca="1" si="357"/>
        <v>0</v>
      </c>
      <c r="CZ149" s="88">
        <f t="shared" ca="1" si="357"/>
        <v>0</v>
      </c>
      <c r="DA149" s="88">
        <f t="shared" ca="1" si="357"/>
        <v>0</v>
      </c>
      <c r="DB149" s="88">
        <f t="shared" ca="1" si="357"/>
        <v>0</v>
      </c>
      <c r="DC149" s="88">
        <f t="shared" ca="1" si="357"/>
        <v>0</v>
      </c>
      <c r="DD149" s="88">
        <f t="shared" ca="1" si="357"/>
        <v>0</v>
      </c>
      <c r="DE149" s="88">
        <f t="shared" ca="1" si="357"/>
        <v>0</v>
      </c>
      <c r="DF149" s="88">
        <f t="shared" ca="1" si="357"/>
        <v>0</v>
      </c>
      <c r="DG149" s="88">
        <f t="shared" ca="1" si="357"/>
        <v>0</v>
      </c>
      <c r="DH149" s="88">
        <f t="shared" ca="1" si="357"/>
        <v>0</v>
      </c>
      <c r="DI149" s="88">
        <f t="shared" ca="1" si="357"/>
        <v>0</v>
      </c>
      <c r="DJ149" s="169"/>
      <c r="DK149" s="88">
        <f t="shared" ca="1" si="358"/>
        <v>0</v>
      </c>
      <c r="DL149" s="88">
        <f t="shared" ca="1" si="358"/>
        <v>48</v>
      </c>
      <c r="DM149" s="88">
        <f t="shared" ca="1" si="358"/>
        <v>48</v>
      </c>
      <c r="DN149" s="88">
        <f t="shared" ca="1" si="358"/>
        <v>48</v>
      </c>
      <c r="DO149" s="88">
        <f t="shared" ca="1" si="358"/>
        <v>48</v>
      </c>
      <c r="DP149" s="88">
        <f t="shared" ca="1" si="358"/>
        <v>48</v>
      </c>
      <c r="DQ149" s="88">
        <f t="shared" ca="1" si="358"/>
        <v>0</v>
      </c>
      <c r="DR149" s="88">
        <f t="shared" ca="1" si="358"/>
        <v>0</v>
      </c>
      <c r="DS149" s="88">
        <f t="shared" ca="1" si="358"/>
        <v>0</v>
      </c>
      <c r="DT149" s="88">
        <f t="shared" ca="1" si="358"/>
        <v>0</v>
      </c>
      <c r="DU149" s="88">
        <f t="shared" ca="1" si="359"/>
        <v>0</v>
      </c>
      <c r="DV149" s="88">
        <f t="shared" ca="1" si="359"/>
        <v>0</v>
      </c>
      <c r="DW149" s="88">
        <f t="shared" ca="1" si="359"/>
        <v>0</v>
      </c>
      <c r="DX149" s="88">
        <f t="shared" ca="1" si="359"/>
        <v>0</v>
      </c>
      <c r="DY149" s="88">
        <f t="shared" ca="1" si="359"/>
        <v>0</v>
      </c>
      <c r="DZ149" s="88">
        <f t="shared" ca="1" si="359"/>
        <v>0</v>
      </c>
      <c r="EA149" s="88">
        <f t="shared" ca="1" si="359"/>
        <v>0</v>
      </c>
      <c r="EB149" s="88">
        <f t="shared" ca="1" si="359"/>
        <v>0</v>
      </c>
      <c r="EC149" s="88">
        <f t="shared" ca="1" si="359"/>
        <v>0</v>
      </c>
      <c r="ED149" s="88">
        <f t="shared" ca="1" si="359"/>
        <v>0</v>
      </c>
      <c r="EE149" s="88">
        <f t="shared" ca="1" si="360"/>
        <v>0</v>
      </c>
      <c r="EF149" s="88">
        <f t="shared" ca="1" si="360"/>
        <v>0</v>
      </c>
      <c r="EG149" s="88">
        <f t="shared" ca="1" si="360"/>
        <v>0</v>
      </c>
      <c r="EH149" s="88">
        <f t="shared" ca="1" si="360"/>
        <v>0</v>
      </c>
      <c r="EI149" s="88">
        <f t="shared" ca="1" si="360"/>
        <v>0</v>
      </c>
      <c r="EJ149" s="88">
        <f t="shared" ca="1" si="360"/>
        <v>0</v>
      </c>
      <c r="EK149" s="88">
        <f t="shared" ca="1" si="360"/>
        <v>0</v>
      </c>
      <c r="EL149" s="88">
        <f t="shared" ca="1" si="360"/>
        <v>0</v>
      </c>
      <c r="EM149" s="88">
        <f t="shared" ca="1" si="360"/>
        <v>0</v>
      </c>
      <c r="EN149" s="88">
        <f t="shared" ca="1" si="360"/>
        <v>0</v>
      </c>
      <c r="EO149" s="88">
        <f t="shared" ca="1" si="360"/>
        <v>0</v>
      </c>
      <c r="EP149" s="88">
        <f t="shared" ca="1" si="360"/>
        <v>0</v>
      </c>
      <c r="EQ149" s="88">
        <f t="shared" ca="1" si="360"/>
        <v>0</v>
      </c>
      <c r="ER149" s="88">
        <f t="shared" ca="1" si="360"/>
        <v>0</v>
      </c>
      <c r="ES149" s="88">
        <f t="shared" ca="1" si="360"/>
        <v>0</v>
      </c>
      <c r="ET149" s="169"/>
      <c r="EU149" s="88">
        <f t="shared" ca="1" si="361"/>
        <v>0</v>
      </c>
      <c r="EV149" s="88">
        <f t="shared" ca="1" si="361"/>
        <v>0</v>
      </c>
      <c r="EW149" s="88">
        <f t="shared" ca="1" si="361"/>
        <v>0</v>
      </c>
      <c r="EX149" s="88">
        <f t="shared" ca="1" si="361"/>
        <v>0</v>
      </c>
      <c r="EY149" s="88">
        <f t="shared" ca="1" si="361"/>
        <v>0</v>
      </c>
      <c r="EZ149" s="88">
        <f t="shared" ca="1" si="361"/>
        <v>0</v>
      </c>
      <c r="FA149" s="88">
        <f t="shared" ca="1" si="361"/>
        <v>0</v>
      </c>
      <c r="FB149" s="88">
        <f t="shared" ca="1" si="361"/>
        <v>0</v>
      </c>
      <c r="FC149" s="88">
        <f t="shared" ca="1" si="361"/>
        <v>0</v>
      </c>
      <c r="FD149" s="88">
        <f t="shared" ca="1" si="361"/>
        <v>0</v>
      </c>
      <c r="FE149" s="88">
        <f t="shared" ca="1" si="362"/>
        <v>0</v>
      </c>
      <c r="FF149" s="88">
        <f t="shared" ca="1" si="362"/>
        <v>0</v>
      </c>
      <c r="FG149" s="88">
        <f t="shared" ca="1" si="362"/>
        <v>0</v>
      </c>
      <c r="FH149" s="88">
        <f t="shared" ca="1" si="362"/>
        <v>0</v>
      </c>
      <c r="FI149" s="88">
        <f t="shared" ca="1" si="362"/>
        <v>0</v>
      </c>
      <c r="FJ149" s="88">
        <f t="shared" ca="1" si="362"/>
        <v>0</v>
      </c>
      <c r="FK149" s="88">
        <f t="shared" ca="1" si="362"/>
        <v>0</v>
      </c>
      <c r="FL149" s="88">
        <f t="shared" ca="1" si="362"/>
        <v>0</v>
      </c>
      <c r="FM149" s="88">
        <f t="shared" ca="1" si="362"/>
        <v>0</v>
      </c>
      <c r="FN149" s="88">
        <f t="shared" ca="1" si="362"/>
        <v>0</v>
      </c>
      <c r="FO149" s="88">
        <f t="shared" ca="1" si="363"/>
        <v>0</v>
      </c>
      <c r="FP149" s="88">
        <f t="shared" ca="1" si="363"/>
        <v>0</v>
      </c>
      <c r="FQ149" s="88">
        <f t="shared" ca="1" si="363"/>
        <v>0</v>
      </c>
      <c r="FR149" s="88">
        <f t="shared" ca="1" si="363"/>
        <v>0</v>
      </c>
      <c r="FS149" s="88">
        <f t="shared" ca="1" si="363"/>
        <v>0</v>
      </c>
      <c r="FT149" s="88">
        <f t="shared" ca="1" si="363"/>
        <v>0</v>
      </c>
      <c r="FU149" s="88">
        <f t="shared" ca="1" si="363"/>
        <v>0</v>
      </c>
      <c r="FV149" s="88">
        <f t="shared" ca="1" si="363"/>
        <v>0</v>
      </c>
      <c r="FW149" s="88">
        <f t="shared" ca="1" si="363"/>
        <v>0</v>
      </c>
      <c r="FX149" s="88">
        <f t="shared" ca="1" si="363"/>
        <v>0</v>
      </c>
      <c r="FY149" s="88">
        <f t="shared" ca="1" si="363"/>
        <v>0</v>
      </c>
      <c r="FZ149" s="88">
        <f t="shared" ca="1" si="363"/>
        <v>0</v>
      </c>
      <c r="GA149" s="88">
        <f t="shared" ca="1" si="363"/>
        <v>0</v>
      </c>
      <c r="GB149" s="88">
        <f t="shared" ca="1" si="363"/>
        <v>0</v>
      </c>
      <c r="GC149" s="88">
        <f t="shared" ca="1" si="363"/>
        <v>0</v>
      </c>
      <c r="GD149" s="60"/>
    </row>
    <row r="150" spans="1:186" s="54" customFormat="1" ht="14.45" customHeight="1">
      <c r="A150" s="61"/>
      <c r="B150" s="100" t="str">
        <f t="shared" si="345"/>
        <v>Residential_Weatherization_0_Air Sealing_2018</v>
      </c>
      <c r="C150" s="100">
        <f>INDEX('Measure Inputs'!$D:$D,MATCH($B150,'Measure Inputs'!$B:$B,0))</f>
        <v>102</v>
      </c>
      <c r="D150" s="101" t="s">
        <v>2</v>
      </c>
      <c r="E150" s="101" t="s">
        <v>253</v>
      </c>
      <c r="F150" s="101">
        <v>0</v>
      </c>
      <c r="G150" s="101" t="s">
        <v>270</v>
      </c>
      <c r="H150" s="101">
        <v>2018</v>
      </c>
      <c r="I150" s="55"/>
      <c r="J150" s="58" t="str">
        <f t="shared" ca="1" si="229"/>
        <v>n/a</v>
      </c>
      <c r="K150" s="58" t="str">
        <f t="shared" ca="1" si="246"/>
        <v>n/a</v>
      </c>
      <c r="L150" s="58" t="str">
        <f t="shared" ca="1" si="230"/>
        <v>n/a</v>
      </c>
      <c r="M150" s="58" t="str">
        <f t="shared" ca="1" si="231"/>
        <v>n/a</v>
      </c>
      <c r="N150" s="58">
        <f t="shared" ca="1" si="232"/>
        <v>0.28587507605178059</v>
      </c>
      <c r="O150" s="55"/>
      <c r="P150" s="175">
        <f ca="1">IFERROR(($AW150+AV150)/SUMPRODUCT($CA150:$DI150,'General Inputs'!$F$51:$AN$51),"n/a")</f>
        <v>0</v>
      </c>
      <c r="Q150" s="175">
        <f t="shared" ca="1" si="309"/>
        <v>0</v>
      </c>
      <c r="R150" s="56">
        <f t="shared" ref="R150:R197" ca="1" si="364">SUM(CA150:DI150)/1000</f>
        <v>325.45117950089957</v>
      </c>
      <c r="S150" s="55"/>
      <c r="T150" s="56">
        <f ca="1">INDEX(OFFSET('Measure Inputs'!$L$7,,,InputRows),$C150)</f>
        <v>30</v>
      </c>
      <c r="U150" s="134">
        <f ca="1">INDEX(OFFSET('Measure Inputs'!$T$7,,,InputRows),$C150)</f>
        <v>1</v>
      </c>
      <c r="V150" s="134">
        <f ca="1">INDEX(OFFSET('Measure Inputs'!$U$7,,,InputRows),$C150)</f>
        <v>1</v>
      </c>
      <c r="W150" s="55"/>
      <c r="X150" s="96">
        <f ca="1">INDEX(OFFSET('Measure Inputs'!$V$7,,,InputRows),$C150)*$T150*$V150*$U150</f>
        <v>21696.745300059978</v>
      </c>
      <c r="Y150" s="96">
        <f ca="1">INDEX(OFFSET('Measure Inputs'!$W$7,,,InputRows),$C150)*$T150*$V150*$U150</f>
        <v>3.9582525098107197</v>
      </c>
      <c r="Z150" s="96">
        <f ca="1">INDEX(OFFSET('Measure Inputs'!$X$7,,,InputRows),$C150)*$T150*$V150*$U150</f>
        <v>0</v>
      </c>
      <c r="AA150" s="55"/>
      <c r="AB150" s="96">
        <f ca="1">INDEX(OFFSET('Measure Inputs'!$Z$7,,,InputRows),$C150)*$T150*$V150*$U150</f>
        <v>0</v>
      </c>
      <c r="AC150" s="96">
        <f ca="1">INDEX(OFFSET('Measure Inputs'!$AA$7,,,InputRows),$C150)*$T150*$V150*$U150</f>
        <v>0</v>
      </c>
      <c r="AD150" s="96">
        <f ca="1">INDEX(OFFSET('Measure Inputs'!$AB$7,,,InputRows),$C150)*$T150*$V150*$U150</f>
        <v>0</v>
      </c>
      <c r="AE150" s="55"/>
      <c r="AF150" s="57">
        <f ca="1">INDEX(OFFSET('Measure Inputs'!$Q$7,,,InputRows),$C150)*$T150</f>
        <v>0</v>
      </c>
      <c r="AG150" s="57">
        <f ca="1">INDEX(OFFSET('Measure Inputs'!$P$7,,,InputRows),$C150)*$T150*$V150</f>
        <v>0</v>
      </c>
      <c r="AH150" s="57">
        <f ca="1">INDEX(OFFSET('Measure Inputs'!$R$7,,,InputRows),$C150)*$T150*$V150</f>
        <v>0</v>
      </c>
      <c r="AI150" s="57">
        <f ca="1">INDEX(OFFSET('Measure Inputs'!$O$7,,,InputRows),$C150)*$T150</f>
        <v>0</v>
      </c>
      <c r="AJ150" s="57">
        <f ca="1">INDEX(OFFSET('Measure Inputs'!$S$7,,,InputRows),$C150)*$T150</f>
        <v>0</v>
      </c>
      <c r="AK150" s="63">
        <f ca="1">INDEX(OFFSET('Measure Inputs'!$M$7,,,InputRows),$C150)</f>
        <v>15</v>
      </c>
      <c r="AL150" s="88">
        <f ca="1">INDEX(OFFSET('Measure Inputs'!$N$7,,,InputRows),$C150)</f>
        <v>0</v>
      </c>
      <c r="AM150" s="57">
        <f ca="1">SUMIFS(OFFSET('Program Inputs'!$N$5,,,TotalPrograms),OFFSET('Program Inputs'!$B$5,,,TotalPrograms),SUBSTITUTE($B150,"All","*"))+AF150</f>
        <v>0</v>
      </c>
      <c r="AN150" s="57">
        <f t="shared" ref="AN150:AN197" ca="1" si="365">AM150+AI150</f>
        <v>0</v>
      </c>
      <c r="AO150" s="55"/>
      <c r="AP150" s="59">
        <f t="shared" ref="AP150:AP197" ca="1" si="366">SUMIFS(AR150:AX150,$AR$7:$AX$7,"BENEFIT")</f>
        <v>6357.3268868814439</v>
      </c>
      <c r="AQ150" s="59">
        <f t="shared" ref="AQ150:AQ197" ca="1" si="367">SUMIFS(AR150:AX150,$AR$7:$AX$7,"COST")</f>
        <v>0</v>
      </c>
      <c r="AR150" s="59">
        <f ca="1">SUMPRODUCT($CA150:$DI150,'General Inputs'!$F$32:$AN$32,'General Inputs'!$F$51:$AN$51)/(1-Loss_ElectricEnergy)</f>
        <v>5619.8818100854769</v>
      </c>
      <c r="AS150" s="59">
        <f ca="1">SUMPRODUCT($DK150:$ES150,'General Inputs'!$F$33:$AN$33,'General Inputs'!$F$51:$AN$51)/(1-Loss_ElectricDemand)</f>
        <v>737.44507679596688</v>
      </c>
      <c r="AT150" s="59">
        <f ca="1">SUMPRODUCT($EU150:$GC150,'General Inputs'!$F$34:$AN$34,'General Inputs'!$F$51:$AN$51)/(1-Loss_GasEnergy)</f>
        <v>0</v>
      </c>
      <c r="AU150" s="59">
        <f ca="1">INDEX('General Inputs'!$F$51:$AN$51,MATCH($H150,'General Inputs'!$F$50:$AN$50,0))*$AJ150</f>
        <v>0</v>
      </c>
      <c r="AV150" s="59">
        <f ca="1">INDEX('General Inputs'!$F$51:$AN$51,MATCH($H150,'General Inputs'!$F$50:$AN$50,0))*$AI150</f>
        <v>0</v>
      </c>
      <c r="AW150" s="59">
        <f ca="1">INDEX('General Inputs'!$F$51:$AN$51,MATCH($H150,'General Inputs'!$F$50:$AN$50,0))*$AM150</f>
        <v>0</v>
      </c>
      <c r="AX150" s="59">
        <f ca="1">SUM(INDEX('General Inputs'!$F$51:$AN$51,MATCH($H150,'General Inputs'!$F$50:$AN$50,0))*$AG150,INDEX('General Inputs'!$F$51:$AN$51,MATCH($H150+$AL150,'General Inputs'!$F$50:$AN$50,0))*-$AH150)</f>
        <v>0</v>
      </c>
      <c r="AY150" s="55"/>
      <c r="AZ150" s="59">
        <f ca="1">SUMPRODUCT($CA150:$DI150,'General Inputs'!$F$32:$AN$32,'General Inputs'!$F$52:$AN$52)/(1-Loss_ElectricEnergy)</f>
        <v>5619.8818100854769</v>
      </c>
      <c r="BA150" s="59">
        <f ca="1">SUMPRODUCT($DK150:$ES150,'General Inputs'!$F$33:$AN$33,'General Inputs'!$F$52:$AN$52)/(1-Loss_ElectricDemand)</f>
        <v>737.44507679596688</v>
      </c>
      <c r="BB150" s="59">
        <f ca="1">SUMPRODUCT($EU150:$GC150,'General Inputs'!$F$34:$AN$34,'General Inputs'!$F$52:$AN$52)/(1-Loss_GasEnergy)</f>
        <v>0</v>
      </c>
      <c r="BC150" s="59">
        <f ca="1">INDEX('General Inputs'!$F$52:$AN$52,MATCH($H150,'General Inputs'!$F$50:$AN$50,0))*$AI150</f>
        <v>0</v>
      </c>
      <c r="BD150" s="59">
        <f ca="1">INDEX('General Inputs'!$F$52:$AN$52,MATCH($H150,'General Inputs'!$F$50:$AN$50,0))*$AM150</f>
        <v>0</v>
      </c>
      <c r="BE150" s="55"/>
      <c r="BF150" s="59">
        <f ca="1">SUMPRODUCT($CA150:$DI150,OFFSET('General Inputs'!$F$40:$AN$40,MATCH($D150&amp;" Electric ($/kWh)",'General Inputs'!$E$40:$E$46,0),),'General Inputs'!$F$54:$AN$54)</f>
        <v>22238.129237016594</v>
      </c>
      <c r="BG150" s="59">
        <f ca="1">SUMPRODUCT($EU150:$GC150,OFFSET('General Inputs'!$F$40:$AN$40,MATCH($D150&amp;" Natural Gas ($/therm)",'General Inputs'!$E$40:$E$46,0),),'General Inputs'!$F$54:$AN$54)</f>
        <v>0</v>
      </c>
      <c r="BH150" s="59">
        <f ca="1">INDEX('General Inputs'!$F$54:$AN$54,MATCH($H150,'General Inputs'!$F$50:$AN$50,0))*$AI150</f>
        <v>0</v>
      </c>
      <c r="BI150" s="59">
        <f ca="1">SUM(INDEX('General Inputs'!$F$54:$AN$54,MATCH($H150,'General Inputs'!$F$50:$AN$50,0))*$AG150,INDEX('General Inputs'!$F$51:$AN$51,MATCH($H150+$AL150,'General Inputs'!$F$50:$AN$50,0))*-$AH150)</f>
        <v>0</v>
      </c>
      <c r="BJ150" s="55"/>
      <c r="BK150" s="59">
        <f ca="1">SUMPRODUCT($CA150:$DI150,'General Inputs'!$F$32:$AN$32,'General Inputs'!$F$53:$AN$53)/(1-Loss_ElectricEnergy)</f>
        <v>5619.8818100854769</v>
      </c>
      <c r="BL150" s="59">
        <f ca="1">SUMPRODUCT($DK150:$ES150,'General Inputs'!$F$33:$AN$33,'General Inputs'!$F$53:$AN$53)/(1-Loss_ElectricDemand)</f>
        <v>737.44507679596688</v>
      </c>
      <c r="BM150" s="59">
        <f ca="1">SUMPRODUCT($EU150:$GC150,'General Inputs'!$F$34:$AN$34,'General Inputs'!$F$53:$AN$53)/(1-Loss_GasEnergy)</f>
        <v>0</v>
      </c>
      <c r="BN150" s="59">
        <f ca="1">INDEX('General Inputs'!$F$53:$AN$53,MATCH($H150,'General Inputs'!$F$50:$AN$50,0))*$AJ150</f>
        <v>0</v>
      </c>
      <c r="BO150" s="59">
        <f ca="1">SUMPRODUCT($CA150:$DI150,'General Inputs'!$F$35:$AN$35,'General Inputs'!$F$53:$AN$53)/(1-Loss_ElectricEnergy)</f>
        <v>2111.9897699263283</v>
      </c>
      <c r="BP150" s="59">
        <f ca="1">INDEX('General Inputs'!$F$51:$AN$51,MATCH($H150,'General Inputs'!$F$50:$AN$50,0))*$AM150</f>
        <v>0</v>
      </c>
      <c r="BQ150" s="59">
        <f ca="1">SUM(INDEX('General Inputs'!$F$53:$AN$53,MATCH($H150,'General Inputs'!$F$50:$AN$50,0))*$AG150,INDEX('General Inputs'!$F$53:$AN$53,MATCH($H150+$AL150,'General Inputs'!$F$50:$AN$50,0))*-$AH150)</f>
        <v>0</v>
      </c>
      <c r="BR150" s="55"/>
      <c r="BS150" s="59">
        <f ca="1">SUMPRODUCT($CA150:$DI150,'General Inputs'!$F$32:$AN$32,'General Inputs'!$F$55:$AN$55)/(1-Loss_ElectricEnergy)</f>
        <v>5619.8818100854769</v>
      </c>
      <c r="BT150" s="59">
        <f ca="1">SUMPRODUCT($DK150:$ES150,'General Inputs'!$F$33:$AN$33,'General Inputs'!$F$55:$AN$55)/(1-Loss_ElectricDemand)</f>
        <v>737.44507679596688</v>
      </c>
      <c r="BU150" s="59">
        <f ca="1">SUMPRODUCT($EU150:$GC150,'General Inputs'!$F$34:$AN$34,'General Inputs'!$F$55:$AN$55)/(1-Loss_GasEnergy)</f>
        <v>0</v>
      </c>
      <c r="BV150" s="59">
        <f ca="1">SUMPRODUCT($CA150:$DI150,OFFSET('General Inputs'!$F$40:$AN$40,MATCH($D150&amp;" Electric ($/kWh)",'General Inputs'!$E$40:$E$46,0),),'General Inputs'!$F$55:$AN$55)</f>
        <v>22238.129237016594</v>
      </c>
      <c r="BW150" s="59">
        <f ca="1">SUMPRODUCT($EU150:$GC150,OFFSET('General Inputs'!$F$40:$AN$40,MATCH($D150&amp;" Natural Gas ($/therm)",'General Inputs'!$E$40:$E$46,0),),'General Inputs'!$F$55:$AN$55)</f>
        <v>0</v>
      </c>
      <c r="BX150" s="59">
        <f ca="1">INDEX('General Inputs'!$F$55:$AN$55,MATCH($H150,'General Inputs'!$F$50:$AN$50,0))*$AI150</f>
        <v>0</v>
      </c>
      <c r="BY150" s="59">
        <f ca="1">INDEX('General Inputs'!$F$51:$AN$51,MATCH($H150,'General Inputs'!$F$50:$AN$50,0))*$AM150</f>
        <v>0</v>
      </c>
      <c r="BZ150" s="55"/>
      <c r="CA150" s="88">
        <f t="shared" ca="1" si="355"/>
        <v>0</v>
      </c>
      <c r="CB150" s="88">
        <f t="shared" ca="1" si="355"/>
        <v>21696.745300059978</v>
      </c>
      <c r="CC150" s="88">
        <f t="shared" ca="1" si="355"/>
        <v>21696.745300059978</v>
      </c>
      <c r="CD150" s="88">
        <f t="shared" ca="1" si="355"/>
        <v>21696.745300059978</v>
      </c>
      <c r="CE150" s="88">
        <f t="shared" ca="1" si="355"/>
        <v>21696.745300059978</v>
      </c>
      <c r="CF150" s="88">
        <f t="shared" ca="1" si="355"/>
        <v>21696.745300059978</v>
      </c>
      <c r="CG150" s="88">
        <f t="shared" ca="1" si="355"/>
        <v>21696.745300059978</v>
      </c>
      <c r="CH150" s="88">
        <f t="shared" ca="1" si="355"/>
        <v>21696.745300059978</v>
      </c>
      <c r="CI150" s="88">
        <f t="shared" ca="1" si="355"/>
        <v>21696.745300059978</v>
      </c>
      <c r="CJ150" s="88">
        <f t="shared" ca="1" si="355"/>
        <v>21696.745300059978</v>
      </c>
      <c r="CK150" s="88">
        <f t="shared" ca="1" si="356"/>
        <v>21696.745300059978</v>
      </c>
      <c r="CL150" s="88">
        <f t="shared" ca="1" si="356"/>
        <v>21696.745300059978</v>
      </c>
      <c r="CM150" s="88">
        <f t="shared" ca="1" si="356"/>
        <v>21696.745300059978</v>
      </c>
      <c r="CN150" s="88">
        <f t="shared" ca="1" si="356"/>
        <v>21696.745300059978</v>
      </c>
      <c r="CO150" s="88">
        <f t="shared" ca="1" si="356"/>
        <v>21696.745300059978</v>
      </c>
      <c r="CP150" s="88">
        <f t="shared" ca="1" si="356"/>
        <v>21696.745300059978</v>
      </c>
      <c r="CQ150" s="88">
        <f t="shared" ca="1" si="356"/>
        <v>0</v>
      </c>
      <c r="CR150" s="88">
        <f t="shared" ca="1" si="356"/>
        <v>0</v>
      </c>
      <c r="CS150" s="88">
        <f t="shared" ca="1" si="356"/>
        <v>0</v>
      </c>
      <c r="CT150" s="88">
        <f t="shared" ca="1" si="356"/>
        <v>0</v>
      </c>
      <c r="CU150" s="88">
        <f t="shared" ca="1" si="357"/>
        <v>0</v>
      </c>
      <c r="CV150" s="88">
        <f t="shared" ca="1" si="357"/>
        <v>0</v>
      </c>
      <c r="CW150" s="88">
        <f t="shared" ca="1" si="357"/>
        <v>0</v>
      </c>
      <c r="CX150" s="88">
        <f t="shared" ca="1" si="357"/>
        <v>0</v>
      </c>
      <c r="CY150" s="88">
        <f t="shared" ca="1" si="357"/>
        <v>0</v>
      </c>
      <c r="CZ150" s="88">
        <f t="shared" ca="1" si="357"/>
        <v>0</v>
      </c>
      <c r="DA150" s="88">
        <f t="shared" ca="1" si="357"/>
        <v>0</v>
      </c>
      <c r="DB150" s="88">
        <f t="shared" ca="1" si="357"/>
        <v>0</v>
      </c>
      <c r="DC150" s="88">
        <f t="shared" ca="1" si="357"/>
        <v>0</v>
      </c>
      <c r="DD150" s="88">
        <f t="shared" ca="1" si="357"/>
        <v>0</v>
      </c>
      <c r="DE150" s="88">
        <f t="shared" ca="1" si="357"/>
        <v>0</v>
      </c>
      <c r="DF150" s="88">
        <f t="shared" ca="1" si="357"/>
        <v>0</v>
      </c>
      <c r="DG150" s="88">
        <f t="shared" ca="1" si="357"/>
        <v>0</v>
      </c>
      <c r="DH150" s="88">
        <f t="shared" ca="1" si="357"/>
        <v>0</v>
      </c>
      <c r="DI150" s="88">
        <f t="shared" ca="1" si="357"/>
        <v>0</v>
      </c>
      <c r="DJ150" s="169"/>
      <c r="DK150" s="88">
        <f t="shared" ca="1" si="358"/>
        <v>0</v>
      </c>
      <c r="DL150" s="88">
        <f t="shared" ca="1" si="358"/>
        <v>3.9582525098107197</v>
      </c>
      <c r="DM150" s="88">
        <f t="shared" ca="1" si="358"/>
        <v>3.9582525098107197</v>
      </c>
      <c r="DN150" s="88">
        <f t="shared" ca="1" si="358"/>
        <v>3.9582525098107197</v>
      </c>
      <c r="DO150" s="88">
        <f t="shared" ca="1" si="358"/>
        <v>3.9582525098107197</v>
      </c>
      <c r="DP150" s="88">
        <f t="shared" ca="1" si="358"/>
        <v>3.9582525098107197</v>
      </c>
      <c r="DQ150" s="88">
        <f t="shared" ca="1" si="358"/>
        <v>3.9582525098107197</v>
      </c>
      <c r="DR150" s="88">
        <f t="shared" ca="1" si="358"/>
        <v>3.9582525098107197</v>
      </c>
      <c r="DS150" s="88">
        <f t="shared" ca="1" si="358"/>
        <v>3.9582525098107197</v>
      </c>
      <c r="DT150" s="88">
        <f t="shared" ca="1" si="358"/>
        <v>3.9582525098107197</v>
      </c>
      <c r="DU150" s="88">
        <f t="shared" ca="1" si="359"/>
        <v>3.9582525098107197</v>
      </c>
      <c r="DV150" s="88">
        <f t="shared" ca="1" si="359"/>
        <v>3.9582525098107197</v>
      </c>
      <c r="DW150" s="88">
        <f t="shared" ca="1" si="359"/>
        <v>3.9582525098107197</v>
      </c>
      <c r="DX150" s="88">
        <f t="shared" ca="1" si="359"/>
        <v>3.9582525098107197</v>
      </c>
      <c r="DY150" s="88">
        <f t="shared" ca="1" si="359"/>
        <v>3.9582525098107197</v>
      </c>
      <c r="DZ150" s="88">
        <f t="shared" ca="1" si="359"/>
        <v>3.9582525098107197</v>
      </c>
      <c r="EA150" s="88">
        <f t="shared" ca="1" si="359"/>
        <v>0</v>
      </c>
      <c r="EB150" s="88">
        <f t="shared" ca="1" si="359"/>
        <v>0</v>
      </c>
      <c r="EC150" s="88">
        <f t="shared" ca="1" si="359"/>
        <v>0</v>
      </c>
      <c r="ED150" s="88">
        <f t="shared" ca="1" si="359"/>
        <v>0</v>
      </c>
      <c r="EE150" s="88">
        <f t="shared" ca="1" si="360"/>
        <v>0</v>
      </c>
      <c r="EF150" s="88">
        <f t="shared" ca="1" si="360"/>
        <v>0</v>
      </c>
      <c r="EG150" s="88">
        <f t="shared" ca="1" si="360"/>
        <v>0</v>
      </c>
      <c r="EH150" s="88">
        <f t="shared" ca="1" si="360"/>
        <v>0</v>
      </c>
      <c r="EI150" s="88">
        <f t="shared" ca="1" si="360"/>
        <v>0</v>
      </c>
      <c r="EJ150" s="88">
        <f t="shared" ca="1" si="360"/>
        <v>0</v>
      </c>
      <c r="EK150" s="88">
        <f t="shared" ca="1" si="360"/>
        <v>0</v>
      </c>
      <c r="EL150" s="88">
        <f t="shared" ca="1" si="360"/>
        <v>0</v>
      </c>
      <c r="EM150" s="88">
        <f t="shared" ca="1" si="360"/>
        <v>0</v>
      </c>
      <c r="EN150" s="88">
        <f t="shared" ca="1" si="360"/>
        <v>0</v>
      </c>
      <c r="EO150" s="88">
        <f t="shared" ca="1" si="360"/>
        <v>0</v>
      </c>
      <c r="EP150" s="88">
        <f t="shared" ca="1" si="360"/>
        <v>0</v>
      </c>
      <c r="EQ150" s="88">
        <f t="shared" ca="1" si="360"/>
        <v>0</v>
      </c>
      <c r="ER150" s="88">
        <f t="shared" ca="1" si="360"/>
        <v>0</v>
      </c>
      <c r="ES150" s="88">
        <f t="shared" ca="1" si="360"/>
        <v>0</v>
      </c>
      <c r="ET150" s="169"/>
      <c r="EU150" s="88">
        <f t="shared" ca="1" si="361"/>
        <v>0</v>
      </c>
      <c r="EV150" s="88">
        <f t="shared" ca="1" si="361"/>
        <v>0</v>
      </c>
      <c r="EW150" s="88">
        <f t="shared" ca="1" si="361"/>
        <v>0</v>
      </c>
      <c r="EX150" s="88">
        <f t="shared" ca="1" si="361"/>
        <v>0</v>
      </c>
      <c r="EY150" s="88">
        <f t="shared" ca="1" si="361"/>
        <v>0</v>
      </c>
      <c r="EZ150" s="88">
        <f t="shared" ca="1" si="361"/>
        <v>0</v>
      </c>
      <c r="FA150" s="88">
        <f t="shared" ca="1" si="361"/>
        <v>0</v>
      </c>
      <c r="FB150" s="88">
        <f t="shared" ca="1" si="361"/>
        <v>0</v>
      </c>
      <c r="FC150" s="88">
        <f t="shared" ca="1" si="361"/>
        <v>0</v>
      </c>
      <c r="FD150" s="88">
        <f t="shared" ca="1" si="361"/>
        <v>0</v>
      </c>
      <c r="FE150" s="88">
        <f t="shared" ca="1" si="362"/>
        <v>0</v>
      </c>
      <c r="FF150" s="88">
        <f t="shared" ca="1" si="362"/>
        <v>0</v>
      </c>
      <c r="FG150" s="88">
        <f t="shared" ca="1" si="362"/>
        <v>0</v>
      </c>
      <c r="FH150" s="88">
        <f t="shared" ca="1" si="362"/>
        <v>0</v>
      </c>
      <c r="FI150" s="88">
        <f t="shared" ca="1" si="362"/>
        <v>0</v>
      </c>
      <c r="FJ150" s="88">
        <f t="shared" ca="1" si="362"/>
        <v>0</v>
      </c>
      <c r="FK150" s="88">
        <f t="shared" ca="1" si="362"/>
        <v>0</v>
      </c>
      <c r="FL150" s="88">
        <f t="shared" ca="1" si="362"/>
        <v>0</v>
      </c>
      <c r="FM150" s="88">
        <f t="shared" ca="1" si="362"/>
        <v>0</v>
      </c>
      <c r="FN150" s="88">
        <f t="shared" ca="1" si="362"/>
        <v>0</v>
      </c>
      <c r="FO150" s="88">
        <f t="shared" ca="1" si="363"/>
        <v>0</v>
      </c>
      <c r="FP150" s="88">
        <f t="shared" ca="1" si="363"/>
        <v>0</v>
      </c>
      <c r="FQ150" s="88">
        <f t="shared" ca="1" si="363"/>
        <v>0</v>
      </c>
      <c r="FR150" s="88">
        <f t="shared" ca="1" si="363"/>
        <v>0</v>
      </c>
      <c r="FS150" s="88">
        <f t="shared" ca="1" si="363"/>
        <v>0</v>
      </c>
      <c r="FT150" s="88">
        <f t="shared" ca="1" si="363"/>
        <v>0</v>
      </c>
      <c r="FU150" s="88">
        <f t="shared" ca="1" si="363"/>
        <v>0</v>
      </c>
      <c r="FV150" s="88">
        <f t="shared" ca="1" si="363"/>
        <v>0</v>
      </c>
      <c r="FW150" s="88">
        <f t="shared" ca="1" si="363"/>
        <v>0</v>
      </c>
      <c r="FX150" s="88">
        <f t="shared" ca="1" si="363"/>
        <v>0</v>
      </c>
      <c r="FY150" s="88">
        <f t="shared" ca="1" si="363"/>
        <v>0</v>
      </c>
      <c r="FZ150" s="88">
        <f t="shared" ca="1" si="363"/>
        <v>0</v>
      </c>
      <c r="GA150" s="88">
        <f t="shared" ca="1" si="363"/>
        <v>0</v>
      </c>
      <c r="GB150" s="88">
        <f t="shared" ca="1" si="363"/>
        <v>0</v>
      </c>
      <c r="GC150" s="88">
        <f t="shared" ca="1" si="363"/>
        <v>0</v>
      </c>
      <c r="GD150" s="60"/>
    </row>
    <row r="151" spans="1:186" s="54" customFormat="1" ht="14.45" customHeight="1">
      <c r="A151" s="61"/>
      <c r="B151" s="100" t="str">
        <f t="shared" si="345"/>
        <v>Residential_Weatherization_0_Water Heater Tank Wrap_2018</v>
      </c>
      <c r="C151" s="100">
        <f>INDEX('Measure Inputs'!$D:$D,MATCH($B151,'Measure Inputs'!$B:$B,0))</f>
        <v>103</v>
      </c>
      <c r="D151" s="101" t="s">
        <v>2</v>
      </c>
      <c r="E151" s="101" t="s">
        <v>253</v>
      </c>
      <c r="F151" s="101">
        <v>0</v>
      </c>
      <c r="G151" s="101" t="s">
        <v>266</v>
      </c>
      <c r="H151" s="101">
        <v>2018</v>
      </c>
      <c r="I151" s="55"/>
      <c r="J151" s="58" t="str">
        <f t="shared" ca="1" si="229"/>
        <v>n/a</v>
      </c>
      <c r="K151" s="58" t="str">
        <f t="shared" ca="1" si="246"/>
        <v>n/a</v>
      </c>
      <c r="L151" s="58" t="str">
        <f t="shared" ca="1" si="230"/>
        <v>n/a</v>
      </c>
      <c r="M151" s="58" t="str">
        <f t="shared" ca="1" si="231"/>
        <v>n/a</v>
      </c>
      <c r="N151" s="58">
        <f t="shared" ca="1" si="232"/>
        <v>0.27356014990931132</v>
      </c>
      <c r="O151" s="55"/>
      <c r="P151" s="175">
        <f ca="1">IFERROR(($AW151+AV151)/SUMPRODUCT($CA151:$DI151,'General Inputs'!$F$51:$AN$51),"n/a")</f>
        <v>0</v>
      </c>
      <c r="Q151" s="175">
        <f t="shared" ca="1" si="309"/>
        <v>0</v>
      </c>
      <c r="R151" s="56">
        <f t="shared" ca="1" si="364"/>
        <v>10.725</v>
      </c>
      <c r="S151" s="55"/>
      <c r="T151" s="56">
        <f ca="1">INDEX(OFFSET('Measure Inputs'!$L$7,,,InputRows),$C151)</f>
        <v>15</v>
      </c>
      <c r="U151" s="134">
        <f ca="1">INDEX(OFFSET('Measure Inputs'!$T$7,,,InputRows),$C151)</f>
        <v>1</v>
      </c>
      <c r="V151" s="134">
        <f ca="1">INDEX(OFFSET('Measure Inputs'!$U$7,,,InputRows),$C151)</f>
        <v>1</v>
      </c>
      <c r="W151" s="55"/>
      <c r="X151" s="96">
        <f ca="1">INDEX(OFFSET('Measure Inputs'!$V$7,,,InputRows),$C151)*$T151*$V151*$U151</f>
        <v>2145</v>
      </c>
      <c r="Y151" s="96">
        <f ca="1">INDEX(OFFSET('Measure Inputs'!$W$7,,,InputRows),$C151)*$T151*$V151*$U151</f>
        <v>0.24600000000000002</v>
      </c>
      <c r="Z151" s="96">
        <f ca="1">INDEX(OFFSET('Measure Inputs'!$X$7,,,InputRows),$C151)*$T151*$V151*$U151</f>
        <v>0</v>
      </c>
      <c r="AA151" s="55"/>
      <c r="AB151" s="96">
        <f ca="1">INDEX(OFFSET('Measure Inputs'!$Z$7,,,InputRows),$C151)*$T151*$V151*$U151</f>
        <v>0</v>
      </c>
      <c r="AC151" s="96">
        <f ca="1">INDEX(OFFSET('Measure Inputs'!$AA$7,,,InputRows),$C151)*$T151*$V151*$U151</f>
        <v>0</v>
      </c>
      <c r="AD151" s="96">
        <f ca="1">INDEX(OFFSET('Measure Inputs'!$AB$7,,,InputRows),$C151)*$T151*$V151*$U151</f>
        <v>0</v>
      </c>
      <c r="AE151" s="55"/>
      <c r="AF151" s="57">
        <f ca="1">INDEX(OFFSET('Measure Inputs'!$Q$7,,,InputRows),$C151)*$T151</f>
        <v>0</v>
      </c>
      <c r="AG151" s="57">
        <f ca="1">INDEX(OFFSET('Measure Inputs'!$P$7,,,InputRows),$C151)*$T151*$V151</f>
        <v>0</v>
      </c>
      <c r="AH151" s="57">
        <f ca="1">INDEX(OFFSET('Measure Inputs'!$R$7,,,InputRows),$C151)*$T151*$V151</f>
        <v>0</v>
      </c>
      <c r="AI151" s="57">
        <f ca="1">INDEX(OFFSET('Measure Inputs'!$O$7,,,InputRows),$C151)*$T151</f>
        <v>0</v>
      </c>
      <c r="AJ151" s="57">
        <f ca="1">INDEX(OFFSET('Measure Inputs'!$S$7,,,InputRows),$C151)*$T151</f>
        <v>0</v>
      </c>
      <c r="AK151" s="63">
        <f ca="1">INDEX(OFFSET('Measure Inputs'!$M$7,,,InputRows),$C151)</f>
        <v>5</v>
      </c>
      <c r="AL151" s="88">
        <f ca="1">INDEX(OFFSET('Measure Inputs'!$N$7,,,InputRows),$C151)</f>
        <v>0</v>
      </c>
      <c r="AM151" s="57">
        <f ca="1">SUMIFS(OFFSET('Program Inputs'!$N$5,,,TotalPrograms),OFFSET('Program Inputs'!$B$5,,,TotalPrograms),SUBSTITUTE($B151,"All","*"))+AF151</f>
        <v>0</v>
      </c>
      <c r="AN151" s="57">
        <f t="shared" ca="1" si="365"/>
        <v>0</v>
      </c>
      <c r="AO151" s="55"/>
      <c r="AP151" s="59">
        <f t="shared" ca="1" si="366"/>
        <v>273.02876848072788</v>
      </c>
      <c r="AQ151" s="59">
        <f t="shared" ca="1" si="367"/>
        <v>0</v>
      </c>
      <c r="AR151" s="59">
        <f ca="1">SUMPRODUCT($CA151:$DI151,'General Inputs'!$F$32:$AN$32,'General Inputs'!$F$51:$AN$51)/(1-Loss_ElectricEnergy)</f>
        <v>252.22289690470473</v>
      </c>
      <c r="AS151" s="59">
        <f ca="1">SUMPRODUCT($DK151:$ES151,'General Inputs'!$F$33:$AN$33,'General Inputs'!$F$51:$AN$51)/(1-Loss_ElectricDemand)</f>
        <v>20.80587157602314</v>
      </c>
      <c r="AT151" s="59">
        <f ca="1">SUMPRODUCT($EU151:$GC151,'General Inputs'!$F$34:$AN$34,'General Inputs'!$F$51:$AN$51)/(1-Loss_GasEnergy)</f>
        <v>0</v>
      </c>
      <c r="AU151" s="59">
        <f ca="1">INDEX('General Inputs'!$F$51:$AN$51,MATCH($H151,'General Inputs'!$F$50:$AN$50,0))*$AJ151</f>
        <v>0</v>
      </c>
      <c r="AV151" s="59">
        <f ca="1">INDEX('General Inputs'!$F$51:$AN$51,MATCH($H151,'General Inputs'!$F$50:$AN$50,0))*$AI151</f>
        <v>0</v>
      </c>
      <c r="AW151" s="59">
        <f ca="1">INDEX('General Inputs'!$F$51:$AN$51,MATCH($H151,'General Inputs'!$F$50:$AN$50,0))*$AM151</f>
        <v>0</v>
      </c>
      <c r="AX151" s="59">
        <f ca="1">SUM(INDEX('General Inputs'!$F$51:$AN$51,MATCH($H151,'General Inputs'!$F$50:$AN$50,0))*$AG151,INDEX('General Inputs'!$F$51:$AN$51,MATCH($H151+$AL151,'General Inputs'!$F$50:$AN$50,0))*-$AH151)</f>
        <v>0</v>
      </c>
      <c r="AY151" s="55"/>
      <c r="AZ151" s="59">
        <f ca="1">SUMPRODUCT($CA151:$DI151,'General Inputs'!$F$32:$AN$32,'General Inputs'!$F$52:$AN$52)/(1-Loss_ElectricEnergy)</f>
        <v>252.22289690470473</v>
      </c>
      <c r="BA151" s="59">
        <f ca="1">SUMPRODUCT($DK151:$ES151,'General Inputs'!$F$33:$AN$33,'General Inputs'!$F$52:$AN$52)/(1-Loss_ElectricDemand)</f>
        <v>20.80587157602314</v>
      </c>
      <c r="BB151" s="59">
        <f ca="1">SUMPRODUCT($EU151:$GC151,'General Inputs'!$F$34:$AN$34,'General Inputs'!$F$52:$AN$52)/(1-Loss_GasEnergy)</f>
        <v>0</v>
      </c>
      <c r="BC151" s="59">
        <f ca="1">INDEX('General Inputs'!$F$52:$AN$52,MATCH($H151,'General Inputs'!$F$50:$AN$50,0))*$AI151</f>
        <v>0</v>
      </c>
      <c r="BD151" s="59">
        <f ca="1">INDEX('General Inputs'!$F$52:$AN$52,MATCH($H151,'General Inputs'!$F$50:$AN$50,0))*$AM151</f>
        <v>0</v>
      </c>
      <c r="BE151" s="55"/>
      <c r="BF151" s="59">
        <f ca="1">SUMPRODUCT($CA151:$DI151,OFFSET('General Inputs'!$F$40:$AN$40,MATCH($D151&amp;" Electric ($/kWh)",'General Inputs'!$E$40:$E$46,0),),'General Inputs'!$F$54:$AN$54)</f>
        <v>998.05753349396969</v>
      </c>
      <c r="BG151" s="59">
        <f ca="1">SUMPRODUCT($EU151:$GC151,OFFSET('General Inputs'!$F$40:$AN$40,MATCH($D151&amp;" Natural Gas ($/therm)",'General Inputs'!$E$40:$E$46,0),),'General Inputs'!$F$54:$AN$54)</f>
        <v>0</v>
      </c>
      <c r="BH151" s="59">
        <f ca="1">INDEX('General Inputs'!$F$54:$AN$54,MATCH($H151,'General Inputs'!$F$50:$AN$50,0))*$AI151</f>
        <v>0</v>
      </c>
      <c r="BI151" s="59">
        <f ca="1">SUM(INDEX('General Inputs'!$F$54:$AN$54,MATCH($H151,'General Inputs'!$F$50:$AN$50,0))*$AG151,INDEX('General Inputs'!$F$51:$AN$51,MATCH($H151+$AL151,'General Inputs'!$F$50:$AN$50,0))*-$AH151)</f>
        <v>0</v>
      </c>
      <c r="BJ151" s="55"/>
      <c r="BK151" s="59">
        <f ca="1">SUMPRODUCT($CA151:$DI151,'General Inputs'!$F$32:$AN$32,'General Inputs'!$F$53:$AN$53)/(1-Loss_ElectricEnergy)</f>
        <v>252.22289690470473</v>
      </c>
      <c r="BL151" s="59">
        <f ca="1">SUMPRODUCT($DK151:$ES151,'General Inputs'!$F$33:$AN$33,'General Inputs'!$F$53:$AN$53)/(1-Loss_ElectricDemand)</f>
        <v>20.80587157602314</v>
      </c>
      <c r="BM151" s="59">
        <f ca="1">SUMPRODUCT($EU151:$GC151,'General Inputs'!$F$34:$AN$34,'General Inputs'!$F$53:$AN$53)/(1-Loss_GasEnergy)</f>
        <v>0</v>
      </c>
      <c r="BN151" s="59">
        <f ca="1">INDEX('General Inputs'!$F$53:$AN$53,MATCH($H151,'General Inputs'!$F$50:$AN$50,0))*$AJ151</f>
        <v>0</v>
      </c>
      <c r="BO151" s="59">
        <f ca="1">SUMPRODUCT($CA151:$DI151,'General Inputs'!$F$35:$AN$35,'General Inputs'!$F$53:$AN$53)/(1-Loss_ElectricEnergy)</f>
        <v>100.22016903337948</v>
      </c>
      <c r="BP151" s="59">
        <f ca="1">INDEX('General Inputs'!$F$51:$AN$51,MATCH($H151,'General Inputs'!$F$50:$AN$50,0))*$AM151</f>
        <v>0</v>
      </c>
      <c r="BQ151" s="59">
        <f ca="1">SUM(INDEX('General Inputs'!$F$53:$AN$53,MATCH($H151,'General Inputs'!$F$50:$AN$50,0))*$AG151,INDEX('General Inputs'!$F$53:$AN$53,MATCH($H151+$AL151,'General Inputs'!$F$50:$AN$50,0))*-$AH151)</f>
        <v>0</v>
      </c>
      <c r="BR151" s="55"/>
      <c r="BS151" s="59">
        <f ca="1">SUMPRODUCT($CA151:$DI151,'General Inputs'!$F$32:$AN$32,'General Inputs'!$F$55:$AN$55)/(1-Loss_ElectricEnergy)</f>
        <v>252.22289690470473</v>
      </c>
      <c r="BT151" s="59">
        <f ca="1">SUMPRODUCT($DK151:$ES151,'General Inputs'!$F$33:$AN$33,'General Inputs'!$F$55:$AN$55)/(1-Loss_ElectricDemand)</f>
        <v>20.80587157602314</v>
      </c>
      <c r="BU151" s="59">
        <f ca="1">SUMPRODUCT($EU151:$GC151,'General Inputs'!$F$34:$AN$34,'General Inputs'!$F$55:$AN$55)/(1-Loss_GasEnergy)</f>
        <v>0</v>
      </c>
      <c r="BV151" s="59">
        <f ca="1">SUMPRODUCT($CA151:$DI151,OFFSET('General Inputs'!$F$40:$AN$40,MATCH($D151&amp;" Electric ($/kWh)",'General Inputs'!$E$40:$E$46,0),),'General Inputs'!$F$55:$AN$55)</f>
        <v>998.05753349396969</v>
      </c>
      <c r="BW151" s="59">
        <f ca="1">SUMPRODUCT($EU151:$GC151,OFFSET('General Inputs'!$F$40:$AN$40,MATCH($D151&amp;" Natural Gas ($/therm)",'General Inputs'!$E$40:$E$46,0),),'General Inputs'!$F$55:$AN$55)</f>
        <v>0</v>
      </c>
      <c r="BX151" s="59">
        <f ca="1">INDEX('General Inputs'!$F$55:$AN$55,MATCH($H151,'General Inputs'!$F$50:$AN$50,0))*$AI151</f>
        <v>0</v>
      </c>
      <c r="BY151" s="59">
        <f ca="1">INDEX('General Inputs'!$F$51:$AN$51,MATCH($H151,'General Inputs'!$F$50:$AN$50,0))*$AM151</f>
        <v>0</v>
      </c>
      <c r="BZ151" s="55"/>
      <c r="CA151" s="88">
        <f t="shared" ca="1" si="355"/>
        <v>0</v>
      </c>
      <c r="CB151" s="88">
        <f t="shared" ca="1" si="355"/>
        <v>2145</v>
      </c>
      <c r="CC151" s="88">
        <f t="shared" ca="1" si="355"/>
        <v>2145</v>
      </c>
      <c r="CD151" s="88">
        <f t="shared" ca="1" si="355"/>
        <v>2145</v>
      </c>
      <c r="CE151" s="88">
        <f t="shared" ca="1" si="355"/>
        <v>2145</v>
      </c>
      <c r="CF151" s="88">
        <f t="shared" ca="1" si="355"/>
        <v>2145</v>
      </c>
      <c r="CG151" s="88">
        <f t="shared" ca="1" si="355"/>
        <v>0</v>
      </c>
      <c r="CH151" s="88">
        <f t="shared" ca="1" si="355"/>
        <v>0</v>
      </c>
      <c r="CI151" s="88">
        <f t="shared" ca="1" si="355"/>
        <v>0</v>
      </c>
      <c r="CJ151" s="88">
        <f t="shared" ca="1" si="355"/>
        <v>0</v>
      </c>
      <c r="CK151" s="88">
        <f t="shared" ca="1" si="356"/>
        <v>0</v>
      </c>
      <c r="CL151" s="88">
        <f t="shared" ca="1" si="356"/>
        <v>0</v>
      </c>
      <c r="CM151" s="88">
        <f t="shared" ca="1" si="356"/>
        <v>0</v>
      </c>
      <c r="CN151" s="88">
        <f t="shared" ca="1" si="356"/>
        <v>0</v>
      </c>
      <c r="CO151" s="88">
        <f t="shared" ca="1" si="356"/>
        <v>0</v>
      </c>
      <c r="CP151" s="88">
        <f t="shared" ca="1" si="356"/>
        <v>0</v>
      </c>
      <c r="CQ151" s="88">
        <f t="shared" ca="1" si="356"/>
        <v>0</v>
      </c>
      <c r="CR151" s="88">
        <f t="shared" ca="1" si="356"/>
        <v>0</v>
      </c>
      <c r="CS151" s="88">
        <f t="shared" ca="1" si="356"/>
        <v>0</v>
      </c>
      <c r="CT151" s="88">
        <f t="shared" ca="1" si="356"/>
        <v>0</v>
      </c>
      <c r="CU151" s="88">
        <f t="shared" ca="1" si="357"/>
        <v>0</v>
      </c>
      <c r="CV151" s="88">
        <f t="shared" ca="1" si="357"/>
        <v>0</v>
      </c>
      <c r="CW151" s="88">
        <f t="shared" ca="1" si="357"/>
        <v>0</v>
      </c>
      <c r="CX151" s="88">
        <f t="shared" ca="1" si="357"/>
        <v>0</v>
      </c>
      <c r="CY151" s="88">
        <f t="shared" ca="1" si="357"/>
        <v>0</v>
      </c>
      <c r="CZ151" s="88">
        <f t="shared" ca="1" si="357"/>
        <v>0</v>
      </c>
      <c r="DA151" s="88">
        <f t="shared" ca="1" si="357"/>
        <v>0</v>
      </c>
      <c r="DB151" s="88">
        <f t="shared" ca="1" si="357"/>
        <v>0</v>
      </c>
      <c r="DC151" s="88">
        <f t="shared" ca="1" si="357"/>
        <v>0</v>
      </c>
      <c r="DD151" s="88">
        <f t="shared" ca="1" si="357"/>
        <v>0</v>
      </c>
      <c r="DE151" s="88">
        <f t="shared" ca="1" si="357"/>
        <v>0</v>
      </c>
      <c r="DF151" s="88">
        <f t="shared" ca="1" si="357"/>
        <v>0</v>
      </c>
      <c r="DG151" s="88">
        <f t="shared" ca="1" si="357"/>
        <v>0</v>
      </c>
      <c r="DH151" s="88">
        <f t="shared" ca="1" si="357"/>
        <v>0</v>
      </c>
      <c r="DI151" s="88">
        <f t="shared" ca="1" si="357"/>
        <v>0</v>
      </c>
      <c r="DJ151" s="169"/>
      <c r="DK151" s="88">
        <f t="shared" ca="1" si="358"/>
        <v>0</v>
      </c>
      <c r="DL151" s="88">
        <f t="shared" ca="1" si="358"/>
        <v>0.24600000000000002</v>
      </c>
      <c r="DM151" s="88">
        <f t="shared" ca="1" si="358"/>
        <v>0.24600000000000002</v>
      </c>
      <c r="DN151" s="88">
        <f t="shared" ca="1" si="358"/>
        <v>0.24600000000000002</v>
      </c>
      <c r="DO151" s="88">
        <f t="shared" ca="1" si="358"/>
        <v>0.24600000000000002</v>
      </c>
      <c r="DP151" s="88">
        <f t="shared" ca="1" si="358"/>
        <v>0.24600000000000002</v>
      </c>
      <c r="DQ151" s="88">
        <f t="shared" ca="1" si="358"/>
        <v>0</v>
      </c>
      <c r="DR151" s="88">
        <f t="shared" ca="1" si="358"/>
        <v>0</v>
      </c>
      <c r="DS151" s="88">
        <f t="shared" ca="1" si="358"/>
        <v>0</v>
      </c>
      <c r="DT151" s="88">
        <f t="shared" ca="1" si="358"/>
        <v>0</v>
      </c>
      <c r="DU151" s="88">
        <f t="shared" ca="1" si="359"/>
        <v>0</v>
      </c>
      <c r="DV151" s="88">
        <f t="shared" ca="1" si="359"/>
        <v>0</v>
      </c>
      <c r="DW151" s="88">
        <f t="shared" ca="1" si="359"/>
        <v>0</v>
      </c>
      <c r="DX151" s="88">
        <f t="shared" ca="1" si="359"/>
        <v>0</v>
      </c>
      <c r="DY151" s="88">
        <f t="shared" ca="1" si="359"/>
        <v>0</v>
      </c>
      <c r="DZ151" s="88">
        <f t="shared" ca="1" si="359"/>
        <v>0</v>
      </c>
      <c r="EA151" s="88">
        <f t="shared" ca="1" si="359"/>
        <v>0</v>
      </c>
      <c r="EB151" s="88">
        <f t="shared" ca="1" si="359"/>
        <v>0</v>
      </c>
      <c r="EC151" s="88">
        <f t="shared" ca="1" si="359"/>
        <v>0</v>
      </c>
      <c r="ED151" s="88">
        <f t="shared" ca="1" si="359"/>
        <v>0</v>
      </c>
      <c r="EE151" s="88">
        <f t="shared" ca="1" si="360"/>
        <v>0</v>
      </c>
      <c r="EF151" s="88">
        <f t="shared" ca="1" si="360"/>
        <v>0</v>
      </c>
      <c r="EG151" s="88">
        <f t="shared" ca="1" si="360"/>
        <v>0</v>
      </c>
      <c r="EH151" s="88">
        <f t="shared" ca="1" si="360"/>
        <v>0</v>
      </c>
      <c r="EI151" s="88">
        <f t="shared" ca="1" si="360"/>
        <v>0</v>
      </c>
      <c r="EJ151" s="88">
        <f t="shared" ca="1" si="360"/>
        <v>0</v>
      </c>
      <c r="EK151" s="88">
        <f t="shared" ca="1" si="360"/>
        <v>0</v>
      </c>
      <c r="EL151" s="88">
        <f t="shared" ca="1" si="360"/>
        <v>0</v>
      </c>
      <c r="EM151" s="88">
        <f t="shared" ca="1" si="360"/>
        <v>0</v>
      </c>
      <c r="EN151" s="88">
        <f t="shared" ca="1" si="360"/>
        <v>0</v>
      </c>
      <c r="EO151" s="88">
        <f t="shared" ca="1" si="360"/>
        <v>0</v>
      </c>
      <c r="EP151" s="88">
        <f t="shared" ca="1" si="360"/>
        <v>0</v>
      </c>
      <c r="EQ151" s="88">
        <f t="shared" ca="1" si="360"/>
        <v>0</v>
      </c>
      <c r="ER151" s="88">
        <f t="shared" ca="1" si="360"/>
        <v>0</v>
      </c>
      <c r="ES151" s="88">
        <f t="shared" ca="1" si="360"/>
        <v>0</v>
      </c>
      <c r="ET151" s="169"/>
      <c r="EU151" s="88">
        <f t="shared" ca="1" si="361"/>
        <v>0</v>
      </c>
      <c r="EV151" s="88">
        <f t="shared" ca="1" si="361"/>
        <v>0</v>
      </c>
      <c r="EW151" s="88">
        <f t="shared" ca="1" si="361"/>
        <v>0</v>
      </c>
      <c r="EX151" s="88">
        <f t="shared" ca="1" si="361"/>
        <v>0</v>
      </c>
      <c r="EY151" s="88">
        <f t="shared" ca="1" si="361"/>
        <v>0</v>
      </c>
      <c r="EZ151" s="88">
        <f t="shared" ca="1" si="361"/>
        <v>0</v>
      </c>
      <c r="FA151" s="88">
        <f t="shared" ca="1" si="361"/>
        <v>0</v>
      </c>
      <c r="FB151" s="88">
        <f t="shared" ca="1" si="361"/>
        <v>0</v>
      </c>
      <c r="FC151" s="88">
        <f t="shared" ca="1" si="361"/>
        <v>0</v>
      </c>
      <c r="FD151" s="88">
        <f t="shared" ca="1" si="361"/>
        <v>0</v>
      </c>
      <c r="FE151" s="88">
        <f t="shared" ca="1" si="362"/>
        <v>0</v>
      </c>
      <c r="FF151" s="88">
        <f t="shared" ca="1" si="362"/>
        <v>0</v>
      </c>
      <c r="FG151" s="88">
        <f t="shared" ca="1" si="362"/>
        <v>0</v>
      </c>
      <c r="FH151" s="88">
        <f t="shared" ca="1" si="362"/>
        <v>0</v>
      </c>
      <c r="FI151" s="88">
        <f t="shared" ca="1" si="362"/>
        <v>0</v>
      </c>
      <c r="FJ151" s="88">
        <f t="shared" ca="1" si="362"/>
        <v>0</v>
      </c>
      <c r="FK151" s="88">
        <f t="shared" ca="1" si="362"/>
        <v>0</v>
      </c>
      <c r="FL151" s="88">
        <f t="shared" ca="1" si="362"/>
        <v>0</v>
      </c>
      <c r="FM151" s="88">
        <f t="shared" ca="1" si="362"/>
        <v>0</v>
      </c>
      <c r="FN151" s="88">
        <f t="shared" ca="1" si="362"/>
        <v>0</v>
      </c>
      <c r="FO151" s="88">
        <f t="shared" ca="1" si="363"/>
        <v>0</v>
      </c>
      <c r="FP151" s="88">
        <f t="shared" ca="1" si="363"/>
        <v>0</v>
      </c>
      <c r="FQ151" s="88">
        <f t="shared" ca="1" si="363"/>
        <v>0</v>
      </c>
      <c r="FR151" s="88">
        <f t="shared" ca="1" si="363"/>
        <v>0</v>
      </c>
      <c r="FS151" s="88">
        <f t="shared" ca="1" si="363"/>
        <v>0</v>
      </c>
      <c r="FT151" s="88">
        <f t="shared" ca="1" si="363"/>
        <v>0</v>
      </c>
      <c r="FU151" s="88">
        <f t="shared" ca="1" si="363"/>
        <v>0</v>
      </c>
      <c r="FV151" s="88">
        <f t="shared" ca="1" si="363"/>
        <v>0</v>
      </c>
      <c r="FW151" s="88">
        <f t="shared" ca="1" si="363"/>
        <v>0</v>
      </c>
      <c r="FX151" s="88">
        <f t="shared" ca="1" si="363"/>
        <v>0</v>
      </c>
      <c r="FY151" s="88">
        <f t="shared" ca="1" si="363"/>
        <v>0</v>
      </c>
      <c r="FZ151" s="88">
        <f t="shared" ca="1" si="363"/>
        <v>0</v>
      </c>
      <c r="GA151" s="88">
        <f t="shared" ca="1" si="363"/>
        <v>0</v>
      </c>
      <c r="GB151" s="88">
        <f t="shared" ca="1" si="363"/>
        <v>0</v>
      </c>
      <c r="GC151" s="88">
        <f t="shared" ca="1" si="363"/>
        <v>0</v>
      </c>
      <c r="GD151" s="60"/>
    </row>
    <row r="152" spans="1:186" s="54" customFormat="1" ht="14.45" customHeight="1">
      <c r="A152" s="61"/>
      <c r="B152" s="100" t="str">
        <f t="shared" si="345"/>
        <v>Residential_Weatherization_0_Hot Water Pipe Insulation_2018</v>
      </c>
      <c r="C152" s="100">
        <f>INDEX('Measure Inputs'!$D:$D,MATCH($B152,'Measure Inputs'!$B:$B,0))</f>
        <v>104</v>
      </c>
      <c r="D152" s="101" t="s">
        <v>2</v>
      </c>
      <c r="E152" s="101" t="s">
        <v>253</v>
      </c>
      <c r="F152" s="101">
        <v>0</v>
      </c>
      <c r="G152" s="101" t="s">
        <v>265</v>
      </c>
      <c r="H152" s="101">
        <v>2018</v>
      </c>
      <c r="I152" s="55"/>
      <c r="J152" s="58" t="str">
        <f t="shared" ca="1" si="229"/>
        <v>n/a</v>
      </c>
      <c r="K152" s="58" t="str">
        <f t="shared" ca="1" si="246"/>
        <v>n/a</v>
      </c>
      <c r="L152" s="58" t="str">
        <f t="shared" ca="1" si="230"/>
        <v>n/a</v>
      </c>
      <c r="M152" s="58" t="str">
        <f t="shared" ca="1" si="231"/>
        <v>n/a</v>
      </c>
      <c r="N152" s="58">
        <f t="shared" ca="1" si="232"/>
        <v>0.2734638001882867</v>
      </c>
      <c r="O152" s="55"/>
      <c r="P152" s="175">
        <f ca="1">IFERROR(($AW152+AV152)/SUMPRODUCT($CA152:$DI152,'General Inputs'!$F$51:$AN$51),"n/a")</f>
        <v>0</v>
      </c>
      <c r="Q152" s="175">
        <f t="shared" ca="1" si="309"/>
        <v>0</v>
      </c>
      <c r="R152" s="56">
        <f t="shared" ca="1" si="364"/>
        <v>27.719894520949317</v>
      </c>
      <c r="S152" s="55"/>
      <c r="T152" s="56">
        <f ca="1">INDEX(OFFSET('Measure Inputs'!$L$7,,,InputRows),$C152)</f>
        <v>15</v>
      </c>
      <c r="U152" s="134">
        <f ca="1">INDEX(OFFSET('Measure Inputs'!$T$7,,,InputRows),$C152)</f>
        <v>1</v>
      </c>
      <c r="V152" s="134">
        <f ca="1">INDEX(OFFSET('Measure Inputs'!$U$7,,,InputRows),$C152)</f>
        <v>1</v>
      </c>
      <c r="W152" s="55"/>
      <c r="X152" s="96">
        <f ca="1">INDEX(OFFSET('Measure Inputs'!$V$7,,,InputRows),$C152)*$T152*$V152*$U152</f>
        <v>1847.9929680632874</v>
      </c>
      <c r="Y152" s="96">
        <f ca="1">INDEX(OFFSET('Measure Inputs'!$W$7,,,InputRows),$C152)*$T152*$V152*$U152</f>
        <v>0.21095810137708759</v>
      </c>
      <c r="Z152" s="96">
        <f ca="1">INDEX(OFFSET('Measure Inputs'!$X$7,,,InputRows),$C152)*$T152*$V152*$U152</f>
        <v>0</v>
      </c>
      <c r="AA152" s="55"/>
      <c r="AB152" s="96">
        <f ca="1">INDEX(OFFSET('Measure Inputs'!$Z$7,,,InputRows),$C152)*$T152*$V152*$U152</f>
        <v>0</v>
      </c>
      <c r="AC152" s="96">
        <f ca="1">INDEX(OFFSET('Measure Inputs'!$AA$7,,,InputRows),$C152)*$T152*$V152*$U152</f>
        <v>0</v>
      </c>
      <c r="AD152" s="96">
        <f ca="1">INDEX(OFFSET('Measure Inputs'!$AB$7,,,InputRows),$C152)*$T152*$V152*$U152</f>
        <v>0</v>
      </c>
      <c r="AE152" s="55"/>
      <c r="AF152" s="57">
        <f ca="1">INDEX(OFFSET('Measure Inputs'!$Q$7,,,InputRows),$C152)*$T152</f>
        <v>0</v>
      </c>
      <c r="AG152" s="57">
        <f ca="1">INDEX(OFFSET('Measure Inputs'!$P$7,,,InputRows),$C152)*$T152*$V152</f>
        <v>0</v>
      </c>
      <c r="AH152" s="57">
        <f ca="1">INDEX(OFFSET('Measure Inputs'!$R$7,,,InputRows),$C152)*$T152*$V152</f>
        <v>0</v>
      </c>
      <c r="AI152" s="57">
        <f ca="1">INDEX(OFFSET('Measure Inputs'!$O$7,,,InputRows),$C152)*$T152</f>
        <v>0</v>
      </c>
      <c r="AJ152" s="57">
        <f ca="1">INDEX(OFFSET('Measure Inputs'!$S$7,,,InputRows),$C152)*$T152</f>
        <v>0</v>
      </c>
      <c r="AK152" s="63">
        <f ca="1">INDEX(OFFSET('Measure Inputs'!$M$7,,,InputRows),$C152)</f>
        <v>15</v>
      </c>
      <c r="AL152" s="88">
        <f ca="1">INDEX(OFFSET('Measure Inputs'!$N$7,,,InputRows),$C152)</f>
        <v>0</v>
      </c>
      <c r="AM152" s="57">
        <f ca="1">SUMIFS(OFFSET('Program Inputs'!$N$5,,,TotalPrograms),OFFSET('Program Inputs'!$B$5,,,TotalPrograms),SUBSTITUTE($B152,"All","*"))+AF152</f>
        <v>0</v>
      </c>
      <c r="AN152" s="57">
        <f t="shared" ca="1" si="365"/>
        <v>0</v>
      </c>
      <c r="AO152" s="55"/>
      <c r="AP152" s="59">
        <f t="shared" ca="1" si="366"/>
        <v>517.96905920070719</v>
      </c>
      <c r="AQ152" s="59">
        <f t="shared" ca="1" si="367"/>
        <v>0</v>
      </c>
      <c r="AR152" s="59">
        <f ca="1">SUMPRODUCT($CA152:$DI152,'General Inputs'!$F$32:$AN$32,'General Inputs'!$F$51:$AN$51)/(1-Loss_ElectricEnergy)</f>
        <v>478.6663586061469</v>
      </c>
      <c r="AS152" s="59">
        <f ca="1">SUMPRODUCT($DK152:$ES152,'General Inputs'!$F$33:$AN$33,'General Inputs'!$F$51:$AN$51)/(1-Loss_ElectricDemand)</f>
        <v>39.302700594560335</v>
      </c>
      <c r="AT152" s="59">
        <f ca="1">SUMPRODUCT($EU152:$GC152,'General Inputs'!$F$34:$AN$34,'General Inputs'!$F$51:$AN$51)/(1-Loss_GasEnergy)</f>
        <v>0</v>
      </c>
      <c r="AU152" s="59">
        <f ca="1">INDEX('General Inputs'!$F$51:$AN$51,MATCH($H152,'General Inputs'!$F$50:$AN$50,0))*$AJ152</f>
        <v>0</v>
      </c>
      <c r="AV152" s="59">
        <f ca="1">INDEX('General Inputs'!$F$51:$AN$51,MATCH($H152,'General Inputs'!$F$50:$AN$50,0))*$AI152</f>
        <v>0</v>
      </c>
      <c r="AW152" s="59">
        <f ca="1">INDEX('General Inputs'!$F$51:$AN$51,MATCH($H152,'General Inputs'!$F$50:$AN$50,0))*$AM152</f>
        <v>0</v>
      </c>
      <c r="AX152" s="59">
        <f ca="1">SUM(INDEX('General Inputs'!$F$51:$AN$51,MATCH($H152,'General Inputs'!$F$50:$AN$50,0))*$AG152,INDEX('General Inputs'!$F$51:$AN$51,MATCH($H152+$AL152,'General Inputs'!$F$50:$AN$50,0))*-$AH152)</f>
        <v>0</v>
      </c>
      <c r="AY152" s="55"/>
      <c r="AZ152" s="59">
        <f ca="1">SUMPRODUCT($CA152:$DI152,'General Inputs'!$F$32:$AN$32,'General Inputs'!$F$52:$AN$52)/(1-Loss_ElectricEnergy)</f>
        <v>478.6663586061469</v>
      </c>
      <c r="BA152" s="59">
        <f ca="1">SUMPRODUCT($DK152:$ES152,'General Inputs'!$F$33:$AN$33,'General Inputs'!$F$52:$AN$52)/(1-Loss_ElectricDemand)</f>
        <v>39.302700594560335</v>
      </c>
      <c r="BB152" s="59">
        <f ca="1">SUMPRODUCT($EU152:$GC152,'General Inputs'!$F$34:$AN$34,'General Inputs'!$F$52:$AN$52)/(1-Loss_GasEnergy)</f>
        <v>0</v>
      </c>
      <c r="BC152" s="59">
        <f ca="1">INDEX('General Inputs'!$F$52:$AN$52,MATCH($H152,'General Inputs'!$F$50:$AN$50,0))*$AI152</f>
        <v>0</v>
      </c>
      <c r="BD152" s="59">
        <f ca="1">INDEX('General Inputs'!$F$52:$AN$52,MATCH($H152,'General Inputs'!$F$50:$AN$50,0))*$AM152</f>
        <v>0</v>
      </c>
      <c r="BE152" s="55"/>
      <c r="BF152" s="59">
        <f ca="1">SUMPRODUCT($CA152:$DI152,OFFSET('General Inputs'!$F$40:$AN$40,MATCH($D152&amp;" Electric ($/kWh)",'General Inputs'!$E$40:$E$46,0),),'General Inputs'!$F$54:$AN$54)</f>
        <v>1894.104663374357</v>
      </c>
      <c r="BG152" s="59">
        <f ca="1">SUMPRODUCT($EU152:$GC152,OFFSET('General Inputs'!$F$40:$AN$40,MATCH($D152&amp;" Natural Gas ($/therm)",'General Inputs'!$E$40:$E$46,0),),'General Inputs'!$F$54:$AN$54)</f>
        <v>0</v>
      </c>
      <c r="BH152" s="59">
        <f ca="1">INDEX('General Inputs'!$F$54:$AN$54,MATCH($H152,'General Inputs'!$F$50:$AN$50,0))*$AI152</f>
        <v>0</v>
      </c>
      <c r="BI152" s="59">
        <f ca="1">SUM(INDEX('General Inputs'!$F$54:$AN$54,MATCH($H152,'General Inputs'!$F$50:$AN$50,0))*$AG152,INDEX('General Inputs'!$F$51:$AN$51,MATCH($H152+$AL152,'General Inputs'!$F$50:$AN$50,0))*-$AH152)</f>
        <v>0</v>
      </c>
      <c r="BJ152" s="55"/>
      <c r="BK152" s="59">
        <f ca="1">SUMPRODUCT($CA152:$DI152,'General Inputs'!$F$32:$AN$32,'General Inputs'!$F$53:$AN$53)/(1-Loss_ElectricEnergy)</f>
        <v>478.6663586061469</v>
      </c>
      <c r="BL152" s="59">
        <f ca="1">SUMPRODUCT($DK152:$ES152,'General Inputs'!$F$33:$AN$33,'General Inputs'!$F$53:$AN$53)/(1-Loss_ElectricDemand)</f>
        <v>39.302700594560335</v>
      </c>
      <c r="BM152" s="59">
        <f ca="1">SUMPRODUCT($EU152:$GC152,'General Inputs'!$F$34:$AN$34,'General Inputs'!$F$53:$AN$53)/(1-Loss_GasEnergy)</f>
        <v>0</v>
      </c>
      <c r="BN152" s="59">
        <f ca="1">INDEX('General Inputs'!$F$53:$AN$53,MATCH($H152,'General Inputs'!$F$50:$AN$50,0))*$AJ152</f>
        <v>0</v>
      </c>
      <c r="BO152" s="59">
        <f ca="1">SUMPRODUCT($CA152:$DI152,'General Inputs'!$F$35:$AN$35,'General Inputs'!$F$53:$AN$53)/(1-Loss_ElectricEnergy)</f>
        <v>179.88606998279448</v>
      </c>
      <c r="BP152" s="59">
        <f ca="1">INDEX('General Inputs'!$F$51:$AN$51,MATCH($H152,'General Inputs'!$F$50:$AN$50,0))*$AM152</f>
        <v>0</v>
      </c>
      <c r="BQ152" s="59">
        <f ca="1">SUM(INDEX('General Inputs'!$F$53:$AN$53,MATCH($H152,'General Inputs'!$F$50:$AN$50,0))*$AG152,INDEX('General Inputs'!$F$53:$AN$53,MATCH($H152+$AL152,'General Inputs'!$F$50:$AN$50,0))*-$AH152)</f>
        <v>0</v>
      </c>
      <c r="BR152" s="55"/>
      <c r="BS152" s="59">
        <f ca="1">SUMPRODUCT($CA152:$DI152,'General Inputs'!$F$32:$AN$32,'General Inputs'!$F$55:$AN$55)/(1-Loss_ElectricEnergy)</f>
        <v>478.6663586061469</v>
      </c>
      <c r="BT152" s="59">
        <f ca="1">SUMPRODUCT($DK152:$ES152,'General Inputs'!$F$33:$AN$33,'General Inputs'!$F$55:$AN$55)/(1-Loss_ElectricDemand)</f>
        <v>39.302700594560335</v>
      </c>
      <c r="BU152" s="59">
        <f ca="1">SUMPRODUCT($EU152:$GC152,'General Inputs'!$F$34:$AN$34,'General Inputs'!$F$55:$AN$55)/(1-Loss_GasEnergy)</f>
        <v>0</v>
      </c>
      <c r="BV152" s="59">
        <f ca="1">SUMPRODUCT($CA152:$DI152,OFFSET('General Inputs'!$F$40:$AN$40,MATCH($D152&amp;" Electric ($/kWh)",'General Inputs'!$E$40:$E$46,0),),'General Inputs'!$F$55:$AN$55)</f>
        <v>1894.104663374357</v>
      </c>
      <c r="BW152" s="59">
        <f ca="1">SUMPRODUCT($EU152:$GC152,OFFSET('General Inputs'!$F$40:$AN$40,MATCH($D152&amp;" Natural Gas ($/therm)",'General Inputs'!$E$40:$E$46,0),),'General Inputs'!$F$55:$AN$55)</f>
        <v>0</v>
      </c>
      <c r="BX152" s="59">
        <f ca="1">INDEX('General Inputs'!$F$55:$AN$55,MATCH($H152,'General Inputs'!$F$50:$AN$50,0))*$AI152</f>
        <v>0</v>
      </c>
      <c r="BY152" s="59">
        <f ca="1">INDEX('General Inputs'!$F$51:$AN$51,MATCH($H152,'General Inputs'!$F$50:$AN$50,0))*$AM152</f>
        <v>0</v>
      </c>
      <c r="BZ152" s="55"/>
      <c r="CA152" s="88">
        <f t="shared" ca="1" si="355"/>
        <v>0</v>
      </c>
      <c r="CB152" s="88">
        <f t="shared" ca="1" si="355"/>
        <v>1847.9929680632874</v>
      </c>
      <c r="CC152" s="88">
        <f t="shared" ca="1" si="355"/>
        <v>1847.9929680632874</v>
      </c>
      <c r="CD152" s="88">
        <f t="shared" ca="1" si="355"/>
        <v>1847.9929680632874</v>
      </c>
      <c r="CE152" s="88">
        <f t="shared" ca="1" si="355"/>
        <v>1847.9929680632874</v>
      </c>
      <c r="CF152" s="88">
        <f t="shared" ca="1" si="355"/>
        <v>1847.9929680632874</v>
      </c>
      <c r="CG152" s="88">
        <f t="shared" ca="1" si="355"/>
        <v>1847.9929680632874</v>
      </c>
      <c r="CH152" s="88">
        <f t="shared" ca="1" si="355"/>
        <v>1847.9929680632874</v>
      </c>
      <c r="CI152" s="88">
        <f t="shared" ca="1" si="355"/>
        <v>1847.9929680632874</v>
      </c>
      <c r="CJ152" s="88">
        <f t="shared" ca="1" si="355"/>
        <v>1847.9929680632874</v>
      </c>
      <c r="CK152" s="88">
        <f t="shared" ca="1" si="356"/>
        <v>1847.9929680632874</v>
      </c>
      <c r="CL152" s="88">
        <f t="shared" ca="1" si="356"/>
        <v>1847.9929680632874</v>
      </c>
      <c r="CM152" s="88">
        <f t="shared" ca="1" si="356"/>
        <v>1847.9929680632874</v>
      </c>
      <c r="CN152" s="88">
        <f t="shared" ca="1" si="356"/>
        <v>1847.9929680632874</v>
      </c>
      <c r="CO152" s="88">
        <f t="shared" ca="1" si="356"/>
        <v>1847.9929680632874</v>
      </c>
      <c r="CP152" s="88">
        <f t="shared" ca="1" si="356"/>
        <v>1847.9929680632874</v>
      </c>
      <c r="CQ152" s="88">
        <f t="shared" ca="1" si="356"/>
        <v>0</v>
      </c>
      <c r="CR152" s="88">
        <f t="shared" ca="1" si="356"/>
        <v>0</v>
      </c>
      <c r="CS152" s="88">
        <f t="shared" ca="1" si="356"/>
        <v>0</v>
      </c>
      <c r="CT152" s="88">
        <f t="shared" ca="1" si="356"/>
        <v>0</v>
      </c>
      <c r="CU152" s="88">
        <f t="shared" ca="1" si="357"/>
        <v>0</v>
      </c>
      <c r="CV152" s="88">
        <f t="shared" ca="1" si="357"/>
        <v>0</v>
      </c>
      <c r="CW152" s="88">
        <f t="shared" ca="1" si="357"/>
        <v>0</v>
      </c>
      <c r="CX152" s="88">
        <f t="shared" ca="1" si="357"/>
        <v>0</v>
      </c>
      <c r="CY152" s="88">
        <f t="shared" ca="1" si="357"/>
        <v>0</v>
      </c>
      <c r="CZ152" s="88">
        <f t="shared" ca="1" si="357"/>
        <v>0</v>
      </c>
      <c r="DA152" s="88">
        <f t="shared" ca="1" si="357"/>
        <v>0</v>
      </c>
      <c r="DB152" s="88">
        <f t="shared" ca="1" si="357"/>
        <v>0</v>
      </c>
      <c r="DC152" s="88">
        <f t="shared" ca="1" si="357"/>
        <v>0</v>
      </c>
      <c r="DD152" s="88">
        <f t="shared" ca="1" si="357"/>
        <v>0</v>
      </c>
      <c r="DE152" s="88">
        <f t="shared" ca="1" si="357"/>
        <v>0</v>
      </c>
      <c r="DF152" s="88">
        <f t="shared" ca="1" si="357"/>
        <v>0</v>
      </c>
      <c r="DG152" s="88">
        <f t="shared" ca="1" si="357"/>
        <v>0</v>
      </c>
      <c r="DH152" s="88">
        <f t="shared" ca="1" si="357"/>
        <v>0</v>
      </c>
      <c r="DI152" s="88">
        <f t="shared" ca="1" si="357"/>
        <v>0</v>
      </c>
      <c r="DJ152" s="169"/>
      <c r="DK152" s="88">
        <f t="shared" ca="1" si="358"/>
        <v>0</v>
      </c>
      <c r="DL152" s="88">
        <f t="shared" ca="1" si="358"/>
        <v>0.21095810137708759</v>
      </c>
      <c r="DM152" s="88">
        <f t="shared" ca="1" si="358"/>
        <v>0.21095810137708759</v>
      </c>
      <c r="DN152" s="88">
        <f t="shared" ca="1" si="358"/>
        <v>0.21095810137708759</v>
      </c>
      <c r="DO152" s="88">
        <f t="shared" ca="1" si="358"/>
        <v>0.21095810137708759</v>
      </c>
      <c r="DP152" s="88">
        <f t="shared" ca="1" si="358"/>
        <v>0.21095810137708759</v>
      </c>
      <c r="DQ152" s="88">
        <f t="shared" ca="1" si="358"/>
        <v>0.21095810137708759</v>
      </c>
      <c r="DR152" s="88">
        <f t="shared" ca="1" si="358"/>
        <v>0.21095810137708759</v>
      </c>
      <c r="DS152" s="88">
        <f t="shared" ca="1" si="358"/>
        <v>0.21095810137708759</v>
      </c>
      <c r="DT152" s="88">
        <f t="shared" ca="1" si="358"/>
        <v>0.21095810137708759</v>
      </c>
      <c r="DU152" s="88">
        <f t="shared" ca="1" si="359"/>
        <v>0.21095810137708759</v>
      </c>
      <c r="DV152" s="88">
        <f t="shared" ca="1" si="359"/>
        <v>0.21095810137708759</v>
      </c>
      <c r="DW152" s="88">
        <f t="shared" ca="1" si="359"/>
        <v>0.21095810137708759</v>
      </c>
      <c r="DX152" s="88">
        <f t="shared" ca="1" si="359"/>
        <v>0.21095810137708759</v>
      </c>
      <c r="DY152" s="88">
        <f t="shared" ca="1" si="359"/>
        <v>0.21095810137708759</v>
      </c>
      <c r="DZ152" s="88">
        <f t="shared" ca="1" si="359"/>
        <v>0.21095810137708759</v>
      </c>
      <c r="EA152" s="88">
        <f t="shared" ca="1" si="359"/>
        <v>0</v>
      </c>
      <c r="EB152" s="88">
        <f t="shared" ca="1" si="359"/>
        <v>0</v>
      </c>
      <c r="EC152" s="88">
        <f t="shared" ca="1" si="359"/>
        <v>0</v>
      </c>
      <c r="ED152" s="88">
        <f t="shared" ca="1" si="359"/>
        <v>0</v>
      </c>
      <c r="EE152" s="88">
        <f t="shared" ca="1" si="360"/>
        <v>0</v>
      </c>
      <c r="EF152" s="88">
        <f t="shared" ca="1" si="360"/>
        <v>0</v>
      </c>
      <c r="EG152" s="88">
        <f t="shared" ca="1" si="360"/>
        <v>0</v>
      </c>
      <c r="EH152" s="88">
        <f t="shared" ca="1" si="360"/>
        <v>0</v>
      </c>
      <c r="EI152" s="88">
        <f t="shared" ca="1" si="360"/>
        <v>0</v>
      </c>
      <c r="EJ152" s="88">
        <f t="shared" ca="1" si="360"/>
        <v>0</v>
      </c>
      <c r="EK152" s="88">
        <f t="shared" ca="1" si="360"/>
        <v>0</v>
      </c>
      <c r="EL152" s="88">
        <f t="shared" ca="1" si="360"/>
        <v>0</v>
      </c>
      <c r="EM152" s="88">
        <f t="shared" ca="1" si="360"/>
        <v>0</v>
      </c>
      <c r="EN152" s="88">
        <f t="shared" ca="1" si="360"/>
        <v>0</v>
      </c>
      <c r="EO152" s="88">
        <f t="shared" ca="1" si="360"/>
        <v>0</v>
      </c>
      <c r="EP152" s="88">
        <f t="shared" ca="1" si="360"/>
        <v>0</v>
      </c>
      <c r="EQ152" s="88">
        <f t="shared" ca="1" si="360"/>
        <v>0</v>
      </c>
      <c r="ER152" s="88">
        <f t="shared" ca="1" si="360"/>
        <v>0</v>
      </c>
      <c r="ES152" s="88">
        <f t="shared" ca="1" si="360"/>
        <v>0</v>
      </c>
      <c r="ET152" s="169"/>
      <c r="EU152" s="88">
        <f t="shared" ca="1" si="361"/>
        <v>0</v>
      </c>
      <c r="EV152" s="88">
        <f t="shared" ca="1" si="361"/>
        <v>0</v>
      </c>
      <c r="EW152" s="88">
        <f t="shared" ca="1" si="361"/>
        <v>0</v>
      </c>
      <c r="EX152" s="88">
        <f t="shared" ca="1" si="361"/>
        <v>0</v>
      </c>
      <c r="EY152" s="88">
        <f t="shared" ca="1" si="361"/>
        <v>0</v>
      </c>
      <c r="EZ152" s="88">
        <f t="shared" ca="1" si="361"/>
        <v>0</v>
      </c>
      <c r="FA152" s="88">
        <f t="shared" ca="1" si="361"/>
        <v>0</v>
      </c>
      <c r="FB152" s="88">
        <f t="shared" ca="1" si="361"/>
        <v>0</v>
      </c>
      <c r="FC152" s="88">
        <f t="shared" ca="1" si="361"/>
        <v>0</v>
      </c>
      <c r="FD152" s="88">
        <f t="shared" ca="1" si="361"/>
        <v>0</v>
      </c>
      <c r="FE152" s="88">
        <f t="shared" ca="1" si="362"/>
        <v>0</v>
      </c>
      <c r="FF152" s="88">
        <f t="shared" ca="1" si="362"/>
        <v>0</v>
      </c>
      <c r="FG152" s="88">
        <f t="shared" ca="1" si="362"/>
        <v>0</v>
      </c>
      <c r="FH152" s="88">
        <f t="shared" ca="1" si="362"/>
        <v>0</v>
      </c>
      <c r="FI152" s="88">
        <f t="shared" ca="1" si="362"/>
        <v>0</v>
      </c>
      <c r="FJ152" s="88">
        <f t="shared" ca="1" si="362"/>
        <v>0</v>
      </c>
      <c r="FK152" s="88">
        <f t="shared" ca="1" si="362"/>
        <v>0</v>
      </c>
      <c r="FL152" s="88">
        <f t="shared" ca="1" si="362"/>
        <v>0</v>
      </c>
      <c r="FM152" s="88">
        <f t="shared" ca="1" si="362"/>
        <v>0</v>
      </c>
      <c r="FN152" s="88">
        <f t="shared" ca="1" si="362"/>
        <v>0</v>
      </c>
      <c r="FO152" s="88">
        <f t="shared" ca="1" si="363"/>
        <v>0</v>
      </c>
      <c r="FP152" s="88">
        <f t="shared" ca="1" si="363"/>
        <v>0</v>
      </c>
      <c r="FQ152" s="88">
        <f t="shared" ca="1" si="363"/>
        <v>0</v>
      </c>
      <c r="FR152" s="88">
        <f t="shared" ca="1" si="363"/>
        <v>0</v>
      </c>
      <c r="FS152" s="88">
        <f t="shared" ca="1" si="363"/>
        <v>0</v>
      </c>
      <c r="FT152" s="88">
        <f t="shared" ca="1" si="363"/>
        <v>0</v>
      </c>
      <c r="FU152" s="88">
        <f t="shared" ca="1" si="363"/>
        <v>0</v>
      </c>
      <c r="FV152" s="88">
        <f t="shared" ca="1" si="363"/>
        <v>0</v>
      </c>
      <c r="FW152" s="88">
        <f t="shared" ca="1" si="363"/>
        <v>0</v>
      </c>
      <c r="FX152" s="88">
        <f t="shared" ca="1" si="363"/>
        <v>0</v>
      </c>
      <c r="FY152" s="88">
        <f t="shared" ca="1" si="363"/>
        <v>0</v>
      </c>
      <c r="FZ152" s="88">
        <f t="shared" ca="1" si="363"/>
        <v>0</v>
      </c>
      <c r="GA152" s="88">
        <f t="shared" ca="1" si="363"/>
        <v>0</v>
      </c>
      <c r="GB152" s="88">
        <f t="shared" ca="1" si="363"/>
        <v>0</v>
      </c>
      <c r="GC152" s="88">
        <f t="shared" ca="1" si="363"/>
        <v>0</v>
      </c>
      <c r="GD152" s="60"/>
    </row>
    <row r="153" spans="1:186" s="54" customFormat="1" ht="14.45" customHeight="1">
      <c r="A153" s="61"/>
      <c r="B153" s="100" t="str">
        <f t="shared" si="345"/>
        <v>Residential_Weatherization_0_Water Heater Temperature Setback_2018</v>
      </c>
      <c r="C153" s="100">
        <f>INDEX('Measure Inputs'!$D:$D,MATCH($B153,'Measure Inputs'!$B:$B,0))</f>
        <v>105</v>
      </c>
      <c r="D153" s="101" t="s">
        <v>2</v>
      </c>
      <c r="E153" s="101" t="s">
        <v>253</v>
      </c>
      <c r="F153" s="101">
        <v>0</v>
      </c>
      <c r="G153" s="101" t="s">
        <v>271</v>
      </c>
      <c r="H153" s="101">
        <v>2018</v>
      </c>
      <c r="I153" s="55"/>
      <c r="J153" s="58" t="str">
        <f t="shared" ca="1" si="229"/>
        <v>n/a</v>
      </c>
      <c r="K153" s="58" t="str">
        <f t="shared" ca="1" si="246"/>
        <v>n/a</v>
      </c>
      <c r="L153" s="58" t="str">
        <f t="shared" ca="1" si="230"/>
        <v>n/a</v>
      </c>
      <c r="M153" s="58" t="str">
        <f t="shared" ca="1" si="231"/>
        <v>n/a</v>
      </c>
      <c r="N153" s="58">
        <f t="shared" ca="1" si="232"/>
        <v>0.27344959757691045</v>
      </c>
      <c r="O153" s="55"/>
      <c r="P153" s="175">
        <f ca="1">IFERROR(($AW153+AV153)/SUMPRODUCT($CA153:$DI153,'General Inputs'!$F$51:$AN$51),"n/a")</f>
        <v>0</v>
      </c>
      <c r="Q153" s="175">
        <f t="shared" ca="1" si="309"/>
        <v>0</v>
      </c>
      <c r="R153" s="56">
        <f t="shared" ca="1" si="364"/>
        <v>1.513140121300572</v>
      </c>
      <c r="S153" s="55"/>
      <c r="T153" s="56">
        <f ca="1">INDEX(OFFSET('Measure Inputs'!$L$7,,,InputRows),$C153)</f>
        <v>15</v>
      </c>
      <c r="U153" s="134">
        <f ca="1">INDEX(OFFSET('Measure Inputs'!$T$7,,,InputRows),$C153)</f>
        <v>1</v>
      </c>
      <c r="V153" s="134">
        <f ca="1">INDEX(OFFSET('Measure Inputs'!$U$7,,,InputRows),$C153)</f>
        <v>1</v>
      </c>
      <c r="W153" s="55"/>
      <c r="X153" s="96">
        <f ca="1">INDEX(OFFSET('Measure Inputs'!$V$7,,,InputRows),$C153)*$T153*$V153*$U153</f>
        <v>756.570060650286</v>
      </c>
      <c r="Y153" s="96">
        <f ca="1">INDEX(OFFSET('Measure Inputs'!$W$7,,,InputRows),$C153)*$T153*$V153*$U153</f>
        <v>8.6307330669665297E-2</v>
      </c>
      <c r="Z153" s="96">
        <f ca="1">INDEX(OFFSET('Measure Inputs'!$X$7,,,InputRows),$C153)*$T153*$V153*$U153</f>
        <v>0</v>
      </c>
      <c r="AA153" s="55"/>
      <c r="AB153" s="96">
        <f ca="1">INDEX(OFFSET('Measure Inputs'!$Z$7,,,InputRows),$C153)*$T153*$V153*$U153</f>
        <v>0</v>
      </c>
      <c r="AC153" s="96">
        <f ca="1">INDEX(OFFSET('Measure Inputs'!$AA$7,,,InputRows),$C153)*$T153*$V153*$U153</f>
        <v>0</v>
      </c>
      <c r="AD153" s="96">
        <f ca="1">INDEX(OFFSET('Measure Inputs'!$AB$7,,,InputRows),$C153)*$T153*$V153*$U153</f>
        <v>0</v>
      </c>
      <c r="AE153" s="55"/>
      <c r="AF153" s="57">
        <f ca="1">INDEX(OFFSET('Measure Inputs'!$Q$7,,,InputRows),$C153)*$T153</f>
        <v>0</v>
      </c>
      <c r="AG153" s="57">
        <f ca="1">INDEX(OFFSET('Measure Inputs'!$P$7,,,InputRows),$C153)*$T153*$V153</f>
        <v>0</v>
      </c>
      <c r="AH153" s="57">
        <f ca="1">INDEX(OFFSET('Measure Inputs'!$R$7,,,InputRows),$C153)*$T153*$V153</f>
        <v>0</v>
      </c>
      <c r="AI153" s="57">
        <f ca="1">INDEX(OFFSET('Measure Inputs'!$O$7,,,InputRows),$C153)*$T153</f>
        <v>0</v>
      </c>
      <c r="AJ153" s="57">
        <f ca="1">INDEX(OFFSET('Measure Inputs'!$S$7,,,InputRows),$C153)*$T153</f>
        <v>0</v>
      </c>
      <c r="AK153" s="63">
        <f ca="1">INDEX(OFFSET('Measure Inputs'!$M$7,,,InputRows),$C153)</f>
        <v>2</v>
      </c>
      <c r="AL153" s="88">
        <f ca="1">INDEX(OFFSET('Measure Inputs'!$N$7,,,InputRows),$C153)</f>
        <v>0</v>
      </c>
      <c r="AM153" s="57">
        <f ca="1">SUMIFS(OFFSET('Program Inputs'!$N$5,,,TotalPrograms),OFFSET('Program Inputs'!$B$5,,,TotalPrograms),SUBSTITUTE($B153,"All","*"))+AF153</f>
        <v>0</v>
      </c>
      <c r="AN153" s="57">
        <f t="shared" ca="1" si="365"/>
        <v>0</v>
      </c>
      <c r="AO153" s="55"/>
      <c r="AP153" s="59">
        <f t="shared" ca="1" si="366"/>
        <v>42.574361772815088</v>
      </c>
      <c r="AQ153" s="59">
        <f t="shared" ca="1" si="367"/>
        <v>0</v>
      </c>
      <c r="AR153" s="59">
        <f ca="1">SUMPRODUCT($CA153:$DI153,'General Inputs'!$F$32:$AN$32,'General Inputs'!$F$51:$AN$51)/(1-Loss_ElectricEnergy)</f>
        <v>39.345927737789374</v>
      </c>
      <c r="AS153" s="59">
        <f ca="1">SUMPRODUCT($DK153:$ES153,'General Inputs'!$F$33:$AN$33,'General Inputs'!$F$51:$AN$51)/(1-Loss_ElectricDemand)</f>
        <v>3.2284340350257148</v>
      </c>
      <c r="AT153" s="59">
        <f ca="1">SUMPRODUCT($EU153:$GC153,'General Inputs'!$F$34:$AN$34,'General Inputs'!$F$51:$AN$51)/(1-Loss_GasEnergy)</f>
        <v>0</v>
      </c>
      <c r="AU153" s="59">
        <f ca="1">INDEX('General Inputs'!$F$51:$AN$51,MATCH($H153,'General Inputs'!$F$50:$AN$50,0))*$AJ153</f>
        <v>0</v>
      </c>
      <c r="AV153" s="59">
        <f ca="1">INDEX('General Inputs'!$F$51:$AN$51,MATCH($H153,'General Inputs'!$F$50:$AN$50,0))*$AI153</f>
        <v>0</v>
      </c>
      <c r="AW153" s="59">
        <f ca="1">INDEX('General Inputs'!$F$51:$AN$51,MATCH($H153,'General Inputs'!$F$50:$AN$50,0))*$AM153</f>
        <v>0</v>
      </c>
      <c r="AX153" s="59">
        <f ca="1">SUM(INDEX('General Inputs'!$F$51:$AN$51,MATCH($H153,'General Inputs'!$F$50:$AN$50,0))*$AG153,INDEX('General Inputs'!$F$51:$AN$51,MATCH($H153+$AL153,'General Inputs'!$F$50:$AN$50,0))*-$AH153)</f>
        <v>0</v>
      </c>
      <c r="AY153" s="55"/>
      <c r="AZ153" s="59">
        <f ca="1">SUMPRODUCT($CA153:$DI153,'General Inputs'!$F$32:$AN$32,'General Inputs'!$F$52:$AN$52)/(1-Loss_ElectricEnergy)</f>
        <v>39.345927737789374</v>
      </c>
      <c r="BA153" s="59">
        <f ca="1">SUMPRODUCT($DK153:$ES153,'General Inputs'!$F$33:$AN$33,'General Inputs'!$F$52:$AN$52)/(1-Loss_ElectricDemand)</f>
        <v>3.2284340350257148</v>
      </c>
      <c r="BB153" s="59">
        <f ca="1">SUMPRODUCT($EU153:$GC153,'General Inputs'!$F$34:$AN$34,'General Inputs'!$F$52:$AN$52)/(1-Loss_GasEnergy)</f>
        <v>0</v>
      </c>
      <c r="BC153" s="59">
        <f ca="1">INDEX('General Inputs'!$F$52:$AN$52,MATCH($H153,'General Inputs'!$F$50:$AN$50,0))*$AI153</f>
        <v>0</v>
      </c>
      <c r="BD153" s="59">
        <f ca="1">INDEX('General Inputs'!$F$52:$AN$52,MATCH($H153,'General Inputs'!$F$50:$AN$50,0))*$AM153</f>
        <v>0</v>
      </c>
      <c r="BE153" s="55"/>
      <c r="BF153" s="59">
        <f ca="1">SUMPRODUCT($CA153:$DI153,OFFSET('General Inputs'!$F$40:$AN$40,MATCH($D153&amp;" Electric ($/kWh)",'General Inputs'!$E$40:$E$46,0),),'General Inputs'!$F$54:$AN$54)</f>
        <v>155.69363476880093</v>
      </c>
      <c r="BG153" s="59">
        <f ca="1">SUMPRODUCT($EU153:$GC153,OFFSET('General Inputs'!$F$40:$AN$40,MATCH($D153&amp;" Natural Gas ($/therm)",'General Inputs'!$E$40:$E$46,0),),'General Inputs'!$F$54:$AN$54)</f>
        <v>0</v>
      </c>
      <c r="BH153" s="59">
        <f ca="1">INDEX('General Inputs'!$F$54:$AN$54,MATCH($H153,'General Inputs'!$F$50:$AN$50,0))*$AI153</f>
        <v>0</v>
      </c>
      <c r="BI153" s="59">
        <f ca="1">SUM(INDEX('General Inputs'!$F$54:$AN$54,MATCH($H153,'General Inputs'!$F$50:$AN$50,0))*$AG153,INDEX('General Inputs'!$F$51:$AN$51,MATCH($H153+$AL153,'General Inputs'!$F$50:$AN$50,0))*-$AH153)</f>
        <v>0</v>
      </c>
      <c r="BJ153" s="55"/>
      <c r="BK153" s="59">
        <f ca="1">SUMPRODUCT($CA153:$DI153,'General Inputs'!$F$32:$AN$32,'General Inputs'!$F$53:$AN$53)/(1-Loss_ElectricEnergy)</f>
        <v>39.345927737789374</v>
      </c>
      <c r="BL153" s="59">
        <f ca="1">SUMPRODUCT($DK153:$ES153,'General Inputs'!$F$33:$AN$33,'General Inputs'!$F$53:$AN$53)/(1-Loss_ElectricDemand)</f>
        <v>3.2284340350257148</v>
      </c>
      <c r="BM153" s="59">
        <f ca="1">SUMPRODUCT($EU153:$GC153,'General Inputs'!$F$34:$AN$34,'General Inputs'!$F$53:$AN$53)/(1-Loss_GasEnergy)</f>
        <v>0</v>
      </c>
      <c r="BN153" s="59">
        <f ca="1">INDEX('General Inputs'!$F$53:$AN$53,MATCH($H153,'General Inputs'!$F$50:$AN$50,0))*$AJ153</f>
        <v>0</v>
      </c>
      <c r="BO153" s="59">
        <f ca="1">SUMPRODUCT($CA153:$DI153,'General Inputs'!$F$35:$AN$35,'General Inputs'!$F$53:$AN$53)/(1-Loss_ElectricEnergy)</f>
        <v>15.955033493144807</v>
      </c>
      <c r="BP153" s="59">
        <f ca="1">INDEX('General Inputs'!$F$51:$AN$51,MATCH($H153,'General Inputs'!$F$50:$AN$50,0))*$AM153</f>
        <v>0</v>
      </c>
      <c r="BQ153" s="59">
        <f ca="1">SUM(INDEX('General Inputs'!$F$53:$AN$53,MATCH($H153,'General Inputs'!$F$50:$AN$50,0))*$AG153,INDEX('General Inputs'!$F$53:$AN$53,MATCH($H153+$AL153,'General Inputs'!$F$50:$AN$50,0))*-$AH153)</f>
        <v>0</v>
      </c>
      <c r="BR153" s="55"/>
      <c r="BS153" s="59">
        <f ca="1">SUMPRODUCT($CA153:$DI153,'General Inputs'!$F$32:$AN$32,'General Inputs'!$F$55:$AN$55)/(1-Loss_ElectricEnergy)</f>
        <v>39.345927737789374</v>
      </c>
      <c r="BT153" s="59">
        <f ca="1">SUMPRODUCT($DK153:$ES153,'General Inputs'!$F$33:$AN$33,'General Inputs'!$F$55:$AN$55)/(1-Loss_ElectricDemand)</f>
        <v>3.2284340350257148</v>
      </c>
      <c r="BU153" s="59">
        <f ca="1">SUMPRODUCT($EU153:$GC153,'General Inputs'!$F$34:$AN$34,'General Inputs'!$F$55:$AN$55)/(1-Loss_GasEnergy)</f>
        <v>0</v>
      </c>
      <c r="BV153" s="59">
        <f ca="1">SUMPRODUCT($CA153:$DI153,OFFSET('General Inputs'!$F$40:$AN$40,MATCH($D153&amp;" Electric ($/kWh)",'General Inputs'!$E$40:$E$46,0),),'General Inputs'!$F$55:$AN$55)</f>
        <v>155.69363476880093</v>
      </c>
      <c r="BW153" s="59">
        <f ca="1">SUMPRODUCT($EU153:$GC153,OFFSET('General Inputs'!$F$40:$AN$40,MATCH($D153&amp;" Natural Gas ($/therm)",'General Inputs'!$E$40:$E$46,0),),'General Inputs'!$F$55:$AN$55)</f>
        <v>0</v>
      </c>
      <c r="BX153" s="59">
        <f ca="1">INDEX('General Inputs'!$F$55:$AN$55,MATCH($H153,'General Inputs'!$F$50:$AN$50,0))*$AI153</f>
        <v>0</v>
      </c>
      <c r="BY153" s="59">
        <f ca="1">INDEX('General Inputs'!$F$51:$AN$51,MATCH($H153,'General Inputs'!$F$50:$AN$50,0))*$AM153</f>
        <v>0</v>
      </c>
      <c r="BZ153" s="55"/>
      <c r="CA153" s="88">
        <f t="shared" ref="CA153:CJ162" ca="1" si="368">IF(AND($H153&lt;=CA$8,$H153+$AK153&gt;CA$8),IF(AND($H153+$AL153&lt;=CA$8,$AL153&gt;0),$AB153,$X153),0)</f>
        <v>0</v>
      </c>
      <c r="CB153" s="88">
        <f t="shared" ca="1" si="368"/>
        <v>756.570060650286</v>
      </c>
      <c r="CC153" s="88">
        <f t="shared" ca="1" si="368"/>
        <v>756.570060650286</v>
      </c>
      <c r="CD153" s="88">
        <f t="shared" ca="1" si="368"/>
        <v>0</v>
      </c>
      <c r="CE153" s="88">
        <f t="shared" ca="1" si="368"/>
        <v>0</v>
      </c>
      <c r="CF153" s="88">
        <f t="shared" ca="1" si="368"/>
        <v>0</v>
      </c>
      <c r="CG153" s="88">
        <f t="shared" ca="1" si="368"/>
        <v>0</v>
      </c>
      <c r="CH153" s="88">
        <f t="shared" ca="1" si="368"/>
        <v>0</v>
      </c>
      <c r="CI153" s="88">
        <f t="shared" ca="1" si="368"/>
        <v>0</v>
      </c>
      <c r="CJ153" s="88">
        <f t="shared" ca="1" si="368"/>
        <v>0</v>
      </c>
      <c r="CK153" s="88">
        <f t="shared" ref="CK153:CT162" ca="1" si="369">IF(AND($H153&lt;=CK$8,$H153+$AK153&gt;CK$8),IF(AND($H153+$AL153&lt;=CK$8,$AL153&gt;0),$AB153,$X153),0)</f>
        <v>0</v>
      </c>
      <c r="CL153" s="88">
        <f t="shared" ca="1" si="369"/>
        <v>0</v>
      </c>
      <c r="CM153" s="88">
        <f t="shared" ca="1" si="369"/>
        <v>0</v>
      </c>
      <c r="CN153" s="88">
        <f t="shared" ca="1" si="369"/>
        <v>0</v>
      </c>
      <c r="CO153" s="88">
        <f t="shared" ca="1" si="369"/>
        <v>0</v>
      </c>
      <c r="CP153" s="88">
        <f t="shared" ca="1" si="369"/>
        <v>0</v>
      </c>
      <c r="CQ153" s="88">
        <f t="shared" ca="1" si="369"/>
        <v>0</v>
      </c>
      <c r="CR153" s="88">
        <f t="shared" ca="1" si="369"/>
        <v>0</v>
      </c>
      <c r="CS153" s="88">
        <f t="shared" ca="1" si="369"/>
        <v>0</v>
      </c>
      <c r="CT153" s="88">
        <f t="shared" ca="1" si="369"/>
        <v>0</v>
      </c>
      <c r="CU153" s="88">
        <f t="shared" ref="CU153:DI162" ca="1" si="370">IF(AND($H153&lt;=CU$8,$H153+$AK153&gt;CU$8),IF(AND($H153+$AL153&lt;=CU$8,$AL153&gt;0),$AB153,$X153),0)</f>
        <v>0</v>
      </c>
      <c r="CV153" s="88">
        <f t="shared" ca="1" si="370"/>
        <v>0</v>
      </c>
      <c r="CW153" s="88">
        <f t="shared" ca="1" si="370"/>
        <v>0</v>
      </c>
      <c r="CX153" s="88">
        <f t="shared" ca="1" si="370"/>
        <v>0</v>
      </c>
      <c r="CY153" s="88">
        <f t="shared" ca="1" si="370"/>
        <v>0</v>
      </c>
      <c r="CZ153" s="88">
        <f t="shared" ca="1" si="370"/>
        <v>0</v>
      </c>
      <c r="DA153" s="88">
        <f t="shared" ca="1" si="370"/>
        <v>0</v>
      </c>
      <c r="DB153" s="88">
        <f t="shared" ca="1" si="370"/>
        <v>0</v>
      </c>
      <c r="DC153" s="88">
        <f t="shared" ca="1" si="370"/>
        <v>0</v>
      </c>
      <c r="DD153" s="88">
        <f t="shared" ca="1" si="370"/>
        <v>0</v>
      </c>
      <c r="DE153" s="88">
        <f t="shared" ca="1" si="370"/>
        <v>0</v>
      </c>
      <c r="DF153" s="88">
        <f t="shared" ca="1" si="370"/>
        <v>0</v>
      </c>
      <c r="DG153" s="88">
        <f t="shared" ca="1" si="370"/>
        <v>0</v>
      </c>
      <c r="DH153" s="88">
        <f t="shared" ca="1" si="370"/>
        <v>0</v>
      </c>
      <c r="DI153" s="88">
        <f t="shared" ca="1" si="370"/>
        <v>0</v>
      </c>
      <c r="DJ153" s="169"/>
      <c r="DK153" s="88">
        <f t="shared" ref="DK153:DT162" ca="1" si="371">IF(AND($H153&lt;=DK$8,$H153+$AK153&gt;DK$8),IF(AND($H153+$AL153&lt;=DK$8,$AL153&gt;0),$AC153,$Y153),0)</f>
        <v>0</v>
      </c>
      <c r="DL153" s="88">
        <f t="shared" ca="1" si="371"/>
        <v>8.6307330669665297E-2</v>
      </c>
      <c r="DM153" s="88">
        <f t="shared" ca="1" si="371"/>
        <v>8.6307330669665297E-2</v>
      </c>
      <c r="DN153" s="88">
        <f t="shared" ca="1" si="371"/>
        <v>0</v>
      </c>
      <c r="DO153" s="88">
        <f t="shared" ca="1" si="371"/>
        <v>0</v>
      </c>
      <c r="DP153" s="88">
        <f t="shared" ca="1" si="371"/>
        <v>0</v>
      </c>
      <c r="DQ153" s="88">
        <f t="shared" ca="1" si="371"/>
        <v>0</v>
      </c>
      <c r="DR153" s="88">
        <f t="shared" ca="1" si="371"/>
        <v>0</v>
      </c>
      <c r="DS153" s="88">
        <f t="shared" ca="1" si="371"/>
        <v>0</v>
      </c>
      <c r="DT153" s="88">
        <f t="shared" ca="1" si="371"/>
        <v>0</v>
      </c>
      <c r="DU153" s="88">
        <f t="shared" ref="DU153:ED162" ca="1" si="372">IF(AND($H153&lt;=DU$8,$H153+$AK153&gt;DU$8),IF(AND($H153+$AL153&lt;=DU$8,$AL153&gt;0),$AC153,$Y153),0)</f>
        <v>0</v>
      </c>
      <c r="DV153" s="88">
        <f t="shared" ca="1" si="372"/>
        <v>0</v>
      </c>
      <c r="DW153" s="88">
        <f t="shared" ca="1" si="372"/>
        <v>0</v>
      </c>
      <c r="DX153" s="88">
        <f t="shared" ca="1" si="372"/>
        <v>0</v>
      </c>
      <c r="DY153" s="88">
        <f t="shared" ca="1" si="372"/>
        <v>0</v>
      </c>
      <c r="DZ153" s="88">
        <f t="shared" ca="1" si="372"/>
        <v>0</v>
      </c>
      <c r="EA153" s="88">
        <f t="shared" ca="1" si="372"/>
        <v>0</v>
      </c>
      <c r="EB153" s="88">
        <f t="shared" ca="1" si="372"/>
        <v>0</v>
      </c>
      <c r="EC153" s="88">
        <f t="shared" ca="1" si="372"/>
        <v>0</v>
      </c>
      <c r="ED153" s="88">
        <f t="shared" ca="1" si="372"/>
        <v>0</v>
      </c>
      <c r="EE153" s="88">
        <f t="shared" ref="EE153:ES162" ca="1" si="373">IF(AND($H153&lt;=EE$8,$H153+$AK153&gt;EE$8),IF(AND($H153+$AL153&lt;=EE$8,$AL153&gt;0),$AC153,$Y153),0)</f>
        <v>0</v>
      </c>
      <c r="EF153" s="88">
        <f t="shared" ca="1" si="373"/>
        <v>0</v>
      </c>
      <c r="EG153" s="88">
        <f t="shared" ca="1" si="373"/>
        <v>0</v>
      </c>
      <c r="EH153" s="88">
        <f t="shared" ca="1" si="373"/>
        <v>0</v>
      </c>
      <c r="EI153" s="88">
        <f t="shared" ca="1" si="373"/>
        <v>0</v>
      </c>
      <c r="EJ153" s="88">
        <f t="shared" ca="1" si="373"/>
        <v>0</v>
      </c>
      <c r="EK153" s="88">
        <f t="shared" ca="1" si="373"/>
        <v>0</v>
      </c>
      <c r="EL153" s="88">
        <f t="shared" ca="1" si="373"/>
        <v>0</v>
      </c>
      <c r="EM153" s="88">
        <f t="shared" ca="1" si="373"/>
        <v>0</v>
      </c>
      <c r="EN153" s="88">
        <f t="shared" ca="1" si="373"/>
        <v>0</v>
      </c>
      <c r="EO153" s="88">
        <f t="shared" ca="1" si="373"/>
        <v>0</v>
      </c>
      <c r="EP153" s="88">
        <f t="shared" ca="1" si="373"/>
        <v>0</v>
      </c>
      <c r="EQ153" s="88">
        <f t="shared" ca="1" si="373"/>
        <v>0</v>
      </c>
      <c r="ER153" s="88">
        <f t="shared" ca="1" si="373"/>
        <v>0</v>
      </c>
      <c r="ES153" s="88">
        <f t="shared" ca="1" si="373"/>
        <v>0</v>
      </c>
      <c r="ET153" s="169"/>
      <c r="EU153" s="88">
        <f t="shared" ref="EU153:FD162" ca="1" si="374">IF(AND($H153&lt;=EU$8,$H153+$AK153&gt;EU$8),IF(AND($H153+$AL153&lt;=EU$8,$AL153&gt;0),$AD153,$Z153),0)</f>
        <v>0</v>
      </c>
      <c r="EV153" s="88">
        <f t="shared" ca="1" si="374"/>
        <v>0</v>
      </c>
      <c r="EW153" s="88">
        <f t="shared" ca="1" si="374"/>
        <v>0</v>
      </c>
      <c r="EX153" s="88">
        <f t="shared" ca="1" si="374"/>
        <v>0</v>
      </c>
      <c r="EY153" s="88">
        <f t="shared" ca="1" si="374"/>
        <v>0</v>
      </c>
      <c r="EZ153" s="88">
        <f t="shared" ca="1" si="374"/>
        <v>0</v>
      </c>
      <c r="FA153" s="88">
        <f t="shared" ca="1" si="374"/>
        <v>0</v>
      </c>
      <c r="FB153" s="88">
        <f t="shared" ca="1" si="374"/>
        <v>0</v>
      </c>
      <c r="FC153" s="88">
        <f t="shared" ca="1" si="374"/>
        <v>0</v>
      </c>
      <c r="FD153" s="88">
        <f t="shared" ca="1" si="374"/>
        <v>0</v>
      </c>
      <c r="FE153" s="88">
        <f t="shared" ref="FE153:FN162" ca="1" si="375">IF(AND($H153&lt;=FE$8,$H153+$AK153&gt;FE$8),IF(AND($H153+$AL153&lt;=FE$8,$AL153&gt;0),$AD153,$Z153),0)</f>
        <v>0</v>
      </c>
      <c r="FF153" s="88">
        <f t="shared" ca="1" si="375"/>
        <v>0</v>
      </c>
      <c r="FG153" s="88">
        <f t="shared" ca="1" si="375"/>
        <v>0</v>
      </c>
      <c r="FH153" s="88">
        <f t="shared" ca="1" si="375"/>
        <v>0</v>
      </c>
      <c r="FI153" s="88">
        <f t="shared" ca="1" si="375"/>
        <v>0</v>
      </c>
      <c r="FJ153" s="88">
        <f t="shared" ca="1" si="375"/>
        <v>0</v>
      </c>
      <c r="FK153" s="88">
        <f t="shared" ca="1" si="375"/>
        <v>0</v>
      </c>
      <c r="FL153" s="88">
        <f t="shared" ca="1" si="375"/>
        <v>0</v>
      </c>
      <c r="FM153" s="88">
        <f t="shared" ca="1" si="375"/>
        <v>0</v>
      </c>
      <c r="FN153" s="88">
        <f t="shared" ca="1" si="375"/>
        <v>0</v>
      </c>
      <c r="FO153" s="88">
        <f t="shared" ref="FO153:GC162" ca="1" si="376">IF(AND($H153&lt;=FO$8,$H153+$AK153&gt;FO$8),IF(AND($H153+$AL153&lt;=FO$8,$AL153&gt;0),$AD153,$Z153),0)</f>
        <v>0</v>
      </c>
      <c r="FP153" s="88">
        <f t="shared" ca="1" si="376"/>
        <v>0</v>
      </c>
      <c r="FQ153" s="88">
        <f t="shared" ca="1" si="376"/>
        <v>0</v>
      </c>
      <c r="FR153" s="88">
        <f t="shared" ca="1" si="376"/>
        <v>0</v>
      </c>
      <c r="FS153" s="88">
        <f t="shared" ca="1" si="376"/>
        <v>0</v>
      </c>
      <c r="FT153" s="88">
        <f t="shared" ca="1" si="376"/>
        <v>0</v>
      </c>
      <c r="FU153" s="88">
        <f t="shared" ca="1" si="376"/>
        <v>0</v>
      </c>
      <c r="FV153" s="88">
        <f t="shared" ca="1" si="376"/>
        <v>0</v>
      </c>
      <c r="FW153" s="88">
        <f t="shared" ca="1" si="376"/>
        <v>0</v>
      </c>
      <c r="FX153" s="88">
        <f t="shared" ca="1" si="376"/>
        <v>0</v>
      </c>
      <c r="FY153" s="88">
        <f t="shared" ca="1" si="376"/>
        <v>0</v>
      </c>
      <c r="FZ153" s="88">
        <f t="shared" ca="1" si="376"/>
        <v>0</v>
      </c>
      <c r="GA153" s="88">
        <f t="shared" ca="1" si="376"/>
        <v>0</v>
      </c>
      <c r="GB153" s="88">
        <f t="shared" ca="1" si="376"/>
        <v>0</v>
      </c>
      <c r="GC153" s="88">
        <f t="shared" ca="1" si="376"/>
        <v>0</v>
      </c>
      <c r="GD153" s="60"/>
    </row>
    <row r="154" spans="1:186" s="54" customFormat="1" ht="14.45" customHeight="1">
      <c r="A154" s="61"/>
      <c r="B154" s="100" t="str">
        <f t="shared" si="345"/>
        <v>Residential_Weatherization_0_LED_2018</v>
      </c>
      <c r="C154" s="100">
        <f>INDEX('Measure Inputs'!$D:$D,MATCH($B154,'Measure Inputs'!$B:$B,0))</f>
        <v>106</v>
      </c>
      <c r="D154" s="101" t="s">
        <v>2</v>
      </c>
      <c r="E154" s="101" t="s">
        <v>253</v>
      </c>
      <c r="F154" s="101">
        <v>0</v>
      </c>
      <c r="G154" s="101" t="s">
        <v>216</v>
      </c>
      <c r="H154" s="101">
        <v>2018</v>
      </c>
      <c r="I154" s="55"/>
      <c r="J154" s="58" t="str">
        <f t="shared" ca="1" si="229"/>
        <v>n/a</v>
      </c>
      <c r="K154" s="58" t="str">
        <f t="shared" ca="1" si="246"/>
        <v>n/a</v>
      </c>
      <c r="L154" s="58" t="str">
        <f t="shared" ca="1" si="230"/>
        <v>n/a</v>
      </c>
      <c r="M154" s="58" t="str">
        <f t="shared" ca="1" si="231"/>
        <v>n/a</v>
      </c>
      <c r="N154" s="58">
        <f t="shared" ca="1" si="232"/>
        <v>0.26866943777996127</v>
      </c>
      <c r="O154" s="55"/>
      <c r="P154" s="175">
        <f ca="1">IFERROR(($AW154+AV154)/SUMPRODUCT($CA154:$DI154,'General Inputs'!$F$51:$AN$51),"n/a")</f>
        <v>0</v>
      </c>
      <c r="Q154" s="175">
        <f t="shared" ca="1" si="309"/>
        <v>0</v>
      </c>
      <c r="R154" s="56">
        <f t="shared" ca="1" si="364"/>
        <v>38.96036020799999</v>
      </c>
      <c r="S154" s="55"/>
      <c r="T154" s="56">
        <f ca="1">INDEX(OFFSET('Measure Inputs'!$L$7,,,InputRows),$C154)</f>
        <v>120</v>
      </c>
      <c r="U154" s="134">
        <f ca="1">INDEX(OFFSET('Measure Inputs'!$T$7,,,InputRows),$C154)</f>
        <v>1</v>
      </c>
      <c r="V154" s="134">
        <f ca="1">INDEX(OFFSET('Measure Inputs'!$U$7,,,InputRows),$C154)</f>
        <v>1</v>
      </c>
      <c r="W154" s="55"/>
      <c r="X154" s="96">
        <f ca="1">INDEX(OFFSET('Measure Inputs'!$V$7,,,InputRows),$C154)*$T154*$V154*$U154</f>
        <v>3896.0360207999997</v>
      </c>
      <c r="Y154" s="96">
        <f ca="1">INDEX(OFFSET('Measure Inputs'!$W$7,,,InputRows),$C154)*$T154*$V154*$U154</f>
        <v>0.34199126639999994</v>
      </c>
      <c r="Z154" s="96">
        <f ca="1">INDEX(OFFSET('Measure Inputs'!$X$7,,,InputRows),$C154)*$T154*$V154*$U154</f>
        <v>0</v>
      </c>
      <c r="AA154" s="55"/>
      <c r="AB154" s="96">
        <f ca="1">INDEX(OFFSET('Measure Inputs'!$Z$7,,,InputRows),$C154)*$T154*$V154*$U154</f>
        <v>0</v>
      </c>
      <c r="AC154" s="96">
        <f ca="1">INDEX(OFFSET('Measure Inputs'!$AA$7,,,InputRows),$C154)*$T154*$V154*$U154</f>
        <v>0</v>
      </c>
      <c r="AD154" s="96">
        <f ca="1">INDEX(OFFSET('Measure Inputs'!$AB$7,,,InputRows),$C154)*$T154*$V154*$U154</f>
        <v>0</v>
      </c>
      <c r="AE154" s="55"/>
      <c r="AF154" s="57">
        <f ca="1">INDEX(OFFSET('Measure Inputs'!$Q$7,,,InputRows),$C154)*$T154</f>
        <v>0</v>
      </c>
      <c r="AG154" s="57">
        <f ca="1">INDEX(OFFSET('Measure Inputs'!$P$7,,,InputRows),$C154)*$T154*$V154</f>
        <v>0</v>
      </c>
      <c r="AH154" s="57">
        <f ca="1">INDEX(OFFSET('Measure Inputs'!$R$7,,,InputRows),$C154)*$T154*$V154</f>
        <v>0</v>
      </c>
      <c r="AI154" s="57">
        <f ca="1">INDEX(OFFSET('Measure Inputs'!$O$7,,,InputRows),$C154)*$T154</f>
        <v>0</v>
      </c>
      <c r="AJ154" s="57">
        <f ca="1">INDEX(OFFSET('Measure Inputs'!$S$7,,,InputRows),$C154)*$T154</f>
        <v>0</v>
      </c>
      <c r="AK154" s="63">
        <f ca="1">INDEX(OFFSET('Measure Inputs'!$M$7,,,InputRows),$C154)</f>
        <v>10</v>
      </c>
      <c r="AL154" s="88">
        <f ca="1">INDEX(OFFSET('Measure Inputs'!$N$7,,,InputRows),$C154)</f>
        <v>0</v>
      </c>
      <c r="AM154" s="57">
        <f ca="1">SUMIFS(OFFSET('Program Inputs'!$N$5,,,TotalPrograms),OFFSET('Program Inputs'!$B$5,,,TotalPrograms),SUBSTITUTE($B154,"All","*"))+AF154</f>
        <v>0</v>
      </c>
      <c r="AN154" s="57">
        <f t="shared" ca="1" si="365"/>
        <v>0</v>
      </c>
      <c r="AO154" s="55"/>
      <c r="AP154" s="59">
        <f t="shared" ca="1" si="366"/>
        <v>830.56945060065527</v>
      </c>
      <c r="AQ154" s="59">
        <f t="shared" ca="1" si="367"/>
        <v>0</v>
      </c>
      <c r="AR154" s="59">
        <f ca="1">SUMPRODUCT($CA154:$DI154,'General Inputs'!$F$32:$AN$32,'General Inputs'!$F$51:$AN$51)/(1-Loss_ElectricEnergy)</f>
        <v>781.24386336665998</v>
      </c>
      <c r="AS154" s="59">
        <f ca="1">SUMPRODUCT($DK154:$ES154,'General Inputs'!$F$33:$AN$33,'General Inputs'!$F$51:$AN$51)/(1-Loss_ElectricDemand)</f>
        <v>49.325587233995272</v>
      </c>
      <c r="AT154" s="59">
        <f ca="1">SUMPRODUCT($EU154:$GC154,'General Inputs'!$F$34:$AN$34,'General Inputs'!$F$51:$AN$51)/(1-Loss_GasEnergy)</f>
        <v>0</v>
      </c>
      <c r="AU154" s="59">
        <f ca="1">INDEX('General Inputs'!$F$51:$AN$51,MATCH($H154,'General Inputs'!$F$50:$AN$50,0))*$AJ154</f>
        <v>0</v>
      </c>
      <c r="AV154" s="59">
        <f ca="1">INDEX('General Inputs'!$F$51:$AN$51,MATCH($H154,'General Inputs'!$F$50:$AN$50,0))*$AI154</f>
        <v>0</v>
      </c>
      <c r="AW154" s="59">
        <f ca="1">INDEX('General Inputs'!$F$51:$AN$51,MATCH($H154,'General Inputs'!$F$50:$AN$50,0))*$AM154</f>
        <v>0</v>
      </c>
      <c r="AX154" s="59">
        <f ca="1">SUM(INDEX('General Inputs'!$F$51:$AN$51,MATCH($H154,'General Inputs'!$F$50:$AN$50,0))*$AG154,INDEX('General Inputs'!$F$51:$AN$51,MATCH($H154+$AL154,'General Inputs'!$F$50:$AN$50,0))*-$AH154)</f>
        <v>0</v>
      </c>
      <c r="AY154" s="55"/>
      <c r="AZ154" s="59">
        <f ca="1">SUMPRODUCT($CA154:$DI154,'General Inputs'!$F$32:$AN$32,'General Inputs'!$F$52:$AN$52)/(1-Loss_ElectricEnergy)</f>
        <v>781.24386336665998</v>
      </c>
      <c r="BA154" s="59">
        <f ca="1">SUMPRODUCT($DK154:$ES154,'General Inputs'!$F$33:$AN$33,'General Inputs'!$F$52:$AN$52)/(1-Loss_ElectricDemand)</f>
        <v>49.325587233995272</v>
      </c>
      <c r="BB154" s="59">
        <f ca="1">SUMPRODUCT($EU154:$GC154,'General Inputs'!$F$34:$AN$34,'General Inputs'!$F$52:$AN$52)/(1-Loss_GasEnergy)</f>
        <v>0</v>
      </c>
      <c r="BC154" s="59">
        <f ca="1">INDEX('General Inputs'!$F$52:$AN$52,MATCH($H154,'General Inputs'!$F$50:$AN$50,0))*$AI154</f>
        <v>0</v>
      </c>
      <c r="BD154" s="59">
        <f ca="1">INDEX('General Inputs'!$F$52:$AN$52,MATCH($H154,'General Inputs'!$F$50:$AN$50,0))*$AM154</f>
        <v>0</v>
      </c>
      <c r="BE154" s="55"/>
      <c r="BF154" s="59">
        <f ca="1">SUMPRODUCT($CA154:$DI154,OFFSET('General Inputs'!$F$40:$AN$40,MATCH($D154&amp;" Electric ($/kWh)",'General Inputs'!$E$40:$E$46,0),),'General Inputs'!$F$54:$AN$54)</f>
        <v>3091.4176821290962</v>
      </c>
      <c r="BG154" s="59">
        <f ca="1">SUMPRODUCT($EU154:$GC154,OFFSET('General Inputs'!$F$40:$AN$40,MATCH($D154&amp;" Natural Gas ($/therm)",'General Inputs'!$E$40:$E$46,0),),'General Inputs'!$F$54:$AN$54)</f>
        <v>0</v>
      </c>
      <c r="BH154" s="59">
        <f ca="1">INDEX('General Inputs'!$F$54:$AN$54,MATCH($H154,'General Inputs'!$F$50:$AN$50,0))*$AI154</f>
        <v>0</v>
      </c>
      <c r="BI154" s="59">
        <f ca="1">SUM(INDEX('General Inputs'!$F$54:$AN$54,MATCH($H154,'General Inputs'!$F$50:$AN$50,0))*$AG154,INDEX('General Inputs'!$F$51:$AN$51,MATCH($H154+$AL154,'General Inputs'!$F$50:$AN$50,0))*-$AH154)</f>
        <v>0</v>
      </c>
      <c r="BJ154" s="55"/>
      <c r="BK154" s="59">
        <f ca="1">SUMPRODUCT($CA154:$DI154,'General Inputs'!$F$32:$AN$32,'General Inputs'!$F$53:$AN$53)/(1-Loss_ElectricEnergy)</f>
        <v>781.24386336665998</v>
      </c>
      <c r="BL154" s="59">
        <f ca="1">SUMPRODUCT($DK154:$ES154,'General Inputs'!$F$33:$AN$33,'General Inputs'!$F$53:$AN$53)/(1-Loss_ElectricDemand)</f>
        <v>49.325587233995272</v>
      </c>
      <c r="BM154" s="59">
        <f ca="1">SUMPRODUCT($EU154:$GC154,'General Inputs'!$F$34:$AN$34,'General Inputs'!$F$53:$AN$53)/(1-Loss_GasEnergy)</f>
        <v>0</v>
      </c>
      <c r="BN154" s="59">
        <f ca="1">INDEX('General Inputs'!$F$53:$AN$53,MATCH($H154,'General Inputs'!$F$50:$AN$50,0))*$AJ154</f>
        <v>0</v>
      </c>
      <c r="BO154" s="59">
        <f ca="1">SUMPRODUCT($CA154:$DI154,'General Inputs'!$F$35:$AN$35,'General Inputs'!$F$53:$AN$53)/(1-Loss_ElectricEnergy)</f>
        <v>301.21458523547221</v>
      </c>
      <c r="BP154" s="59">
        <f ca="1">INDEX('General Inputs'!$F$51:$AN$51,MATCH($H154,'General Inputs'!$F$50:$AN$50,0))*$AM154</f>
        <v>0</v>
      </c>
      <c r="BQ154" s="59">
        <f ca="1">SUM(INDEX('General Inputs'!$F$53:$AN$53,MATCH($H154,'General Inputs'!$F$50:$AN$50,0))*$AG154,INDEX('General Inputs'!$F$53:$AN$53,MATCH($H154+$AL154,'General Inputs'!$F$50:$AN$50,0))*-$AH154)</f>
        <v>0</v>
      </c>
      <c r="BR154" s="55"/>
      <c r="BS154" s="59">
        <f ca="1">SUMPRODUCT($CA154:$DI154,'General Inputs'!$F$32:$AN$32,'General Inputs'!$F$55:$AN$55)/(1-Loss_ElectricEnergy)</f>
        <v>781.24386336665998</v>
      </c>
      <c r="BT154" s="59">
        <f ca="1">SUMPRODUCT($DK154:$ES154,'General Inputs'!$F$33:$AN$33,'General Inputs'!$F$55:$AN$55)/(1-Loss_ElectricDemand)</f>
        <v>49.325587233995272</v>
      </c>
      <c r="BU154" s="59">
        <f ca="1">SUMPRODUCT($EU154:$GC154,'General Inputs'!$F$34:$AN$34,'General Inputs'!$F$55:$AN$55)/(1-Loss_GasEnergy)</f>
        <v>0</v>
      </c>
      <c r="BV154" s="59">
        <f ca="1">SUMPRODUCT($CA154:$DI154,OFFSET('General Inputs'!$F$40:$AN$40,MATCH($D154&amp;" Electric ($/kWh)",'General Inputs'!$E$40:$E$46,0),),'General Inputs'!$F$55:$AN$55)</f>
        <v>3091.4176821290962</v>
      </c>
      <c r="BW154" s="59">
        <f ca="1">SUMPRODUCT($EU154:$GC154,OFFSET('General Inputs'!$F$40:$AN$40,MATCH($D154&amp;" Natural Gas ($/therm)",'General Inputs'!$E$40:$E$46,0),),'General Inputs'!$F$55:$AN$55)</f>
        <v>0</v>
      </c>
      <c r="BX154" s="59">
        <f ca="1">INDEX('General Inputs'!$F$55:$AN$55,MATCH($H154,'General Inputs'!$F$50:$AN$50,0))*$AI154</f>
        <v>0</v>
      </c>
      <c r="BY154" s="59">
        <f ca="1">INDEX('General Inputs'!$F$51:$AN$51,MATCH($H154,'General Inputs'!$F$50:$AN$50,0))*$AM154</f>
        <v>0</v>
      </c>
      <c r="BZ154" s="55"/>
      <c r="CA154" s="88">
        <f t="shared" ca="1" si="368"/>
        <v>0</v>
      </c>
      <c r="CB154" s="88">
        <f t="shared" ca="1" si="368"/>
        <v>3896.0360207999997</v>
      </c>
      <c r="CC154" s="88">
        <f t="shared" ca="1" si="368"/>
        <v>3896.0360207999997</v>
      </c>
      <c r="CD154" s="88">
        <f t="shared" ca="1" si="368"/>
        <v>3896.0360207999997</v>
      </c>
      <c r="CE154" s="88">
        <f t="shared" ca="1" si="368"/>
        <v>3896.0360207999997</v>
      </c>
      <c r="CF154" s="88">
        <f t="shared" ca="1" si="368"/>
        <v>3896.0360207999997</v>
      </c>
      <c r="CG154" s="88">
        <f t="shared" ca="1" si="368"/>
        <v>3896.0360207999997</v>
      </c>
      <c r="CH154" s="88">
        <f t="shared" ca="1" si="368"/>
        <v>3896.0360207999997</v>
      </c>
      <c r="CI154" s="88">
        <f t="shared" ca="1" si="368"/>
        <v>3896.0360207999997</v>
      </c>
      <c r="CJ154" s="88">
        <f t="shared" ca="1" si="368"/>
        <v>3896.0360207999997</v>
      </c>
      <c r="CK154" s="88">
        <f t="shared" ca="1" si="369"/>
        <v>3896.0360207999997</v>
      </c>
      <c r="CL154" s="88">
        <f t="shared" ca="1" si="369"/>
        <v>0</v>
      </c>
      <c r="CM154" s="88">
        <f t="shared" ca="1" si="369"/>
        <v>0</v>
      </c>
      <c r="CN154" s="88">
        <f t="shared" ca="1" si="369"/>
        <v>0</v>
      </c>
      <c r="CO154" s="88">
        <f t="shared" ca="1" si="369"/>
        <v>0</v>
      </c>
      <c r="CP154" s="88">
        <f t="shared" ca="1" si="369"/>
        <v>0</v>
      </c>
      <c r="CQ154" s="88">
        <f t="shared" ca="1" si="369"/>
        <v>0</v>
      </c>
      <c r="CR154" s="88">
        <f t="shared" ca="1" si="369"/>
        <v>0</v>
      </c>
      <c r="CS154" s="88">
        <f t="shared" ca="1" si="369"/>
        <v>0</v>
      </c>
      <c r="CT154" s="88">
        <f t="shared" ca="1" si="369"/>
        <v>0</v>
      </c>
      <c r="CU154" s="88">
        <f t="shared" ca="1" si="370"/>
        <v>0</v>
      </c>
      <c r="CV154" s="88">
        <f t="shared" ca="1" si="370"/>
        <v>0</v>
      </c>
      <c r="CW154" s="88">
        <f t="shared" ca="1" si="370"/>
        <v>0</v>
      </c>
      <c r="CX154" s="88">
        <f t="shared" ca="1" si="370"/>
        <v>0</v>
      </c>
      <c r="CY154" s="88">
        <f t="shared" ca="1" si="370"/>
        <v>0</v>
      </c>
      <c r="CZ154" s="88">
        <f t="shared" ca="1" si="370"/>
        <v>0</v>
      </c>
      <c r="DA154" s="88">
        <f t="shared" ca="1" si="370"/>
        <v>0</v>
      </c>
      <c r="DB154" s="88">
        <f t="shared" ca="1" si="370"/>
        <v>0</v>
      </c>
      <c r="DC154" s="88">
        <f t="shared" ca="1" si="370"/>
        <v>0</v>
      </c>
      <c r="DD154" s="88">
        <f t="shared" ca="1" si="370"/>
        <v>0</v>
      </c>
      <c r="DE154" s="88">
        <f t="shared" ca="1" si="370"/>
        <v>0</v>
      </c>
      <c r="DF154" s="88">
        <f t="shared" ca="1" si="370"/>
        <v>0</v>
      </c>
      <c r="DG154" s="88">
        <f t="shared" ca="1" si="370"/>
        <v>0</v>
      </c>
      <c r="DH154" s="88">
        <f t="shared" ca="1" si="370"/>
        <v>0</v>
      </c>
      <c r="DI154" s="88">
        <f t="shared" ca="1" si="370"/>
        <v>0</v>
      </c>
      <c r="DJ154" s="169"/>
      <c r="DK154" s="88">
        <f t="shared" ca="1" si="371"/>
        <v>0</v>
      </c>
      <c r="DL154" s="88">
        <f t="shared" ca="1" si="371"/>
        <v>0.34199126639999994</v>
      </c>
      <c r="DM154" s="88">
        <f t="shared" ca="1" si="371"/>
        <v>0.34199126639999994</v>
      </c>
      <c r="DN154" s="88">
        <f t="shared" ca="1" si="371"/>
        <v>0.34199126639999994</v>
      </c>
      <c r="DO154" s="88">
        <f t="shared" ca="1" si="371"/>
        <v>0.34199126639999994</v>
      </c>
      <c r="DP154" s="88">
        <f t="shared" ca="1" si="371"/>
        <v>0.34199126639999994</v>
      </c>
      <c r="DQ154" s="88">
        <f t="shared" ca="1" si="371"/>
        <v>0.34199126639999994</v>
      </c>
      <c r="DR154" s="88">
        <f t="shared" ca="1" si="371"/>
        <v>0.34199126639999994</v>
      </c>
      <c r="DS154" s="88">
        <f t="shared" ca="1" si="371"/>
        <v>0.34199126639999994</v>
      </c>
      <c r="DT154" s="88">
        <f t="shared" ca="1" si="371"/>
        <v>0.34199126639999994</v>
      </c>
      <c r="DU154" s="88">
        <f t="shared" ca="1" si="372"/>
        <v>0.34199126639999994</v>
      </c>
      <c r="DV154" s="88">
        <f t="shared" ca="1" si="372"/>
        <v>0</v>
      </c>
      <c r="DW154" s="88">
        <f t="shared" ca="1" si="372"/>
        <v>0</v>
      </c>
      <c r="DX154" s="88">
        <f t="shared" ca="1" si="372"/>
        <v>0</v>
      </c>
      <c r="DY154" s="88">
        <f t="shared" ca="1" si="372"/>
        <v>0</v>
      </c>
      <c r="DZ154" s="88">
        <f t="shared" ca="1" si="372"/>
        <v>0</v>
      </c>
      <c r="EA154" s="88">
        <f t="shared" ca="1" si="372"/>
        <v>0</v>
      </c>
      <c r="EB154" s="88">
        <f t="shared" ca="1" si="372"/>
        <v>0</v>
      </c>
      <c r="EC154" s="88">
        <f t="shared" ca="1" si="372"/>
        <v>0</v>
      </c>
      <c r="ED154" s="88">
        <f t="shared" ca="1" si="372"/>
        <v>0</v>
      </c>
      <c r="EE154" s="88">
        <f t="shared" ca="1" si="373"/>
        <v>0</v>
      </c>
      <c r="EF154" s="88">
        <f t="shared" ca="1" si="373"/>
        <v>0</v>
      </c>
      <c r="EG154" s="88">
        <f t="shared" ca="1" si="373"/>
        <v>0</v>
      </c>
      <c r="EH154" s="88">
        <f t="shared" ca="1" si="373"/>
        <v>0</v>
      </c>
      <c r="EI154" s="88">
        <f t="shared" ca="1" si="373"/>
        <v>0</v>
      </c>
      <c r="EJ154" s="88">
        <f t="shared" ca="1" si="373"/>
        <v>0</v>
      </c>
      <c r="EK154" s="88">
        <f t="shared" ca="1" si="373"/>
        <v>0</v>
      </c>
      <c r="EL154" s="88">
        <f t="shared" ca="1" si="373"/>
        <v>0</v>
      </c>
      <c r="EM154" s="88">
        <f t="shared" ca="1" si="373"/>
        <v>0</v>
      </c>
      <c r="EN154" s="88">
        <f t="shared" ca="1" si="373"/>
        <v>0</v>
      </c>
      <c r="EO154" s="88">
        <f t="shared" ca="1" si="373"/>
        <v>0</v>
      </c>
      <c r="EP154" s="88">
        <f t="shared" ca="1" si="373"/>
        <v>0</v>
      </c>
      <c r="EQ154" s="88">
        <f t="shared" ca="1" si="373"/>
        <v>0</v>
      </c>
      <c r="ER154" s="88">
        <f t="shared" ca="1" si="373"/>
        <v>0</v>
      </c>
      <c r="ES154" s="88">
        <f t="shared" ca="1" si="373"/>
        <v>0</v>
      </c>
      <c r="ET154" s="169"/>
      <c r="EU154" s="88">
        <f t="shared" ca="1" si="374"/>
        <v>0</v>
      </c>
      <c r="EV154" s="88">
        <f t="shared" ca="1" si="374"/>
        <v>0</v>
      </c>
      <c r="EW154" s="88">
        <f t="shared" ca="1" si="374"/>
        <v>0</v>
      </c>
      <c r="EX154" s="88">
        <f t="shared" ca="1" si="374"/>
        <v>0</v>
      </c>
      <c r="EY154" s="88">
        <f t="shared" ca="1" si="374"/>
        <v>0</v>
      </c>
      <c r="EZ154" s="88">
        <f t="shared" ca="1" si="374"/>
        <v>0</v>
      </c>
      <c r="FA154" s="88">
        <f t="shared" ca="1" si="374"/>
        <v>0</v>
      </c>
      <c r="FB154" s="88">
        <f t="shared" ca="1" si="374"/>
        <v>0</v>
      </c>
      <c r="FC154" s="88">
        <f t="shared" ca="1" si="374"/>
        <v>0</v>
      </c>
      <c r="FD154" s="88">
        <f t="shared" ca="1" si="374"/>
        <v>0</v>
      </c>
      <c r="FE154" s="88">
        <f t="shared" ca="1" si="375"/>
        <v>0</v>
      </c>
      <c r="FF154" s="88">
        <f t="shared" ca="1" si="375"/>
        <v>0</v>
      </c>
      <c r="FG154" s="88">
        <f t="shared" ca="1" si="375"/>
        <v>0</v>
      </c>
      <c r="FH154" s="88">
        <f t="shared" ca="1" si="375"/>
        <v>0</v>
      </c>
      <c r="FI154" s="88">
        <f t="shared" ca="1" si="375"/>
        <v>0</v>
      </c>
      <c r="FJ154" s="88">
        <f t="shared" ca="1" si="375"/>
        <v>0</v>
      </c>
      <c r="FK154" s="88">
        <f t="shared" ca="1" si="375"/>
        <v>0</v>
      </c>
      <c r="FL154" s="88">
        <f t="shared" ca="1" si="375"/>
        <v>0</v>
      </c>
      <c r="FM154" s="88">
        <f t="shared" ca="1" si="375"/>
        <v>0</v>
      </c>
      <c r="FN154" s="88">
        <f t="shared" ca="1" si="375"/>
        <v>0</v>
      </c>
      <c r="FO154" s="88">
        <f t="shared" ca="1" si="376"/>
        <v>0</v>
      </c>
      <c r="FP154" s="88">
        <f t="shared" ca="1" si="376"/>
        <v>0</v>
      </c>
      <c r="FQ154" s="88">
        <f t="shared" ca="1" si="376"/>
        <v>0</v>
      </c>
      <c r="FR154" s="88">
        <f t="shared" ca="1" si="376"/>
        <v>0</v>
      </c>
      <c r="FS154" s="88">
        <f t="shared" ca="1" si="376"/>
        <v>0</v>
      </c>
      <c r="FT154" s="88">
        <f t="shared" ca="1" si="376"/>
        <v>0</v>
      </c>
      <c r="FU154" s="88">
        <f t="shared" ca="1" si="376"/>
        <v>0</v>
      </c>
      <c r="FV154" s="88">
        <f t="shared" ca="1" si="376"/>
        <v>0</v>
      </c>
      <c r="FW154" s="88">
        <f t="shared" ca="1" si="376"/>
        <v>0</v>
      </c>
      <c r="FX154" s="88">
        <f t="shared" ca="1" si="376"/>
        <v>0</v>
      </c>
      <c r="FY154" s="88">
        <f t="shared" ca="1" si="376"/>
        <v>0</v>
      </c>
      <c r="FZ154" s="88">
        <f t="shared" ca="1" si="376"/>
        <v>0</v>
      </c>
      <c r="GA154" s="88">
        <f t="shared" ca="1" si="376"/>
        <v>0</v>
      </c>
      <c r="GB154" s="88">
        <f t="shared" ca="1" si="376"/>
        <v>0</v>
      </c>
      <c r="GC154" s="88">
        <f t="shared" ca="1" si="376"/>
        <v>0</v>
      </c>
      <c r="GD154" s="60"/>
    </row>
    <row r="155" spans="1:186" s="54" customFormat="1" ht="14.45" customHeight="1">
      <c r="A155" s="61"/>
      <c r="B155" s="100" t="str">
        <f t="shared" si="345"/>
        <v>Residential_Weatherization_0_Faucet Aerator_2018</v>
      </c>
      <c r="C155" s="100">
        <f>INDEX('Measure Inputs'!$D:$D,MATCH($B155,'Measure Inputs'!$B:$B,0))</f>
        <v>107</v>
      </c>
      <c r="D155" s="101" t="s">
        <v>2</v>
      </c>
      <c r="E155" s="101" t="s">
        <v>253</v>
      </c>
      <c r="F155" s="101">
        <v>0</v>
      </c>
      <c r="G155" s="29" t="s">
        <v>525</v>
      </c>
      <c r="H155" s="101">
        <v>2018</v>
      </c>
      <c r="I155" s="55"/>
      <c r="J155" s="58" t="str">
        <f t="shared" ca="1" si="229"/>
        <v>n/a</v>
      </c>
      <c r="K155" s="58" t="str">
        <f t="shared" ca="1" si="246"/>
        <v>n/a</v>
      </c>
      <c r="L155" s="58" t="str">
        <f t="shared" ca="1" si="230"/>
        <v>n/a</v>
      </c>
      <c r="M155" s="58" t="str">
        <f t="shared" ca="1" si="231"/>
        <v>n/a</v>
      </c>
      <c r="N155" s="58">
        <f t="shared" ca="1" si="232"/>
        <v>0.32961653368545418</v>
      </c>
      <c r="O155" s="55"/>
      <c r="P155" s="175">
        <f ca="1">IFERROR(($AW155+AV155)/SUMPRODUCT($CA155:$DI155,'General Inputs'!$F$51:$AN$51),"n/a")</f>
        <v>0</v>
      </c>
      <c r="Q155" s="175">
        <f t="shared" ca="1" si="309"/>
        <v>0</v>
      </c>
      <c r="R155" s="56">
        <f t="shared" ca="1" si="364"/>
        <v>18.521657392174451</v>
      </c>
      <c r="S155" s="55"/>
      <c r="T155" s="56">
        <f ca="1">INDEX(OFFSET('Measure Inputs'!$L$7,,,InputRows),$C155)</f>
        <v>30</v>
      </c>
      <c r="U155" s="134">
        <f ca="1">INDEX(OFFSET('Measure Inputs'!$T$7,,,InputRows),$C155)</f>
        <v>1</v>
      </c>
      <c r="V155" s="134">
        <f ca="1">INDEX(OFFSET('Measure Inputs'!$U$7,,,InputRows),$C155)</f>
        <v>1</v>
      </c>
      <c r="W155" s="55"/>
      <c r="X155" s="96">
        <f ca="1">INDEX(OFFSET('Measure Inputs'!$V$7,,,InputRows),$C155)*$T155*$V155*$U155</f>
        <v>2057.9619324638279</v>
      </c>
      <c r="Y155" s="96">
        <f ca="1">INDEX(OFFSET('Measure Inputs'!$W$7,,,InputRows),$C155)*$T155*$V155*$U155</f>
        <v>0.87067620219623498</v>
      </c>
      <c r="Z155" s="96">
        <f ca="1">INDEX(OFFSET('Measure Inputs'!$X$7,,,InputRows),$C155)*$T155*$V155*$U155</f>
        <v>0</v>
      </c>
      <c r="AA155" s="55"/>
      <c r="AB155" s="96">
        <f ca="1">INDEX(OFFSET('Measure Inputs'!$Z$7,,,InputRows),$C155)*$T155*$V155*$U155</f>
        <v>0</v>
      </c>
      <c r="AC155" s="96">
        <f ca="1">INDEX(OFFSET('Measure Inputs'!$AA$7,,,InputRows),$C155)*$T155*$V155*$U155</f>
        <v>0</v>
      </c>
      <c r="AD155" s="96">
        <f ca="1">INDEX(OFFSET('Measure Inputs'!$AB$7,,,InputRows),$C155)*$T155*$V155*$U155</f>
        <v>0</v>
      </c>
      <c r="AE155" s="55"/>
      <c r="AF155" s="57">
        <f ca="1">INDEX(OFFSET('Measure Inputs'!$Q$7,,,InputRows),$C155)*$T155</f>
        <v>0</v>
      </c>
      <c r="AG155" s="57">
        <f ca="1">INDEX(OFFSET('Measure Inputs'!$P$7,,,InputRows),$C155)*$T155*$V155</f>
        <v>0</v>
      </c>
      <c r="AH155" s="57">
        <f ca="1">INDEX(OFFSET('Measure Inputs'!$R$7,,,InputRows),$C155)*$T155*$V155</f>
        <v>0</v>
      </c>
      <c r="AI155" s="57">
        <f ca="1">INDEX(OFFSET('Measure Inputs'!$O$7,,,InputRows),$C155)*$T155</f>
        <v>0</v>
      </c>
      <c r="AJ155" s="57">
        <f ca="1">INDEX(OFFSET('Measure Inputs'!$S$7,,,InputRows),$C155)*$T155</f>
        <v>0</v>
      </c>
      <c r="AK155" s="63">
        <f ca="1">INDEX(OFFSET('Measure Inputs'!$M$7,,,InputRows),$C155)</f>
        <v>9</v>
      </c>
      <c r="AL155" s="88">
        <f ca="1">INDEX(OFFSET('Measure Inputs'!$N$7,,,InputRows),$C155)</f>
        <v>0</v>
      </c>
      <c r="AM155" s="57">
        <f ca="1">SUMIFS(OFFSET('Program Inputs'!$N$5,,,TotalPrograms),OFFSET('Program Inputs'!$B$5,,,TotalPrograms),SUBSTITUTE($B155,"All","*"))+AF155</f>
        <v>0</v>
      </c>
      <c r="AN155" s="57">
        <f t="shared" ca="1" si="365"/>
        <v>0</v>
      </c>
      <c r="AO155" s="55"/>
      <c r="AP155" s="59">
        <f t="shared" ca="1" si="366"/>
        <v>499.71334226016347</v>
      </c>
      <c r="AQ155" s="59">
        <f t="shared" ca="1" si="367"/>
        <v>0</v>
      </c>
      <c r="AR155" s="59">
        <f ca="1">SUMPRODUCT($CA155:$DI155,'General Inputs'!$F$32:$AN$32,'General Inputs'!$F$51:$AN$51)/(1-Loss_ElectricEnergy)</f>
        <v>383.12535087179316</v>
      </c>
      <c r="AS155" s="59">
        <f ca="1">SUMPRODUCT($DK155:$ES155,'General Inputs'!$F$33:$AN$33,'General Inputs'!$F$51:$AN$51)/(1-Loss_ElectricDemand)</f>
        <v>116.58799138837034</v>
      </c>
      <c r="AT155" s="59">
        <f ca="1">SUMPRODUCT($EU155:$GC155,'General Inputs'!$F$34:$AN$34,'General Inputs'!$F$51:$AN$51)/(1-Loss_GasEnergy)</f>
        <v>0</v>
      </c>
      <c r="AU155" s="59">
        <f ca="1">INDEX('General Inputs'!$F$51:$AN$51,MATCH($H155,'General Inputs'!$F$50:$AN$50,0))*$AJ155</f>
        <v>0</v>
      </c>
      <c r="AV155" s="59">
        <f ca="1">INDEX('General Inputs'!$F$51:$AN$51,MATCH($H155,'General Inputs'!$F$50:$AN$50,0))*$AI155</f>
        <v>0</v>
      </c>
      <c r="AW155" s="59">
        <f ca="1">INDEX('General Inputs'!$F$51:$AN$51,MATCH($H155,'General Inputs'!$F$50:$AN$50,0))*$AM155</f>
        <v>0</v>
      </c>
      <c r="AX155" s="59">
        <f ca="1">SUM(INDEX('General Inputs'!$F$51:$AN$51,MATCH($H155,'General Inputs'!$F$50:$AN$50,0))*$AG155,INDEX('General Inputs'!$F$51:$AN$51,MATCH($H155+$AL155,'General Inputs'!$F$50:$AN$50,0))*-$AH155)</f>
        <v>0</v>
      </c>
      <c r="AY155" s="55"/>
      <c r="AZ155" s="59">
        <f ca="1">SUMPRODUCT($CA155:$DI155,'General Inputs'!$F$32:$AN$32,'General Inputs'!$F$52:$AN$52)/(1-Loss_ElectricEnergy)</f>
        <v>383.12535087179316</v>
      </c>
      <c r="BA155" s="59">
        <f ca="1">SUMPRODUCT($DK155:$ES155,'General Inputs'!$F$33:$AN$33,'General Inputs'!$F$52:$AN$52)/(1-Loss_ElectricDemand)</f>
        <v>116.58799138837034</v>
      </c>
      <c r="BB155" s="59">
        <f ca="1">SUMPRODUCT($EU155:$GC155,'General Inputs'!$F$34:$AN$34,'General Inputs'!$F$52:$AN$52)/(1-Loss_GasEnergy)</f>
        <v>0</v>
      </c>
      <c r="BC155" s="59">
        <f ca="1">INDEX('General Inputs'!$F$52:$AN$52,MATCH($H155,'General Inputs'!$F$50:$AN$50,0))*$AI155</f>
        <v>0</v>
      </c>
      <c r="BD155" s="59">
        <f ca="1">INDEX('General Inputs'!$F$52:$AN$52,MATCH($H155,'General Inputs'!$F$50:$AN$50,0))*$AM155</f>
        <v>0</v>
      </c>
      <c r="BE155" s="55"/>
      <c r="BF155" s="59">
        <f ca="1">SUMPRODUCT($CA155:$DI155,OFFSET('General Inputs'!$F$40:$AN$40,MATCH($D155&amp;" Electric ($/kWh)",'General Inputs'!$E$40:$E$46,0),),'General Inputs'!$F$54:$AN$54)</f>
        <v>1516.0445280849563</v>
      </c>
      <c r="BG155" s="59">
        <f ca="1">SUMPRODUCT($EU155:$GC155,OFFSET('General Inputs'!$F$40:$AN$40,MATCH($D155&amp;" Natural Gas ($/therm)",'General Inputs'!$E$40:$E$46,0),),'General Inputs'!$F$54:$AN$54)</f>
        <v>0</v>
      </c>
      <c r="BH155" s="59">
        <f ca="1">INDEX('General Inputs'!$F$54:$AN$54,MATCH($H155,'General Inputs'!$F$50:$AN$50,0))*$AI155</f>
        <v>0</v>
      </c>
      <c r="BI155" s="59">
        <f ca="1">SUM(INDEX('General Inputs'!$F$54:$AN$54,MATCH($H155,'General Inputs'!$F$50:$AN$50,0))*$AG155,INDEX('General Inputs'!$F$51:$AN$51,MATCH($H155+$AL155,'General Inputs'!$F$50:$AN$50,0))*-$AH155)</f>
        <v>0</v>
      </c>
      <c r="BJ155" s="55"/>
      <c r="BK155" s="59">
        <f ca="1">SUMPRODUCT($CA155:$DI155,'General Inputs'!$F$32:$AN$32,'General Inputs'!$F$53:$AN$53)/(1-Loss_ElectricEnergy)</f>
        <v>383.12535087179316</v>
      </c>
      <c r="BL155" s="59">
        <f ca="1">SUMPRODUCT($DK155:$ES155,'General Inputs'!$F$33:$AN$33,'General Inputs'!$F$53:$AN$53)/(1-Loss_ElectricDemand)</f>
        <v>116.58799138837034</v>
      </c>
      <c r="BM155" s="59">
        <f ca="1">SUMPRODUCT($EU155:$GC155,'General Inputs'!$F$34:$AN$34,'General Inputs'!$F$53:$AN$53)/(1-Loss_GasEnergy)</f>
        <v>0</v>
      </c>
      <c r="BN155" s="59">
        <f ca="1">INDEX('General Inputs'!$F$53:$AN$53,MATCH($H155,'General Inputs'!$F$50:$AN$50,0))*$AJ155</f>
        <v>0</v>
      </c>
      <c r="BO155" s="59">
        <f ca="1">SUMPRODUCT($CA155:$DI155,'General Inputs'!$F$35:$AN$35,'General Inputs'!$F$53:$AN$53)/(1-Loss_ElectricEnergy)</f>
        <v>148.55468814331479</v>
      </c>
      <c r="BP155" s="59">
        <f ca="1">INDEX('General Inputs'!$F$51:$AN$51,MATCH($H155,'General Inputs'!$F$50:$AN$50,0))*$AM155</f>
        <v>0</v>
      </c>
      <c r="BQ155" s="59">
        <f ca="1">SUM(INDEX('General Inputs'!$F$53:$AN$53,MATCH($H155,'General Inputs'!$F$50:$AN$50,0))*$AG155,INDEX('General Inputs'!$F$53:$AN$53,MATCH($H155+$AL155,'General Inputs'!$F$50:$AN$50,0))*-$AH155)</f>
        <v>0</v>
      </c>
      <c r="BR155" s="55"/>
      <c r="BS155" s="59">
        <f ca="1">SUMPRODUCT($CA155:$DI155,'General Inputs'!$F$32:$AN$32,'General Inputs'!$F$55:$AN$55)/(1-Loss_ElectricEnergy)</f>
        <v>383.12535087179316</v>
      </c>
      <c r="BT155" s="59">
        <f ca="1">SUMPRODUCT($DK155:$ES155,'General Inputs'!$F$33:$AN$33,'General Inputs'!$F$55:$AN$55)/(1-Loss_ElectricDemand)</f>
        <v>116.58799138837034</v>
      </c>
      <c r="BU155" s="59">
        <f ca="1">SUMPRODUCT($EU155:$GC155,'General Inputs'!$F$34:$AN$34,'General Inputs'!$F$55:$AN$55)/(1-Loss_GasEnergy)</f>
        <v>0</v>
      </c>
      <c r="BV155" s="59">
        <f ca="1">SUMPRODUCT($CA155:$DI155,OFFSET('General Inputs'!$F$40:$AN$40,MATCH($D155&amp;" Electric ($/kWh)",'General Inputs'!$E$40:$E$46,0),),'General Inputs'!$F$55:$AN$55)</f>
        <v>1516.0445280849563</v>
      </c>
      <c r="BW155" s="59">
        <f ca="1">SUMPRODUCT($EU155:$GC155,OFFSET('General Inputs'!$F$40:$AN$40,MATCH($D155&amp;" Natural Gas ($/therm)",'General Inputs'!$E$40:$E$46,0),),'General Inputs'!$F$55:$AN$55)</f>
        <v>0</v>
      </c>
      <c r="BX155" s="59">
        <f ca="1">INDEX('General Inputs'!$F$55:$AN$55,MATCH($H155,'General Inputs'!$F$50:$AN$50,0))*$AI155</f>
        <v>0</v>
      </c>
      <c r="BY155" s="59">
        <f ca="1">INDEX('General Inputs'!$F$51:$AN$51,MATCH($H155,'General Inputs'!$F$50:$AN$50,0))*$AM155</f>
        <v>0</v>
      </c>
      <c r="BZ155" s="55"/>
      <c r="CA155" s="88">
        <f t="shared" ca="1" si="368"/>
        <v>0</v>
      </c>
      <c r="CB155" s="88">
        <f t="shared" ca="1" si="368"/>
        <v>2057.9619324638279</v>
      </c>
      <c r="CC155" s="88">
        <f t="shared" ca="1" si="368"/>
        <v>2057.9619324638279</v>
      </c>
      <c r="CD155" s="88">
        <f t="shared" ca="1" si="368"/>
        <v>2057.9619324638279</v>
      </c>
      <c r="CE155" s="88">
        <f t="shared" ca="1" si="368"/>
        <v>2057.9619324638279</v>
      </c>
      <c r="CF155" s="88">
        <f t="shared" ca="1" si="368"/>
        <v>2057.9619324638279</v>
      </c>
      <c r="CG155" s="88">
        <f t="shared" ca="1" si="368"/>
        <v>2057.9619324638279</v>
      </c>
      <c r="CH155" s="88">
        <f t="shared" ca="1" si="368"/>
        <v>2057.9619324638279</v>
      </c>
      <c r="CI155" s="88">
        <f t="shared" ca="1" si="368"/>
        <v>2057.9619324638279</v>
      </c>
      <c r="CJ155" s="88">
        <f t="shared" ca="1" si="368"/>
        <v>2057.9619324638279</v>
      </c>
      <c r="CK155" s="88">
        <f t="shared" ca="1" si="369"/>
        <v>0</v>
      </c>
      <c r="CL155" s="88">
        <f t="shared" ca="1" si="369"/>
        <v>0</v>
      </c>
      <c r="CM155" s="88">
        <f t="shared" ca="1" si="369"/>
        <v>0</v>
      </c>
      <c r="CN155" s="88">
        <f t="shared" ca="1" si="369"/>
        <v>0</v>
      </c>
      <c r="CO155" s="88">
        <f t="shared" ca="1" si="369"/>
        <v>0</v>
      </c>
      <c r="CP155" s="88">
        <f t="shared" ca="1" si="369"/>
        <v>0</v>
      </c>
      <c r="CQ155" s="88">
        <f t="shared" ca="1" si="369"/>
        <v>0</v>
      </c>
      <c r="CR155" s="88">
        <f t="shared" ca="1" si="369"/>
        <v>0</v>
      </c>
      <c r="CS155" s="88">
        <f t="shared" ca="1" si="369"/>
        <v>0</v>
      </c>
      <c r="CT155" s="88">
        <f t="shared" ca="1" si="369"/>
        <v>0</v>
      </c>
      <c r="CU155" s="88">
        <f t="shared" ca="1" si="370"/>
        <v>0</v>
      </c>
      <c r="CV155" s="88">
        <f t="shared" ca="1" si="370"/>
        <v>0</v>
      </c>
      <c r="CW155" s="88">
        <f t="shared" ca="1" si="370"/>
        <v>0</v>
      </c>
      <c r="CX155" s="88">
        <f t="shared" ca="1" si="370"/>
        <v>0</v>
      </c>
      <c r="CY155" s="88">
        <f t="shared" ca="1" si="370"/>
        <v>0</v>
      </c>
      <c r="CZ155" s="88">
        <f t="shared" ca="1" si="370"/>
        <v>0</v>
      </c>
      <c r="DA155" s="88">
        <f t="shared" ca="1" si="370"/>
        <v>0</v>
      </c>
      <c r="DB155" s="88">
        <f t="shared" ca="1" si="370"/>
        <v>0</v>
      </c>
      <c r="DC155" s="88">
        <f t="shared" ca="1" si="370"/>
        <v>0</v>
      </c>
      <c r="DD155" s="88">
        <f t="shared" ca="1" si="370"/>
        <v>0</v>
      </c>
      <c r="DE155" s="88">
        <f t="shared" ca="1" si="370"/>
        <v>0</v>
      </c>
      <c r="DF155" s="88">
        <f t="shared" ca="1" si="370"/>
        <v>0</v>
      </c>
      <c r="DG155" s="88">
        <f t="shared" ca="1" si="370"/>
        <v>0</v>
      </c>
      <c r="DH155" s="88">
        <f t="shared" ca="1" si="370"/>
        <v>0</v>
      </c>
      <c r="DI155" s="88">
        <f t="shared" ca="1" si="370"/>
        <v>0</v>
      </c>
      <c r="DJ155" s="169"/>
      <c r="DK155" s="88">
        <f t="shared" ca="1" si="371"/>
        <v>0</v>
      </c>
      <c r="DL155" s="88">
        <f t="shared" ca="1" si="371"/>
        <v>0.87067620219623498</v>
      </c>
      <c r="DM155" s="88">
        <f t="shared" ca="1" si="371"/>
        <v>0.87067620219623498</v>
      </c>
      <c r="DN155" s="88">
        <f t="shared" ca="1" si="371"/>
        <v>0.87067620219623498</v>
      </c>
      <c r="DO155" s="88">
        <f t="shared" ca="1" si="371"/>
        <v>0.87067620219623498</v>
      </c>
      <c r="DP155" s="88">
        <f t="shared" ca="1" si="371"/>
        <v>0.87067620219623498</v>
      </c>
      <c r="DQ155" s="88">
        <f t="shared" ca="1" si="371"/>
        <v>0.87067620219623498</v>
      </c>
      <c r="DR155" s="88">
        <f t="shared" ca="1" si="371"/>
        <v>0.87067620219623498</v>
      </c>
      <c r="DS155" s="88">
        <f t="shared" ca="1" si="371"/>
        <v>0.87067620219623498</v>
      </c>
      <c r="DT155" s="88">
        <f t="shared" ca="1" si="371"/>
        <v>0.87067620219623498</v>
      </c>
      <c r="DU155" s="88">
        <f t="shared" ca="1" si="372"/>
        <v>0</v>
      </c>
      <c r="DV155" s="88">
        <f t="shared" ca="1" si="372"/>
        <v>0</v>
      </c>
      <c r="DW155" s="88">
        <f t="shared" ca="1" si="372"/>
        <v>0</v>
      </c>
      <c r="DX155" s="88">
        <f t="shared" ca="1" si="372"/>
        <v>0</v>
      </c>
      <c r="DY155" s="88">
        <f t="shared" ca="1" si="372"/>
        <v>0</v>
      </c>
      <c r="DZ155" s="88">
        <f t="shared" ca="1" si="372"/>
        <v>0</v>
      </c>
      <c r="EA155" s="88">
        <f t="shared" ca="1" si="372"/>
        <v>0</v>
      </c>
      <c r="EB155" s="88">
        <f t="shared" ca="1" si="372"/>
        <v>0</v>
      </c>
      <c r="EC155" s="88">
        <f t="shared" ca="1" si="372"/>
        <v>0</v>
      </c>
      <c r="ED155" s="88">
        <f t="shared" ca="1" si="372"/>
        <v>0</v>
      </c>
      <c r="EE155" s="88">
        <f t="shared" ca="1" si="373"/>
        <v>0</v>
      </c>
      <c r="EF155" s="88">
        <f t="shared" ca="1" si="373"/>
        <v>0</v>
      </c>
      <c r="EG155" s="88">
        <f t="shared" ca="1" si="373"/>
        <v>0</v>
      </c>
      <c r="EH155" s="88">
        <f t="shared" ca="1" si="373"/>
        <v>0</v>
      </c>
      <c r="EI155" s="88">
        <f t="shared" ca="1" si="373"/>
        <v>0</v>
      </c>
      <c r="EJ155" s="88">
        <f t="shared" ca="1" si="373"/>
        <v>0</v>
      </c>
      <c r="EK155" s="88">
        <f t="shared" ca="1" si="373"/>
        <v>0</v>
      </c>
      <c r="EL155" s="88">
        <f t="shared" ca="1" si="373"/>
        <v>0</v>
      </c>
      <c r="EM155" s="88">
        <f t="shared" ca="1" si="373"/>
        <v>0</v>
      </c>
      <c r="EN155" s="88">
        <f t="shared" ca="1" si="373"/>
        <v>0</v>
      </c>
      <c r="EO155" s="88">
        <f t="shared" ca="1" si="373"/>
        <v>0</v>
      </c>
      <c r="EP155" s="88">
        <f t="shared" ca="1" si="373"/>
        <v>0</v>
      </c>
      <c r="EQ155" s="88">
        <f t="shared" ca="1" si="373"/>
        <v>0</v>
      </c>
      <c r="ER155" s="88">
        <f t="shared" ca="1" si="373"/>
        <v>0</v>
      </c>
      <c r="ES155" s="88">
        <f t="shared" ca="1" si="373"/>
        <v>0</v>
      </c>
      <c r="ET155" s="169"/>
      <c r="EU155" s="88">
        <f t="shared" ca="1" si="374"/>
        <v>0</v>
      </c>
      <c r="EV155" s="88">
        <f t="shared" ca="1" si="374"/>
        <v>0</v>
      </c>
      <c r="EW155" s="88">
        <f t="shared" ca="1" si="374"/>
        <v>0</v>
      </c>
      <c r="EX155" s="88">
        <f t="shared" ca="1" si="374"/>
        <v>0</v>
      </c>
      <c r="EY155" s="88">
        <f t="shared" ca="1" si="374"/>
        <v>0</v>
      </c>
      <c r="EZ155" s="88">
        <f t="shared" ca="1" si="374"/>
        <v>0</v>
      </c>
      <c r="FA155" s="88">
        <f t="shared" ca="1" si="374"/>
        <v>0</v>
      </c>
      <c r="FB155" s="88">
        <f t="shared" ca="1" si="374"/>
        <v>0</v>
      </c>
      <c r="FC155" s="88">
        <f t="shared" ca="1" si="374"/>
        <v>0</v>
      </c>
      <c r="FD155" s="88">
        <f t="shared" ca="1" si="374"/>
        <v>0</v>
      </c>
      <c r="FE155" s="88">
        <f t="shared" ca="1" si="375"/>
        <v>0</v>
      </c>
      <c r="FF155" s="88">
        <f t="shared" ca="1" si="375"/>
        <v>0</v>
      </c>
      <c r="FG155" s="88">
        <f t="shared" ca="1" si="375"/>
        <v>0</v>
      </c>
      <c r="FH155" s="88">
        <f t="shared" ca="1" si="375"/>
        <v>0</v>
      </c>
      <c r="FI155" s="88">
        <f t="shared" ca="1" si="375"/>
        <v>0</v>
      </c>
      <c r="FJ155" s="88">
        <f t="shared" ca="1" si="375"/>
        <v>0</v>
      </c>
      <c r="FK155" s="88">
        <f t="shared" ca="1" si="375"/>
        <v>0</v>
      </c>
      <c r="FL155" s="88">
        <f t="shared" ca="1" si="375"/>
        <v>0</v>
      </c>
      <c r="FM155" s="88">
        <f t="shared" ca="1" si="375"/>
        <v>0</v>
      </c>
      <c r="FN155" s="88">
        <f t="shared" ca="1" si="375"/>
        <v>0</v>
      </c>
      <c r="FO155" s="88">
        <f t="shared" ca="1" si="376"/>
        <v>0</v>
      </c>
      <c r="FP155" s="88">
        <f t="shared" ca="1" si="376"/>
        <v>0</v>
      </c>
      <c r="FQ155" s="88">
        <f t="shared" ca="1" si="376"/>
        <v>0</v>
      </c>
      <c r="FR155" s="88">
        <f t="shared" ca="1" si="376"/>
        <v>0</v>
      </c>
      <c r="FS155" s="88">
        <f t="shared" ca="1" si="376"/>
        <v>0</v>
      </c>
      <c r="FT155" s="88">
        <f t="shared" ca="1" si="376"/>
        <v>0</v>
      </c>
      <c r="FU155" s="88">
        <f t="shared" ca="1" si="376"/>
        <v>0</v>
      </c>
      <c r="FV155" s="88">
        <f t="shared" ca="1" si="376"/>
        <v>0</v>
      </c>
      <c r="FW155" s="88">
        <f t="shared" ca="1" si="376"/>
        <v>0</v>
      </c>
      <c r="FX155" s="88">
        <f t="shared" ca="1" si="376"/>
        <v>0</v>
      </c>
      <c r="FY155" s="88">
        <f t="shared" ca="1" si="376"/>
        <v>0</v>
      </c>
      <c r="FZ155" s="88">
        <f t="shared" ca="1" si="376"/>
        <v>0</v>
      </c>
      <c r="GA155" s="88">
        <f t="shared" ca="1" si="376"/>
        <v>0</v>
      </c>
      <c r="GB155" s="88">
        <f t="shared" ca="1" si="376"/>
        <v>0</v>
      </c>
      <c r="GC155" s="88">
        <f t="shared" ca="1" si="376"/>
        <v>0</v>
      </c>
      <c r="GD155" s="60"/>
    </row>
    <row r="156" spans="1:186" s="54" customFormat="1" ht="14.45" customHeight="1">
      <c r="A156" s="61"/>
      <c r="B156" s="100" t="str">
        <f t="shared" si="345"/>
        <v>Residential_Weatherization_0_Low Flow Showerhead_2018</v>
      </c>
      <c r="C156" s="100">
        <f>INDEX('Measure Inputs'!$D:$D,MATCH($B156,'Measure Inputs'!$B:$B,0))</f>
        <v>108</v>
      </c>
      <c r="D156" s="101" t="s">
        <v>2</v>
      </c>
      <c r="E156" s="101" t="s">
        <v>253</v>
      </c>
      <c r="F156" s="101">
        <v>0</v>
      </c>
      <c r="G156" s="101" t="s">
        <v>267</v>
      </c>
      <c r="H156" s="101">
        <v>2018</v>
      </c>
      <c r="I156" s="55"/>
      <c r="J156" s="58" t="str">
        <f t="shared" ca="1" si="229"/>
        <v>n/a</v>
      </c>
      <c r="K156" s="58" t="str">
        <f t="shared" ca="1" si="246"/>
        <v>n/a</v>
      </c>
      <c r="L156" s="58" t="str">
        <f t="shared" ca="1" si="230"/>
        <v>n/a</v>
      </c>
      <c r="M156" s="58" t="str">
        <f t="shared" ca="1" si="231"/>
        <v>n/a</v>
      </c>
      <c r="N156" s="58">
        <f t="shared" ca="1" si="232"/>
        <v>0.26944626743999855</v>
      </c>
      <c r="O156" s="55"/>
      <c r="P156" s="175">
        <f ca="1">IFERROR(($AW156+AV156)/SUMPRODUCT($CA156:$DI156,'General Inputs'!$F$51:$AN$51),"n/a")</f>
        <v>0</v>
      </c>
      <c r="Q156" s="175">
        <f t="shared" ca="1" si="309"/>
        <v>0</v>
      </c>
      <c r="R156" s="56">
        <f t="shared" ca="1" si="364"/>
        <v>29.371340804443097</v>
      </c>
      <c r="S156" s="55"/>
      <c r="T156" s="56">
        <f ca="1">INDEX(OFFSET('Measure Inputs'!$L$7,,,InputRows),$C156)</f>
        <v>30</v>
      </c>
      <c r="U156" s="134">
        <f ca="1">INDEX(OFFSET('Measure Inputs'!$T$7,,,InputRows),$C156)</f>
        <v>1</v>
      </c>
      <c r="V156" s="134">
        <f ca="1">INDEX(OFFSET('Measure Inputs'!$U$7,,,InputRows),$C156)</f>
        <v>1</v>
      </c>
      <c r="W156" s="55"/>
      <c r="X156" s="96">
        <f ca="1">INDEX(OFFSET('Measure Inputs'!$V$7,,,InputRows),$C156)*$T156*$V156*$U156</f>
        <v>2937.1340804443098</v>
      </c>
      <c r="Y156" s="96">
        <f ca="1">INDEX(OFFSET('Measure Inputs'!$W$7,,,InputRows),$C156)*$T156*$V156*$U156</f>
        <v>0.27037194515348284</v>
      </c>
      <c r="Z156" s="96">
        <f ca="1">INDEX(OFFSET('Measure Inputs'!$X$7,,,InputRows),$C156)*$T156*$V156*$U156</f>
        <v>0</v>
      </c>
      <c r="AA156" s="55"/>
      <c r="AB156" s="96">
        <f ca="1">INDEX(OFFSET('Measure Inputs'!$Z$7,,,InputRows),$C156)*$T156*$V156*$U156</f>
        <v>0</v>
      </c>
      <c r="AC156" s="96">
        <f ca="1">INDEX(OFFSET('Measure Inputs'!$AA$7,,,InputRows),$C156)*$T156*$V156*$U156</f>
        <v>0</v>
      </c>
      <c r="AD156" s="96">
        <f ca="1">INDEX(OFFSET('Measure Inputs'!$AB$7,,,InputRows),$C156)*$T156*$V156*$U156</f>
        <v>0</v>
      </c>
      <c r="AE156" s="55"/>
      <c r="AF156" s="57">
        <f ca="1">INDEX(OFFSET('Measure Inputs'!$Q$7,,,InputRows),$C156)*$T156</f>
        <v>0</v>
      </c>
      <c r="AG156" s="57">
        <f ca="1">INDEX(OFFSET('Measure Inputs'!$P$7,,,InputRows),$C156)*$T156*$V156</f>
        <v>0</v>
      </c>
      <c r="AH156" s="57">
        <f ca="1">INDEX(OFFSET('Measure Inputs'!$R$7,,,InputRows),$C156)*$T156*$V156</f>
        <v>0</v>
      </c>
      <c r="AI156" s="57">
        <f ca="1">INDEX(OFFSET('Measure Inputs'!$O$7,,,InputRows),$C156)*$T156</f>
        <v>0</v>
      </c>
      <c r="AJ156" s="57">
        <f ca="1">INDEX(OFFSET('Measure Inputs'!$S$7,,,InputRows),$C156)*$T156</f>
        <v>0</v>
      </c>
      <c r="AK156" s="63">
        <f ca="1">INDEX(OFFSET('Measure Inputs'!$M$7,,,InputRows),$C156)</f>
        <v>10</v>
      </c>
      <c r="AL156" s="88">
        <f ca="1">INDEX(OFFSET('Measure Inputs'!$N$7,,,InputRows),$C156)</f>
        <v>0</v>
      </c>
      <c r="AM156" s="57">
        <f ca="1">SUMIFS(OFFSET('Program Inputs'!$N$5,,,TotalPrograms),OFFSET('Program Inputs'!$B$5,,,TotalPrograms),SUBSTITUTE($B156,"All","*"))+AF156</f>
        <v>0</v>
      </c>
      <c r="AN156" s="57">
        <f t="shared" ca="1" si="365"/>
        <v>0</v>
      </c>
      <c r="AO156" s="55"/>
      <c r="AP156" s="59">
        <f t="shared" ca="1" si="366"/>
        <v>627.95810113096331</v>
      </c>
      <c r="AQ156" s="59">
        <f t="shared" ca="1" si="367"/>
        <v>0</v>
      </c>
      <c r="AR156" s="59">
        <f ca="1">SUMPRODUCT($CA156:$DI156,'General Inputs'!$F$32:$AN$32,'General Inputs'!$F$51:$AN$51)/(1-Loss_ElectricEnergy)</f>
        <v>588.96220773673042</v>
      </c>
      <c r="AS156" s="59">
        <f ca="1">SUMPRODUCT($DK156:$ES156,'General Inputs'!$F$33:$AN$33,'General Inputs'!$F$51:$AN$51)/(1-Loss_ElectricDemand)</f>
        <v>38.995893394232915</v>
      </c>
      <c r="AT156" s="59">
        <f ca="1">SUMPRODUCT($EU156:$GC156,'General Inputs'!$F$34:$AN$34,'General Inputs'!$F$51:$AN$51)/(1-Loss_GasEnergy)</f>
        <v>0</v>
      </c>
      <c r="AU156" s="59">
        <f ca="1">INDEX('General Inputs'!$F$51:$AN$51,MATCH($H156,'General Inputs'!$F$50:$AN$50,0))*$AJ156</f>
        <v>0</v>
      </c>
      <c r="AV156" s="59">
        <f ca="1">INDEX('General Inputs'!$F$51:$AN$51,MATCH($H156,'General Inputs'!$F$50:$AN$50,0))*$AI156</f>
        <v>0</v>
      </c>
      <c r="AW156" s="59">
        <f ca="1">INDEX('General Inputs'!$F$51:$AN$51,MATCH($H156,'General Inputs'!$F$50:$AN$50,0))*$AM156</f>
        <v>0</v>
      </c>
      <c r="AX156" s="59">
        <f ca="1">SUM(INDEX('General Inputs'!$F$51:$AN$51,MATCH($H156,'General Inputs'!$F$50:$AN$50,0))*$AG156,INDEX('General Inputs'!$F$51:$AN$51,MATCH($H156+$AL156,'General Inputs'!$F$50:$AN$50,0))*-$AH156)</f>
        <v>0</v>
      </c>
      <c r="AY156" s="55"/>
      <c r="AZ156" s="59">
        <f ca="1">SUMPRODUCT($CA156:$DI156,'General Inputs'!$F$32:$AN$32,'General Inputs'!$F$52:$AN$52)/(1-Loss_ElectricEnergy)</f>
        <v>588.96220773673042</v>
      </c>
      <c r="BA156" s="59">
        <f ca="1">SUMPRODUCT($DK156:$ES156,'General Inputs'!$F$33:$AN$33,'General Inputs'!$F$52:$AN$52)/(1-Loss_ElectricDemand)</f>
        <v>38.995893394232915</v>
      </c>
      <c r="BB156" s="59">
        <f ca="1">SUMPRODUCT($EU156:$GC156,'General Inputs'!$F$34:$AN$34,'General Inputs'!$F$52:$AN$52)/(1-Loss_GasEnergy)</f>
        <v>0</v>
      </c>
      <c r="BC156" s="59">
        <f ca="1">INDEX('General Inputs'!$F$52:$AN$52,MATCH($H156,'General Inputs'!$F$50:$AN$50,0))*$AI156</f>
        <v>0</v>
      </c>
      <c r="BD156" s="59">
        <f ca="1">INDEX('General Inputs'!$F$52:$AN$52,MATCH($H156,'General Inputs'!$F$50:$AN$50,0))*$AM156</f>
        <v>0</v>
      </c>
      <c r="BE156" s="55"/>
      <c r="BF156" s="59">
        <f ca="1">SUMPRODUCT($CA156:$DI156,OFFSET('General Inputs'!$F$40:$AN$40,MATCH($D156&amp;" Electric ($/kWh)",'General Inputs'!$E$40:$E$46,0),),'General Inputs'!$F$54:$AN$54)</f>
        <v>2330.5503805904445</v>
      </c>
      <c r="BG156" s="59">
        <f ca="1">SUMPRODUCT($EU156:$GC156,OFFSET('General Inputs'!$F$40:$AN$40,MATCH($D156&amp;" Natural Gas ($/therm)",'General Inputs'!$E$40:$E$46,0),),'General Inputs'!$F$54:$AN$54)</f>
        <v>0</v>
      </c>
      <c r="BH156" s="59">
        <f ca="1">INDEX('General Inputs'!$F$54:$AN$54,MATCH($H156,'General Inputs'!$F$50:$AN$50,0))*$AI156</f>
        <v>0</v>
      </c>
      <c r="BI156" s="59">
        <f ca="1">SUM(INDEX('General Inputs'!$F$54:$AN$54,MATCH($H156,'General Inputs'!$F$50:$AN$50,0))*$AG156,INDEX('General Inputs'!$F$51:$AN$51,MATCH($H156+$AL156,'General Inputs'!$F$50:$AN$50,0))*-$AH156)</f>
        <v>0</v>
      </c>
      <c r="BJ156" s="55"/>
      <c r="BK156" s="59">
        <f ca="1">SUMPRODUCT($CA156:$DI156,'General Inputs'!$F$32:$AN$32,'General Inputs'!$F$53:$AN$53)/(1-Loss_ElectricEnergy)</f>
        <v>588.96220773673042</v>
      </c>
      <c r="BL156" s="59">
        <f ca="1">SUMPRODUCT($DK156:$ES156,'General Inputs'!$F$33:$AN$33,'General Inputs'!$F$53:$AN$53)/(1-Loss_ElectricDemand)</f>
        <v>38.995893394232915</v>
      </c>
      <c r="BM156" s="59">
        <f ca="1">SUMPRODUCT($EU156:$GC156,'General Inputs'!$F$34:$AN$34,'General Inputs'!$F$53:$AN$53)/(1-Loss_GasEnergy)</f>
        <v>0</v>
      </c>
      <c r="BN156" s="59">
        <f ca="1">INDEX('General Inputs'!$F$53:$AN$53,MATCH($H156,'General Inputs'!$F$50:$AN$50,0))*$AJ156</f>
        <v>0</v>
      </c>
      <c r="BO156" s="59">
        <f ca="1">SUMPRODUCT($CA156:$DI156,'General Inputs'!$F$35:$AN$35,'General Inputs'!$F$53:$AN$53)/(1-Loss_ElectricEnergy)</f>
        <v>227.07891279720241</v>
      </c>
      <c r="BP156" s="59">
        <f ca="1">INDEX('General Inputs'!$F$51:$AN$51,MATCH($H156,'General Inputs'!$F$50:$AN$50,0))*$AM156</f>
        <v>0</v>
      </c>
      <c r="BQ156" s="59">
        <f ca="1">SUM(INDEX('General Inputs'!$F$53:$AN$53,MATCH($H156,'General Inputs'!$F$50:$AN$50,0))*$AG156,INDEX('General Inputs'!$F$53:$AN$53,MATCH($H156+$AL156,'General Inputs'!$F$50:$AN$50,0))*-$AH156)</f>
        <v>0</v>
      </c>
      <c r="BR156" s="55"/>
      <c r="BS156" s="59">
        <f ca="1">SUMPRODUCT($CA156:$DI156,'General Inputs'!$F$32:$AN$32,'General Inputs'!$F$55:$AN$55)/(1-Loss_ElectricEnergy)</f>
        <v>588.96220773673042</v>
      </c>
      <c r="BT156" s="59">
        <f ca="1">SUMPRODUCT($DK156:$ES156,'General Inputs'!$F$33:$AN$33,'General Inputs'!$F$55:$AN$55)/(1-Loss_ElectricDemand)</f>
        <v>38.995893394232915</v>
      </c>
      <c r="BU156" s="59">
        <f ca="1">SUMPRODUCT($EU156:$GC156,'General Inputs'!$F$34:$AN$34,'General Inputs'!$F$55:$AN$55)/(1-Loss_GasEnergy)</f>
        <v>0</v>
      </c>
      <c r="BV156" s="59">
        <f ca="1">SUMPRODUCT($CA156:$DI156,OFFSET('General Inputs'!$F$40:$AN$40,MATCH($D156&amp;" Electric ($/kWh)",'General Inputs'!$E$40:$E$46,0),),'General Inputs'!$F$55:$AN$55)</f>
        <v>2330.5503805904445</v>
      </c>
      <c r="BW156" s="59">
        <f ca="1">SUMPRODUCT($EU156:$GC156,OFFSET('General Inputs'!$F$40:$AN$40,MATCH($D156&amp;" Natural Gas ($/therm)",'General Inputs'!$E$40:$E$46,0),),'General Inputs'!$F$55:$AN$55)</f>
        <v>0</v>
      </c>
      <c r="BX156" s="59">
        <f ca="1">INDEX('General Inputs'!$F$55:$AN$55,MATCH($H156,'General Inputs'!$F$50:$AN$50,0))*$AI156</f>
        <v>0</v>
      </c>
      <c r="BY156" s="59">
        <f ca="1">INDEX('General Inputs'!$F$51:$AN$51,MATCH($H156,'General Inputs'!$F$50:$AN$50,0))*$AM156</f>
        <v>0</v>
      </c>
      <c r="BZ156" s="55"/>
      <c r="CA156" s="88">
        <f t="shared" ca="1" si="368"/>
        <v>0</v>
      </c>
      <c r="CB156" s="88">
        <f t="shared" ca="1" si="368"/>
        <v>2937.1340804443098</v>
      </c>
      <c r="CC156" s="88">
        <f t="shared" ca="1" si="368"/>
        <v>2937.1340804443098</v>
      </c>
      <c r="CD156" s="88">
        <f t="shared" ca="1" si="368"/>
        <v>2937.1340804443098</v>
      </c>
      <c r="CE156" s="88">
        <f t="shared" ca="1" si="368"/>
        <v>2937.1340804443098</v>
      </c>
      <c r="CF156" s="88">
        <f t="shared" ca="1" si="368"/>
        <v>2937.1340804443098</v>
      </c>
      <c r="CG156" s="88">
        <f t="shared" ca="1" si="368"/>
        <v>2937.1340804443098</v>
      </c>
      <c r="CH156" s="88">
        <f t="shared" ca="1" si="368"/>
        <v>2937.1340804443098</v>
      </c>
      <c r="CI156" s="88">
        <f t="shared" ca="1" si="368"/>
        <v>2937.1340804443098</v>
      </c>
      <c r="CJ156" s="88">
        <f t="shared" ca="1" si="368"/>
        <v>2937.1340804443098</v>
      </c>
      <c r="CK156" s="88">
        <f t="shared" ca="1" si="369"/>
        <v>2937.1340804443098</v>
      </c>
      <c r="CL156" s="88">
        <f t="shared" ca="1" si="369"/>
        <v>0</v>
      </c>
      <c r="CM156" s="88">
        <f t="shared" ca="1" si="369"/>
        <v>0</v>
      </c>
      <c r="CN156" s="88">
        <f t="shared" ca="1" si="369"/>
        <v>0</v>
      </c>
      <c r="CO156" s="88">
        <f t="shared" ca="1" si="369"/>
        <v>0</v>
      </c>
      <c r="CP156" s="88">
        <f t="shared" ca="1" si="369"/>
        <v>0</v>
      </c>
      <c r="CQ156" s="88">
        <f t="shared" ca="1" si="369"/>
        <v>0</v>
      </c>
      <c r="CR156" s="88">
        <f t="shared" ca="1" si="369"/>
        <v>0</v>
      </c>
      <c r="CS156" s="88">
        <f t="shared" ca="1" si="369"/>
        <v>0</v>
      </c>
      <c r="CT156" s="88">
        <f t="shared" ca="1" si="369"/>
        <v>0</v>
      </c>
      <c r="CU156" s="88">
        <f t="shared" ca="1" si="370"/>
        <v>0</v>
      </c>
      <c r="CV156" s="88">
        <f t="shared" ca="1" si="370"/>
        <v>0</v>
      </c>
      <c r="CW156" s="88">
        <f t="shared" ca="1" si="370"/>
        <v>0</v>
      </c>
      <c r="CX156" s="88">
        <f t="shared" ca="1" si="370"/>
        <v>0</v>
      </c>
      <c r="CY156" s="88">
        <f t="shared" ca="1" si="370"/>
        <v>0</v>
      </c>
      <c r="CZ156" s="88">
        <f t="shared" ca="1" si="370"/>
        <v>0</v>
      </c>
      <c r="DA156" s="88">
        <f t="shared" ca="1" si="370"/>
        <v>0</v>
      </c>
      <c r="DB156" s="88">
        <f t="shared" ca="1" si="370"/>
        <v>0</v>
      </c>
      <c r="DC156" s="88">
        <f t="shared" ca="1" si="370"/>
        <v>0</v>
      </c>
      <c r="DD156" s="88">
        <f t="shared" ca="1" si="370"/>
        <v>0</v>
      </c>
      <c r="DE156" s="88">
        <f t="shared" ca="1" si="370"/>
        <v>0</v>
      </c>
      <c r="DF156" s="88">
        <f t="shared" ca="1" si="370"/>
        <v>0</v>
      </c>
      <c r="DG156" s="88">
        <f t="shared" ca="1" si="370"/>
        <v>0</v>
      </c>
      <c r="DH156" s="88">
        <f t="shared" ca="1" si="370"/>
        <v>0</v>
      </c>
      <c r="DI156" s="88">
        <f t="shared" ca="1" si="370"/>
        <v>0</v>
      </c>
      <c r="DJ156" s="169"/>
      <c r="DK156" s="88">
        <f t="shared" ca="1" si="371"/>
        <v>0</v>
      </c>
      <c r="DL156" s="88">
        <f t="shared" ca="1" si="371"/>
        <v>0.27037194515348284</v>
      </c>
      <c r="DM156" s="88">
        <f t="shared" ca="1" si="371"/>
        <v>0.27037194515348284</v>
      </c>
      <c r="DN156" s="88">
        <f t="shared" ca="1" si="371"/>
        <v>0.27037194515348284</v>
      </c>
      <c r="DO156" s="88">
        <f t="shared" ca="1" si="371"/>
        <v>0.27037194515348284</v>
      </c>
      <c r="DP156" s="88">
        <f t="shared" ca="1" si="371"/>
        <v>0.27037194515348284</v>
      </c>
      <c r="DQ156" s="88">
        <f t="shared" ca="1" si="371"/>
        <v>0.27037194515348284</v>
      </c>
      <c r="DR156" s="88">
        <f t="shared" ca="1" si="371"/>
        <v>0.27037194515348284</v>
      </c>
      <c r="DS156" s="88">
        <f t="shared" ca="1" si="371"/>
        <v>0.27037194515348284</v>
      </c>
      <c r="DT156" s="88">
        <f t="shared" ca="1" si="371"/>
        <v>0.27037194515348284</v>
      </c>
      <c r="DU156" s="88">
        <f t="shared" ca="1" si="372"/>
        <v>0.27037194515348284</v>
      </c>
      <c r="DV156" s="88">
        <f t="shared" ca="1" si="372"/>
        <v>0</v>
      </c>
      <c r="DW156" s="88">
        <f t="shared" ca="1" si="372"/>
        <v>0</v>
      </c>
      <c r="DX156" s="88">
        <f t="shared" ca="1" si="372"/>
        <v>0</v>
      </c>
      <c r="DY156" s="88">
        <f t="shared" ca="1" si="372"/>
        <v>0</v>
      </c>
      <c r="DZ156" s="88">
        <f t="shared" ca="1" si="372"/>
        <v>0</v>
      </c>
      <c r="EA156" s="88">
        <f t="shared" ca="1" si="372"/>
        <v>0</v>
      </c>
      <c r="EB156" s="88">
        <f t="shared" ca="1" si="372"/>
        <v>0</v>
      </c>
      <c r="EC156" s="88">
        <f t="shared" ca="1" si="372"/>
        <v>0</v>
      </c>
      <c r="ED156" s="88">
        <f t="shared" ca="1" si="372"/>
        <v>0</v>
      </c>
      <c r="EE156" s="88">
        <f t="shared" ca="1" si="373"/>
        <v>0</v>
      </c>
      <c r="EF156" s="88">
        <f t="shared" ca="1" si="373"/>
        <v>0</v>
      </c>
      <c r="EG156" s="88">
        <f t="shared" ca="1" si="373"/>
        <v>0</v>
      </c>
      <c r="EH156" s="88">
        <f t="shared" ca="1" si="373"/>
        <v>0</v>
      </c>
      <c r="EI156" s="88">
        <f t="shared" ca="1" si="373"/>
        <v>0</v>
      </c>
      <c r="EJ156" s="88">
        <f t="shared" ca="1" si="373"/>
        <v>0</v>
      </c>
      <c r="EK156" s="88">
        <f t="shared" ca="1" si="373"/>
        <v>0</v>
      </c>
      <c r="EL156" s="88">
        <f t="shared" ca="1" si="373"/>
        <v>0</v>
      </c>
      <c r="EM156" s="88">
        <f t="shared" ca="1" si="373"/>
        <v>0</v>
      </c>
      <c r="EN156" s="88">
        <f t="shared" ca="1" si="373"/>
        <v>0</v>
      </c>
      <c r="EO156" s="88">
        <f t="shared" ca="1" si="373"/>
        <v>0</v>
      </c>
      <c r="EP156" s="88">
        <f t="shared" ca="1" si="373"/>
        <v>0</v>
      </c>
      <c r="EQ156" s="88">
        <f t="shared" ca="1" si="373"/>
        <v>0</v>
      </c>
      <c r="ER156" s="88">
        <f t="shared" ca="1" si="373"/>
        <v>0</v>
      </c>
      <c r="ES156" s="88">
        <f t="shared" ca="1" si="373"/>
        <v>0</v>
      </c>
      <c r="ET156" s="169"/>
      <c r="EU156" s="88">
        <f t="shared" ca="1" si="374"/>
        <v>0</v>
      </c>
      <c r="EV156" s="88">
        <f t="shared" ca="1" si="374"/>
        <v>0</v>
      </c>
      <c r="EW156" s="88">
        <f t="shared" ca="1" si="374"/>
        <v>0</v>
      </c>
      <c r="EX156" s="88">
        <f t="shared" ca="1" si="374"/>
        <v>0</v>
      </c>
      <c r="EY156" s="88">
        <f t="shared" ca="1" si="374"/>
        <v>0</v>
      </c>
      <c r="EZ156" s="88">
        <f t="shared" ca="1" si="374"/>
        <v>0</v>
      </c>
      <c r="FA156" s="88">
        <f t="shared" ca="1" si="374"/>
        <v>0</v>
      </c>
      <c r="FB156" s="88">
        <f t="shared" ca="1" si="374"/>
        <v>0</v>
      </c>
      <c r="FC156" s="88">
        <f t="shared" ca="1" si="374"/>
        <v>0</v>
      </c>
      <c r="FD156" s="88">
        <f t="shared" ca="1" si="374"/>
        <v>0</v>
      </c>
      <c r="FE156" s="88">
        <f t="shared" ca="1" si="375"/>
        <v>0</v>
      </c>
      <c r="FF156" s="88">
        <f t="shared" ca="1" si="375"/>
        <v>0</v>
      </c>
      <c r="FG156" s="88">
        <f t="shared" ca="1" si="375"/>
        <v>0</v>
      </c>
      <c r="FH156" s="88">
        <f t="shared" ca="1" si="375"/>
        <v>0</v>
      </c>
      <c r="FI156" s="88">
        <f t="shared" ca="1" si="375"/>
        <v>0</v>
      </c>
      <c r="FJ156" s="88">
        <f t="shared" ca="1" si="375"/>
        <v>0</v>
      </c>
      <c r="FK156" s="88">
        <f t="shared" ca="1" si="375"/>
        <v>0</v>
      </c>
      <c r="FL156" s="88">
        <f t="shared" ca="1" si="375"/>
        <v>0</v>
      </c>
      <c r="FM156" s="88">
        <f t="shared" ca="1" si="375"/>
        <v>0</v>
      </c>
      <c r="FN156" s="88">
        <f t="shared" ca="1" si="375"/>
        <v>0</v>
      </c>
      <c r="FO156" s="88">
        <f t="shared" ca="1" si="376"/>
        <v>0</v>
      </c>
      <c r="FP156" s="88">
        <f t="shared" ca="1" si="376"/>
        <v>0</v>
      </c>
      <c r="FQ156" s="88">
        <f t="shared" ca="1" si="376"/>
        <v>0</v>
      </c>
      <c r="FR156" s="88">
        <f t="shared" ca="1" si="376"/>
        <v>0</v>
      </c>
      <c r="FS156" s="88">
        <f t="shared" ca="1" si="376"/>
        <v>0</v>
      </c>
      <c r="FT156" s="88">
        <f t="shared" ca="1" si="376"/>
        <v>0</v>
      </c>
      <c r="FU156" s="88">
        <f t="shared" ca="1" si="376"/>
        <v>0</v>
      </c>
      <c r="FV156" s="88">
        <f t="shared" ca="1" si="376"/>
        <v>0</v>
      </c>
      <c r="FW156" s="88">
        <f t="shared" ca="1" si="376"/>
        <v>0</v>
      </c>
      <c r="FX156" s="88">
        <f t="shared" ca="1" si="376"/>
        <v>0</v>
      </c>
      <c r="FY156" s="88">
        <f t="shared" ca="1" si="376"/>
        <v>0</v>
      </c>
      <c r="FZ156" s="88">
        <f t="shared" ca="1" si="376"/>
        <v>0</v>
      </c>
      <c r="GA156" s="88">
        <f t="shared" ca="1" si="376"/>
        <v>0</v>
      </c>
      <c r="GB156" s="88">
        <f t="shared" ca="1" si="376"/>
        <v>0</v>
      </c>
      <c r="GC156" s="88">
        <f t="shared" ca="1" si="376"/>
        <v>0</v>
      </c>
      <c r="GD156" s="60"/>
    </row>
    <row r="157" spans="1:186" s="54" customFormat="1" ht="14.45" customHeight="1">
      <c r="A157" s="61"/>
      <c r="B157" s="100" t="str">
        <f t="shared" si="345"/>
        <v>C&amp;I_C&amp;I Custom_0_C&amp;I Custom_2018</v>
      </c>
      <c r="C157" s="100">
        <f>INDEX('Measure Inputs'!$D:$D,MATCH($B157,'Measure Inputs'!$B:$B,0))</f>
        <v>109</v>
      </c>
      <c r="D157" s="101" t="s">
        <v>256</v>
      </c>
      <c r="E157" s="101" t="s">
        <v>254</v>
      </c>
      <c r="F157" s="101">
        <v>0</v>
      </c>
      <c r="G157" s="101" t="s">
        <v>254</v>
      </c>
      <c r="H157" s="101">
        <v>2018</v>
      </c>
      <c r="I157" s="55"/>
      <c r="J157" s="58">
        <f t="shared" ca="1" si="229"/>
        <v>1.3661953032151433</v>
      </c>
      <c r="K157" s="58">
        <f t="shared" ca="1" si="246"/>
        <v>2.732700323249655</v>
      </c>
      <c r="L157" s="58">
        <f t="shared" ca="1" si="230"/>
        <v>0.49994333136042518</v>
      </c>
      <c r="M157" s="58">
        <f t="shared" ca="1" si="231"/>
        <v>1.8034314706452219</v>
      </c>
      <c r="N157" s="58">
        <f t="shared" ca="1" si="232"/>
        <v>2.732700323249655</v>
      </c>
      <c r="O157" s="55"/>
      <c r="P157" s="175">
        <f ca="1">IFERROR(($AW157+AV157)/SUMPRODUCT($CA157:$DI157,'General Inputs'!$F$51:$AN$51),"n/a")</f>
        <v>1.3677812677709331E-2</v>
      </c>
      <c r="Q157" s="175">
        <f t="shared" ca="1" si="309"/>
        <v>0.12114080449102509</v>
      </c>
      <c r="R157" s="56">
        <f t="shared" ca="1" si="364"/>
        <v>29986.180257446817</v>
      </c>
      <c r="S157" s="55"/>
      <c r="T157" s="56">
        <f ca="1">INDEX(OFFSET('Measure Inputs'!$L$7,,,InputRows),$C157)</f>
        <v>61</v>
      </c>
      <c r="U157" s="134">
        <f ca="1">INDEX(OFFSET('Measure Inputs'!$T$7,,,InputRows),$C157)</f>
        <v>1</v>
      </c>
      <c r="V157" s="134">
        <f ca="1">INDEX(OFFSET('Measure Inputs'!$U$7,,,InputRows),$C157)</f>
        <v>1</v>
      </c>
      <c r="W157" s="55"/>
      <c r="X157" s="96">
        <f ca="1">INDEX(OFFSET('Measure Inputs'!$V$7,,,InputRows),$C157)*$T157*$V157*$U157</f>
        <v>1999078.6838297872</v>
      </c>
      <c r="Y157" s="96">
        <f ca="1">INDEX(OFFSET('Measure Inputs'!$W$7,,,InputRows),$C157)*$T157*$V157*$U157</f>
        <v>484.29976595744682</v>
      </c>
      <c r="Z157" s="96">
        <f ca="1">INDEX(OFFSET('Measure Inputs'!$X$7,,,InputRows),$C157)*$T157*$V157*$U157</f>
        <v>0</v>
      </c>
      <c r="AA157" s="55"/>
      <c r="AB157" s="96">
        <f ca="1">INDEX(OFFSET('Measure Inputs'!$Z$7,,,InputRows),$C157)*$T157*$V157*$U157</f>
        <v>0</v>
      </c>
      <c r="AC157" s="96">
        <f ca="1">INDEX(OFFSET('Measure Inputs'!$AA$7,,,InputRows),$C157)*$T157*$V157*$U157</f>
        <v>0</v>
      </c>
      <c r="AD157" s="96">
        <f ca="1">INDEX(OFFSET('Measure Inputs'!$AB$7,,,InputRows),$C157)*$T157*$V157*$U157</f>
        <v>0</v>
      </c>
      <c r="AE157" s="55"/>
      <c r="AF157" s="57">
        <f ca="1">INDEX(OFFSET('Measure Inputs'!$Q$7,,,InputRows),$C157)*$T157</f>
        <v>0</v>
      </c>
      <c r="AG157" s="57">
        <f ca="1">INDEX(OFFSET('Measure Inputs'!$P$7,,,InputRows),$C157)*$T157*$V157</f>
        <v>484394.89999999997</v>
      </c>
      <c r="AH157" s="57">
        <f ca="1">INDEX(OFFSET('Measure Inputs'!$R$7,,,InputRows),$C157)*$T157*$V157</f>
        <v>0</v>
      </c>
      <c r="AI157" s="57">
        <f ca="1">INDEX(OFFSET('Measure Inputs'!$O$7,,,InputRows),$C157)*$T157</f>
        <v>242170</v>
      </c>
      <c r="AJ157" s="57">
        <f ca="1">INDEX(OFFSET('Measure Inputs'!$S$7,,,InputRows),$C157)*$T157</f>
        <v>0</v>
      </c>
      <c r="AK157" s="63">
        <f ca="1">INDEX(OFFSET('Measure Inputs'!$M$7,,,InputRows),$C157)</f>
        <v>15</v>
      </c>
      <c r="AL157" s="88">
        <f ca="1">INDEX(OFFSET('Measure Inputs'!$N$7,,,InputRows),$C157)</f>
        <v>0</v>
      </c>
      <c r="AM157" s="57">
        <f ca="1">SUMIFS(OFFSET('Program Inputs'!$N$5,,,TotalPrograms),OFFSET('Program Inputs'!$B$5,,,TotalPrograms),SUBSTITUTE($B157,"All","*"))+AF157</f>
        <v>0</v>
      </c>
      <c r="AN157" s="57">
        <f t="shared" ca="1" si="365"/>
        <v>242170</v>
      </c>
      <c r="AO157" s="55"/>
      <c r="AP157" s="59">
        <f t="shared" ca="1" si="366"/>
        <v>608028.33267306956</v>
      </c>
      <c r="AQ157" s="59">
        <f t="shared" ca="1" si="367"/>
        <v>445052.27857405361</v>
      </c>
      <c r="AR157" s="59">
        <f ca="1">SUMPRODUCT($CA157:$DI157,'General Inputs'!$F$32:$AN$32,'General Inputs'!$F$51:$AN$51)/(1-Loss_ElectricEnergy)</f>
        <v>517800.51693530183</v>
      </c>
      <c r="AS157" s="59">
        <f ca="1">SUMPRODUCT($DK157:$ES157,'General Inputs'!$F$33:$AN$33,'General Inputs'!$F$51:$AN$51)/(1-Loss_ElectricDemand)</f>
        <v>90227.815737767683</v>
      </c>
      <c r="AT157" s="59">
        <f ca="1">SUMPRODUCT($EU157:$GC157,'General Inputs'!$F$34:$AN$34,'General Inputs'!$F$51:$AN$51)/(1-Loss_GasEnergy)</f>
        <v>0</v>
      </c>
      <c r="AU157" s="59">
        <f ca="1">INDEX('General Inputs'!$F$51:$AN$51,MATCH($H157,'General Inputs'!$F$50:$AN$50,0))*$AJ157</f>
        <v>0</v>
      </c>
      <c r="AV157" s="59">
        <f ca="1">INDEX('General Inputs'!$F$51:$AN$51,MATCH($H157,'General Inputs'!$F$50:$AN$50,0))*$AI157</f>
        <v>222500.91877986034</v>
      </c>
      <c r="AW157" s="59">
        <f ca="1">INDEX('General Inputs'!$F$51:$AN$51,MATCH($H157,'General Inputs'!$F$50:$AN$50,0))*$AM157</f>
        <v>0</v>
      </c>
      <c r="AX157" s="59">
        <f ca="1">SUM(INDEX('General Inputs'!$F$51:$AN$51,MATCH($H157,'General Inputs'!$F$50:$AN$50,0))*$AG157,INDEX('General Inputs'!$F$51:$AN$51,MATCH($H157+$AL157,'General Inputs'!$F$50:$AN$50,0))*-$AH157)</f>
        <v>445052.27857405361</v>
      </c>
      <c r="AY157" s="55"/>
      <c r="AZ157" s="59">
        <f ca="1">SUMPRODUCT($CA157:$DI157,'General Inputs'!$F$32:$AN$32,'General Inputs'!$F$52:$AN$52)/(1-Loss_ElectricEnergy)</f>
        <v>517800.51693530183</v>
      </c>
      <c r="BA157" s="59">
        <f ca="1">SUMPRODUCT($DK157:$ES157,'General Inputs'!$F$33:$AN$33,'General Inputs'!$F$52:$AN$52)/(1-Loss_ElectricDemand)</f>
        <v>90227.815737767683</v>
      </c>
      <c r="BB157" s="59">
        <f ca="1">SUMPRODUCT($EU157:$GC157,'General Inputs'!$F$34:$AN$34,'General Inputs'!$F$52:$AN$52)/(1-Loss_GasEnergy)</f>
        <v>0</v>
      </c>
      <c r="BC157" s="59">
        <f ca="1">INDEX('General Inputs'!$F$52:$AN$52,MATCH($H157,'General Inputs'!$F$50:$AN$50,0))*$AI157</f>
        <v>222500.91877986034</v>
      </c>
      <c r="BD157" s="59">
        <f ca="1">INDEX('General Inputs'!$F$52:$AN$52,MATCH($H157,'General Inputs'!$F$50:$AN$50,0))*$AM157</f>
        <v>0</v>
      </c>
      <c r="BE157" s="55"/>
      <c r="BF157" s="59">
        <f ca="1">SUMPRODUCT($CA157:$DI157,OFFSET('General Inputs'!$F$40:$AN$40,MATCH($D157&amp;" Electric ($/kWh)",'General Inputs'!$E$40:$E$46,0),),'General Inputs'!$F$54:$AN$54)</f>
        <v>0</v>
      </c>
      <c r="BG157" s="59">
        <f ca="1">SUMPRODUCT($EU157:$GC157,OFFSET('General Inputs'!$F$40:$AN$40,MATCH($D157&amp;" Natural Gas ($/therm)",'General Inputs'!$E$40:$E$46,0),),'General Inputs'!$F$54:$AN$54)</f>
        <v>0</v>
      </c>
      <c r="BH157" s="59">
        <f ca="1">INDEX('General Inputs'!$F$54:$AN$54,MATCH($H157,'General Inputs'!$F$50:$AN$50,0))*$AI157</f>
        <v>222500.91877986034</v>
      </c>
      <c r="BI157" s="59">
        <f ca="1">SUM(INDEX('General Inputs'!$F$54:$AN$54,MATCH($H157,'General Inputs'!$F$50:$AN$50,0))*$AG157,INDEX('General Inputs'!$F$51:$AN$51,MATCH($H157+$AL157,'General Inputs'!$F$50:$AN$50,0))*-$AH157)</f>
        <v>445052.27857405361</v>
      </c>
      <c r="BJ157" s="55"/>
      <c r="BK157" s="59">
        <f ca="1">SUMPRODUCT($CA157:$DI157,'General Inputs'!$F$32:$AN$32,'General Inputs'!$F$53:$AN$53)/(1-Loss_ElectricEnergy)</f>
        <v>517800.51693530183</v>
      </c>
      <c r="BL157" s="59">
        <f ca="1">SUMPRODUCT($DK157:$ES157,'General Inputs'!$F$33:$AN$33,'General Inputs'!$F$53:$AN$53)/(1-Loss_ElectricDemand)</f>
        <v>90227.815737767683</v>
      </c>
      <c r="BM157" s="59">
        <f ca="1">SUMPRODUCT($EU157:$GC157,'General Inputs'!$F$34:$AN$34,'General Inputs'!$F$53:$AN$53)/(1-Loss_GasEnergy)</f>
        <v>0</v>
      </c>
      <c r="BN157" s="59">
        <f ca="1">INDEX('General Inputs'!$F$53:$AN$53,MATCH($H157,'General Inputs'!$F$50:$AN$50,0))*$AJ157</f>
        <v>0</v>
      </c>
      <c r="BO157" s="59">
        <f ca="1">SUMPRODUCT($CA157:$DI157,'General Inputs'!$F$35:$AN$35,'General Inputs'!$F$53:$AN$53)/(1-Loss_ElectricEnergy)</f>
        <v>194592.95258974296</v>
      </c>
      <c r="BP157" s="59">
        <f ca="1">INDEX('General Inputs'!$F$51:$AN$51,MATCH($H157,'General Inputs'!$F$50:$AN$50,0))*$AM157</f>
        <v>0</v>
      </c>
      <c r="BQ157" s="59">
        <f ca="1">SUM(INDEX('General Inputs'!$F$53:$AN$53,MATCH($H157,'General Inputs'!$F$50:$AN$50,0))*$AG157,INDEX('General Inputs'!$F$53:$AN$53,MATCH($H157+$AL157,'General Inputs'!$F$50:$AN$50,0))*-$AH157)</f>
        <v>445052.27857405361</v>
      </c>
      <c r="BR157" s="55"/>
      <c r="BS157" s="59">
        <f ca="1">SUMPRODUCT($CA157:$DI157,'General Inputs'!$F$32:$AN$32,'General Inputs'!$F$55:$AN$55)/(1-Loss_ElectricEnergy)</f>
        <v>517800.51693530183</v>
      </c>
      <c r="BT157" s="59">
        <f ca="1">SUMPRODUCT($DK157:$ES157,'General Inputs'!$F$33:$AN$33,'General Inputs'!$F$55:$AN$55)/(1-Loss_ElectricDemand)</f>
        <v>90227.815737767683</v>
      </c>
      <c r="BU157" s="59">
        <f ca="1">SUMPRODUCT($EU157:$GC157,'General Inputs'!$F$34:$AN$34,'General Inputs'!$F$55:$AN$55)/(1-Loss_GasEnergy)</f>
        <v>0</v>
      </c>
      <c r="BV157" s="59">
        <f ca="1">SUMPRODUCT($CA157:$DI157,OFFSET('General Inputs'!$F$40:$AN$40,MATCH($D157&amp;" Electric ($/kWh)",'General Inputs'!$E$40:$E$46,0),),'General Inputs'!$F$55:$AN$55)</f>
        <v>0</v>
      </c>
      <c r="BW157" s="59">
        <f ca="1">SUMPRODUCT($EU157:$GC157,OFFSET('General Inputs'!$F$40:$AN$40,MATCH($D157&amp;" Natural Gas ($/therm)",'General Inputs'!$E$40:$E$46,0),),'General Inputs'!$F$55:$AN$55)</f>
        <v>0</v>
      </c>
      <c r="BX157" s="59">
        <f ca="1">INDEX('General Inputs'!$F$55:$AN$55,MATCH($H157,'General Inputs'!$F$50:$AN$50,0))*$AI157</f>
        <v>222500.91877986034</v>
      </c>
      <c r="BY157" s="59">
        <f ca="1">INDEX('General Inputs'!$F$51:$AN$51,MATCH($H157,'General Inputs'!$F$50:$AN$50,0))*$AM157</f>
        <v>0</v>
      </c>
      <c r="BZ157" s="55"/>
      <c r="CA157" s="88">
        <f t="shared" ca="1" si="368"/>
        <v>0</v>
      </c>
      <c r="CB157" s="88">
        <f t="shared" ca="1" si="368"/>
        <v>1999078.6838297872</v>
      </c>
      <c r="CC157" s="88">
        <f t="shared" ca="1" si="368"/>
        <v>1999078.6838297872</v>
      </c>
      <c r="CD157" s="88">
        <f t="shared" ca="1" si="368"/>
        <v>1999078.6838297872</v>
      </c>
      <c r="CE157" s="88">
        <f t="shared" ca="1" si="368"/>
        <v>1999078.6838297872</v>
      </c>
      <c r="CF157" s="88">
        <f t="shared" ca="1" si="368"/>
        <v>1999078.6838297872</v>
      </c>
      <c r="CG157" s="88">
        <f t="shared" ca="1" si="368"/>
        <v>1999078.6838297872</v>
      </c>
      <c r="CH157" s="88">
        <f t="shared" ca="1" si="368"/>
        <v>1999078.6838297872</v>
      </c>
      <c r="CI157" s="88">
        <f t="shared" ca="1" si="368"/>
        <v>1999078.6838297872</v>
      </c>
      <c r="CJ157" s="88">
        <f t="shared" ca="1" si="368"/>
        <v>1999078.6838297872</v>
      </c>
      <c r="CK157" s="88">
        <f t="shared" ca="1" si="369"/>
        <v>1999078.6838297872</v>
      </c>
      <c r="CL157" s="88">
        <f t="shared" ca="1" si="369"/>
        <v>1999078.6838297872</v>
      </c>
      <c r="CM157" s="88">
        <f t="shared" ca="1" si="369"/>
        <v>1999078.6838297872</v>
      </c>
      <c r="CN157" s="88">
        <f t="shared" ca="1" si="369"/>
        <v>1999078.6838297872</v>
      </c>
      <c r="CO157" s="88">
        <f t="shared" ca="1" si="369"/>
        <v>1999078.6838297872</v>
      </c>
      <c r="CP157" s="88">
        <f t="shared" ca="1" si="369"/>
        <v>1999078.6838297872</v>
      </c>
      <c r="CQ157" s="88">
        <f t="shared" ca="1" si="369"/>
        <v>0</v>
      </c>
      <c r="CR157" s="88">
        <f t="shared" ca="1" si="369"/>
        <v>0</v>
      </c>
      <c r="CS157" s="88">
        <f t="shared" ca="1" si="369"/>
        <v>0</v>
      </c>
      <c r="CT157" s="88">
        <f t="shared" ca="1" si="369"/>
        <v>0</v>
      </c>
      <c r="CU157" s="88">
        <f t="shared" ca="1" si="370"/>
        <v>0</v>
      </c>
      <c r="CV157" s="88">
        <f t="shared" ca="1" si="370"/>
        <v>0</v>
      </c>
      <c r="CW157" s="88">
        <f t="shared" ca="1" si="370"/>
        <v>0</v>
      </c>
      <c r="CX157" s="88">
        <f t="shared" ca="1" si="370"/>
        <v>0</v>
      </c>
      <c r="CY157" s="88">
        <f t="shared" ca="1" si="370"/>
        <v>0</v>
      </c>
      <c r="CZ157" s="88">
        <f t="shared" ca="1" si="370"/>
        <v>0</v>
      </c>
      <c r="DA157" s="88">
        <f t="shared" ca="1" si="370"/>
        <v>0</v>
      </c>
      <c r="DB157" s="88">
        <f t="shared" ca="1" si="370"/>
        <v>0</v>
      </c>
      <c r="DC157" s="88">
        <f t="shared" ca="1" si="370"/>
        <v>0</v>
      </c>
      <c r="DD157" s="88">
        <f t="shared" ca="1" si="370"/>
        <v>0</v>
      </c>
      <c r="DE157" s="88">
        <f t="shared" ca="1" si="370"/>
        <v>0</v>
      </c>
      <c r="DF157" s="88">
        <f t="shared" ca="1" si="370"/>
        <v>0</v>
      </c>
      <c r="DG157" s="88">
        <f t="shared" ca="1" si="370"/>
        <v>0</v>
      </c>
      <c r="DH157" s="88">
        <f t="shared" ca="1" si="370"/>
        <v>0</v>
      </c>
      <c r="DI157" s="88">
        <f t="shared" ca="1" si="370"/>
        <v>0</v>
      </c>
      <c r="DJ157" s="169"/>
      <c r="DK157" s="88">
        <f t="shared" ca="1" si="371"/>
        <v>0</v>
      </c>
      <c r="DL157" s="88">
        <f t="shared" ca="1" si="371"/>
        <v>484.29976595744682</v>
      </c>
      <c r="DM157" s="88">
        <f t="shared" ca="1" si="371"/>
        <v>484.29976595744682</v>
      </c>
      <c r="DN157" s="88">
        <f t="shared" ca="1" si="371"/>
        <v>484.29976595744682</v>
      </c>
      <c r="DO157" s="88">
        <f t="shared" ca="1" si="371"/>
        <v>484.29976595744682</v>
      </c>
      <c r="DP157" s="88">
        <f t="shared" ca="1" si="371"/>
        <v>484.29976595744682</v>
      </c>
      <c r="DQ157" s="88">
        <f t="shared" ca="1" si="371"/>
        <v>484.29976595744682</v>
      </c>
      <c r="DR157" s="88">
        <f t="shared" ca="1" si="371"/>
        <v>484.29976595744682</v>
      </c>
      <c r="DS157" s="88">
        <f t="shared" ca="1" si="371"/>
        <v>484.29976595744682</v>
      </c>
      <c r="DT157" s="88">
        <f t="shared" ca="1" si="371"/>
        <v>484.29976595744682</v>
      </c>
      <c r="DU157" s="88">
        <f t="shared" ca="1" si="372"/>
        <v>484.29976595744682</v>
      </c>
      <c r="DV157" s="88">
        <f t="shared" ca="1" si="372"/>
        <v>484.29976595744682</v>
      </c>
      <c r="DW157" s="88">
        <f t="shared" ca="1" si="372"/>
        <v>484.29976595744682</v>
      </c>
      <c r="DX157" s="88">
        <f t="shared" ca="1" si="372"/>
        <v>484.29976595744682</v>
      </c>
      <c r="DY157" s="88">
        <f t="shared" ca="1" si="372"/>
        <v>484.29976595744682</v>
      </c>
      <c r="DZ157" s="88">
        <f t="shared" ca="1" si="372"/>
        <v>484.29976595744682</v>
      </c>
      <c r="EA157" s="88">
        <f t="shared" ca="1" si="372"/>
        <v>0</v>
      </c>
      <c r="EB157" s="88">
        <f t="shared" ca="1" si="372"/>
        <v>0</v>
      </c>
      <c r="EC157" s="88">
        <f t="shared" ca="1" si="372"/>
        <v>0</v>
      </c>
      <c r="ED157" s="88">
        <f t="shared" ca="1" si="372"/>
        <v>0</v>
      </c>
      <c r="EE157" s="88">
        <f t="shared" ca="1" si="373"/>
        <v>0</v>
      </c>
      <c r="EF157" s="88">
        <f t="shared" ca="1" si="373"/>
        <v>0</v>
      </c>
      <c r="EG157" s="88">
        <f t="shared" ca="1" si="373"/>
        <v>0</v>
      </c>
      <c r="EH157" s="88">
        <f t="shared" ca="1" si="373"/>
        <v>0</v>
      </c>
      <c r="EI157" s="88">
        <f t="shared" ca="1" si="373"/>
        <v>0</v>
      </c>
      <c r="EJ157" s="88">
        <f t="shared" ca="1" si="373"/>
        <v>0</v>
      </c>
      <c r="EK157" s="88">
        <f t="shared" ca="1" si="373"/>
        <v>0</v>
      </c>
      <c r="EL157" s="88">
        <f t="shared" ca="1" si="373"/>
        <v>0</v>
      </c>
      <c r="EM157" s="88">
        <f t="shared" ca="1" si="373"/>
        <v>0</v>
      </c>
      <c r="EN157" s="88">
        <f t="shared" ca="1" si="373"/>
        <v>0</v>
      </c>
      <c r="EO157" s="88">
        <f t="shared" ca="1" si="373"/>
        <v>0</v>
      </c>
      <c r="EP157" s="88">
        <f t="shared" ca="1" si="373"/>
        <v>0</v>
      </c>
      <c r="EQ157" s="88">
        <f t="shared" ca="1" si="373"/>
        <v>0</v>
      </c>
      <c r="ER157" s="88">
        <f t="shared" ca="1" si="373"/>
        <v>0</v>
      </c>
      <c r="ES157" s="88">
        <f t="shared" ca="1" si="373"/>
        <v>0</v>
      </c>
      <c r="ET157" s="169"/>
      <c r="EU157" s="88">
        <f t="shared" ca="1" si="374"/>
        <v>0</v>
      </c>
      <c r="EV157" s="88">
        <f t="shared" ca="1" si="374"/>
        <v>0</v>
      </c>
      <c r="EW157" s="88">
        <f t="shared" ca="1" si="374"/>
        <v>0</v>
      </c>
      <c r="EX157" s="88">
        <f t="shared" ca="1" si="374"/>
        <v>0</v>
      </c>
      <c r="EY157" s="88">
        <f t="shared" ca="1" si="374"/>
        <v>0</v>
      </c>
      <c r="EZ157" s="88">
        <f t="shared" ca="1" si="374"/>
        <v>0</v>
      </c>
      <c r="FA157" s="88">
        <f t="shared" ca="1" si="374"/>
        <v>0</v>
      </c>
      <c r="FB157" s="88">
        <f t="shared" ca="1" si="374"/>
        <v>0</v>
      </c>
      <c r="FC157" s="88">
        <f t="shared" ca="1" si="374"/>
        <v>0</v>
      </c>
      <c r="FD157" s="88">
        <f t="shared" ca="1" si="374"/>
        <v>0</v>
      </c>
      <c r="FE157" s="88">
        <f t="shared" ca="1" si="375"/>
        <v>0</v>
      </c>
      <c r="FF157" s="88">
        <f t="shared" ca="1" si="375"/>
        <v>0</v>
      </c>
      <c r="FG157" s="88">
        <f t="shared" ca="1" si="375"/>
        <v>0</v>
      </c>
      <c r="FH157" s="88">
        <f t="shared" ca="1" si="375"/>
        <v>0</v>
      </c>
      <c r="FI157" s="88">
        <f t="shared" ca="1" si="375"/>
        <v>0</v>
      </c>
      <c r="FJ157" s="88">
        <f t="shared" ca="1" si="375"/>
        <v>0</v>
      </c>
      <c r="FK157" s="88">
        <f t="shared" ca="1" si="375"/>
        <v>0</v>
      </c>
      <c r="FL157" s="88">
        <f t="shared" ca="1" si="375"/>
        <v>0</v>
      </c>
      <c r="FM157" s="88">
        <f t="shared" ca="1" si="375"/>
        <v>0</v>
      </c>
      <c r="FN157" s="88">
        <f t="shared" ca="1" si="375"/>
        <v>0</v>
      </c>
      <c r="FO157" s="88">
        <f t="shared" ca="1" si="376"/>
        <v>0</v>
      </c>
      <c r="FP157" s="88">
        <f t="shared" ca="1" si="376"/>
        <v>0</v>
      </c>
      <c r="FQ157" s="88">
        <f t="shared" ca="1" si="376"/>
        <v>0</v>
      </c>
      <c r="FR157" s="88">
        <f t="shared" ca="1" si="376"/>
        <v>0</v>
      </c>
      <c r="FS157" s="88">
        <f t="shared" ca="1" si="376"/>
        <v>0</v>
      </c>
      <c r="FT157" s="88">
        <f t="shared" ca="1" si="376"/>
        <v>0</v>
      </c>
      <c r="FU157" s="88">
        <f t="shared" ca="1" si="376"/>
        <v>0</v>
      </c>
      <c r="FV157" s="88">
        <f t="shared" ca="1" si="376"/>
        <v>0</v>
      </c>
      <c r="FW157" s="88">
        <f t="shared" ca="1" si="376"/>
        <v>0</v>
      </c>
      <c r="FX157" s="88">
        <f t="shared" ca="1" si="376"/>
        <v>0</v>
      </c>
      <c r="FY157" s="88">
        <f t="shared" ca="1" si="376"/>
        <v>0</v>
      </c>
      <c r="FZ157" s="88">
        <f t="shared" ca="1" si="376"/>
        <v>0</v>
      </c>
      <c r="GA157" s="88">
        <f t="shared" ca="1" si="376"/>
        <v>0</v>
      </c>
      <c r="GB157" s="88">
        <f t="shared" ca="1" si="376"/>
        <v>0</v>
      </c>
      <c r="GC157" s="88">
        <f t="shared" ca="1" si="376"/>
        <v>0</v>
      </c>
      <c r="GD157" s="60"/>
    </row>
    <row r="158" spans="1:186" s="54" customFormat="1" ht="14.45" customHeight="1">
      <c r="A158" s="61"/>
      <c r="B158" s="100" t="str">
        <f t="shared" si="345"/>
        <v>C&amp;I_C&amp;I Prescriptive_0_High Bay Fluorescent Fixture w/ HE Electronic Ballast (T5 2-3 lamp)_2018</v>
      </c>
      <c r="C158" s="100">
        <f>INDEX('Measure Inputs'!$D:$D,MATCH($B158,'Measure Inputs'!$B:$B,0))</f>
        <v>110</v>
      </c>
      <c r="D158" s="101" t="s">
        <v>256</v>
      </c>
      <c r="E158" s="101" t="s">
        <v>255</v>
      </c>
      <c r="F158" s="101">
        <v>0</v>
      </c>
      <c r="G158" s="101" t="s">
        <v>353</v>
      </c>
      <c r="H158" s="101">
        <v>2018</v>
      </c>
      <c r="I158" s="55"/>
      <c r="J158" s="58">
        <f t="shared" ca="1" si="229"/>
        <v>1.5659394767475263</v>
      </c>
      <c r="K158" s="58">
        <f t="shared" ca="1" si="246"/>
        <v>2.8471626849955021</v>
      </c>
      <c r="L158" s="58">
        <f t="shared" ca="1" si="230"/>
        <v>0.55000000000000004</v>
      </c>
      <c r="M158" s="58">
        <f t="shared" ca="1" si="231"/>
        <v>2.0601731022800558</v>
      </c>
      <c r="N158" s="58">
        <f t="shared" ca="1" si="232"/>
        <v>2.8471626849955021</v>
      </c>
      <c r="O158" s="55"/>
      <c r="P158" s="175">
        <f ca="1">IFERROR(($AW158+AV158)/SUMPRODUCT($CA158:$DI158,'General Inputs'!$F$51:$AN$51),"n/a")</f>
        <v>1.331197062448535E-2</v>
      </c>
      <c r="Q158" s="175">
        <f t="shared" ca="1" si="309"/>
        <v>0.11790063724436972</v>
      </c>
      <c r="R158" s="56">
        <f t="shared" ca="1" si="364"/>
        <v>314.88379424999999</v>
      </c>
      <c r="S158" s="55"/>
      <c r="T158" s="56">
        <f ca="1">INDEX(OFFSET('Measure Inputs'!$L$7,,,InputRows),$C158)</f>
        <v>45</v>
      </c>
      <c r="U158" s="134">
        <f ca="1">INDEX(OFFSET('Measure Inputs'!$T$7,,,InputRows),$C158)</f>
        <v>1</v>
      </c>
      <c r="V158" s="134">
        <f ca="1">INDEX(OFFSET('Measure Inputs'!$U$7,,,InputRows),$C158)</f>
        <v>1</v>
      </c>
      <c r="W158" s="55"/>
      <c r="X158" s="96">
        <f ca="1">INDEX(OFFSET('Measure Inputs'!$V$7,,,InputRows),$C158)*$T158*$V158*$U158</f>
        <v>20992.252949999998</v>
      </c>
      <c r="Y158" s="96">
        <f ca="1">INDEX(OFFSET('Measure Inputs'!$W$7,,,InputRows),$C158)*$T158*$V158*$U158</f>
        <v>5.5660500000000006</v>
      </c>
      <c r="Z158" s="96">
        <f ca="1">INDEX(OFFSET('Measure Inputs'!$X$7,,,InputRows),$C158)*$T158*$V158*$U158</f>
        <v>0</v>
      </c>
      <c r="AA158" s="55"/>
      <c r="AB158" s="96">
        <f ca="1">INDEX(OFFSET('Measure Inputs'!$Z$7,,,InputRows),$C158)*$T158*$V158*$U158</f>
        <v>0</v>
      </c>
      <c r="AC158" s="96">
        <f ca="1">INDEX(OFFSET('Measure Inputs'!$AA$7,,,InputRows),$C158)*$T158*$V158*$U158</f>
        <v>0</v>
      </c>
      <c r="AD158" s="96">
        <f ca="1">INDEX(OFFSET('Measure Inputs'!$AB$7,,,InputRows),$C158)*$T158*$V158*$U158</f>
        <v>0</v>
      </c>
      <c r="AE158" s="55"/>
      <c r="AF158" s="57">
        <f ca="1">INDEX(OFFSET('Measure Inputs'!$Q$7,,,InputRows),$C158)*$T158</f>
        <v>0</v>
      </c>
      <c r="AG158" s="57">
        <f ca="1">INDEX(OFFSET('Measure Inputs'!$P$7,,,InputRows),$C158)*$T158*$V158</f>
        <v>4500</v>
      </c>
      <c r="AH158" s="57">
        <f ca="1">INDEX(OFFSET('Measure Inputs'!$R$7,,,InputRows),$C158)*$T158*$V158</f>
        <v>0</v>
      </c>
      <c r="AI158" s="57">
        <f ca="1">INDEX(OFFSET('Measure Inputs'!$O$7,,,InputRows),$C158)*$T158</f>
        <v>2475</v>
      </c>
      <c r="AJ158" s="57">
        <f ca="1">INDEX(OFFSET('Measure Inputs'!$S$7,,,InputRows),$C158)*$T158</f>
        <v>0</v>
      </c>
      <c r="AK158" s="63">
        <f ca="1">INDEX(OFFSET('Measure Inputs'!$M$7,,,InputRows),$C158)</f>
        <v>15</v>
      </c>
      <c r="AL158" s="88">
        <f ca="1">INDEX(OFFSET('Measure Inputs'!$N$7,,,InputRows),$C158)</f>
        <v>0</v>
      </c>
      <c r="AM158" s="57">
        <f ca="1">SUMIFS(OFFSET('Program Inputs'!$N$5,,,TotalPrograms),OFFSET('Program Inputs'!$B$5,,,TotalPrograms),SUBSTITUTE($B158,"All","*"))+AF158</f>
        <v>0</v>
      </c>
      <c r="AN158" s="57">
        <f t="shared" ca="1" si="365"/>
        <v>2475</v>
      </c>
      <c r="AO158" s="55"/>
      <c r="AP158" s="59">
        <f t="shared" ca="1" si="366"/>
        <v>6474.3914418999157</v>
      </c>
      <c r="AQ158" s="59">
        <f t="shared" ca="1" si="367"/>
        <v>4134.5093715545754</v>
      </c>
      <c r="AR158" s="59">
        <f ca="1">SUMPRODUCT($CA158:$DI158,'General Inputs'!$F$32:$AN$32,'General Inputs'!$F$51:$AN$51)/(1-Loss_ElectricEnergy)</f>
        <v>5437.4044989177273</v>
      </c>
      <c r="AS158" s="59">
        <f ca="1">SUMPRODUCT($DK158:$ES158,'General Inputs'!$F$33:$AN$33,'General Inputs'!$F$51:$AN$51)/(1-Loss_ElectricDemand)</f>
        <v>1036.9869429821881</v>
      </c>
      <c r="AT158" s="59">
        <f ca="1">SUMPRODUCT($EU158:$GC158,'General Inputs'!$F$34:$AN$34,'General Inputs'!$F$51:$AN$51)/(1-Loss_GasEnergy)</f>
        <v>0</v>
      </c>
      <c r="AU158" s="59">
        <f ca="1">INDEX('General Inputs'!$F$51:$AN$51,MATCH($H158,'General Inputs'!$F$50:$AN$50,0))*$AJ158</f>
        <v>0</v>
      </c>
      <c r="AV158" s="59">
        <f ca="1">INDEX('General Inputs'!$F$51:$AN$51,MATCH($H158,'General Inputs'!$F$50:$AN$50,0))*$AI158</f>
        <v>2273.9801543550166</v>
      </c>
      <c r="AW158" s="59">
        <f ca="1">INDEX('General Inputs'!$F$51:$AN$51,MATCH($H158,'General Inputs'!$F$50:$AN$50,0))*$AM158</f>
        <v>0</v>
      </c>
      <c r="AX158" s="59">
        <f ca="1">SUM(INDEX('General Inputs'!$F$51:$AN$51,MATCH($H158,'General Inputs'!$F$50:$AN$50,0))*$AG158,INDEX('General Inputs'!$F$51:$AN$51,MATCH($H158+$AL158,'General Inputs'!$F$50:$AN$50,0))*-$AH158)</f>
        <v>4134.5093715545754</v>
      </c>
      <c r="AY158" s="55"/>
      <c r="AZ158" s="59">
        <f ca="1">SUMPRODUCT($CA158:$DI158,'General Inputs'!$F$32:$AN$32,'General Inputs'!$F$52:$AN$52)/(1-Loss_ElectricEnergy)</f>
        <v>5437.4044989177273</v>
      </c>
      <c r="BA158" s="59">
        <f ca="1">SUMPRODUCT($DK158:$ES158,'General Inputs'!$F$33:$AN$33,'General Inputs'!$F$52:$AN$52)/(1-Loss_ElectricDemand)</f>
        <v>1036.9869429821881</v>
      </c>
      <c r="BB158" s="59">
        <f ca="1">SUMPRODUCT($EU158:$GC158,'General Inputs'!$F$34:$AN$34,'General Inputs'!$F$52:$AN$52)/(1-Loss_GasEnergy)</f>
        <v>0</v>
      </c>
      <c r="BC158" s="59">
        <f ca="1">INDEX('General Inputs'!$F$52:$AN$52,MATCH($H158,'General Inputs'!$F$50:$AN$50,0))*$AI158</f>
        <v>2273.9801543550166</v>
      </c>
      <c r="BD158" s="59">
        <f ca="1">INDEX('General Inputs'!$F$52:$AN$52,MATCH($H158,'General Inputs'!$F$50:$AN$50,0))*$AM158</f>
        <v>0</v>
      </c>
      <c r="BE158" s="55"/>
      <c r="BF158" s="59">
        <f ca="1">SUMPRODUCT($CA158:$DI158,OFFSET('General Inputs'!$F$40:$AN$40,MATCH($D158&amp;" Electric ($/kWh)",'General Inputs'!$E$40:$E$46,0),),'General Inputs'!$F$54:$AN$54)</f>
        <v>0</v>
      </c>
      <c r="BG158" s="59">
        <f ca="1">SUMPRODUCT($EU158:$GC158,OFFSET('General Inputs'!$F$40:$AN$40,MATCH($D158&amp;" Natural Gas ($/therm)",'General Inputs'!$E$40:$E$46,0),),'General Inputs'!$F$54:$AN$54)</f>
        <v>0</v>
      </c>
      <c r="BH158" s="59">
        <f ca="1">INDEX('General Inputs'!$F$54:$AN$54,MATCH($H158,'General Inputs'!$F$50:$AN$50,0))*$AI158</f>
        <v>2273.9801543550166</v>
      </c>
      <c r="BI158" s="59">
        <f ca="1">SUM(INDEX('General Inputs'!$F$54:$AN$54,MATCH($H158,'General Inputs'!$F$50:$AN$50,0))*$AG158,INDEX('General Inputs'!$F$51:$AN$51,MATCH($H158+$AL158,'General Inputs'!$F$50:$AN$50,0))*-$AH158)</f>
        <v>4134.5093715545754</v>
      </c>
      <c r="BJ158" s="55"/>
      <c r="BK158" s="59">
        <f ca="1">SUMPRODUCT($CA158:$DI158,'General Inputs'!$F$32:$AN$32,'General Inputs'!$F$53:$AN$53)/(1-Loss_ElectricEnergy)</f>
        <v>5437.4044989177273</v>
      </c>
      <c r="BL158" s="59">
        <f ca="1">SUMPRODUCT($DK158:$ES158,'General Inputs'!$F$33:$AN$33,'General Inputs'!$F$53:$AN$53)/(1-Loss_ElectricDemand)</f>
        <v>1036.9869429821881</v>
      </c>
      <c r="BM158" s="59">
        <f ca="1">SUMPRODUCT($EU158:$GC158,'General Inputs'!$F$34:$AN$34,'General Inputs'!$F$53:$AN$53)/(1-Loss_GasEnergy)</f>
        <v>0</v>
      </c>
      <c r="BN158" s="59">
        <f ca="1">INDEX('General Inputs'!$F$53:$AN$53,MATCH($H158,'General Inputs'!$F$50:$AN$50,0))*$AJ158</f>
        <v>0</v>
      </c>
      <c r="BO158" s="59">
        <f ca="1">SUMPRODUCT($CA158:$DI158,'General Inputs'!$F$35:$AN$35,'General Inputs'!$F$53:$AN$53)/(1-Loss_ElectricEnergy)</f>
        <v>2043.4135565016391</v>
      </c>
      <c r="BP158" s="59">
        <f ca="1">INDEX('General Inputs'!$F$51:$AN$51,MATCH($H158,'General Inputs'!$F$50:$AN$50,0))*$AM158</f>
        <v>0</v>
      </c>
      <c r="BQ158" s="59">
        <f ca="1">SUM(INDEX('General Inputs'!$F$53:$AN$53,MATCH($H158,'General Inputs'!$F$50:$AN$50,0))*$AG158,INDEX('General Inputs'!$F$53:$AN$53,MATCH($H158+$AL158,'General Inputs'!$F$50:$AN$50,0))*-$AH158)</f>
        <v>4134.5093715545754</v>
      </c>
      <c r="BR158" s="55"/>
      <c r="BS158" s="59">
        <f ca="1">SUMPRODUCT($CA158:$DI158,'General Inputs'!$F$32:$AN$32,'General Inputs'!$F$55:$AN$55)/(1-Loss_ElectricEnergy)</f>
        <v>5437.4044989177273</v>
      </c>
      <c r="BT158" s="59">
        <f ca="1">SUMPRODUCT($DK158:$ES158,'General Inputs'!$F$33:$AN$33,'General Inputs'!$F$55:$AN$55)/(1-Loss_ElectricDemand)</f>
        <v>1036.9869429821881</v>
      </c>
      <c r="BU158" s="59">
        <f ca="1">SUMPRODUCT($EU158:$GC158,'General Inputs'!$F$34:$AN$34,'General Inputs'!$F$55:$AN$55)/(1-Loss_GasEnergy)</f>
        <v>0</v>
      </c>
      <c r="BV158" s="59">
        <f ca="1">SUMPRODUCT($CA158:$DI158,OFFSET('General Inputs'!$F$40:$AN$40,MATCH($D158&amp;" Electric ($/kWh)",'General Inputs'!$E$40:$E$46,0),),'General Inputs'!$F$55:$AN$55)</f>
        <v>0</v>
      </c>
      <c r="BW158" s="59">
        <f ca="1">SUMPRODUCT($EU158:$GC158,OFFSET('General Inputs'!$F$40:$AN$40,MATCH($D158&amp;" Natural Gas ($/therm)",'General Inputs'!$E$40:$E$46,0),),'General Inputs'!$F$55:$AN$55)</f>
        <v>0</v>
      </c>
      <c r="BX158" s="59">
        <f ca="1">INDEX('General Inputs'!$F$55:$AN$55,MATCH($H158,'General Inputs'!$F$50:$AN$50,0))*$AI158</f>
        <v>2273.9801543550166</v>
      </c>
      <c r="BY158" s="59">
        <f ca="1">INDEX('General Inputs'!$F$51:$AN$51,MATCH($H158,'General Inputs'!$F$50:$AN$50,0))*$AM158</f>
        <v>0</v>
      </c>
      <c r="BZ158" s="55"/>
      <c r="CA158" s="88">
        <f t="shared" ca="1" si="368"/>
        <v>0</v>
      </c>
      <c r="CB158" s="88">
        <f t="shared" ca="1" si="368"/>
        <v>20992.252949999998</v>
      </c>
      <c r="CC158" s="88">
        <f t="shared" ca="1" si="368"/>
        <v>20992.252949999998</v>
      </c>
      <c r="CD158" s="88">
        <f t="shared" ca="1" si="368"/>
        <v>20992.252949999998</v>
      </c>
      <c r="CE158" s="88">
        <f t="shared" ca="1" si="368"/>
        <v>20992.252949999998</v>
      </c>
      <c r="CF158" s="88">
        <f t="shared" ca="1" si="368"/>
        <v>20992.252949999998</v>
      </c>
      <c r="CG158" s="88">
        <f t="shared" ca="1" si="368"/>
        <v>20992.252949999998</v>
      </c>
      <c r="CH158" s="88">
        <f t="shared" ca="1" si="368"/>
        <v>20992.252949999998</v>
      </c>
      <c r="CI158" s="88">
        <f t="shared" ca="1" si="368"/>
        <v>20992.252949999998</v>
      </c>
      <c r="CJ158" s="88">
        <f t="shared" ca="1" si="368"/>
        <v>20992.252949999998</v>
      </c>
      <c r="CK158" s="88">
        <f t="shared" ca="1" si="369"/>
        <v>20992.252949999998</v>
      </c>
      <c r="CL158" s="88">
        <f t="shared" ca="1" si="369"/>
        <v>20992.252949999998</v>
      </c>
      <c r="CM158" s="88">
        <f t="shared" ca="1" si="369"/>
        <v>20992.252949999998</v>
      </c>
      <c r="CN158" s="88">
        <f t="shared" ca="1" si="369"/>
        <v>20992.252949999998</v>
      </c>
      <c r="CO158" s="88">
        <f t="shared" ca="1" si="369"/>
        <v>20992.252949999998</v>
      </c>
      <c r="CP158" s="88">
        <f t="shared" ca="1" si="369"/>
        <v>20992.252949999998</v>
      </c>
      <c r="CQ158" s="88">
        <f t="shared" ca="1" si="369"/>
        <v>0</v>
      </c>
      <c r="CR158" s="88">
        <f t="shared" ca="1" si="369"/>
        <v>0</v>
      </c>
      <c r="CS158" s="88">
        <f t="shared" ca="1" si="369"/>
        <v>0</v>
      </c>
      <c r="CT158" s="88">
        <f t="shared" ca="1" si="369"/>
        <v>0</v>
      </c>
      <c r="CU158" s="88">
        <f t="shared" ca="1" si="370"/>
        <v>0</v>
      </c>
      <c r="CV158" s="88">
        <f t="shared" ca="1" si="370"/>
        <v>0</v>
      </c>
      <c r="CW158" s="88">
        <f t="shared" ca="1" si="370"/>
        <v>0</v>
      </c>
      <c r="CX158" s="88">
        <f t="shared" ca="1" si="370"/>
        <v>0</v>
      </c>
      <c r="CY158" s="88">
        <f t="shared" ca="1" si="370"/>
        <v>0</v>
      </c>
      <c r="CZ158" s="88">
        <f t="shared" ca="1" si="370"/>
        <v>0</v>
      </c>
      <c r="DA158" s="88">
        <f t="shared" ca="1" si="370"/>
        <v>0</v>
      </c>
      <c r="DB158" s="88">
        <f t="shared" ca="1" si="370"/>
        <v>0</v>
      </c>
      <c r="DC158" s="88">
        <f t="shared" ca="1" si="370"/>
        <v>0</v>
      </c>
      <c r="DD158" s="88">
        <f t="shared" ca="1" si="370"/>
        <v>0</v>
      </c>
      <c r="DE158" s="88">
        <f t="shared" ca="1" si="370"/>
        <v>0</v>
      </c>
      <c r="DF158" s="88">
        <f t="shared" ca="1" si="370"/>
        <v>0</v>
      </c>
      <c r="DG158" s="88">
        <f t="shared" ca="1" si="370"/>
        <v>0</v>
      </c>
      <c r="DH158" s="88">
        <f t="shared" ca="1" si="370"/>
        <v>0</v>
      </c>
      <c r="DI158" s="88">
        <f t="shared" ca="1" si="370"/>
        <v>0</v>
      </c>
      <c r="DJ158" s="169"/>
      <c r="DK158" s="88">
        <f t="shared" ca="1" si="371"/>
        <v>0</v>
      </c>
      <c r="DL158" s="88">
        <f t="shared" ca="1" si="371"/>
        <v>5.5660500000000006</v>
      </c>
      <c r="DM158" s="88">
        <f t="shared" ca="1" si="371"/>
        <v>5.5660500000000006</v>
      </c>
      <c r="DN158" s="88">
        <f t="shared" ca="1" si="371"/>
        <v>5.5660500000000006</v>
      </c>
      <c r="DO158" s="88">
        <f t="shared" ca="1" si="371"/>
        <v>5.5660500000000006</v>
      </c>
      <c r="DP158" s="88">
        <f t="shared" ca="1" si="371"/>
        <v>5.5660500000000006</v>
      </c>
      <c r="DQ158" s="88">
        <f t="shared" ca="1" si="371"/>
        <v>5.5660500000000006</v>
      </c>
      <c r="DR158" s="88">
        <f t="shared" ca="1" si="371"/>
        <v>5.5660500000000006</v>
      </c>
      <c r="DS158" s="88">
        <f t="shared" ca="1" si="371"/>
        <v>5.5660500000000006</v>
      </c>
      <c r="DT158" s="88">
        <f t="shared" ca="1" si="371"/>
        <v>5.5660500000000006</v>
      </c>
      <c r="DU158" s="88">
        <f t="shared" ca="1" si="372"/>
        <v>5.5660500000000006</v>
      </c>
      <c r="DV158" s="88">
        <f t="shared" ca="1" si="372"/>
        <v>5.5660500000000006</v>
      </c>
      <c r="DW158" s="88">
        <f t="shared" ca="1" si="372"/>
        <v>5.5660500000000006</v>
      </c>
      <c r="DX158" s="88">
        <f t="shared" ca="1" si="372"/>
        <v>5.5660500000000006</v>
      </c>
      <c r="DY158" s="88">
        <f t="shared" ca="1" si="372"/>
        <v>5.5660500000000006</v>
      </c>
      <c r="DZ158" s="88">
        <f t="shared" ca="1" si="372"/>
        <v>5.5660500000000006</v>
      </c>
      <c r="EA158" s="88">
        <f t="shared" ca="1" si="372"/>
        <v>0</v>
      </c>
      <c r="EB158" s="88">
        <f t="shared" ca="1" si="372"/>
        <v>0</v>
      </c>
      <c r="EC158" s="88">
        <f t="shared" ca="1" si="372"/>
        <v>0</v>
      </c>
      <c r="ED158" s="88">
        <f t="shared" ca="1" si="372"/>
        <v>0</v>
      </c>
      <c r="EE158" s="88">
        <f t="shared" ca="1" si="373"/>
        <v>0</v>
      </c>
      <c r="EF158" s="88">
        <f t="shared" ca="1" si="373"/>
        <v>0</v>
      </c>
      <c r="EG158" s="88">
        <f t="shared" ca="1" si="373"/>
        <v>0</v>
      </c>
      <c r="EH158" s="88">
        <f t="shared" ca="1" si="373"/>
        <v>0</v>
      </c>
      <c r="EI158" s="88">
        <f t="shared" ca="1" si="373"/>
        <v>0</v>
      </c>
      <c r="EJ158" s="88">
        <f t="shared" ca="1" si="373"/>
        <v>0</v>
      </c>
      <c r="EK158" s="88">
        <f t="shared" ca="1" si="373"/>
        <v>0</v>
      </c>
      <c r="EL158" s="88">
        <f t="shared" ca="1" si="373"/>
        <v>0</v>
      </c>
      <c r="EM158" s="88">
        <f t="shared" ca="1" si="373"/>
        <v>0</v>
      </c>
      <c r="EN158" s="88">
        <f t="shared" ca="1" si="373"/>
        <v>0</v>
      </c>
      <c r="EO158" s="88">
        <f t="shared" ca="1" si="373"/>
        <v>0</v>
      </c>
      <c r="EP158" s="88">
        <f t="shared" ca="1" si="373"/>
        <v>0</v>
      </c>
      <c r="EQ158" s="88">
        <f t="shared" ca="1" si="373"/>
        <v>0</v>
      </c>
      <c r="ER158" s="88">
        <f t="shared" ca="1" si="373"/>
        <v>0</v>
      </c>
      <c r="ES158" s="88">
        <f t="shared" ca="1" si="373"/>
        <v>0</v>
      </c>
      <c r="ET158" s="169"/>
      <c r="EU158" s="88">
        <f t="shared" ca="1" si="374"/>
        <v>0</v>
      </c>
      <c r="EV158" s="88">
        <f t="shared" ca="1" si="374"/>
        <v>0</v>
      </c>
      <c r="EW158" s="88">
        <f t="shared" ca="1" si="374"/>
        <v>0</v>
      </c>
      <c r="EX158" s="88">
        <f t="shared" ca="1" si="374"/>
        <v>0</v>
      </c>
      <c r="EY158" s="88">
        <f t="shared" ca="1" si="374"/>
        <v>0</v>
      </c>
      <c r="EZ158" s="88">
        <f t="shared" ca="1" si="374"/>
        <v>0</v>
      </c>
      <c r="FA158" s="88">
        <f t="shared" ca="1" si="374"/>
        <v>0</v>
      </c>
      <c r="FB158" s="88">
        <f t="shared" ca="1" si="374"/>
        <v>0</v>
      </c>
      <c r="FC158" s="88">
        <f t="shared" ca="1" si="374"/>
        <v>0</v>
      </c>
      <c r="FD158" s="88">
        <f t="shared" ca="1" si="374"/>
        <v>0</v>
      </c>
      <c r="FE158" s="88">
        <f t="shared" ca="1" si="375"/>
        <v>0</v>
      </c>
      <c r="FF158" s="88">
        <f t="shared" ca="1" si="375"/>
        <v>0</v>
      </c>
      <c r="FG158" s="88">
        <f t="shared" ca="1" si="375"/>
        <v>0</v>
      </c>
      <c r="FH158" s="88">
        <f t="shared" ca="1" si="375"/>
        <v>0</v>
      </c>
      <c r="FI158" s="88">
        <f t="shared" ca="1" si="375"/>
        <v>0</v>
      </c>
      <c r="FJ158" s="88">
        <f t="shared" ca="1" si="375"/>
        <v>0</v>
      </c>
      <c r="FK158" s="88">
        <f t="shared" ca="1" si="375"/>
        <v>0</v>
      </c>
      <c r="FL158" s="88">
        <f t="shared" ca="1" si="375"/>
        <v>0</v>
      </c>
      <c r="FM158" s="88">
        <f t="shared" ca="1" si="375"/>
        <v>0</v>
      </c>
      <c r="FN158" s="88">
        <f t="shared" ca="1" si="375"/>
        <v>0</v>
      </c>
      <c r="FO158" s="88">
        <f t="shared" ca="1" si="376"/>
        <v>0</v>
      </c>
      <c r="FP158" s="88">
        <f t="shared" ca="1" si="376"/>
        <v>0</v>
      </c>
      <c r="FQ158" s="88">
        <f t="shared" ca="1" si="376"/>
        <v>0</v>
      </c>
      <c r="FR158" s="88">
        <f t="shared" ca="1" si="376"/>
        <v>0</v>
      </c>
      <c r="FS158" s="88">
        <f t="shared" ca="1" si="376"/>
        <v>0</v>
      </c>
      <c r="FT158" s="88">
        <f t="shared" ca="1" si="376"/>
        <v>0</v>
      </c>
      <c r="FU158" s="88">
        <f t="shared" ca="1" si="376"/>
        <v>0</v>
      </c>
      <c r="FV158" s="88">
        <f t="shared" ca="1" si="376"/>
        <v>0</v>
      </c>
      <c r="FW158" s="88">
        <f t="shared" ca="1" si="376"/>
        <v>0</v>
      </c>
      <c r="FX158" s="88">
        <f t="shared" ca="1" si="376"/>
        <v>0</v>
      </c>
      <c r="FY158" s="88">
        <f t="shared" ca="1" si="376"/>
        <v>0</v>
      </c>
      <c r="FZ158" s="88">
        <f t="shared" ca="1" si="376"/>
        <v>0</v>
      </c>
      <c r="GA158" s="88">
        <f t="shared" ca="1" si="376"/>
        <v>0</v>
      </c>
      <c r="GB158" s="88">
        <f t="shared" ca="1" si="376"/>
        <v>0</v>
      </c>
      <c r="GC158" s="88">
        <f t="shared" ca="1" si="376"/>
        <v>0</v>
      </c>
      <c r="GD158" s="60"/>
    </row>
    <row r="159" spans="1:186" s="54" customFormat="1" ht="14.45" customHeight="1">
      <c r="A159" s="61"/>
      <c r="B159" s="100" t="str">
        <f t="shared" si="345"/>
        <v>C&amp;I_C&amp;I Prescriptive_0_High Bay Fluorescent Fixture w/ HE Electronic Ballast (T5 4-6 lamp)_2018</v>
      </c>
      <c r="C159" s="100">
        <f>INDEX('Measure Inputs'!$D:$D,MATCH($B159,'Measure Inputs'!$B:$B,0))</f>
        <v>111</v>
      </c>
      <c r="D159" s="101" t="s">
        <v>256</v>
      </c>
      <c r="E159" s="101" t="s">
        <v>255</v>
      </c>
      <c r="F159" s="101">
        <v>0</v>
      </c>
      <c r="G159" s="101" t="s">
        <v>272</v>
      </c>
      <c r="H159" s="101">
        <v>2018</v>
      </c>
      <c r="I159" s="55"/>
      <c r="J159" s="58">
        <f t="shared" ca="1" si="229"/>
        <v>2.1687419850008745</v>
      </c>
      <c r="K159" s="58">
        <f t="shared" ca="1" si="246"/>
        <v>3.6145699750014577</v>
      </c>
      <c r="L159" s="58">
        <f t="shared" ca="1" si="230"/>
        <v>0.6</v>
      </c>
      <c r="M159" s="58">
        <f t="shared" ca="1" si="231"/>
        <v>2.8532289846631307</v>
      </c>
      <c r="N159" s="58">
        <f t="shared" ca="1" si="232"/>
        <v>3.6145699750014577</v>
      </c>
      <c r="O159" s="55"/>
      <c r="P159" s="175">
        <f ca="1">IFERROR(($AW159+AV159)/SUMPRODUCT($CA159:$DI159,'General Inputs'!$F$51:$AN$51),"n/a")</f>
        <v>1.0485713733007943E-2</v>
      </c>
      <c r="Q159" s="175">
        <f t="shared" ca="1" si="309"/>
        <v>9.2869220189664467E-2</v>
      </c>
      <c r="R159" s="56">
        <f t="shared" ca="1" si="364"/>
        <v>545.12140724999995</v>
      </c>
      <c r="S159" s="55"/>
      <c r="T159" s="56">
        <f ca="1">INDEX(OFFSET('Measure Inputs'!$L$7,,,InputRows),$C159)</f>
        <v>45</v>
      </c>
      <c r="U159" s="134">
        <f ca="1">INDEX(OFFSET('Measure Inputs'!$T$7,,,InputRows),$C159)</f>
        <v>1</v>
      </c>
      <c r="V159" s="134">
        <f ca="1">INDEX(OFFSET('Measure Inputs'!$U$7,,,InputRows),$C159)</f>
        <v>1</v>
      </c>
      <c r="W159" s="55"/>
      <c r="X159" s="96">
        <f ca="1">INDEX(OFFSET('Measure Inputs'!$V$7,,,InputRows),$C159)*$T159*$V159*$U159</f>
        <v>36341.427149999996</v>
      </c>
      <c r="Y159" s="96">
        <f ca="1">INDEX(OFFSET('Measure Inputs'!$W$7,,,InputRows),$C159)*$T159*$V159*$U159</f>
        <v>9.6358500000000014</v>
      </c>
      <c r="Z159" s="96">
        <f ca="1">INDEX(OFFSET('Measure Inputs'!$X$7,,,InputRows),$C159)*$T159*$V159*$U159</f>
        <v>0</v>
      </c>
      <c r="AA159" s="55"/>
      <c r="AB159" s="96">
        <f ca="1">INDEX(OFFSET('Measure Inputs'!$Z$7,,,InputRows),$C159)*$T159*$V159*$U159</f>
        <v>0</v>
      </c>
      <c r="AC159" s="96">
        <f ca="1">INDEX(OFFSET('Measure Inputs'!$AA$7,,,InputRows),$C159)*$T159*$V159*$U159</f>
        <v>0</v>
      </c>
      <c r="AD159" s="96">
        <f ca="1">INDEX(OFFSET('Measure Inputs'!$AB$7,,,InputRows),$C159)*$T159*$V159*$U159</f>
        <v>0</v>
      </c>
      <c r="AE159" s="55"/>
      <c r="AF159" s="57">
        <f ca="1">INDEX(OFFSET('Measure Inputs'!$Q$7,,,InputRows),$C159)*$T159</f>
        <v>0</v>
      </c>
      <c r="AG159" s="57">
        <f ca="1">INDEX(OFFSET('Measure Inputs'!$P$7,,,InputRows),$C159)*$T159*$V159</f>
        <v>5625</v>
      </c>
      <c r="AH159" s="57">
        <f ca="1">INDEX(OFFSET('Measure Inputs'!$R$7,,,InputRows),$C159)*$T159*$V159</f>
        <v>0</v>
      </c>
      <c r="AI159" s="57">
        <f ca="1">INDEX(OFFSET('Measure Inputs'!$O$7,,,InputRows),$C159)*$T159</f>
        <v>3375</v>
      </c>
      <c r="AJ159" s="57">
        <f ca="1">INDEX(OFFSET('Measure Inputs'!$S$7,,,InputRows),$C159)*$T159</f>
        <v>0</v>
      </c>
      <c r="AK159" s="63">
        <f ca="1">INDEX(OFFSET('Measure Inputs'!$M$7,,,InputRows),$C159)</f>
        <v>15</v>
      </c>
      <c r="AL159" s="88">
        <f ca="1">INDEX(OFFSET('Measure Inputs'!$N$7,,,InputRows),$C159)</f>
        <v>0</v>
      </c>
      <c r="AM159" s="57">
        <f ca="1">SUMIFS(OFFSET('Program Inputs'!$N$5,,,TotalPrograms),OFFSET('Program Inputs'!$B$5,,,TotalPrograms),SUBSTITUTE($B159,"All","*"))+AF159</f>
        <v>0</v>
      </c>
      <c r="AN159" s="57">
        <f t="shared" ca="1" si="365"/>
        <v>3375</v>
      </c>
      <c r="AO159" s="55"/>
      <c r="AP159" s="59">
        <f t="shared" ca="1" si="366"/>
        <v>11208.355076837486</v>
      </c>
      <c r="AQ159" s="59">
        <f t="shared" ca="1" si="367"/>
        <v>5168.1367144432197</v>
      </c>
      <c r="AR159" s="59">
        <f ca="1">SUMPRODUCT($CA159:$DI159,'General Inputs'!$F$32:$AN$32,'General Inputs'!$F$51:$AN$51)/(1-Loss_ElectricEnergy)</f>
        <v>9413.1411217823006</v>
      </c>
      <c r="AS159" s="59">
        <f ca="1">SUMPRODUCT($DK159:$ES159,'General Inputs'!$F$33:$AN$33,'General Inputs'!$F$51:$AN$51)/(1-Loss_ElectricDemand)</f>
        <v>1795.2139550551856</v>
      </c>
      <c r="AT159" s="59">
        <f ca="1">SUMPRODUCT($EU159:$GC159,'General Inputs'!$F$34:$AN$34,'General Inputs'!$F$51:$AN$51)/(1-Loss_GasEnergy)</f>
        <v>0</v>
      </c>
      <c r="AU159" s="59">
        <f ca="1">INDEX('General Inputs'!$F$51:$AN$51,MATCH($H159,'General Inputs'!$F$50:$AN$50,0))*$AJ159</f>
        <v>0</v>
      </c>
      <c r="AV159" s="59">
        <f ca="1">INDEX('General Inputs'!$F$51:$AN$51,MATCH($H159,'General Inputs'!$F$50:$AN$50,0))*$AI159</f>
        <v>3100.8820286659316</v>
      </c>
      <c r="AW159" s="59">
        <f ca="1">INDEX('General Inputs'!$F$51:$AN$51,MATCH($H159,'General Inputs'!$F$50:$AN$50,0))*$AM159</f>
        <v>0</v>
      </c>
      <c r="AX159" s="59">
        <f ca="1">SUM(INDEX('General Inputs'!$F$51:$AN$51,MATCH($H159,'General Inputs'!$F$50:$AN$50,0))*$AG159,INDEX('General Inputs'!$F$51:$AN$51,MATCH($H159+$AL159,'General Inputs'!$F$50:$AN$50,0))*-$AH159)</f>
        <v>5168.1367144432197</v>
      </c>
      <c r="AY159" s="55"/>
      <c r="AZ159" s="59">
        <f ca="1">SUMPRODUCT($CA159:$DI159,'General Inputs'!$F$32:$AN$32,'General Inputs'!$F$52:$AN$52)/(1-Loss_ElectricEnergy)</f>
        <v>9413.1411217823006</v>
      </c>
      <c r="BA159" s="59">
        <f ca="1">SUMPRODUCT($DK159:$ES159,'General Inputs'!$F$33:$AN$33,'General Inputs'!$F$52:$AN$52)/(1-Loss_ElectricDemand)</f>
        <v>1795.2139550551856</v>
      </c>
      <c r="BB159" s="59">
        <f ca="1">SUMPRODUCT($EU159:$GC159,'General Inputs'!$F$34:$AN$34,'General Inputs'!$F$52:$AN$52)/(1-Loss_GasEnergy)</f>
        <v>0</v>
      </c>
      <c r="BC159" s="59">
        <f ca="1">INDEX('General Inputs'!$F$52:$AN$52,MATCH($H159,'General Inputs'!$F$50:$AN$50,0))*$AI159</f>
        <v>3100.8820286659316</v>
      </c>
      <c r="BD159" s="59">
        <f ca="1">INDEX('General Inputs'!$F$52:$AN$52,MATCH($H159,'General Inputs'!$F$50:$AN$50,0))*$AM159</f>
        <v>0</v>
      </c>
      <c r="BE159" s="55"/>
      <c r="BF159" s="59">
        <f ca="1">SUMPRODUCT($CA159:$DI159,OFFSET('General Inputs'!$F$40:$AN$40,MATCH($D159&amp;" Electric ($/kWh)",'General Inputs'!$E$40:$E$46,0),),'General Inputs'!$F$54:$AN$54)</f>
        <v>0</v>
      </c>
      <c r="BG159" s="59">
        <f ca="1">SUMPRODUCT($EU159:$GC159,OFFSET('General Inputs'!$F$40:$AN$40,MATCH($D159&amp;" Natural Gas ($/therm)",'General Inputs'!$E$40:$E$46,0),),'General Inputs'!$F$54:$AN$54)</f>
        <v>0</v>
      </c>
      <c r="BH159" s="59">
        <f ca="1">INDEX('General Inputs'!$F$54:$AN$54,MATCH($H159,'General Inputs'!$F$50:$AN$50,0))*$AI159</f>
        <v>3100.8820286659316</v>
      </c>
      <c r="BI159" s="59">
        <f ca="1">SUM(INDEX('General Inputs'!$F$54:$AN$54,MATCH($H159,'General Inputs'!$F$50:$AN$50,0))*$AG159,INDEX('General Inputs'!$F$51:$AN$51,MATCH($H159+$AL159,'General Inputs'!$F$50:$AN$50,0))*-$AH159)</f>
        <v>5168.1367144432197</v>
      </c>
      <c r="BJ159" s="55"/>
      <c r="BK159" s="59">
        <f ca="1">SUMPRODUCT($CA159:$DI159,'General Inputs'!$F$32:$AN$32,'General Inputs'!$F$53:$AN$53)/(1-Loss_ElectricEnergy)</f>
        <v>9413.1411217823006</v>
      </c>
      <c r="BL159" s="59">
        <f ca="1">SUMPRODUCT($DK159:$ES159,'General Inputs'!$F$33:$AN$33,'General Inputs'!$F$53:$AN$53)/(1-Loss_ElectricDemand)</f>
        <v>1795.2139550551856</v>
      </c>
      <c r="BM159" s="59">
        <f ca="1">SUMPRODUCT($EU159:$GC159,'General Inputs'!$F$34:$AN$34,'General Inputs'!$F$53:$AN$53)/(1-Loss_GasEnergy)</f>
        <v>0</v>
      </c>
      <c r="BN159" s="59">
        <f ca="1">INDEX('General Inputs'!$F$53:$AN$53,MATCH($H159,'General Inputs'!$F$50:$AN$50,0))*$AJ159</f>
        <v>0</v>
      </c>
      <c r="BO159" s="59">
        <f ca="1">SUMPRODUCT($CA159:$DI159,'General Inputs'!$F$35:$AN$35,'General Inputs'!$F$53:$AN$53)/(1-Loss_ElectricEnergy)</f>
        <v>3537.52239351359</v>
      </c>
      <c r="BP159" s="59">
        <f ca="1">INDEX('General Inputs'!$F$51:$AN$51,MATCH($H159,'General Inputs'!$F$50:$AN$50,0))*$AM159</f>
        <v>0</v>
      </c>
      <c r="BQ159" s="59">
        <f ca="1">SUM(INDEX('General Inputs'!$F$53:$AN$53,MATCH($H159,'General Inputs'!$F$50:$AN$50,0))*$AG159,INDEX('General Inputs'!$F$53:$AN$53,MATCH($H159+$AL159,'General Inputs'!$F$50:$AN$50,0))*-$AH159)</f>
        <v>5168.1367144432197</v>
      </c>
      <c r="BR159" s="55"/>
      <c r="BS159" s="59">
        <f ca="1">SUMPRODUCT($CA159:$DI159,'General Inputs'!$F$32:$AN$32,'General Inputs'!$F$55:$AN$55)/(1-Loss_ElectricEnergy)</f>
        <v>9413.1411217823006</v>
      </c>
      <c r="BT159" s="59">
        <f ca="1">SUMPRODUCT($DK159:$ES159,'General Inputs'!$F$33:$AN$33,'General Inputs'!$F$55:$AN$55)/(1-Loss_ElectricDemand)</f>
        <v>1795.2139550551856</v>
      </c>
      <c r="BU159" s="59">
        <f ca="1">SUMPRODUCT($EU159:$GC159,'General Inputs'!$F$34:$AN$34,'General Inputs'!$F$55:$AN$55)/(1-Loss_GasEnergy)</f>
        <v>0</v>
      </c>
      <c r="BV159" s="59">
        <f ca="1">SUMPRODUCT($CA159:$DI159,OFFSET('General Inputs'!$F$40:$AN$40,MATCH($D159&amp;" Electric ($/kWh)",'General Inputs'!$E$40:$E$46,0),),'General Inputs'!$F$55:$AN$55)</f>
        <v>0</v>
      </c>
      <c r="BW159" s="59">
        <f ca="1">SUMPRODUCT($EU159:$GC159,OFFSET('General Inputs'!$F$40:$AN$40,MATCH($D159&amp;" Natural Gas ($/therm)",'General Inputs'!$E$40:$E$46,0),),'General Inputs'!$F$55:$AN$55)</f>
        <v>0</v>
      </c>
      <c r="BX159" s="59">
        <f ca="1">INDEX('General Inputs'!$F$55:$AN$55,MATCH($H159,'General Inputs'!$F$50:$AN$50,0))*$AI159</f>
        <v>3100.8820286659316</v>
      </c>
      <c r="BY159" s="59">
        <f ca="1">INDEX('General Inputs'!$F$51:$AN$51,MATCH($H159,'General Inputs'!$F$50:$AN$50,0))*$AM159</f>
        <v>0</v>
      </c>
      <c r="BZ159" s="55"/>
      <c r="CA159" s="88">
        <f t="shared" ca="1" si="368"/>
        <v>0</v>
      </c>
      <c r="CB159" s="88">
        <f t="shared" ca="1" si="368"/>
        <v>36341.427149999996</v>
      </c>
      <c r="CC159" s="88">
        <f t="shared" ca="1" si="368"/>
        <v>36341.427149999996</v>
      </c>
      <c r="CD159" s="88">
        <f t="shared" ca="1" si="368"/>
        <v>36341.427149999996</v>
      </c>
      <c r="CE159" s="88">
        <f t="shared" ca="1" si="368"/>
        <v>36341.427149999996</v>
      </c>
      <c r="CF159" s="88">
        <f t="shared" ca="1" si="368"/>
        <v>36341.427149999996</v>
      </c>
      <c r="CG159" s="88">
        <f t="shared" ca="1" si="368"/>
        <v>36341.427149999996</v>
      </c>
      <c r="CH159" s="88">
        <f t="shared" ca="1" si="368"/>
        <v>36341.427149999996</v>
      </c>
      <c r="CI159" s="88">
        <f t="shared" ca="1" si="368"/>
        <v>36341.427149999996</v>
      </c>
      <c r="CJ159" s="88">
        <f t="shared" ca="1" si="368"/>
        <v>36341.427149999996</v>
      </c>
      <c r="CK159" s="88">
        <f t="shared" ca="1" si="369"/>
        <v>36341.427149999996</v>
      </c>
      <c r="CL159" s="88">
        <f t="shared" ca="1" si="369"/>
        <v>36341.427149999996</v>
      </c>
      <c r="CM159" s="88">
        <f t="shared" ca="1" si="369"/>
        <v>36341.427149999996</v>
      </c>
      <c r="CN159" s="88">
        <f t="shared" ca="1" si="369"/>
        <v>36341.427149999996</v>
      </c>
      <c r="CO159" s="88">
        <f t="shared" ca="1" si="369"/>
        <v>36341.427149999996</v>
      </c>
      <c r="CP159" s="88">
        <f t="shared" ca="1" si="369"/>
        <v>36341.427149999996</v>
      </c>
      <c r="CQ159" s="88">
        <f t="shared" ca="1" si="369"/>
        <v>0</v>
      </c>
      <c r="CR159" s="88">
        <f t="shared" ca="1" si="369"/>
        <v>0</v>
      </c>
      <c r="CS159" s="88">
        <f t="shared" ca="1" si="369"/>
        <v>0</v>
      </c>
      <c r="CT159" s="88">
        <f t="shared" ca="1" si="369"/>
        <v>0</v>
      </c>
      <c r="CU159" s="88">
        <f t="shared" ca="1" si="370"/>
        <v>0</v>
      </c>
      <c r="CV159" s="88">
        <f t="shared" ca="1" si="370"/>
        <v>0</v>
      </c>
      <c r="CW159" s="88">
        <f t="shared" ca="1" si="370"/>
        <v>0</v>
      </c>
      <c r="CX159" s="88">
        <f t="shared" ca="1" si="370"/>
        <v>0</v>
      </c>
      <c r="CY159" s="88">
        <f t="shared" ca="1" si="370"/>
        <v>0</v>
      </c>
      <c r="CZ159" s="88">
        <f t="shared" ca="1" si="370"/>
        <v>0</v>
      </c>
      <c r="DA159" s="88">
        <f t="shared" ca="1" si="370"/>
        <v>0</v>
      </c>
      <c r="DB159" s="88">
        <f t="shared" ca="1" si="370"/>
        <v>0</v>
      </c>
      <c r="DC159" s="88">
        <f t="shared" ca="1" si="370"/>
        <v>0</v>
      </c>
      <c r="DD159" s="88">
        <f t="shared" ca="1" si="370"/>
        <v>0</v>
      </c>
      <c r="DE159" s="88">
        <f t="shared" ca="1" si="370"/>
        <v>0</v>
      </c>
      <c r="DF159" s="88">
        <f t="shared" ca="1" si="370"/>
        <v>0</v>
      </c>
      <c r="DG159" s="88">
        <f t="shared" ca="1" si="370"/>
        <v>0</v>
      </c>
      <c r="DH159" s="88">
        <f t="shared" ca="1" si="370"/>
        <v>0</v>
      </c>
      <c r="DI159" s="88">
        <f t="shared" ca="1" si="370"/>
        <v>0</v>
      </c>
      <c r="DJ159" s="169"/>
      <c r="DK159" s="88">
        <f t="shared" ca="1" si="371"/>
        <v>0</v>
      </c>
      <c r="DL159" s="88">
        <f t="shared" ca="1" si="371"/>
        <v>9.6358500000000014</v>
      </c>
      <c r="DM159" s="88">
        <f t="shared" ca="1" si="371"/>
        <v>9.6358500000000014</v>
      </c>
      <c r="DN159" s="88">
        <f t="shared" ca="1" si="371"/>
        <v>9.6358500000000014</v>
      </c>
      <c r="DO159" s="88">
        <f t="shared" ca="1" si="371"/>
        <v>9.6358500000000014</v>
      </c>
      <c r="DP159" s="88">
        <f t="shared" ca="1" si="371"/>
        <v>9.6358500000000014</v>
      </c>
      <c r="DQ159" s="88">
        <f t="shared" ca="1" si="371"/>
        <v>9.6358500000000014</v>
      </c>
      <c r="DR159" s="88">
        <f t="shared" ca="1" si="371"/>
        <v>9.6358500000000014</v>
      </c>
      <c r="DS159" s="88">
        <f t="shared" ca="1" si="371"/>
        <v>9.6358500000000014</v>
      </c>
      <c r="DT159" s="88">
        <f t="shared" ca="1" si="371"/>
        <v>9.6358500000000014</v>
      </c>
      <c r="DU159" s="88">
        <f t="shared" ca="1" si="372"/>
        <v>9.6358500000000014</v>
      </c>
      <c r="DV159" s="88">
        <f t="shared" ca="1" si="372"/>
        <v>9.6358500000000014</v>
      </c>
      <c r="DW159" s="88">
        <f t="shared" ca="1" si="372"/>
        <v>9.6358500000000014</v>
      </c>
      <c r="DX159" s="88">
        <f t="shared" ca="1" si="372"/>
        <v>9.6358500000000014</v>
      </c>
      <c r="DY159" s="88">
        <f t="shared" ca="1" si="372"/>
        <v>9.6358500000000014</v>
      </c>
      <c r="DZ159" s="88">
        <f t="shared" ca="1" si="372"/>
        <v>9.6358500000000014</v>
      </c>
      <c r="EA159" s="88">
        <f t="shared" ca="1" si="372"/>
        <v>0</v>
      </c>
      <c r="EB159" s="88">
        <f t="shared" ca="1" si="372"/>
        <v>0</v>
      </c>
      <c r="EC159" s="88">
        <f t="shared" ca="1" si="372"/>
        <v>0</v>
      </c>
      <c r="ED159" s="88">
        <f t="shared" ca="1" si="372"/>
        <v>0</v>
      </c>
      <c r="EE159" s="88">
        <f t="shared" ca="1" si="373"/>
        <v>0</v>
      </c>
      <c r="EF159" s="88">
        <f t="shared" ca="1" si="373"/>
        <v>0</v>
      </c>
      <c r="EG159" s="88">
        <f t="shared" ca="1" si="373"/>
        <v>0</v>
      </c>
      <c r="EH159" s="88">
        <f t="shared" ca="1" si="373"/>
        <v>0</v>
      </c>
      <c r="EI159" s="88">
        <f t="shared" ca="1" si="373"/>
        <v>0</v>
      </c>
      <c r="EJ159" s="88">
        <f t="shared" ca="1" si="373"/>
        <v>0</v>
      </c>
      <c r="EK159" s="88">
        <f t="shared" ca="1" si="373"/>
        <v>0</v>
      </c>
      <c r="EL159" s="88">
        <f t="shared" ca="1" si="373"/>
        <v>0</v>
      </c>
      <c r="EM159" s="88">
        <f t="shared" ca="1" si="373"/>
        <v>0</v>
      </c>
      <c r="EN159" s="88">
        <f t="shared" ca="1" si="373"/>
        <v>0</v>
      </c>
      <c r="EO159" s="88">
        <f t="shared" ca="1" si="373"/>
        <v>0</v>
      </c>
      <c r="EP159" s="88">
        <f t="shared" ca="1" si="373"/>
        <v>0</v>
      </c>
      <c r="EQ159" s="88">
        <f t="shared" ca="1" si="373"/>
        <v>0</v>
      </c>
      <c r="ER159" s="88">
        <f t="shared" ca="1" si="373"/>
        <v>0</v>
      </c>
      <c r="ES159" s="88">
        <f t="shared" ca="1" si="373"/>
        <v>0</v>
      </c>
      <c r="ET159" s="169"/>
      <c r="EU159" s="88">
        <f t="shared" ca="1" si="374"/>
        <v>0</v>
      </c>
      <c r="EV159" s="88">
        <f t="shared" ca="1" si="374"/>
        <v>0</v>
      </c>
      <c r="EW159" s="88">
        <f t="shared" ca="1" si="374"/>
        <v>0</v>
      </c>
      <c r="EX159" s="88">
        <f t="shared" ca="1" si="374"/>
        <v>0</v>
      </c>
      <c r="EY159" s="88">
        <f t="shared" ca="1" si="374"/>
        <v>0</v>
      </c>
      <c r="EZ159" s="88">
        <f t="shared" ca="1" si="374"/>
        <v>0</v>
      </c>
      <c r="FA159" s="88">
        <f t="shared" ca="1" si="374"/>
        <v>0</v>
      </c>
      <c r="FB159" s="88">
        <f t="shared" ca="1" si="374"/>
        <v>0</v>
      </c>
      <c r="FC159" s="88">
        <f t="shared" ca="1" si="374"/>
        <v>0</v>
      </c>
      <c r="FD159" s="88">
        <f t="shared" ca="1" si="374"/>
        <v>0</v>
      </c>
      <c r="FE159" s="88">
        <f t="shared" ca="1" si="375"/>
        <v>0</v>
      </c>
      <c r="FF159" s="88">
        <f t="shared" ca="1" si="375"/>
        <v>0</v>
      </c>
      <c r="FG159" s="88">
        <f t="shared" ca="1" si="375"/>
        <v>0</v>
      </c>
      <c r="FH159" s="88">
        <f t="shared" ca="1" si="375"/>
        <v>0</v>
      </c>
      <c r="FI159" s="88">
        <f t="shared" ca="1" si="375"/>
        <v>0</v>
      </c>
      <c r="FJ159" s="88">
        <f t="shared" ca="1" si="375"/>
        <v>0</v>
      </c>
      <c r="FK159" s="88">
        <f t="shared" ca="1" si="375"/>
        <v>0</v>
      </c>
      <c r="FL159" s="88">
        <f t="shared" ca="1" si="375"/>
        <v>0</v>
      </c>
      <c r="FM159" s="88">
        <f t="shared" ca="1" si="375"/>
        <v>0</v>
      </c>
      <c r="FN159" s="88">
        <f t="shared" ca="1" si="375"/>
        <v>0</v>
      </c>
      <c r="FO159" s="88">
        <f t="shared" ca="1" si="376"/>
        <v>0</v>
      </c>
      <c r="FP159" s="88">
        <f t="shared" ca="1" si="376"/>
        <v>0</v>
      </c>
      <c r="FQ159" s="88">
        <f t="shared" ca="1" si="376"/>
        <v>0</v>
      </c>
      <c r="FR159" s="88">
        <f t="shared" ca="1" si="376"/>
        <v>0</v>
      </c>
      <c r="FS159" s="88">
        <f t="shared" ca="1" si="376"/>
        <v>0</v>
      </c>
      <c r="FT159" s="88">
        <f t="shared" ca="1" si="376"/>
        <v>0</v>
      </c>
      <c r="FU159" s="88">
        <f t="shared" ca="1" si="376"/>
        <v>0</v>
      </c>
      <c r="FV159" s="88">
        <f t="shared" ca="1" si="376"/>
        <v>0</v>
      </c>
      <c r="FW159" s="88">
        <f t="shared" ca="1" si="376"/>
        <v>0</v>
      </c>
      <c r="FX159" s="88">
        <f t="shared" ca="1" si="376"/>
        <v>0</v>
      </c>
      <c r="FY159" s="88">
        <f t="shared" ca="1" si="376"/>
        <v>0</v>
      </c>
      <c r="FZ159" s="88">
        <f t="shared" ca="1" si="376"/>
        <v>0</v>
      </c>
      <c r="GA159" s="88">
        <f t="shared" ca="1" si="376"/>
        <v>0</v>
      </c>
      <c r="GB159" s="88">
        <f t="shared" ca="1" si="376"/>
        <v>0</v>
      </c>
      <c r="GC159" s="88">
        <f t="shared" ca="1" si="376"/>
        <v>0</v>
      </c>
      <c r="GD159" s="60"/>
    </row>
    <row r="160" spans="1:186" s="54" customFormat="1" ht="14.45" customHeight="1">
      <c r="A160" s="61"/>
      <c r="B160" s="100" t="str">
        <f t="shared" si="345"/>
        <v>C&amp;I_C&amp;I Prescriptive_0_High Bay Fluorescent Fixture w/ HE Electronic Ballast (T5 8-lamp)_2018</v>
      </c>
      <c r="C160" s="100">
        <f>INDEX('Measure Inputs'!$D:$D,MATCH($B160,'Measure Inputs'!$B:$B,0))</f>
        <v>112</v>
      </c>
      <c r="D160" s="101" t="s">
        <v>256</v>
      </c>
      <c r="E160" s="101" t="s">
        <v>255</v>
      </c>
      <c r="F160" s="101">
        <v>0</v>
      </c>
      <c r="G160" s="101" t="s">
        <v>273</v>
      </c>
      <c r="H160" s="101">
        <v>2018</v>
      </c>
      <c r="I160" s="55"/>
      <c r="J160" s="58">
        <f t="shared" ca="1" si="229"/>
        <v>5.1457107967101505</v>
      </c>
      <c r="K160" s="58">
        <f t="shared" ca="1" si="246"/>
        <v>7.567221759867869</v>
      </c>
      <c r="L160" s="58">
        <f t="shared" ca="1" si="230"/>
        <v>0.67999999999999994</v>
      </c>
      <c r="M160" s="58">
        <f t="shared" ca="1" si="231"/>
        <v>6.7697731188901633</v>
      </c>
      <c r="N160" s="58">
        <f t="shared" ca="1" si="232"/>
        <v>7.567221759867869</v>
      </c>
      <c r="O160" s="55"/>
      <c r="P160" s="175">
        <f ca="1">IFERROR(($AW160+AV160)/SUMPRODUCT($CA160:$DI160,'General Inputs'!$F$51:$AN$51),"n/a")</f>
        <v>5.0086210274420135E-3</v>
      </c>
      <c r="Q160" s="175">
        <f t="shared" ca="1" si="309"/>
        <v>4.4360044617646012E-2</v>
      </c>
      <c r="R160" s="56">
        <f t="shared" ca="1" si="364"/>
        <v>1293.3936494999998</v>
      </c>
      <c r="S160" s="55"/>
      <c r="T160" s="56">
        <f ca="1">INDEX(OFFSET('Measure Inputs'!$L$7,,,InputRows),$C160)</f>
        <v>45</v>
      </c>
      <c r="U160" s="134">
        <f ca="1">INDEX(OFFSET('Measure Inputs'!$T$7,,,InputRows),$C160)</f>
        <v>1</v>
      </c>
      <c r="V160" s="134">
        <f ca="1">INDEX(OFFSET('Measure Inputs'!$U$7,,,InputRows),$C160)</f>
        <v>1</v>
      </c>
      <c r="W160" s="55"/>
      <c r="X160" s="96">
        <f ca="1">INDEX(OFFSET('Measure Inputs'!$V$7,,,InputRows),$C160)*$T160*$V160*$U160</f>
        <v>86226.243299999987</v>
      </c>
      <c r="Y160" s="96">
        <f ca="1">INDEX(OFFSET('Measure Inputs'!$W$7,,,InputRows),$C160)*$T160*$V160*$U160</f>
        <v>22.862700000000004</v>
      </c>
      <c r="Z160" s="96">
        <f ca="1">INDEX(OFFSET('Measure Inputs'!$X$7,,,InputRows),$C160)*$T160*$V160*$U160</f>
        <v>0</v>
      </c>
      <c r="AA160" s="55"/>
      <c r="AB160" s="96">
        <f ca="1">INDEX(OFFSET('Measure Inputs'!$Z$7,,,InputRows),$C160)*$T160*$V160*$U160</f>
        <v>0</v>
      </c>
      <c r="AC160" s="96">
        <f ca="1">INDEX(OFFSET('Measure Inputs'!$AA$7,,,InputRows),$C160)*$T160*$V160*$U160</f>
        <v>0</v>
      </c>
      <c r="AD160" s="96">
        <f ca="1">INDEX(OFFSET('Measure Inputs'!$AB$7,,,InputRows),$C160)*$T160*$V160*$U160</f>
        <v>0</v>
      </c>
      <c r="AE160" s="55"/>
      <c r="AF160" s="57">
        <f ca="1">INDEX(OFFSET('Measure Inputs'!$Q$7,,,InputRows),$C160)*$T160</f>
        <v>0</v>
      </c>
      <c r="AG160" s="57">
        <f ca="1">INDEX(OFFSET('Measure Inputs'!$P$7,,,InputRows),$C160)*$T160*$V160</f>
        <v>5625</v>
      </c>
      <c r="AH160" s="57">
        <f ca="1">INDEX(OFFSET('Measure Inputs'!$R$7,,,InputRows),$C160)*$T160*$V160</f>
        <v>0</v>
      </c>
      <c r="AI160" s="57">
        <f ca="1">INDEX(OFFSET('Measure Inputs'!$O$7,,,InputRows),$C160)*$T160</f>
        <v>3825</v>
      </c>
      <c r="AJ160" s="57">
        <f ca="1">INDEX(OFFSET('Measure Inputs'!$S$7,,,InputRows),$C160)*$T160</f>
        <v>0</v>
      </c>
      <c r="AK160" s="63">
        <f ca="1">INDEX(OFFSET('Measure Inputs'!$M$7,,,InputRows),$C160)</f>
        <v>15</v>
      </c>
      <c r="AL160" s="88">
        <f ca="1">INDEX(OFFSET('Measure Inputs'!$N$7,,,InputRows),$C160)</f>
        <v>0</v>
      </c>
      <c r="AM160" s="57">
        <f ca="1">SUMIFS(OFFSET('Program Inputs'!$N$5,,,TotalPrograms),OFFSET('Program Inputs'!$B$5,,,TotalPrograms),SUBSTITUTE($B160,"All","*"))+AF160</f>
        <v>0</v>
      </c>
      <c r="AN160" s="57">
        <f t="shared" ca="1" si="365"/>
        <v>3825</v>
      </c>
      <c r="AO160" s="55"/>
      <c r="AP160" s="59">
        <f t="shared" ca="1" si="366"/>
        <v>26593.7368903846</v>
      </c>
      <c r="AQ160" s="59">
        <f t="shared" ca="1" si="367"/>
        <v>5168.1367144432197</v>
      </c>
      <c r="AR160" s="59">
        <f ca="1">SUMPRODUCT($CA160:$DI160,'General Inputs'!$F$32:$AN$32,'General Inputs'!$F$51:$AN$51)/(1-Loss_ElectricEnergy)</f>
        <v>22334.28514609217</v>
      </c>
      <c r="AS160" s="59">
        <f ca="1">SUMPRODUCT($DK160:$ES160,'General Inputs'!$F$33:$AN$33,'General Inputs'!$F$51:$AN$51)/(1-Loss_ElectricDemand)</f>
        <v>4259.4517442924289</v>
      </c>
      <c r="AT160" s="59">
        <f ca="1">SUMPRODUCT($EU160:$GC160,'General Inputs'!$F$34:$AN$34,'General Inputs'!$F$51:$AN$51)/(1-Loss_GasEnergy)</f>
        <v>0</v>
      </c>
      <c r="AU160" s="59">
        <f ca="1">INDEX('General Inputs'!$F$51:$AN$51,MATCH($H160,'General Inputs'!$F$50:$AN$50,0))*$AJ160</f>
        <v>0</v>
      </c>
      <c r="AV160" s="59">
        <f ca="1">INDEX('General Inputs'!$F$51:$AN$51,MATCH($H160,'General Inputs'!$F$50:$AN$50,0))*$AI160</f>
        <v>3514.3329658213893</v>
      </c>
      <c r="AW160" s="59">
        <f ca="1">INDEX('General Inputs'!$F$51:$AN$51,MATCH($H160,'General Inputs'!$F$50:$AN$50,0))*$AM160</f>
        <v>0</v>
      </c>
      <c r="AX160" s="59">
        <f ca="1">SUM(INDEX('General Inputs'!$F$51:$AN$51,MATCH($H160,'General Inputs'!$F$50:$AN$50,0))*$AG160,INDEX('General Inputs'!$F$51:$AN$51,MATCH($H160+$AL160,'General Inputs'!$F$50:$AN$50,0))*-$AH160)</f>
        <v>5168.1367144432197</v>
      </c>
      <c r="AY160" s="55"/>
      <c r="AZ160" s="59">
        <f ca="1">SUMPRODUCT($CA160:$DI160,'General Inputs'!$F$32:$AN$32,'General Inputs'!$F$52:$AN$52)/(1-Loss_ElectricEnergy)</f>
        <v>22334.28514609217</v>
      </c>
      <c r="BA160" s="59">
        <f ca="1">SUMPRODUCT($DK160:$ES160,'General Inputs'!$F$33:$AN$33,'General Inputs'!$F$52:$AN$52)/(1-Loss_ElectricDemand)</f>
        <v>4259.4517442924289</v>
      </c>
      <c r="BB160" s="59">
        <f ca="1">SUMPRODUCT($EU160:$GC160,'General Inputs'!$F$34:$AN$34,'General Inputs'!$F$52:$AN$52)/(1-Loss_GasEnergy)</f>
        <v>0</v>
      </c>
      <c r="BC160" s="59">
        <f ca="1">INDEX('General Inputs'!$F$52:$AN$52,MATCH($H160,'General Inputs'!$F$50:$AN$50,0))*$AI160</f>
        <v>3514.3329658213893</v>
      </c>
      <c r="BD160" s="59">
        <f ca="1">INDEX('General Inputs'!$F$52:$AN$52,MATCH($H160,'General Inputs'!$F$50:$AN$50,0))*$AM160</f>
        <v>0</v>
      </c>
      <c r="BE160" s="55"/>
      <c r="BF160" s="59">
        <f ca="1">SUMPRODUCT($CA160:$DI160,OFFSET('General Inputs'!$F$40:$AN$40,MATCH($D160&amp;" Electric ($/kWh)",'General Inputs'!$E$40:$E$46,0),),'General Inputs'!$F$54:$AN$54)</f>
        <v>0</v>
      </c>
      <c r="BG160" s="59">
        <f ca="1">SUMPRODUCT($EU160:$GC160,OFFSET('General Inputs'!$F$40:$AN$40,MATCH($D160&amp;" Natural Gas ($/therm)",'General Inputs'!$E$40:$E$46,0),),'General Inputs'!$F$54:$AN$54)</f>
        <v>0</v>
      </c>
      <c r="BH160" s="59">
        <f ca="1">INDEX('General Inputs'!$F$54:$AN$54,MATCH($H160,'General Inputs'!$F$50:$AN$50,0))*$AI160</f>
        <v>3514.3329658213893</v>
      </c>
      <c r="BI160" s="59">
        <f ca="1">SUM(INDEX('General Inputs'!$F$54:$AN$54,MATCH($H160,'General Inputs'!$F$50:$AN$50,0))*$AG160,INDEX('General Inputs'!$F$51:$AN$51,MATCH($H160+$AL160,'General Inputs'!$F$50:$AN$50,0))*-$AH160)</f>
        <v>5168.1367144432197</v>
      </c>
      <c r="BJ160" s="55"/>
      <c r="BK160" s="59">
        <f ca="1">SUMPRODUCT($CA160:$DI160,'General Inputs'!$F$32:$AN$32,'General Inputs'!$F$53:$AN$53)/(1-Loss_ElectricEnergy)</f>
        <v>22334.28514609217</v>
      </c>
      <c r="BL160" s="59">
        <f ca="1">SUMPRODUCT($DK160:$ES160,'General Inputs'!$F$33:$AN$33,'General Inputs'!$F$53:$AN$53)/(1-Loss_ElectricDemand)</f>
        <v>4259.4517442924289</v>
      </c>
      <c r="BM160" s="59">
        <f ca="1">SUMPRODUCT($EU160:$GC160,'General Inputs'!$F$34:$AN$34,'General Inputs'!$F$53:$AN$53)/(1-Loss_GasEnergy)</f>
        <v>0</v>
      </c>
      <c r="BN160" s="59">
        <f ca="1">INDEX('General Inputs'!$F$53:$AN$53,MATCH($H160,'General Inputs'!$F$50:$AN$50,0))*$AJ160</f>
        <v>0</v>
      </c>
      <c r="BO160" s="59">
        <f ca="1">SUMPRODUCT($CA160:$DI160,'General Inputs'!$F$35:$AN$35,'General Inputs'!$F$53:$AN$53)/(1-Loss_ElectricEnergy)</f>
        <v>8393.3761138024311</v>
      </c>
      <c r="BP160" s="59">
        <f ca="1">INDEX('General Inputs'!$F$51:$AN$51,MATCH($H160,'General Inputs'!$F$50:$AN$50,0))*$AM160</f>
        <v>0</v>
      </c>
      <c r="BQ160" s="59">
        <f ca="1">SUM(INDEX('General Inputs'!$F$53:$AN$53,MATCH($H160,'General Inputs'!$F$50:$AN$50,0))*$AG160,INDEX('General Inputs'!$F$53:$AN$53,MATCH($H160+$AL160,'General Inputs'!$F$50:$AN$50,0))*-$AH160)</f>
        <v>5168.1367144432197</v>
      </c>
      <c r="BR160" s="55"/>
      <c r="BS160" s="59">
        <f ca="1">SUMPRODUCT($CA160:$DI160,'General Inputs'!$F$32:$AN$32,'General Inputs'!$F$55:$AN$55)/(1-Loss_ElectricEnergy)</f>
        <v>22334.28514609217</v>
      </c>
      <c r="BT160" s="59">
        <f ca="1">SUMPRODUCT($DK160:$ES160,'General Inputs'!$F$33:$AN$33,'General Inputs'!$F$55:$AN$55)/(1-Loss_ElectricDemand)</f>
        <v>4259.4517442924289</v>
      </c>
      <c r="BU160" s="59">
        <f ca="1">SUMPRODUCT($EU160:$GC160,'General Inputs'!$F$34:$AN$34,'General Inputs'!$F$55:$AN$55)/(1-Loss_GasEnergy)</f>
        <v>0</v>
      </c>
      <c r="BV160" s="59">
        <f ca="1">SUMPRODUCT($CA160:$DI160,OFFSET('General Inputs'!$F$40:$AN$40,MATCH($D160&amp;" Electric ($/kWh)",'General Inputs'!$E$40:$E$46,0),),'General Inputs'!$F$55:$AN$55)</f>
        <v>0</v>
      </c>
      <c r="BW160" s="59">
        <f ca="1">SUMPRODUCT($EU160:$GC160,OFFSET('General Inputs'!$F$40:$AN$40,MATCH($D160&amp;" Natural Gas ($/therm)",'General Inputs'!$E$40:$E$46,0),),'General Inputs'!$F$55:$AN$55)</f>
        <v>0</v>
      </c>
      <c r="BX160" s="59">
        <f ca="1">INDEX('General Inputs'!$F$55:$AN$55,MATCH($H160,'General Inputs'!$F$50:$AN$50,0))*$AI160</f>
        <v>3514.3329658213893</v>
      </c>
      <c r="BY160" s="59">
        <f ca="1">INDEX('General Inputs'!$F$51:$AN$51,MATCH($H160,'General Inputs'!$F$50:$AN$50,0))*$AM160</f>
        <v>0</v>
      </c>
      <c r="BZ160" s="55"/>
      <c r="CA160" s="88">
        <f t="shared" ca="1" si="368"/>
        <v>0</v>
      </c>
      <c r="CB160" s="88">
        <f t="shared" ca="1" si="368"/>
        <v>86226.243299999987</v>
      </c>
      <c r="CC160" s="88">
        <f t="shared" ca="1" si="368"/>
        <v>86226.243299999987</v>
      </c>
      <c r="CD160" s="88">
        <f t="shared" ca="1" si="368"/>
        <v>86226.243299999987</v>
      </c>
      <c r="CE160" s="88">
        <f t="shared" ca="1" si="368"/>
        <v>86226.243299999987</v>
      </c>
      <c r="CF160" s="88">
        <f t="shared" ca="1" si="368"/>
        <v>86226.243299999987</v>
      </c>
      <c r="CG160" s="88">
        <f t="shared" ca="1" si="368"/>
        <v>86226.243299999987</v>
      </c>
      <c r="CH160" s="88">
        <f t="shared" ca="1" si="368"/>
        <v>86226.243299999987</v>
      </c>
      <c r="CI160" s="88">
        <f t="shared" ca="1" si="368"/>
        <v>86226.243299999987</v>
      </c>
      <c r="CJ160" s="88">
        <f t="shared" ca="1" si="368"/>
        <v>86226.243299999987</v>
      </c>
      <c r="CK160" s="88">
        <f t="shared" ca="1" si="369"/>
        <v>86226.243299999987</v>
      </c>
      <c r="CL160" s="88">
        <f t="shared" ca="1" si="369"/>
        <v>86226.243299999987</v>
      </c>
      <c r="CM160" s="88">
        <f t="shared" ca="1" si="369"/>
        <v>86226.243299999987</v>
      </c>
      <c r="CN160" s="88">
        <f t="shared" ca="1" si="369"/>
        <v>86226.243299999987</v>
      </c>
      <c r="CO160" s="88">
        <f t="shared" ca="1" si="369"/>
        <v>86226.243299999987</v>
      </c>
      <c r="CP160" s="88">
        <f t="shared" ca="1" si="369"/>
        <v>86226.243299999987</v>
      </c>
      <c r="CQ160" s="88">
        <f t="shared" ca="1" si="369"/>
        <v>0</v>
      </c>
      <c r="CR160" s="88">
        <f t="shared" ca="1" si="369"/>
        <v>0</v>
      </c>
      <c r="CS160" s="88">
        <f t="shared" ca="1" si="369"/>
        <v>0</v>
      </c>
      <c r="CT160" s="88">
        <f t="shared" ca="1" si="369"/>
        <v>0</v>
      </c>
      <c r="CU160" s="88">
        <f t="shared" ca="1" si="370"/>
        <v>0</v>
      </c>
      <c r="CV160" s="88">
        <f t="shared" ca="1" si="370"/>
        <v>0</v>
      </c>
      <c r="CW160" s="88">
        <f t="shared" ca="1" si="370"/>
        <v>0</v>
      </c>
      <c r="CX160" s="88">
        <f t="shared" ca="1" si="370"/>
        <v>0</v>
      </c>
      <c r="CY160" s="88">
        <f t="shared" ca="1" si="370"/>
        <v>0</v>
      </c>
      <c r="CZ160" s="88">
        <f t="shared" ca="1" si="370"/>
        <v>0</v>
      </c>
      <c r="DA160" s="88">
        <f t="shared" ca="1" si="370"/>
        <v>0</v>
      </c>
      <c r="DB160" s="88">
        <f t="shared" ca="1" si="370"/>
        <v>0</v>
      </c>
      <c r="DC160" s="88">
        <f t="shared" ca="1" si="370"/>
        <v>0</v>
      </c>
      <c r="DD160" s="88">
        <f t="shared" ca="1" si="370"/>
        <v>0</v>
      </c>
      <c r="DE160" s="88">
        <f t="shared" ca="1" si="370"/>
        <v>0</v>
      </c>
      <c r="DF160" s="88">
        <f t="shared" ca="1" si="370"/>
        <v>0</v>
      </c>
      <c r="DG160" s="88">
        <f t="shared" ca="1" si="370"/>
        <v>0</v>
      </c>
      <c r="DH160" s="88">
        <f t="shared" ca="1" si="370"/>
        <v>0</v>
      </c>
      <c r="DI160" s="88">
        <f t="shared" ca="1" si="370"/>
        <v>0</v>
      </c>
      <c r="DJ160" s="169"/>
      <c r="DK160" s="88">
        <f t="shared" ca="1" si="371"/>
        <v>0</v>
      </c>
      <c r="DL160" s="88">
        <f t="shared" ca="1" si="371"/>
        <v>22.862700000000004</v>
      </c>
      <c r="DM160" s="88">
        <f t="shared" ca="1" si="371"/>
        <v>22.862700000000004</v>
      </c>
      <c r="DN160" s="88">
        <f t="shared" ca="1" si="371"/>
        <v>22.862700000000004</v>
      </c>
      <c r="DO160" s="88">
        <f t="shared" ca="1" si="371"/>
        <v>22.862700000000004</v>
      </c>
      <c r="DP160" s="88">
        <f t="shared" ca="1" si="371"/>
        <v>22.862700000000004</v>
      </c>
      <c r="DQ160" s="88">
        <f t="shared" ca="1" si="371"/>
        <v>22.862700000000004</v>
      </c>
      <c r="DR160" s="88">
        <f t="shared" ca="1" si="371"/>
        <v>22.862700000000004</v>
      </c>
      <c r="DS160" s="88">
        <f t="shared" ca="1" si="371"/>
        <v>22.862700000000004</v>
      </c>
      <c r="DT160" s="88">
        <f t="shared" ca="1" si="371"/>
        <v>22.862700000000004</v>
      </c>
      <c r="DU160" s="88">
        <f t="shared" ca="1" si="372"/>
        <v>22.862700000000004</v>
      </c>
      <c r="DV160" s="88">
        <f t="shared" ca="1" si="372"/>
        <v>22.862700000000004</v>
      </c>
      <c r="DW160" s="88">
        <f t="shared" ca="1" si="372"/>
        <v>22.862700000000004</v>
      </c>
      <c r="DX160" s="88">
        <f t="shared" ca="1" si="372"/>
        <v>22.862700000000004</v>
      </c>
      <c r="DY160" s="88">
        <f t="shared" ca="1" si="372"/>
        <v>22.862700000000004</v>
      </c>
      <c r="DZ160" s="88">
        <f t="shared" ca="1" si="372"/>
        <v>22.862700000000004</v>
      </c>
      <c r="EA160" s="88">
        <f t="shared" ca="1" si="372"/>
        <v>0</v>
      </c>
      <c r="EB160" s="88">
        <f t="shared" ca="1" si="372"/>
        <v>0</v>
      </c>
      <c r="EC160" s="88">
        <f t="shared" ca="1" si="372"/>
        <v>0</v>
      </c>
      <c r="ED160" s="88">
        <f t="shared" ca="1" si="372"/>
        <v>0</v>
      </c>
      <c r="EE160" s="88">
        <f t="shared" ca="1" si="373"/>
        <v>0</v>
      </c>
      <c r="EF160" s="88">
        <f t="shared" ca="1" si="373"/>
        <v>0</v>
      </c>
      <c r="EG160" s="88">
        <f t="shared" ca="1" si="373"/>
        <v>0</v>
      </c>
      <c r="EH160" s="88">
        <f t="shared" ca="1" si="373"/>
        <v>0</v>
      </c>
      <c r="EI160" s="88">
        <f t="shared" ca="1" si="373"/>
        <v>0</v>
      </c>
      <c r="EJ160" s="88">
        <f t="shared" ca="1" si="373"/>
        <v>0</v>
      </c>
      <c r="EK160" s="88">
        <f t="shared" ca="1" si="373"/>
        <v>0</v>
      </c>
      <c r="EL160" s="88">
        <f t="shared" ca="1" si="373"/>
        <v>0</v>
      </c>
      <c r="EM160" s="88">
        <f t="shared" ca="1" si="373"/>
        <v>0</v>
      </c>
      <c r="EN160" s="88">
        <f t="shared" ca="1" si="373"/>
        <v>0</v>
      </c>
      <c r="EO160" s="88">
        <f t="shared" ca="1" si="373"/>
        <v>0</v>
      </c>
      <c r="EP160" s="88">
        <f t="shared" ca="1" si="373"/>
        <v>0</v>
      </c>
      <c r="EQ160" s="88">
        <f t="shared" ca="1" si="373"/>
        <v>0</v>
      </c>
      <c r="ER160" s="88">
        <f t="shared" ca="1" si="373"/>
        <v>0</v>
      </c>
      <c r="ES160" s="88">
        <f t="shared" ca="1" si="373"/>
        <v>0</v>
      </c>
      <c r="ET160" s="169"/>
      <c r="EU160" s="88">
        <f t="shared" ca="1" si="374"/>
        <v>0</v>
      </c>
      <c r="EV160" s="88">
        <f t="shared" ca="1" si="374"/>
        <v>0</v>
      </c>
      <c r="EW160" s="88">
        <f t="shared" ca="1" si="374"/>
        <v>0</v>
      </c>
      <c r="EX160" s="88">
        <f t="shared" ca="1" si="374"/>
        <v>0</v>
      </c>
      <c r="EY160" s="88">
        <f t="shared" ca="1" si="374"/>
        <v>0</v>
      </c>
      <c r="EZ160" s="88">
        <f t="shared" ca="1" si="374"/>
        <v>0</v>
      </c>
      <c r="FA160" s="88">
        <f t="shared" ca="1" si="374"/>
        <v>0</v>
      </c>
      <c r="FB160" s="88">
        <f t="shared" ca="1" si="374"/>
        <v>0</v>
      </c>
      <c r="FC160" s="88">
        <f t="shared" ca="1" si="374"/>
        <v>0</v>
      </c>
      <c r="FD160" s="88">
        <f t="shared" ca="1" si="374"/>
        <v>0</v>
      </c>
      <c r="FE160" s="88">
        <f t="shared" ca="1" si="375"/>
        <v>0</v>
      </c>
      <c r="FF160" s="88">
        <f t="shared" ca="1" si="375"/>
        <v>0</v>
      </c>
      <c r="FG160" s="88">
        <f t="shared" ca="1" si="375"/>
        <v>0</v>
      </c>
      <c r="FH160" s="88">
        <f t="shared" ca="1" si="375"/>
        <v>0</v>
      </c>
      <c r="FI160" s="88">
        <f t="shared" ca="1" si="375"/>
        <v>0</v>
      </c>
      <c r="FJ160" s="88">
        <f t="shared" ca="1" si="375"/>
        <v>0</v>
      </c>
      <c r="FK160" s="88">
        <f t="shared" ca="1" si="375"/>
        <v>0</v>
      </c>
      <c r="FL160" s="88">
        <f t="shared" ca="1" si="375"/>
        <v>0</v>
      </c>
      <c r="FM160" s="88">
        <f t="shared" ca="1" si="375"/>
        <v>0</v>
      </c>
      <c r="FN160" s="88">
        <f t="shared" ca="1" si="375"/>
        <v>0</v>
      </c>
      <c r="FO160" s="88">
        <f t="shared" ca="1" si="376"/>
        <v>0</v>
      </c>
      <c r="FP160" s="88">
        <f t="shared" ca="1" si="376"/>
        <v>0</v>
      </c>
      <c r="FQ160" s="88">
        <f t="shared" ca="1" si="376"/>
        <v>0</v>
      </c>
      <c r="FR160" s="88">
        <f t="shared" ca="1" si="376"/>
        <v>0</v>
      </c>
      <c r="FS160" s="88">
        <f t="shared" ca="1" si="376"/>
        <v>0</v>
      </c>
      <c r="FT160" s="88">
        <f t="shared" ca="1" si="376"/>
        <v>0</v>
      </c>
      <c r="FU160" s="88">
        <f t="shared" ca="1" si="376"/>
        <v>0</v>
      </c>
      <c r="FV160" s="88">
        <f t="shared" ca="1" si="376"/>
        <v>0</v>
      </c>
      <c r="FW160" s="88">
        <f t="shared" ca="1" si="376"/>
        <v>0</v>
      </c>
      <c r="FX160" s="88">
        <f t="shared" ca="1" si="376"/>
        <v>0</v>
      </c>
      <c r="FY160" s="88">
        <f t="shared" ca="1" si="376"/>
        <v>0</v>
      </c>
      <c r="FZ160" s="88">
        <f t="shared" ca="1" si="376"/>
        <v>0</v>
      </c>
      <c r="GA160" s="88">
        <f t="shared" ca="1" si="376"/>
        <v>0</v>
      </c>
      <c r="GB160" s="88">
        <f t="shared" ca="1" si="376"/>
        <v>0</v>
      </c>
      <c r="GC160" s="88">
        <f t="shared" ca="1" si="376"/>
        <v>0</v>
      </c>
      <c r="GD160" s="60"/>
    </row>
    <row r="161" spans="1:186" s="54" customFormat="1" ht="14.45" customHeight="1">
      <c r="A161" s="61"/>
      <c r="B161" s="100" t="str">
        <f t="shared" si="345"/>
        <v>C&amp;I_C&amp;I Prescriptive_0_High Bay Fluorescent Fixture w/ HE Electronic Ballast (T5 10-lamp)_2018</v>
      </c>
      <c r="C161" s="100">
        <f>INDEX('Measure Inputs'!$D:$D,MATCH($B161,'Measure Inputs'!$B:$B,0))</f>
        <v>113</v>
      </c>
      <c r="D161" s="101" t="s">
        <v>256</v>
      </c>
      <c r="E161" s="101" t="s">
        <v>255</v>
      </c>
      <c r="F161" s="101">
        <v>0</v>
      </c>
      <c r="G161" s="101" t="s">
        <v>274</v>
      </c>
      <c r="H161" s="101">
        <v>2018</v>
      </c>
      <c r="I161" s="55"/>
      <c r="J161" s="58">
        <f t="shared" ca="1" si="229"/>
        <v>5.5565594336202544</v>
      </c>
      <c r="K161" s="58">
        <f t="shared" ca="1" si="246"/>
        <v>8.7735148951898747</v>
      </c>
      <c r="L161" s="58">
        <f t="shared" ca="1" si="230"/>
        <v>0.6333333333333333</v>
      </c>
      <c r="M161" s="58">
        <f t="shared" ca="1" si="231"/>
        <v>7.3102916532518112</v>
      </c>
      <c r="N161" s="58">
        <f t="shared" ca="1" si="232"/>
        <v>8.7735148951898747</v>
      </c>
      <c r="O161" s="55"/>
      <c r="P161" s="175">
        <f ca="1">IFERROR(($AW161+AV161)/SUMPRODUCT($CA161:$DI161,'General Inputs'!$F$51:$AN$51),"n/a")</f>
        <v>4.3199728362654935E-3</v>
      </c>
      <c r="Q161" s="175">
        <f t="shared" ca="1" si="309"/>
        <v>3.8260867954233481E-2</v>
      </c>
      <c r="R161" s="56">
        <f t="shared" ca="1" si="364"/>
        <v>1675.9943887500001</v>
      </c>
      <c r="S161" s="55"/>
      <c r="T161" s="56">
        <f ca="1">INDEX(OFFSET('Measure Inputs'!$L$7,,,InputRows),$C161)</f>
        <v>45</v>
      </c>
      <c r="U161" s="134">
        <f ca="1">INDEX(OFFSET('Measure Inputs'!$T$7,,,InputRows),$C161)</f>
        <v>1</v>
      </c>
      <c r="V161" s="134">
        <f ca="1">INDEX(OFFSET('Measure Inputs'!$U$7,,,InputRows),$C161)</f>
        <v>1</v>
      </c>
      <c r="W161" s="55"/>
      <c r="X161" s="96">
        <f ca="1">INDEX(OFFSET('Measure Inputs'!$V$7,,,InputRows),$C161)*$T161*$V161*$U161</f>
        <v>111732.95924999999</v>
      </c>
      <c r="Y161" s="96">
        <f ca="1">INDEX(OFFSET('Measure Inputs'!$W$7,,,InputRows),$C161)*$T161*$V161*$U161</f>
        <v>29.62575</v>
      </c>
      <c r="Z161" s="96">
        <f ca="1">INDEX(OFFSET('Measure Inputs'!$X$7,,,InputRows),$C161)*$T161*$V161*$U161</f>
        <v>0</v>
      </c>
      <c r="AA161" s="55"/>
      <c r="AB161" s="96">
        <f ca="1">INDEX(OFFSET('Measure Inputs'!$Z$7,,,InputRows),$C161)*$T161*$V161*$U161</f>
        <v>0</v>
      </c>
      <c r="AC161" s="96">
        <f ca="1">INDEX(OFFSET('Measure Inputs'!$AA$7,,,InputRows),$C161)*$T161*$V161*$U161</f>
        <v>0</v>
      </c>
      <c r="AD161" s="96">
        <f ca="1">INDEX(OFFSET('Measure Inputs'!$AB$7,,,InputRows),$C161)*$T161*$V161*$U161</f>
        <v>0</v>
      </c>
      <c r="AE161" s="55"/>
      <c r="AF161" s="57">
        <f ca="1">INDEX(OFFSET('Measure Inputs'!$Q$7,,,InputRows),$C161)*$T161</f>
        <v>0</v>
      </c>
      <c r="AG161" s="57">
        <f ca="1">INDEX(OFFSET('Measure Inputs'!$P$7,,,InputRows),$C161)*$T161*$V161</f>
        <v>6750</v>
      </c>
      <c r="AH161" s="57">
        <f ca="1">INDEX(OFFSET('Measure Inputs'!$R$7,,,InputRows),$C161)*$T161*$V161</f>
        <v>0</v>
      </c>
      <c r="AI161" s="57">
        <f ca="1">INDEX(OFFSET('Measure Inputs'!$O$7,,,InputRows),$C161)*$T161</f>
        <v>4275</v>
      </c>
      <c r="AJ161" s="57">
        <f ca="1">INDEX(OFFSET('Measure Inputs'!$S$7,,,InputRows),$C161)*$T161</f>
        <v>0</v>
      </c>
      <c r="AK161" s="63">
        <f ca="1">INDEX(OFFSET('Measure Inputs'!$M$7,,,InputRows),$C161)</f>
        <v>15</v>
      </c>
      <c r="AL161" s="88">
        <f ca="1">INDEX(OFFSET('Measure Inputs'!$N$7,,,InputRows),$C161)</f>
        <v>0</v>
      </c>
      <c r="AM161" s="57">
        <f ca="1">SUMIFS(OFFSET('Program Inputs'!$N$5,,,TotalPrograms),OFFSET('Program Inputs'!$B$5,,,TotalPrograms),SUBSTITUTE($B161,"All","*"))+AF161</f>
        <v>0</v>
      </c>
      <c r="AN161" s="57">
        <f t="shared" ca="1" si="365"/>
        <v>4275</v>
      </c>
      <c r="AO161" s="55"/>
      <c r="AP161" s="59">
        <f t="shared" ca="1" si="366"/>
        <v>34460.470577854387</v>
      </c>
      <c r="AQ161" s="59">
        <f t="shared" ca="1" si="367"/>
        <v>6201.7640573318631</v>
      </c>
      <c r="AR161" s="59">
        <f ca="1">SUMPRODUCT($CA161:$DI161,'General Inputs'!$F$32:$AN$32,'General Inputs'!$F$51:$AN$51)/(1-Loss_ElectricEnergy)</f>
        <v>28941.023945852416</v>
      </c>
      <c r="AS161" s="59">
        <f ca="1">SUMPRODUCT($DK161:$ES161,'General Inputs'!$F$33:$AN$33,'General Inputs'!$F$51:$AN$51)/(1-Loss_ElectricDemand)</f>
        <v>5519.4466320019674</v>
      </c>
      <c r="AT161" s="59">
        <f ca="1">SUMPRODUCT($EU161:$GC161,'General Inputs'!$F$34:$AN$34,'General Inputs'!$F$51:$AN$51)/(1-Loss_GasEnergy)</f>
        <v>0</v>
      </c>
      <c r="AU161" s="59">
        <f ca="1">INDEX('General Inputs'!$F$51:$AN$51,MATCH($H161,'General Inputs'!$F$50:$AN$50,0))*$AJ161</f>
        <v>0</v>
      </c>
      <c r="AV161" s="59">
        <f ca="1">INDEX('General Inputs'!$F$51:$AN$51,MATCH($H161,'General Inputs'!$F$50:$AN$50,0))*$AI161</f>
        <v>3927.7839029768465</v>
      </c>
      <c r="AW161" s="59">
        <f ca="1">INDEX('General Inputs'!$F$51:$AN$51,MATCH($H161,'General Inputs'!$F$50:$AN$50,0))*$AM161</f>
        <v>0</v>
      </c>
      <c r="AX161" s="59">
        <f ca="1">SUM(INDEX('General Inputs'!$F$51:$AN$51,MATCH($H161,'General Inputs'!$F$50:$AN$50,0))*$AG161,INDEX('General Inputs'!$F$51:$AN$51,MATCH($H161+$AL161,'General Inputs'!$F$50:$AN$50,0))*-$AH161)</f>
        <v>6201.7640573318631</v>
      </c>
      <c r="AY161" s="55"/>
      <c r="AZ161" s="59">
        <f ca="1">SUMPRODUCT($CA161:$DI161,'General Inputs'!$F$32:$AN$32,'General Inputs'!$F$52:$AN$52)/(1-Loss_ElectricEnergy)</f>
        <v>28941.023945852416</v>
      </c>
      <c r="BA161" s="59">
        <f ca="1">SUMPRODUCT($DK161:$ES161,'General Inputs'!$F$33:$AN$33,'General Inputs'!$F$52:$AN$52)/(1-Loss_ElectricDemand)</f>
        <v>5519.4466320019674</v>
      </c>
      <c r="BB161" s="59">
        <f ca="1">SUMPRODUCT($EU161:$GC161,'General Inputs'!$F$34:$AN$34,'General Inputs'!$F$52:$AN$52)/(1-Loss_GasEnergy)</f>
        <v>0</v>
      </c>
      <c r="BC161" s="59">
        <f ca="1">INDEX('General Inputs'!$F$52:$AN$52,MATCH($H161,'General Inputs'!$F$50:$AN$50,0))*$AI161</f>
        <v>3927.7839029768465</v>
      </c>
      <c r="BD161" s="59">
        <f ca="1">INDEX('General Inputs'!$F$52:$AN$52,MATCH($H161,'General Inputs'!$F$50:$AN$50,0))*$AM161</f>
        <v>0</v>
      </c>
      <c r="BE161" s="55"/>
      <c r="BF161" s="59">
        <f ca="1">SUMPRODUCT($CA161:$DI161,OFFSET('General Inputs'!$F$40:$AN$40,MATCH($D161&amp;" Electric ($/kWh)",'General Inputs'!$E$40:$E$46,0),),'General Inputs'!$F$54:$AN$54)</f>
        <v>0</v>
      </c>
      <c r="BG161" s="59">
        <f ca="1">SUMPRODUCT($EU161:$GC161,OFFSET('General Inputs'!$F$40:$AN$40,MATCH($D161&amp;" Natural Gas ($/therm)",'General Inputs'!$E$40:$E$46,0),),'General Inputs'!$F$54:$AN$54)</f>
        <v>0</v>
      </c>
      <c r="BH161" s="59">
        <f ca="1">INDEX('General Inputs'!$F$54:$AN$54,MATCH($H161,'General Inputs'!$F$50:$AN$50,0))*$AI161</f>
        <v>3927.7839029768465</v>
      </c>
      <c r="BI161" s="59">
        <f ca="1">SUM(INDEX('General Inputs'!$F$54:$AN$54,MATCH($H161,'General Inputs'!$F$50:$AN$50,0))*$AG161,INDEX('General Inputs'!$F$51:$AN$51,MATCH($H161+$AL161,'General Inputs'!$F$50:$AN$50,0))*-$AH161)</f>
        <v>6201.7640573318631</v>
      </c>
      <c r="BJ161" s="55"/>
      <c r="BK161" s="59">
        <f ca="1">SUMPRODUCT($CA161:$DI161,'General Inputs'!$F$32:$AN$32,'General Inputs'!$F$53:$AN$53)/(1-Loss_ElectricEnergy)</f>
        <v>28941.023945852416</v>
      </c>
      <c r="BL161" s="59">
        <f ca="1">SUMPRODUCT($DK161:$ES161,'General Inputs'!$F$33:$AN$33,'General Inputs'!$F$53:$AN$53)/(1-Loss_ElectricDemand)</f>
        <v>5519.4466320019674</v>
      </c>
      <c r="BM161" s="59">
        <f ca="1">SUMPRODUCT($EU161:$GC161,'General Inputs'!$F$34:$AN$34,'General Inputs'!$F$53:$AN$53)/(1-Loss_GasEnergy)</f>
        <v>0</v>
      </c>
      <c r="BN161" s="59">
        <f ca="1">INDEX('General Inputs'!$F$53:$AN$53,MATCH($H161,'General Inputs'!$F$50:$AN$50,0))*$AJ161</f>
        <v>0</v>
      </c>
      <c r="BO161" s="59">
        <f ca="1">SUMPRODUCT($CA161:$DI161,'General Inputs'!$F$35:$AN$35,'General Inputs'!$F$53:$AN$53)/(1-Loss_ElectricEnergy)</f>
        <v>10876.233445895821</v>
      </c>
      <c r="BP161" s="59">
        <f ca="1">INDEX('General Inputs'!$F$51:$AN$51,MATCH($H161,'General Inputs'!$F$50:$AN$50,0))*$AM161</f>
        <v>0</v>
      </c>
      <c r="BQ161" s="59">
        <f ca="1">SUM(INDEX('General Inputs'!$F$53:$AN$53,MATCH($H161,'General Inputs'!$F$50:$AN$50,0))*$AG161,INDEX('General Inputs'!$F$53:$AN$53,MATCH($H161+$AL161,'General Inputs'!$F$50:$AN$50,0))*-$AH161)</f>
        <v>6201.7640573318631</v>
      </c>
      <c r="BR161" s="55"/>
      <c r="BS161" s="59">
        <f ca="1">SUMPRODUCT($CA161:$DI161,'General Inputs'!$F$32:$AN$32,'General Inputs'!$F$55:$AN$55)/(1-Loss_ElectricEnergy)</f>
        <v>28941.023945852416</v>
      </c>
      <c r="BT161" s="59">
        <f ca="1">SUMPRODUCT($DK161:$ES161,'General Inputs'!$F$33:$AN$33,'General Inputs'!$F$55:$AN$55)/(1-Loss_ElectricDemand)</f>
        <v>5519.4466320019674</v>
      </c>
      <c r="BU161" s="59">
        <f ca="1">SUMPRODUCT($EU161:$GC161,'General Inputs'!$F$34:$AN$34,'General Inputs'!$F$55:$AN$55)/(1-Loss_GasEnergy)</f>
        <v>0</v>
      </c>
      <c r="BV161" s="59">
        <f ca="1">SUMPRODUCT($CA161:$DI161,OFFSET('General Inputs'!$F$40:$AN$40,MATCH($D161&amp;" Electric ($/kWh)",'General Inputs'!$E$40:$E$46,0),),'General Inputs'!$F$55:$AN$55)</f>
        <v>0</v>
      </c>
      <c r="BW161" s="59">
        <f ca="1">SUMPRODUCT($EU161:$GC161,OFFSET('General Inputs'!$F$40:$AN$40,MATCH($D161&amp;" Natural Gas ($/therm)",'General Inputs'!$E$40:$E$46,0),),'General Inputs'!$F$55:$AN$55)</f>
        <v>0</v>
      </c>
      <c r="BX161" s="59">
        <f ca="1">INDEX('General Inputs'!$F$55:$AN$55,MATCH($H161,'General Inputs'!$F$50:$AN$50,0))*$AI161</f>
        <v>3927.7839029768465</v>
      </c>
      <c r="BY161" s="59">
        <f ca="1">INDEX('General Inputs'!$F$51:$AN$51,MATCH($H161,'General Inputs'!$F$50:$AN$50,0))*$AM161</f>
        <v>0</v>
      </c>
      <c r="BZ161" s="55"/>
      <c r="CA161" s="88">
        <f t="shared" ca="1" si="368"/>
        <v>0</v>
      </c>
      <c r="CB161" s="88">
        <f t="shared" ca="1" si="368"/>
        <v>111732.95924999999</v>
      </c>
      <c r="CC161" s="88">
        <f t="shared" ca="1" si="368"/>
        <v>111732.95924999999</v>
      </c>
      <c r="CD161" s="88">
        <f t="shared" ca="1" si="368"/>
        <v>111732.95924999999</v>
      </c>
      <c r="CE161" s="88">
        <f t="shared" ca="1" si="368"/>
        <v>111732.95924999999</v>
      </c>
      <c r="CF161" s="88">
        <f t="shared" ca="1" si="368"/>
        <v>111732.95924999999</v>
      </c>
      <c r="CG161" s="88">
        <f t="shared" ca="1" si="368"/>
        <v>111732.95924999999</v>
      </c>
      <c r="CH161" s="88">
        <f t="shared" ca="1" si="368"/>
        <v>111732.95924999999</v>
      </c>
      <c r="CI161" s="88">
        <f t="shared" ca="1" si="368"/>
        <v>111732.95924999999</v>
      </c>
      <c r="CJ161" s="88">
        <f t="shared" ca="1" si="368"/>
        <v>111732.95924999999</v>
      </c>
      <c r="CK161" s="88">
        <f t="shared" ca="1" si="369"/>
        <v>111732.95924999999</v>
      </c>
      <c r="CL161" s="88">
        <f t="shared" ca="1" si="369"/>
        <v>111732.95924999999</v>
      </c>
      <c r="CM161" s="88">
        <f t="shared" ca="1" si="369"/>
        <v>111732.95924999999</v>
      </c>
      <c r="CN161" s="88">
        <f t="shared" ca="1" si="369"/>
        <v>111732.95924999999</v>
      </c>
      <c r="CO161" s="88">
        <f t="shared" ca="1" si="369"/>
        <v>111732.95924999999</v>
      </c>
      <c r="CP161" s="88">
        <f t="shared" ca="1" si="369"/>
        <v>111732.95924999999</v>
      </c>
      <c r="CQ161" s="88">
        <f t="shared" ca="1" si="369"/>
        <v>0</v>
      </c>
      <c r="CR161" s="88">
        <f t="shared" ca="1" si="369"/>
        <v>0</v>
      </c>
      <c r="CS161" s="88">
        <f t="shared" ca="1" si="369"/>
        <v>0</v>
      </c>
      <c r="CT161" s="88">
        <f t="shared" ca="1" si="369"/>
        <v>0</v>
      </c>
      <c r="CU161" s="88">
        <f t="shared" ca="1" si="370"/>
        <v>0</v>
      </c>
      <c r="CV161" s="88">
        <f t="shared" ca="1" si="370"/>
        <v>0</v>
      </c>
      <c r="CW161" s="88">
        <f t="shared" ca="1" si="370"/>
        <v>0</v>
      </c>
      <c r="CX161" s="88">
        <f t="shared" ca="1" si="370"/>
        <v>0</v>
      </c>
      <c r="CY161" s="88">
        <f t="shared" ca="1" si="370"/>
        <v>0</v>
      </c>
      <c r="CZ161" s="88">
        <f t="shared" ca="1" si="370"/>
        <v>0</v>
      </c>
      <c r="DA161" s="88">
        <f t="shared" ca="1" si="370"/>
        <v>0</v>
      </c>
      <c r="DB161" s="88">
        <f t="shared" ca="1" si="370"/>
        <v>0</v>
      </c>
      <c r="DC161" s="88">
        <f t="shared" ca="1" si="370"/>
        <v>0</v>
      </c>
      <c r="DD161" s="88">
        <f t="shared" ca="1" si="370"/>
        <v>0</v>
      </c>
      <c r="DE161" s="88">
        <f t="shared" ca="1" si="370"/>
        <v>0</v>
      </c>
      <c r="DF161" s="88">
        <f t="shared" ca="1" si="370"/>
        <v>0</v>
      </c>
      <c r="DG161" s="88">
        <f t="shared" ca="1" si="370"/>
        <v>0</v>
      </c>
      <c r="DH161" s="88">
        <f t="shared" ca="1" si="370"/>
        <v>0</v>
      </c>
      <c r="DI161" s="88">
        <f t="shared" ca="1" si="370"/>
        <v>0</v>
      </c>
      <c r="DJ161" s="169"/>
      <c r="DK161" s="88">
        <f t="shared" ca="1" si="371"/>
        <v>0</v>
      </c>
      <c r="DL161" s="88">
        <f t="shared" ca="1" si="371"/>
        <v>29.62575</v>
      </c>
      <c r="DM161" s="88">
        <f t="shared" ca="1" si="371"/>
        <v>29.62575</v>
      </c>
      <c r="DN161" s="88">
        <f t="shared" ca="1" si="371"/>
        <v>29.62575</v>
      </c>
      <c r="DO161" s="88">
        <f t="shared" ca="1" si="371"/>
        <v>29.62575</v>
      </c>
      <c r="DP161" s="88">
        <f t="shared" ca="1" si="371"/>
        <v>29.62575</v>
      </c>
      <c r="DQ161" s="88">
        <f t="shared" ca="1" si="371"/>
        <v>29.62575</v>
      </c>
      <c r="DR161" s="88">
        <f t="shared" ca="1" si="371"/>
        <v>29.62575</v>
      </c>
      <c r="DS161" s="88">
        <f t="shared" ca="1" si="371"/>
        <v>29.62575</v>
      </c>
      <c r="DT161" s="88">
        <f t="shared" ca="1" si="371"/>
        <v>29.62575</v>
      </c>
      <c r="DU161" s="88">
        <f t="shared" ca="1" si="372"/>
        <v>29.62575</v>
      </c>
      <c r="DV161" s="88">
        <f t="shared" ca="1" si="372"/>
        <v>29.62575</v>
      </c>
      <c r="DW161" s="88">
        <f t="shared" ca="1" si="372"/>
        <v>29.62575</v>
      </c>
      <c r="DX161" s="88">
        <f t="shared" ca="1" si="372"/>
        <v>29.62575</v>
      </c>
      <c r="DY161" s="88">
        <f t="shared" ca="1" si="372"/>
        <v>29.62575</v>
      </c>
      <c r="DZ161" s="88">
        <f t="shared" ca="1" si="372"/>
        <v>29.62575</v>
      </c>
      <c r="EA161" s="88">
        <f t="shared" ca="1" si="372"/>
        <v>0</v>
      </c>
      <c r="EB161" s="88">
        <f t="shared" ca="1" si="372"/>
        <v>0</v>
      </c>
      <c r="EC161" s="88">
        <f t="shared" ca="1" si="372"/>
        <v>0</v>
      </c>
      <c r="ED161" s="88">
        <f t="shared" ca="1" si="372"/>
        <v>0</v>
      </c>
      <c r="EE161" s="88">
        <f t="shared" ca="1" si="373"/>
        <v>0</v>
      </c>
      <c r="EF161" s="88">
        <f t="shared" ca="1" si="373"/>
        <v>0</v>
      </c>
      <c r="EG161" s="88">
        <f t="shared" ca="1" si="373"/>
        <v>0</v>
      </c>
      <c r="EH161" s="88">
        <f t="shared" ca="1" si="373"/>
        <v>0</v>
      </c>
      <c r="EI161" s="88">
        <f t="shared" ca="1" si="373"/>
        <v>0</v>
      </c>
      <c r="EJ161" s="88">
        <f t="shared" ca="1" si="373"/>
        <v>0</v>
      </c>
      <c r="EK161" s="88">
        <f t="shared" ca="1" si="373"/>
        <v>0</v>
      </c>
      <c r="EL161" s="88">
        <f t="shared" ca="1" si="373"/>
        <v>0</v>
      </c>
      <c r="EM161" s="88">
        <f t="shared" ca="1" si="373"/>
        <v>0</v>
      </c>
      <c r="EN161" s="88">
        <f t="shared" ca="1" si="373"/>
        <v>0</v>
      </c>
      <c r="EO161" s="88">
        <f t="shared" ca="1" si="373"/>
        <v>0</v>
      </c>
      <c r="EP161" s="88">
        <f t="shared" ca="1" si="373"/>
        <v>0</v>
      </c>
      <c r="EQ161" s="88">
        <f t="shared" ca="1" si="373"/>
        <v>0</v>
      </c>
      <c r="ER161" s="88">
        <f t="shared" ca="1" si="373"/>
        <v>0</v>
      </c>
      <c r="ES161" s="88">
        <f t="shared" ca="1" si="373"/>
        <v>0</v>
      </c>
      <c r="ET161" s="169"/>
      <c r="EU161" s="88">
        <f t="shared" ca="1" si="374"/>
        <v>0</v>
      </c>
      <c r="EV161" s="88">
        <f t="shared" ca="1" si="374"/>
        <v>0</v>
      </c>
      <c r="EW161" s="88">
        <f t="shared" ca="1" si="374"/>
        <v>0</v>
      </c>
      <c r="EX161" s="88">
        <f t="shared" ca="1" si="374"/>
        <v>0</v>
      </c>
      <c r="EY161" s="88">
        <f t="shared" ca="1" si="374"/>
        <v>0</v>
      </c>
      <c r="EZ161" s="88">
        <f t="shared" ca="1" si="374"/>
        <v>0</v>
      </c>
      <c r="FA161" s="88">
        <f t="shared" ca="1" si="374"/>
        <v>0</v>
      </c>
      <c r="FB161" s="88">
        <f t="shared" ca="1" si="374"/>
        <v>0</v>
      </c>
      <c r="FC161" s="88">
        <f t="shared" ca="1" si="374"/>
        <v>0</v>
      </c>
      <c r="FD161" s="88">
        <f t="shared" ca="1" si="374"/>
        <v>0</v>
      </c>
      <c r="FE161" s="88">
        <f t="shared" ca="1" si="375"/>
        <v>0</v>
      </c>
      <c r="FF161" s="88">
        <f t="shared" ca="1" si="375"/>
        <v>0</v>
      </c>
      <c r="FG161" s="88">
        <f t="shared" ca="1" si="375"/>
        <v>0</v>
      </c>
      <c r="FH161" s="88">
        <f t="shared" ca="1" si="375"/>
        <v>0</v>
      </c>
      <c r="FI161" s="88">
        <f t="shared" ca="1" si="375"/>
        <v>0</v>
      </c>
      <c r="FJ161" s="88">
        <f t="shared" ca="1" si="375"/>
        <v>0</v>
      </c>
      <c r="FK161" s="88">
        <f t="shared" ca="1" si="375"/>
        <v>0</v>
      </c>
      <c r="FL161" s="88">
        <f t="shared" ca="1" si="375"/>
        <v>0</v>
      </c>
      <c r="FM161" s="88">
        <f t="shared" ca="1" si="375"/>
        <v>0</v>
      </c>
      <c r="FN161" s="88">
        <f t="shared" ca="1" si="375"/>
        <v>0</v>
      </c>
      <c r="FO161" s="88">
        <f t="shared" ca="1" si="376"/>
        <v>0</v>
      </c>
      <c r="FP161" s="88">
        <f t="shared" ca="1" si="376"/>
        <v>0</v>
      </c>
      <c r="FQ161" s="88">
        <f t="shared" ca="1" si="376"/>
        <v>0</v>
      </c>
      <c r="FR161" s="88">
        <f t="shared" ca="1" si="376"/>
        <v>0</v>
      </c>
      <c r="FS161" s="88">
        <f t="shared" ca="1" si="376"/>
        <v>0</v>
      </c>
      <c r="FT161" s="88">
        <f t="shared" ca="1" si="376"/>
        <v>0</v>
      </c>
      <c r="FU161" s="88">
        <f t="shared" ca="1" si="376"/>
        <v>0</v>
      </c>
      <c r="FV161" s="88">
        <f t="shared" ca="1" si="376"/>
        <v>0</v>
      </c>
      <c r="FW161" s="88">
        <f t="shared" ca="1" si="376"/>
        <v>0</v>
      </c>
      <c r="FX161" s="88">
        <f t="shared" ca="1" si="376"/>
        <v>0</v>
      </c>
      <c r="FY161" s="88">
        <f t="shared" ca="1" si="376"/>
        <v>0</v>
      </c>
      <c r="FZ161" s="88">
        <f t="shared" ca="1" si="376"/>
        <v>0</v>
      </c>
      <c r="GA161" s="88">
        <f t="shared" ca="1" si="376"/>
        <v>0</v>
      </c>
      <c r="GB161" s="88">
        <f t="shared" ca="1" si="376"/>
        <v>0</v>
      </c>
      <c r="GC161" s="88">
        <f t="shared" ca="1" si="376"/>
        <v>0</v>
      </c>
      <c r="GD161" s="60"/>
    </row>
    <row r="162" spans="1:186" s="54" customFormat="1" ht="14.45" customHeight="1">
      <c r="A162" s="61"/>
      <c r="B162" s="100" t="str">
        <f t="shared" si="345"/>
        <v>C&amp;I_C&amp;I Prescriptive_0_High Bay Fluorescent Fixture w/ HE Electronic Ballast (T8 4 lamp)_2018</v>
      </c>
      <c r="C162" s="100">
        <f>INDEX('Measure Inputs'!$D:$D,MATCH($B162,'Measure Inputs'!$B:$B,0))</f>
        <v>114</v>
      </c>
      <c r="D162" s="101" t="s">
        <v>256</v>
      </c>
      <c r="E162" s="101" t="s">
        <v>255</v>
      </c>
      <c r="F162" s="101">
        <v>0</v>
      </c>
      <c r="G162" s="101" t="s">
        <v>354</v>
      </c>
      <c r="H162" s="101">
        <v>2018</v>
      </c>
      <c r="I162" s="55"/>
      <c r="J162" s="58">
        <f t="shared" ca="1" si="229"/>
        <v>0.81967670675343651</v>
      </c>
      <c r="K162" s="58">
        <f t="shared" ca="1" si="246"/>
        <v>2.9806425700124963</v>
      </c>
      <c r="L162" s="58">
        <f t="shared" ca="1" si="230"/>
        <v>0.27499999999999997</v>
      </c>
      <c r="M162" s="58">
        <f t="shared" ca="1" si="231"/>
        <v>1.0783787808493888</v>
      </c>
      <c r="N162" s="58">
        <f t="shared" ca="1" si="232"/>
        <v>2.9806425700124963</v>
      </c>
      <c r="O162" s="55"/>
      <c r="P162" s="175">
        <f ca="1">IFERROR(($AW162+AV162)/SUMPRODUCT($CA162:$DI162,'General Inputs'!$F$51:$AN$51),"n/a")</f>
        <v>1.2715830608844882E-2</v>
      </c>
      <c r="Q162" s="175">
        <f t="shared" ca="1" si="309"/>
        <v>0.11262078126259636</v>
      </c>
      <c r="R162" s="56">
        <f t="shared" ca="1" si="364"/>
        <v>586.03749023999978</v>
      </c>
      <c r="S162" s="55"/>
      <c r="T162" s="56">
        <f ca="1">INDEX(OFFSET('Measure Inputs'!$L$7,,,InputRows),$C162)</f>
        <v>80</v>
      </c>
      <c r="U162" s="134">
        <f ca="1">INDEX(OFFSET('Measure Inputs'!$T$7,,,InputRows),$C162)</f>
        <v>1</v>
      </c>
      <c r="V162" s="134">
        <f ca="1">INDEX(OFFSET('Measure Inputs'!$U$7,,,InputRows),$C162)</f>
        <v>1</v>
      </c>
      <c r="W162" s="55"/>
      <c r="X162" s="96">
        <f ca="1">INDEX(OFFSET('Measure Inputs'!$V$7,,,InputRows),$C162)*$T162*$V162*$U162</f>
        <v>39069.166016000003</v>
      </c>
      <c r="Y162" s="96">
        <f ca="1">INDEX(OFFSET('Measure Inputs'!$W$7,,,InputRows),$C162)*$T162*$V162*$U162</f>
        <v>10.359104000000002</v>
      </c>
      <c r="Z162" s="96">
        <f ca="1">INDEX(OFFSET('Measure Inputs'!$X$7,,,InputRows),$C162)*$T162*$V162*$U162</f>
        <v>0</v>
      </c>
      <c r="AA162" s="55"/>
      <c r="AB162" s="96">
        <f ca="1">INDEX(OFFSET('Measure Inputs'!$Z$7,,,InputRows),$C162)*$T162*$V162*$U162</f>
        <v>0</v>
      </c>
      <c r="AC162" s="96">
        <f ca="1">INDEX(OFFSET('Measure Inputs'!$AA$7,,,InputRows),$C162)*$T162*$V162*$U162</f>
        <v>0</v>
      </c>
      <c r="AD162" s="96">
        <f ca="1">INDEX(OFFSET('Measure Inputs'!$AB$7,,,InputRows),$C162)*$T162*$V162*$U162</f>
        <v>0</v>
      </c>
      <c r="AE162" s="55"/>
      <c r="AF162" s="57">
        <f ca="1">INDEX(OFFSET('Measure Inputs'!$Q$7,,,InputRows),$C162)*$T162</f>
        <v>0</v>
      </c>
      <c r="AG162" s="57">
        <f ca="1">INDEX(OFFSET('Measure Inputs'!$P$7,,,InputRows),$C162)*$T162*$V162</f>
        <v>16000</v>
      </c>
      <c r="AH162" s="57">
        <f ca="1">INDEX(OFFSET('Measure Inputs'!$R$7,,,InputRows),$C162)*$T162*$V162</f>
        <v>0</v>
      </c>
      <c r="AI162" s="57">
        <f ca="1">INDEX(OFFSET('Measure Inputs'!$O$7,,,InputRows),$C162)*$T162</f>
        <v>4400</v>
      </c>
      <c r="AJ162" s="57">
        <f ca="1">INDEX(OFFSET('Measure Inputs'!$S$7,,,InputRows),$C162)*$T162</f>
        <v>0</v>
      </c>
      <c r="AK162" s="63">
        <f ca="1">INDEX(OFFSET('Measure Inputs'!$M$7,,,InputRows),$C162)</f>
        <v>15</v>
      </c>
      <c r="AL162" s="88">
        <f ca="1">INDEX(OFFSET('Measure Inputs'!$N$7,,,InputRows),$C162)</f>
        <v>0</v>
      </c>
      <c r="AM162" s="57">
        <f ca="1">SUMIFS(OFFSET('Program Inputs'!$N$5,,,TotalPrograms),OFFSET('Program Inputs'!$B$5,,,TotalPrograms),SUBSTITUTE($B162,"All","*"))+AF162</f>
        <v>0</v>
      </c>
      <c r="AN162" s="57">
        <f t="shared" ca="1" si="365"/>
        <v>4400</v>
      </c>
      <c r="AO162" s="55"/>
      <c r="AP162" s="59">
        <f t="shared" ca="1" si="366"/>
        <v>12049.639202549599</v>
      </c>
      <c r="AQ162" s="59">
        <f t="shared" ca="1" si="367"/>
        <v>14700.477765527379</v>
      </c>
      <c r="AR162" s="59">
        <f ca="1">SUMPRODUCT($CA162:$DI162,'General Inputs'!$F$32:$AN$32,'General Inputs'!$F$51:$AN$51)/(1-Loss_ElectricEnergy)</f>
        <v>10119.678891558042</v>
      </c>
      <c r="AS162" s="59">
        <f ca="1">SUMPRODUCT($DK162:$ES162,'General Inputs'!$F$33:$AN$33,'General Inputs'!$F$51:$AN$51)/(1-Loss_ElectricDemand)</f>
        <v>1929.9603109915574</v>
      </c>
      <c r="AT162" s="59">
        <f ca="1">SUMPRODUCT($EU162:$GC162,'General Inputs'!$F$34:$AN$34,'General Inputs'!$F$51:$AN$51)/(1-Loss_GasEnergy)</f>
        <v>0</v>
      </c>
      <c r="AU162" s="59">
        <f ca="1">INDEX('General Inputs'!$F$51:$AN$51,MATCH($H162,'General Inputs'!$F$50:$AN$50,0))*$AJ162</f>
        <v>0</v>
      </c>
      <c r="AV162" s="59">
        <f ca="1">INDEX('General Inputs'!$F$51:$AN$51,MATCH($H162,'General Inputs'!$F$50:$AN$50,0))*$AI162</f>
        <v>4042.6313855200292</v>
      </c>
      <c r="AW162" s="59">
        <f ca="1">INDEX('General Inputs'!$F$51:$AN$51,MATCH($H162,'General Inputs'!$F$50:$AN$50,0))*$AM162</f>
        <v>0</v>
      </c>
      <c r="AX162" s="59">
        <f ca="1">SUM(INDEX('General Inputs'!$F$51:$AN$51,MATCH($H162,'General Inputs'!$F$50:$AN$50,0))*$AG162,INDEX('General Inputs'!$F$51:$AN$51,MATCH($H162+$AL162,'General Inputs'!$F$50:$AN$50,0))*-$AH162)</f>
        <v>14700.477765527379</v>
      </c>
      <c r="AY162" s="55"/>
      <c r="AZ162" s="59">
        <f ca="1">SUMPRODUCT($CA162:$DI162,'General Inputs'!$F$32:$AN$32,'General Inputs'!$F$52:$AN$52)/(1-Loss_ElectricEnergy)</f>
        <v>10119.678891558042</v>
      </c>
      <c r="BA162" s="59">
        <f ca="1">SUMPRODUCT($DK162:$ES162,'General Inputs'!$F$33:$AN$33,'General Inputs'!$F$52:$AN$52)/(1-Loss_ElectricDemand)</f>
        <v>1929.9603109915574</v>
      </c>
      <c r="BB162" s="59">
        <f ca="1">SUMPRODUCT($EU162:$GC162,'General Inputs'!$F$34:$AN$34,'General Inputs'!$F$52:$AN$52)/(1-Loss_GasEnergy)</f>
        <v>0</v>
      </c>
      <c r="BC162" s="59">
        <f ca="1">INDEX('General Inputs'!$F$52:$AN$52,MATCH($H162,'General Inputs'!$F$50:$AN$50,0))*$AI162</f>
        <v>4042.6313855200292</v>
      </c>
      <c r="BD162" s="59">
        <f ca="1">INDEX('General Inputs'!$F$52:$AN$52,MATCH($H162,'General Inputs'!$F$50:$AN$50,0))*$AM162</f>
        <v>0</v>
      </c>
      <c r="BE162" s="55"/>
      <c r="BF162" s="59">
        <f ca="1">SUMPRODUCT($CA162:$DI162,OFFSET('General Inputs'!$F$40:$AN$40,MATCH($D162&amp;" Electric ($/kWh)",'General Inputs'!$E$40:$E$46,0),),'General Inputs'!$F$54:$AN$54)</f>
        <v>0</v>
      </c>
      <c r="BG162" s="59">
        <f ca="1">SUMPRODUCT($EU162:$GC162,OFFSET('General Inputs'!$F$40:$AN$40,MATCH($D162&amp;" Natural Gas ($/therm)",'General Inputs'!$E$40:$E$46,0),),'General Inputs'!$F$54:$AN$54)</f>
        <v>0</v>
      </c>
      <c r="BH162" s="59">
        <f ca="1">INDEX('General Inputs'!$F$54:$AN$54,MATCH($H162,'General Inputs'!$F$50:$AN$50,0))*$AI162</f>
        <v>4042.6313855200292</v>
      </c>
      <c r="BI162" s="59">
        <f ca="1">SUM(INDEX('General Inputs'!$F$54:$AN$54,MATCH($H162,'General Inputs'!$F$50:$AN$50,0))*$AG162,INDEX('General Inputs'!$F$51:$AN$51,MATCH($H162+$AL162,'General Inputs'!$F$50:$AN$50,0))*-$AH162)</f>
        <v>14700.477765527379</v>
      </c>
      <c r="BJ162" s="55"/>
      <c r="BK162" s="59">
        <f ca="1">SUMPRODUCT($CA162:$DI162,'General Inputs'!$F$32:$AN$32,'General Inputs'!$F$53:$AN$53)/(1-Loss_ElectricEnergy)</f>
        <v>10119.678891558042</v>
      </c>
      <c r="BL162" s="59">
        <f ca="1">SUMPRODUCT($DK162:$ES162,'General Inputs'!$F$33:$AN$33,'General Inputs'!$F$53:$AN$53)/(1-Loss_ElectricDemand)</f>
        <v>1929.9603109915574</v>
      </c>
      <c r="BM162" s="59">
        <f ca="1">SUMPRODUCT($EU162:$GC162,'General Inputs'!$F$34:$AN$34,'General Inputs'!$F$53:$AN$53)/(1-Loss_GasEnergy)</f>
        <v>0</v>
      </c>
      <c r="BN162" s="59">
        <f ca="1">INDEX('General Inputs'!$F$53:$AN$53,MATCH($H162,'General Inputs'!$F$50:$AN$50,0))*$AJ162</f>
        <v>0</v>
      </c>
      <c r="BO162" s="59">
        <f ca="1">SUMPRODUCT($CA162:$DI162,'General Inputs'!$F$35:$AN$35,'General Inputs'!$F$53:$AN$53)/(1-Loss_ElectricEnergy)</f>
        <v>3803.0440881433619</v>
      </c>
      <c r="BP162" s="59">
        <f ca="1">INDEX('General Inputs'!$F$51:$AN$51,MATCH($H162,'General Inputs'!$F$50:$AN$50,0))*$AM162</f>
        <v>0</v>
      </c>
      <c r="BQ162" s="59">
        <f ca="1">SUM(INDEX('General Inputs'!$F$53:$AN$53,MATCH($H162,'General Inputs'!$F$50:$AN$50,0))*$AG162,INDEX('General Inputs'!$F$53:$AN$53,MATCH($H162+$AL162,'General Inputs'!$F$50:$AN$50,0))*-$AH162)</f>
        <v>14700.477765527379</v>
      </c>
      <c r="BR162" s="55"/>
      <c r="BS162" s="59">
        <f ca="1">SUMPRODUCT($CA162:$DI162,'General Inputs'!$F$32:$AN$32,'General Inputs'!$F$55:$AN$55)/(1-Loss_ElectricEnergy)</f>
        <v>10119.678891558042</v>
      </c>
      <c r="BT162" s="59">
        <f ca="1">SUMPRODUCT($DK162:$ES162,'General Inputs'!$F$33:$AN$33,'General Inputs'!$F$55:$AN$55)/(1-Loss_ElectricDemand)</f>
        <v>1929.9603109915574</v>
      </c>
      <c r="BU162" s="59">
        <f ca="1">SUMPRODUCT($EU162:$GC162,'General Inputs'!$F$34:$AN$34,'General Inputs'!$F$55:$AN$55)/(1-Loss_GasEnergy)</f>
        <v>0</v>
      </c>
      <c r="BV162" s="59">
        <f ca="1">SUMPRODUCT($CA162:$DI162,OFFSET('General Inputs'!$F$40:$AN$40,MATCH($D162&amp;" Electric ($/kWh)",'General Inputs'!$E$40:$E$46,0),),'General Inputs'!$F$55:$AN$55)</f>
        <v>0</v>
      </c>
      <c r="BW162" s="59">
        <f ca="1">SUMPRODUCT($EU162:$GC162,OFFSET('General Inputs'!$F$40:$AN$40,MATCH($D162&amp;" Natural Gas ($/therm)",'General Inputs'!$E$40:$E$46,0),),'General Inputs'!$F$55:$AN$55)</f>
        <v>0</v>
      </c>
      <c r="BX162" s="59">
        <f ca="1">INDEX('General Inputs'!$F$55:$AN$55,MATCH($H162,'General Inputs'!$F$50:$AN$50,0))*$AI162</f>
        <v>4042.6313855200292</v>
      </c>
      <c r="BY162" s="59">
        <f ca="1">INDEX('General Inputs'!$F$51:$AN$51,MATCH($H162,'General Inputs'!$F$50:$AN$50,0))*$AM162</f>
        <v>0</v>
      </c>
      <c r="BZ162" s="55"/>
      <c r="CA162" s="88">
        <f t="shared" ca="1" si="368"/>
        <v>0</v>
      </c>
      <c r="CB162" s="88">
        <f t="shared" ca="1" si="368"/>
        <v>39069.166016000003</v>
      </c>
      <c r="CC162" s="88">
        <f t="shared" ca="1" si="368"/>
        <v>39069.166016000003</v>
      </c>
      <c r="CD162" s="88">
        <f t="shared" ca="1" si="368"/>
        <v>39069.166016000003</v>
      </c>
      <c r="CE162" s="88">
        <f t="shared" ca="1" si="368"/>
        <v>39069.166016000003</v>
      </c>
      <c r="CF162" s="88">
        <f t="shared" ca="1" si="368"/>
        <v>39069.166016000003</v>
      </c>
      <c r="CG162" s="88">
        <f t="shared" ca="1" si="368"/>
        <v>39069.166016000003</v>
      </c>
      <c r="CH162" s="88">
        <f t="shared" ca="1" si="368"/>
        <v>39069.166016000003</v>
      </c>
      <c r="CI162" s="88">
        <f t="shared" ca="1" si="368"/>
        <v>39069.166016000003</v>
      </c>
      <c r="CJ162" s="88">
        <f t="shared" ca="1" si="368"/>
        <v>39069.166016000003</v>
      </c>
      <c r="CK162" s="88">
        <f t="shared" ca="1" si="369"/>
        <v>39069.166016000003</v>
      </c>
      <c r="CL162" s="88">
        <f t="shared" ca="1" si="369"/>
        <v>39069.166016000003</v>
      </c>
      <c r="CM162" s="88">
        <f t="shared" ca="1" si="369"/>
        <v>39069.166016000003</v>
      </c>
      <c r="CN162" s="88">
        <f t="shared" ca="1" si="369"/>
        <v>39069.166016000003</v>
      </c>
      <c r="CO162" s="88">
        <f t="shared" ca="1" si="369"/>
        <v>39069.166016000003</v>
      </c>
      <c r="CP162" s="88">
        <f t="shared" ca="1" si="369"/>
        <v>39069.166016000003</v>
      </c>
      <c r="CQ162" s="88">
        <f t="shared" ca="1" si="369"/>
        <v>0</v>
      </c>
      <c r="CR162" s="88">
        <f t="shared" ca="1" si="369"/>
        <v>0</v>
      </c>
      <c r="CS162" s="88">
        <f t="shared" ca="1" si="369"/>
        <v>0</v>
      </c>
      <c r="CT162" s="88">
        <f t="shared" ca="1" si="369"/>
        <v>0</v>
      </c>
      <c r="CU162" s="88">
        <f t="shared" ca="1" si="370"/>
        <v>0</v>
      </c>
      <c r="CV162" s="88">
        <f t="shared" ca="1" si="370"/>
        <v>0</v>
      </c>
      <c r="CW162" s="88">
        <f t="shared" ca="1" si="370"/>
        <v>0</v>
      </c>
      <c r="CX162" s="88">
        <f t="shared" ca="1" si="370"/>
        <v>0</v>
      </c>
      <c r="CY162" s="88">
        <f t="shared" ca="1" si="370"/>
        <v>0</v>
      </c>
      <c r="CZ162" s="88">
        <f t="shared" ca="1" si="370"/>
        <v>0</v>
      </c>
      <c r="DA162" s="88">
        <f t="shared" ca="1" si="370"/>
        <v>0</v>
      </c>
      <c r="DB162" s="88">
        <f t="shared" ca="1" si="370"/>
        <v>0</v>
      </c>
      <c r="DC162" s="88">
        <f t="shared" ca="1" si="370"/>
        <v>0</v>
      </c>
      <c r="DD162" s="88">
        <f t="shared" ca="1" si="370"/>
        <v>0</v>
      </c>
      <c r="DE162" s="88">
        <f t="shared" ca="1" si="370"/>
        <v>0</v>
      </c>
      <c r="DF162" s="88">
        <f t="shared" ca="1" si="370"/>
        <v>0</v>
      </c>
      <c r="DG162" s="88">
        <f t="shared" ca="1" si="370"/>
        <v>0</v>
      </c>
      <c r="DH162" s="88">
        <f t="shared" ca="1" si="370"/>
        <v>0</v>
      </c>
      <c r="DI162" s="88">
        <f t="shared" ca="1" si="370"/>
        <v>0</v>
      </c>
      <c r="DJ162" s="169"/>
      <c r="DK162" s="88">
        <f t="shared" ca="1" si="371"/>
        <v>0</v>
      </c>
      <c r="DL162" s="88">
        <f t="shared" ca="1" si="371"/>
        <v>10.359104000000002</v>
      </c>
      <c r="DM162" s="88">
        <f t="shared" ca="1" si="371"/>
        <v>10.359104000000002</v>
      </c>
      <c r="DN162" s="88">
        <f t="shared" ca="1" si="371"/>
        <v>10.359104000000002</v>
      </c>
      <c r="DO162" s="88">
        <f t="shared" ca="1" si="371"/>
        <v>10.359104000000002</v>
      </c>
      <c r="DP162" s="88">
        <f t="shared" ca="1" si="371"/>
        <v>10.359104000000002</v>
      </c>
      <c r="DQ162" s="88">
        <f t="shared" ca="1" si="371"/>
        <v>10.359104000000002</v>
      </c>
      <c r="DR162" s="88">
        <f t="shared" ca="1" si="371"/>
        <v>10.359104000000002</v>
      </c>
      <c r="DS162" s="88">
        <f t="shared" ca="1" si="371"/>
        <v>10.359104000000002</v>
      </c>
      <c r="DT162" s="88">
        <f t="shared" ca="1" si="371"/>
        <v>10.359104000000002</v>
      </c>
      <c r="DU162" s="88">
        <f t="shared" ca="1" si="372"/>
        <v>10.359104000000002</v>
      </c>
      <c r="DV162" s="88">
        <f t="shared" ca="1" si="372"/>
        <v>10.359104000000002</v>
      </c>
      <c r="DW162" s="88">
        <f t="shared" ca="1" si="372"/>
        <v>10.359104000000002</v>
      </c>
      <c r="DX162" s="88">
        <f t="shared" ca="1" si="372"/>
        <v>10.359104000000002</v>
      </c>
      <c r="DY162" s="88">
        <f t="shared" ca="1" si="372"/>
        <v>10.359104000000002</v>
      </c>
      <c r="DZ162" s="88">
        <f t="shared" ca="1" si="372"/>
        <v>10.359104000000002</v>
      </c>
      <c r="EA162" s="88">
        <f t="shared" ca="1" si="372"/>
        <v>0</v>
      </c>
      <c r="EB162" s="88">
        <f t="shared" ca="1" si="372"/>
        <v>0</v>
      </c>
      <c r="EC162" s="88">
        <f t="shared" ca="1" si="372"/>
        <v>0</v>
      </c>
      <c r="ED162" s="88">
        <f t="shared" ca="1" si="372"/>
        <v>0</v>
      </c>
      <c r="EE162" s="88">
        <f t="shared" ca="1" si="373"/>
        <v>0</v>
      </c>
      <c r="EF162" s="88">
        <f t="shared" ca="1" si="373"/>
        <v>0</v>
      </c>
      <c r="EG162" s="88">
        <f t="shared" ca="1" si="373"/>
        <v>0</v>
      </c>
      <c r="EH162" s="88">
        <f t="shared" ca="1" si="373"/>
        <v>0</v>
      </c>
      <c r="EI162" s="88">
        <f t="shared" ca="1" si="373"/>
        <v>0</v>
      </c>
      <c r="EJ162" s="88">
        <f t="shared" ca="1" si="373"/>
        <v>0</v>
      </c>
      <c r="EK162" s="88">
        <f t="shared" ca="1" si="373"/>
        <v>0</v>
      </c>
      <c r="EL162" s="88">
        <f t="shared" ca="1" si="373"/>
        <v>0</v>
      </c>
      <c r="EM162" s="88">
        <f t="shared" ca="1" si="373"/>
        <v>0</v>
      </c>
      <c r="EN162" s="88">
        <f t="shared" ca="1" si="373"/>
        <v>0</v>
      </c>
      <c r="EO162" s="88">
        <f t="shared" ca="1" si="373"/>
        <v>0</v>
      </c>
      <c r="EP162" s="88">
        <f t="shared" ca="1" si="373"/>
        <v>0</v>
      </c>
      <c r="EQ162" s="88">
        <f t="shared" ca="1" si="373"/>
        <v>0</v>
      </c>
      <c r="ER162" s="88">
        <f t="shared" ca="1" si="373"/>
        <v>0</v>
      </c>
      <c r="ES162" s="88">
        <f t="shared" ca="1" si="373"/>
        <v>0</v>
      </c>
      <c r="ET162" s="169"/>
      <c r="EU162" s="88">
        <f t="shared" ca="1" si="374"/>
        <v>0</v>
      </c>
      <c r="EV162" s="88">
        <f t="shared" ca="1" si="374"/>
        <v>0</v>
      </c>
      <c r="EW162" s="88">
        <f t="shared" ca="1" si="374"/>
        <v>0</v>
      </c>
      <c r="EX162" s="88">
        <f t="shared" ca="1" si="374"/>
        <v>0</v>
      </c>
      <c r="EY162" s="88">
        <f t="shared" ca="1" si="374"/>
        <v>0</v>
      </c>
      <c r="EZ162" s="88">
        <f t="shared" ca="1" si="374"/>
        <v>0</v>
      </c>
      <c r="FA162" s="88">
        <f t="shared" ca="1" si="374"/>
        <v>0</v>
      </c>
      <c r="FB162" s="88">
        <f t="shared" ca="1" si="374"/>
        <v>0</v>
      </c>
      <c r="FC162" s="88">
        <f t="shared" ca="1" si="374"/>
        <v>0</v>
      </c>
      <c r="FD162" s="88">
        <f t="shared" ca="1" si="374"/>
        <v>0</v>
      </c>
      <c r="FE162" s="88">
        <f t="shared" ca="1" si="375"/>
        <v>0</v>
      </c>
      <c r="FF162" s="88">
        <f t="shared" ca="1" si="375"/>
        <v>0</v>
      </c>
      <c r="FG162" s="88">
        <f t="shared" ca="1" si="375"/>
        <v>0</v>
      </c>
      <c r="FH162" s="88">
        <f t="shared" ca="1" si="375"/>
        <v>0</v>
      </c>
      <c r="FI162" s="88">
        <f t="shared" ca="1" si="375"/>
        <v>0</v>
      </c>
      <c r="FJ162" s="88">
        <f t="shared" ca="1" si="375"/>
        <v>0</v>
      </c>
      <c r="FK162" s="88">
        <f t="shared" ca="1" si="375"/>
        <v>0</v>
      </c>
      <c r="FL162" s="88">
        <f t="shared" ca="1" si="375"/>
        <v>0</v>
      </c>
      <c r="FM162" s="88">
        <f t="shared" ca="1" si="375"/>
        <v>0</v>
      </c>
      <c r="FN162" s="88">
        <f t="shared" ca="1" si="375"/>
        <v>0</v>
      </c>
      <c r="FO162" s="88">
        <f t="shared" ca="1" si="376"/>
        <v>0</v>
      </c>
      <c r="FP162" s="88">
        <f t="shared" ca="1" si="376"/>
        <v>0</v>
      </c>
      <c r="FQ162" s="88">
        <f t="shared" ca="1" si="376"/>
        <v>0</v>
      </c>
      <c r="FR162" s="88">
        <f t="shared" ca="1" si="376"/>
        <v>0</v>
      </c>
      <c r="FS162" s="88">
        <f t="shared" ca="1" si="376"/>
        <v>0</v>
      </c>
      <c r="FT162" s="88">
        <f t="shared" ca="1" si="376"/>
        <v>0</v>
      </c>
      <c r="FU162" s="88">
        <f t="shared" ca="1" si="376"/>
        <v>0</v>
      </c>
      <c r="FV162" s="88">
        <f t="shared" ca="1" si="376"/>
        <v>0</v>
      </c>
      <c r="FW162" s="88">
        <f t="shared" ca="1" si="376"/>
        <v>0</v>
      </c>
      <c r="FX162" s="88">
        <f t="shared" ca="1" si="376"/>
        <v>0</v>
      </c>
      <c r="FY162" s="88">
        <f t="shared" ca="1" si="376"/>
        <v>0</v>
      </c>
      <c r="FZ162" s="88">
        <f t="shared" ca="1" si="376"/>
        <v>0</v>
      </c>
      <c r="GA162" s="88">
        <f t="shared" ca="1" si="376"/>
        <v>0</v>
      </c>
      <c r="GB162" s="88">
        <f t="shared" ca="1" si="376"/>
        <v>0</v>
      </c>
      <c r="GC162" s="88">
        <f t="shared" ca="1" si="376"/>
        <v>0</v>
      </c>
      <c r="GD162" s="60"/>
    </row>
    <row r="163" spans="1:186" s="54" customFormat="1" ht="14.45" customHeight="1">
      <c r="A163" s="61"/>
      <c r="B163" s="100" t="str">
        <f t="shared" si="345"/>
        <v>C&amp;I_C&amp;I Prescriptive_0_High Bay Fluorescent Fixture w/ HE Electronic Ballast (T8 6-8 lamp)_2018</v>
      </c>
      <c r="C163" s="100">
        <f>INDEX('Measure Inputs'!$D:$D,MATCH($B163,'Measure Inputs'!$B:$B,0))</f>
        <v>115</v>
      </c>
      <c r="D163" s="101" t="s">
        <v>256</v>
      </c>
      <c r="E163" s="101" t="s">
        <v>255</v>
      </c>
      <c r="F163" s="101">
        <v>0</v>
      </c>
      <c r="G163" s="101" t="s">
        <v>275</v>
      </c>
      <c r="H163" s="101">
        <v>2018</v>
      </c>
      <c r="I163" s="55"/>
      <c r="J163" s="58">
        <f t="shared" ca="1" si="229"/>
        <v>2.1480872994294375</v>
      </c>
      <c r="K163" s="58">
        <f t="shared" ca="1" si="246"/>
        <v>6.4442618982883131</v>
      </c>
      <c r="L163" s="58">
        <f t="shared" ca="1" si="230"/>
        <v>0.33333333333333331</v>
      </c>
      <c r="M163" s="58">
        <f t="shared" ca="1" si="231"/>
        <v>2.8260553752853865</v>
      </c>
      <c r="N163" s="58">
        <f t="shared" ca="1" si="232"/>
        <v>6.4442618982883131</v>
      </c>
      <c r="O163" s="55"/>
      <c r="P163" s="175">
        <f ca="1">IFERROR(($AW163+AV163)/SUMPRODUCT($CA163:$DI163,'General Inputs'!$F$51:$AN$51),"n/a")</f>
        <v>5.8814099463986866E-3</v>
      </c>
      <c r="Q163" s="175">
        <f t="shared" ca="1" si="309"/>
        <v>5.2090107478177196E-2</v>
      </c>
      <c r="R163" s="56">
        <f t="shared" ca="1" si="364"/>
        <v>1727.77527936</v>
      </c>
      <c r="S163" s="55"/>
      <c r="T163" s="56">
        <f ca="1">INDEX(OFFSET('Measure Inputs'!$L$7,,,InputRows),$C163)</f>
        <v>80</v>
      </c>
      <c r="U163" s="134">
        <f ca="1">INDEX(OFFSET('Measure Inputs'!$T$7,,,InputRows),$C163)</f>
        <v>1</v>
      </c>
      <c r="V163" s="134">
        <f ca="1">INDEX(OFFSET('Measure Inputs'!$U$7,,,InputRows),$C163)</f>
        <v>1</v>
      </c>
      <c r="W163" s="55"/>
      <c r="X163" s="96">
        <f ca="1">INDEX(OFFSET('Measure Inputs'!$V$7,,,InputRows),$C163)*$T163*$V163*$U163</f>
        <v>115185.01862399996</v>
      </c>
      <c r="Y163" s="96">
        <f ca="1">INDEX(OFFSET('Measure Inputs'!$W$7,,,InputRows),$C163)*$T163*$V163*$U163</f>
        <v>30.541055999999998</v>
      </c>
      <c r="Z163" s="96">
        <f ca="1">INDEX(OFFSET('Measure Inputs'!$X$7,,,InputRows),$C163)*$T163*$V163*$U163</f>
        <v>0</v>
      </c>
      <c r="AA163" s="55"/>
      <c r="AB163" s="96">
        <f ca="1">INDEX(OFFSET('Measure Inputs'!$Z$7,,,InputRows),$C163)*$T163*$V163*$U163</f>
        <v>0</v>
      </c>
      <c r="AC163" s="96">
        <f ca="1">INDEX(OFFSET('Measure Inputs'!$AA$7,,,InputRows),$C163)*$T163*$V163*$U163</f>
        <v>0</v>
      </c>
      <c r="AD163" s="96">
        <f ca="1">INDEX(OFFSET('Measure Inputs'!$AB$7,,,InputRows),$C163)*$T163*$V163*$U163</f>
        <v>0</v>
      </c>
      <c r="AE163" s="55"/>
      <c r="AF163" s="57">
        <f ca="1">INDEX(OFFSET('Measure Inputs'!$Q$7,,,InputRows),$C163)*$T163</f>
        <v>0</v>
      </c>
      <c r="AG163" s="57">
        <f ca="1">INDEX(OFFSET('Measure Inputs'!$P$7,,,InputRows),$C163)*$T163*$V163</f>
        <v>18000</v>
      </c>
      <c r="AH163" s="57">
        <f ca="1">INDEX(OFFSET('Measure Inputs'!$R$7,,,InputRows),$C163)*$T163*$V163</f>
        <v>0</v>
      </c>
      <c r="AI163" s="57">
        <f ca="1">INDEX(OFFSET('Measure Inputs'!$O$7,,,InputRows),$C163)*$T163</f>
        <v>6000</v>
      </c>
      <c r="AJ163" s="57">
        <f ca="1">INDEX(OFFSET('Measure Inputs'!$S$7,,,InputRows),$C163)*$T163</f>
        <v>0</v>
      </c>
      <c r="AK163" s="63">
        <f ca="1">INDEX(OFFSET('Measure Inputs'!$M$7,,,InputRows),$C163)</f>
        <v>15</v>
      </c>
      <c r="AL163" s="88">
        <f ca="1">INDEX(OFFSET('Measure Inputs'!$N$7,,,InputRows),$C163)</f>
        <v>0</v>
      </c>
      <c r="AM163" s="57">
        <f ca="1">SUMIFS(OFFSET('Program Inputs'!$N$5,,,TotalPrograms),OFFSET('Program Inputs'!$B$5,,,TotalPrograms),SUBSTITUTE($B163,"All","*"))+AF163</f>
        <v>0</v>
      </c>
      <c r="AN163" s="57">
        <f t="shared" ca="1" si="365"/>
        <v>6000</v>
      </c>
      <c r="AO163" s="55"/>
      <c r="AP163" s="59">
        <f t="shared" ca="1" si="366"/>
        <v>35525.148281633476</v>
      </c>
      <c r="AQ163" s="59">
        <f t="shared" ca="1" si="367"/>
        <v>16538.037486218302</v>
      </c>
      <c r="AR163" s="59">
        <f ca="1">SUMPRODUCT($CA163:$DI163,'General Inputs'!$F$32:$AN$32,'General Inputs'!$F$51:$AN$51)/(1-Loss_ElectricEnergy)</f>
        <v>29835.17490789666</v>
      </c>
      <c r="AS163" s="59">
        <f ca="1">SUMPRODUCT($DK163:$ES163,'General Inputs'!$F$33:$AN$33,'General Inputs'!$F$51:$AN$51)/(1-Loss_ElectricDemand)</f>
        <v>5689.973373736816</v>
      </c>
      <c r="AT163" s="59">
        <f ca="1">SUMPRODUCT($EU163:$GC163,'General Inputs'!$F$34:$AN$34,'General Inputs'!$F$51:$AN$51)/(1-Loss_GasEnergy)</f>
        <v>0</v>
      </c>
      <c r="AU163" s="59">
        <f ca="1">INDEX('General Inputs'!$F$51:$AN$51,MATCH($H163,'General Inputs'!$F$50:$AN$50,0))*$AJ163</f>
        <v>0</v>
      </c>
      <c r="AV163" s="59">
        <f ca="1">INDEX('General Inputs'!$F$51:$AN$51,MATCH($H163,'General Inputs'!$F$50:$AN$50,0))*$AI163</f>
        <v>5512.6791620727672</v>
      </c>
      <c r="AW163" s="59">
        <f ca="1">INDEX('General Inputs'!$F$51:$AN$51,MATCH($H163,'General Inputs'!$F$50:$AN$50,0))*$AM163</f>
        <v>0</v>
      </c>
      <c r="AX163" s="59">
        <f ca="1">SUM(INDEX('General Inputs'!$F$51:$AN$51,MATCH($H163,'General Inputs'!$F$50:$AN$50,0))*$AG163,INDEX('General Inputs'!$F$51:$AN$51,MATCH($H163+$AL163,'General Inputs'!$F$50:$AN$50,0))*-$AH163)</f>
        <v>16538.037486218302</v>
      </c>
      <c r="AY163" s="55"/>
      <c r="AZ163" s="59">
        <f ca="1">SUMPRODUCT($CA163:$DI163,'General Inputs'!$F$32:$AN$32,'General Inputs'!$F$52:$AN$52)/(1-Loss_ElectricEnergy)</f>
        <v>29835.17490789666</v>
      </c>
      <c r="BA163" s="59">
        <f ca="1">SUMPRODUCT($DK163:$ES163,'General Inputs'!$F$33:$AN$33,'General Inputs'!$F$52:$AN$52)/(1-Loss_ElectricDemand)</f>
        <v>5689.973373736816</v>
      </c>
      <c r="BB163" s="59">
        <f ca="1">SUMPRODUCT($EU163:$GC163,'General Inputs'!$F$34:$AN$34,'General Inputs'!$F$52:$AN$52)/(1-Loss_GasEnergy)</f>
        <v>0</v>
      </c>
      <c r="BC163" s="59">
        <f ca="1">INDEX('General Inputs'!$F$52:$AN$52,MATCH($H163,'General Inputs'!$F$50:$AN$50,0))*$AI163</f>
        <v>5512.6791620727672</v>
      </c>
      <c r="BD163" s="59">
        <f ca="1">INDEX('General Inputs'!$F$52:$AN$52,MATCH($H163,'General Inputs'!$F$50:$AN$50,0))*$AM163</f>
        <v>0</v>
      </c>
      <c r="BE163" s="55"/>
      <c r="BF163" s="59">
        <f ca="1">SUMPRODUCT($CA163:$DI163,OFFSET('General Inputs'!$F$40:$AN$40,MATCH($D163&amp;" Electric ($/kWh)",'General Inputs'!$E$40:$E$46,0),),'General Inputs'!$F$54:$AN$54)</f>
        <v>0</v>
      </c>
      <c r="BG163" s="59">
        <f ca="1">SUMPRODUCT($EU163:$GC163,OFFSET('General Inputs'!$F$40:$AN$40,MATCH($D163&amp;" Natural Gas ($/therm)",'General Inputs'!$E$40:$E$46,0),),'General Inputs'!$F$54:$AN$54)</f>
        <v>0</v>
      </c>
      <c r="BH163" s="59">
        <f ca="1">INDEX('General Inputs'!$F$54:$AN$54,MATCH($H163,'General Inputs'!$F$50:$AN$50,0))*$AI163</f>
        <v>5512.6791620727672</v>
      </c>
      <c r="BI163" s="59">
        <f ca="1">SUM(INDEX('General Inputs'!$F$54:$AN$54,MATCH($H163,'General Inputs'!$F$50:$AN$50,0))*$AG163,INDEX('General Inputs'!$F$51:$AN$51,MATCH($H163+$AL163,'General Inputs'!$F$50:$AN$50,0))*-$AH163)</f>
        <v>16538.037486218302</v>
      </c>
      <c r="BJ163" s="55"/>
      <c r="BK163" s="59">
        <f ca="1">SUMPRODUCT($CA163:$DI163,'General Inputs'!$F$32:$AN$32,'General Inputs'!$F$53:$AN$53)/(1-Loss_ElectricEnergy)</f>
        <v>29835.17490789666</v>
      </c>
      <c r="BL163" s="59">
        <f ca="1">SUMPRODUCT($DK163:$ES163,'General Inputs'!$F$33:$AN$33,'General Inputs'!$F$53:$AN$53)/(1-Loss_ElectricDemand)</f>
        <v>5689.973373736816</v>
      </c>
      <c r="BM163" s="59">
        <f ca="1">SUMPRODUCT($EU163:$GC163,'General Inputs'!$F$34:$AN$34,'General Inputs'!$F$53:$AN$53)/(1-Loss_GasEnergy)</f>
        <v>0</v>
      </c>
      <c r="BN163" s="59">
        <f ca="1">INDEX('General Inputs'!$F$53:$AN$53,MATCH($H163,'General Inputs'!$F$50:$AN$50,0))*$AJ163</f>
        <v>0</v>
      </c>
      <c r="BO163" s="59">
        <f ca="1">SUMPRODUCT($CA163:$DI163,'General Inputs'!$F$35:$AN$35,'General Inputs'!$F$53:$AN$53)/(1-Loss_ElectricEnergy)</f>
        <v>11212.261452964978</v>
      </c>
      <c r="BP163" s="59">
        <f ca="1">INDEX('General Inputs'!$F$51:$AN$51,MATCH($H163,'General Inputs'!$F$50:$AN$50,0))*$AM163</f>
        <v>0</v>
      </c>
      <c r="BQ163" s="59">
        <f ca="1">SUM(INDEX('General Inputs'!$F$53:$AN$53,MATCH($H163,'General Inputs'!$F$50:$AN$50,0))*$AG163,INDEX('General Inputs'!$F$53:$AN$53,MATCH($H163+$AL163,'General Inputs'!$F$50:$AN$50,0))*-$AH163)</f>
        <v>16538.037486218302</v>
      </c>
      <c r="BR163" s="55"/>
      <c r="BS163" s="59">
        <f ca="1">SUMPRODUCT($CA163:$DI163,'General Inputs'!$F$32:$AN$32,'General Inputs'!$F$55:$AN$55)/(1-Loss_ElectricEnergy)</f>
        <v>29835.17490789666</v>
      </c>
      <c r="BT163" s="59">
        <f ca="1">SUMPRODUCT($DK163:$ES163,'General Inputs'!$F$33:$AN$33,'General Inputs'!$F$55:$AN$55)/(1-Loss_ElectricDemand)</f>
        <v>5689.973373736816</v>
      </c>
      <c r="BU163" s="59">
        <f ca="1">SUMPRODUCT($EU163:$GC163,'General Inputs'!$F$34:$AN$34,'General Inputs'!$F$55:$AN$55)/(1-Loss_GasEnergy)</f>
        <v>0</v>
      </c>
      <c r="BV163" s="59">
        <f ca="1">SUMPRODUCT($CA163:$DI163,OFFSET('General Inputs'!$F$40:$AN$40,MATCH($D163&amp;" Electric ($/kWh)",'General Inputs'!$E$40:$E$46,0),),'General Inputs'!$F$55:$AN$55)</f>
        <v>0</v>
      </c>
      <c r="BW163" s="59">
        <f ca="1">SUMPRODUCT($EU163:$GC163,OFFSET('General Inputs'!$F$40:$AN$40,MATCH($D163&amp;" Natural Gas ($/therm)",'General Inputs'!$E$40:$E$46,0),),'General Inputs'!$F$55:$AN$55)</f>
        <v>0</v>
      </c>
      <c r="BX163" s="59">
        <f ca="1">INDEX('General Inputs'!$F$55:$AN$55,MATCH($H163,'General Inputs'!$F$50:$AN$50,0))*$AI163</f>
        <v>5512.6791620727672</v>
      </c>
      <c r="BY163" s="59">
        <f ca="1">INDEX('General Inputs'!$F$51:$AN$51,MATCH($H163,'General Inputs'!$F$50:$AN$50,0))*$AM163</f>
        <v>0</v>
      </c>
      <c r="BZ163" s="55"/>
      <c r="CA163" s="88">
        <f t="shared" ref="CA163:CJ172" ca="1" si="377">IF(AND($H163&lt;=CA$8,$H163+$AK163&gt;CA$8),IF(AND($H163+$AL163&lt;=CA$8,$AL163&gt;0),$AB163,$X163),0)</f>
        <v>0</v>
      </c>
      <c r="CB163" s="88">
        <f t="shared" ca="1" si="377"/>
        <v>115185.01862399996</v>
      </c>
      <c r="CC163" s="88">
        <f t="shared" ca="1" si="377"/>
        <v>115185.01862399996</v>
      </c>
      <c r="CD163" s="88">
        <f t="shared" ca="1" si="377"/>
        <v>115185.01862399996</v>
      </c>
      <c r="CE163" s="88">
        <f t="shared" ca="1" si="377"/>
        <v>115185.01862399996</v>
      </c>
      <c r="CF163" s="88">
        <f t="shared" ca="1" si="377"/>
        <v>115185.01862399996</v>
      </c>
      <c r="CG163" s="88">
        <f t="shared" ca="1" si="377"/>
        <v>115185.01862399996</v>
      </c>
      <c r="CH163" s="88">
        <f t="shared" ca="1" si="377"/>
        <v>115185.01862399996</v>
      </c>
      <c r="CI163" s="88">
        <f t="shared" ca="1" si="377"/>
        <v>115185.01862399996</v>
      </c>
      <c r="CJ163" s="88">
        <f t="shared" ca="1" si="377"/>
        <v>115185.01862399996</v>
      </c>
      <c r="CK163" s="88">
        <f t="shared" ref="CK163:CT172" ca="1" si="378">IF(AND($H163&lt;=CK$8,$H163+$AK163&gt;CK$8),IF(AND($H163+$AL163&lt;=CK$8,$AL163&gt;0),$AB163,$X163),0)</f>
        <v>115185.01862399996</v>
      </c>
      <c r="CL163" s="88">
        <f t="shared" ca="1" si="378"/>
        <v>115185.01862399996</v>
      </c>
      <c r="CM163" s="88">
        <f t="shared" ca="1" si="378"/>
        <v>115185.01862399996</v>
      </c>
      <c r="CN163" s="88">
        <f t="shared" ca="1" si="378"/>
        <v>115185.01862399996</v>
      </c>
      <c r="CO163" s="88">
        <f t="shared" ca="1" si="378"/>
        <v>115185.01862399996</v>
      </c>
      <c r="CP163" s="88">
        <f t="shared" ca="1" si="378"/>
        <v>115185.01862399996</v>
      </c>
      <c r="CQ163" s="88">
        <f t="shared" ca="1" si="378"/>
        <v>0</v>
      </c>
      <c r="CR163" s="88">
        <f t="shared" ca="1" si="378"/>
        <v>0</v>
      </c>
      <c r="CS163" s="88">
        <f t="shared" ca="1" si="378"/>
        <v>0</v>
      </c>
      <c r="CT163" s="88">
        <f t="shared" ca="1" si="378"/>
        <v>0</v>
      </c>
      <c r="CU163" s="88">
        <f t="shared" ref="CU163:DI172" ca="1" si="379">IF(AND($H163&lt;=CU$8,$H163+$AK163&gt;CU$8),IF(AND($H163+$AL163&lt;=CU$8,$AL163&gt;0),$AB163,$X163),0)</f>
        <v>0</v>
      </c>
      <c r="CV163" s="88">
        <f t="shared" ca="1" si="379"/>
        <v>0</v>
      </c>
      <c r="CW163" s="88">
        <f t="shared" ca="1" si="379"/>
        <v>0</v>
      </c>
      <c r="CX163" s="88">
        <f t="shared" ca="1" si="379"/>
        <v>0</v>
      </c>
      <c r="CY163" s="88">
        <f t="shared" ca="1" si="379"/>
        <v>0</v>
      </c>
      <c r="CZ163" s="88">
        <f t="shared" ca="1" si="379"/>
        <v>0</v>
      </c>
      <c r="DA163" s="88">
        <f t="shared" ca="1" si="379"/>
        <v>0</v>
      </c>
      <c r="DB163" s="88">
        <f t="shared" ca="1" si="379"/>
        <v>0</v>
      </c>
      <c r="DC163" s="88">
        <f t="shared" ca="1" si="379"/>
        <v>0</v>
      </c>
      <c r="DD163" s="88">
        <f t="shared" ca="1" si="379"/>
        <v>0</v>
      </c>
      <c r="DE163" s="88">
        <f t="shared" ca="1" si="379"/>
        <v>0</v>
      </c>
      <c r="DF163" s="88">
        <f t="shared" ca="1" si="379"/>
        <v>0</v>
      </c>
      <c r="DG163" s="88">
        <f t="shared" ca="1" si="379"/>
        <v>0</v>
      </c>
      <c r="DH163" s="88">
        <f t="shared" ca="1" si="379"/>
        <v>0</v>
      </c>
      <c r="DI163" s="88">
        <f t="shared" ca="1" si="379"/>
        <v>0</v>
      </c>
      <c r="DJ163" s="169"/>
      <c r="DK163" s="88">
        <f t="shared" ref="DK163:DT172" ca="1" si="380">IF(AND($H163&lt;=DK$8,$H163+$AK163&gt;DK$8),IF(AND($H163+$AL163&lt;=DK$8,$AL163&gt;0),$AC163,$Y163),0)</f>
        <v>0</v>
      </c>
      <c r="DL163" s="88">
        <f t="shared" ca="1" si="380"/>
        <v>30.541055999999998</v>
      </c>
      <c r="DM163" s="88">
        <f t="shared" ca="1" si="380"/>
        <v>30.541055999999998</v>
      </c>
      <c r="DN163" s="88">
        <f t="shared" ca="1" si="380"/>
        <v>30.541055999999998</v>
      </c>
      <c r="DO163" s="88">
        <f t="shared" ca="1" si="380"/>
        <v>30.541055999999998</v>
      </c>
      <c r="DP163" s="88">
        <f t="shared" ca="1" si="380"/>
        <v>30.541055999999998</v>
      </c>
      <c r="DQ163" s="88">
        <f t="shared" ca="1" si="380"/>
        <v>30.541055999999998</v>
      </c>
      <c r="DR163" s="88">
        <f t="shared" ca="1" si="380"/>
        <v>30.541055999999998</v>
      </c>
      <c r="DS163" s="88">
        <f t="shared" ca="1" si="380"/>
        <v>30.541055999999998</v>
      </c>
      <c r="DT163" s="88">
        <f t="shared" ca="1" si="380"/>
        <v>30.541055999999998</v>
      </c>
      <c r="DU163" s="88">
        <f t="shared" ref="DU163:ED172" ca="1" si="381">IF(AND($H163&lt;=DU$8,$H163+$AK163&gt;DU$8),IF(AND($H163+$AL163&lt;=DU$8,$AL163&gt;0),$AC163,$Y163),0)</f>
        <v>30.541055999999998</v>
      </c>
      <c r="DV163" s="88">
        <f t="shared" ca="1" si="381"/>
        <v>30.541055999999998</v>
      </c>
      <c r="DW163" s="88">
        <f t="shared" ca="1" si="381"/>
        <v>30.541055999999998</v>
      </c>
      <c r="DX163" s="88">
        <f t="shared" ca="1" si="381"/>
        <v>30.541055999999998</v>
      </c>
      <c r="DY163" s="88">
        <f t="shared" ca="1" si="381"/>
        <v>30.541055999999998</v>
      </c>
      <c r="DZ163" s="88">
        <f t="shared" ca="1" si="381"/>
        <v>30.541055999999998</v>
      </c>
      <c r="EA163" s="88">
        <f t="shared" ca="1" si="381"/>
        <v>0</v>
      </c>
      <c r="EB163" s="88">
        <f t="shared" ca="1" si="381"/>
        <v>0</v>
      </c>
      <c r="EC163" s="88">
        <f t="shared" ca="1" si="381"/>
        <v>0</v>
      </c>
      <c r="ED163" s="88">
        <f t="shared" ca="1" si="381"/>
        <v>0</v>
      </c>
      <c r="EE163" s="88">
        <f t="shared" ref="EE163:ES172" ca="1" si="382">IF(AND($H163&lt;=EE$8,$H163+$AK163&gt;EE$8),IF(AND($H163+$AL163&lt;=EE$8,$AL163&gt;0),$AC163,$Y163),0)</f>
        <v>0</v>
      </c>
      <c r="EF163" s="88">
        <f t="shared" ca="1" si="382"/>
        <v>0</v>
      </c>
      <c r="EG163" s="88">
        <f t="shared" ca="1" si="382"/>
        <v>0</v>
      </c>
      <c r="EH163" s="88">
        <f t="shared" ca="1" si="382"/>
        <v>0</v>
      </c>
      <c r="EI163" s="88">
        <f t="shared" ca="1" si="382"/>
        <v>0</v>
      </c>
      <c r="EJ163" s="88">
        <f t="shared" ca="1" si="382"/>
        <v>0</v>
      </c>
      <c r="EK163" s="88">
        <f t="shared" ca="1" si="382"/>
        <v>0</v>
      </c>
      <c r="EL163" s="88">
        <f t="shared" ca="1" si="382"/>
        <v>0</v>
      </c>
      <c r="EM163" s="88">
        <f t="shared" ca="1" si="382"/>
        <v>0</v>
      </c>
      <c r="EN163" s="88">
        <f t="shared" ca="1" si="382"/>
        <v>0</v>
      </c>
      <c r="EO163" s="88">
        <f t="shared" ca="1" si="382"/>
        <v>0</v>
      </c>
      <c r="EP163" s="88">
        <f t="shared" ca="1" si="382"/>
        <v>0</v>
      </c>
      <c r="EQ163" s="88">
        <f t="shared" ca="1" si="382"/>
        <v>0</v>
      </c>
      <c r="ER163" s="88">
        <f t="shared" ca="1" si="382"/>
        <v>0</v>
      </c>
      <c r="ES163" s="88">
        <f t="shared" ca="1" si="382"/>
        <v>0</v>
      </c>
      <c r="ET163" s="169"/>
      <c r="EU163" s="88">
        <f t="shared" ref="EU163:FD172" ca="1" si="383">IF(AND($H163&lt;=EU$8,$H163+$AK163&gt;EU$8),IF(AND($H163+$AL163&lt;=EU$8,$AL163&gt;0),$AD163,$Z163),0)</f>
        <v>0</v>
      </c>
      <c r="EV163" s="88">
        <f t="shared" ca="1" si="383"/>
        <v>0</v>
      </c>
      <c r="EW163" s="88">
        <f t="shared" ca="1" si="383"/>
        <v>0</v>
      </c>
      <c r="EX163" s="88">
        <f t="shared" ca="1" si="383"/>
        <v>0</v>
      </c>
      <c r="EY163" s="88">
        <f t="shared" ca="1" si="383"/>
        <v>0</v>
      </c>
      <c r="EZ163" s="88">
        <f t="shared" ca="1" si="383"/>
        <v>0</v>
      </c>
      <c r="FA163" s="88">
        <f t="shared" ca="1" si="383"/>
        <v>0</v>
      </c>
      <c r="FB163" s="88">
        <f t="shared" ca="1" si="383"/>
        <v>0</v>
      </c>
      <c r="FC163" s="88">
        <f t="shared" ca="1" si="383"/>
        <v>0</v>
      </c>
      <c r="FD163" s="88">
        <f t="shared" ca="1" si="383"/>
        <v>0</v>
      </c>
      <c r="FE163" s="88">
        <f t="shared" ref="FE163:FN172" ca="1" si="384">IF(AND($H163&lt;=FE$8,$H163+$AK163&gt;FE$8),IF(AND($H163+$AL163&lt;=FE$8,$AL163&gt;0),$AD163,$Z163),0)</f>
        <v>0</v>
      </c>
      <c r="FF163" s="88">
        <f t="shared" ca="1" si="384"/>
        <v>0</v>
      </c>
      <c r="FG163" s="88">
        <f t="shared" ca="1" si="384"/>
        <v>0</v>
      </c>
      <c r="FH163" s="88">
        <f t="shared" ca="1" si="384"/>
        <v>0</v>
      </c>
      <c r="FI163" s="88">
        <f t="shared" ca="1" si="384"/>
        <v>0</v>
      </c>
      <c r="FJ163" s="88">
        <f t="shared" ca="1" si="384"/>
        <v>0</v>
      </c>
      <c r="FK163" s="88">
        <f t="shared" ca="1" si="384"/>
        <v>0</v>
      </c>
      <c r="FL163" s="88">
        <f t="shared" ca="1" si="384"/>
        <v>0</v>
      </c>
      <c r="FM163" s="88">
        <f t="shared" ca="1" si="384"/>
        <v>0</v>
      </c>
      <c r="FN163" s="88">
        <f t="shared" ca="1" si="384"/>
        <v>0</v>
      </c>
      <c r="FO163" s="88">
        <f t="shared" ref="FO163:GC172" ca="1" si="385">IF(AND($H163&lt;=FO$8,$H163+$AK163&gt;FO$8),IF(AND($H163+$AL163&lt;=FO$8,$AL163&gt;0),$AD163,$Z163),0)</f>
        <v>0</v>
      </c>
      <c r="FP163" s="88">
        <f t="shared" ca="1" si="385"/>
        <v>0</v>
      </c>
      <c r="FQ163" s="88">
        <f t="shared" ca="1" si="385"/>
        <v>0</v>
      </c>
      <c r="FR163" s="88">
        <f t="shared" ca="1" si="385"/>
        <v>0</v>
      </c>
      <c r="FS163" s="88">
        <f t="shared" ca="1" si="385"/>
        <v>0</v>
      </c>
      <c r="FT163" s="88">
        <f t="shared" ca="1" si="385"/>
        <v>0</v>
      </c>
      <c r="FU163" s="88">
        <f t="shared" ca="1" si="385"/>
        <v>0</v>
      </c>
      <c r="FV163" s="88">
        <f t="shared" ca="1" si="385"/>
        <v>0</v>
      </c>
      <c r="FW163" s="88">
        <f t="shared" ca="1" si="385"/>
        <v>0</v>
      </c>
      <c r="FX163" s="88">
        <f t="shared" ca="1" si="385"/>
        <v>0</v>
      </c>
      <c r="FY163" s="88">
        <f t="shared" ca="1" si="385"/>
        <v>0</v>
      </c>
      <c r="FZ163" s="88">
        <f t="shared" ca="1" si="385"/>
        <v>0</v>
      </c>
      <c r="GA163" s="88">
        <f t="shared" ca="1" si="385"/>
        <v>0</v>
      </c>
      <c r="GB163" s="88">
        <f t="shared" ca="1" si="385"/>
        <v>0</v>
      </c>
      <c r="GC163" s="88">
        <f t="shared" ca="1" si="385"/>
        <v>0</v>
      </c>
      <c r="GD163" s="60"/>
    </row>
    <row r="164" spans="1:186" s="54" customFormat="1" ht="14.45" customHeight="1">
      <c r="A164" s="61"/>
      <c r="B164" s="100" t="str">
        <f t="shared" si="345"/>
        <v>C&amp;I_C&amp;I Prescriptive_0_High Bay Fluorescent Fixture w/ HE Electronic Ballast (T8 12-16 lamp)_2018</v>
      </c>
      <c r="C164" s="100">
        <f>INDEX('Measure Inputs'!$D:$D,MATCH($B164,'Measure Inputs'!$B:$B,0))</f>
        <v>116</v>
      </c>
      <c r="D164" s="101" t="s">
        <v>256</v>
      </c>
      <c r="E164" s="101" t="s">
        <v>255</v>
      </c>
      <c r="F164" s="101">
        <v>0</v>
      </c>
      <c r="G164" s="101" t="s">
        <v>276</v>
      </c>
      <c r="H164" s="101">
        <v>2018</v>
      </c>
      <c r="I164" s="55"/>
      <c r="J164" s="58">
        <f t="shared" ca="1" si="229"/>
        <v>3.069645487838506</v>
      </c>
      <c r="K164" s="58">
        <f t="shared" ca="1" si="246"/>
        <v>9.0283690818779601</v>
      </c>
      <c r="L164" s="58">
        <f t="shared" ca="1" si="230"/>
        <v>0.33999999999999997</v>
      </c>
      <c r="M164" s="58">
        <f t="shared" ca="1" si="231"/>
        <v>4.0384709380436927</v>
      </c>
      <c r="N164" s="58">
        <f t="shared" ca="1" si="232"/>
        <v>9.0283690818779601</v>
      </c>
      <c r="O164" s="55"/>
      <c r="P164" s="175">
        <f ca="1">IFERROR(($AW164+AV164)/SUMPRODUCT($CA164:$DI164,'General Inputs'!$F$51:$AN$51),"n/a")</f>
        <v>4.1980279806978424E-3</v>
      </c>
      <c r="Q164" s="175">
        <f t="shared" ca="1" si="309"/>
        <v>3.7180834307400323E-2</v>
      </c>
      <c r="R164" s="56">
        <f t="shared" ca="1" si="364"/>
        <v>2743.3488758400013</v>
      </c>
      <c r="S164" s="55"/>
      <c r="T164" s="56">
        <f ca="1">INDEX(OFFSET('Measure Inputs'!$L$7,,,InputRows),$C164)</f>
        <v>80</v>
      </c>
      <c r="U164" s="134">
        <f ca="1">INDEX(OFFSET('Measure Inputs'!$T$7,,,InputRows),$C164)</f>
        <v>1</v>
      </c>
      <c r="V164" s="134">
        <f ca="1">INDEX(OFFSET('Measure Inputs'!$U$7,,,InputRows),$C164)</f>
        <v>1</v>
      </c>
      <c r="W164" s="55"/>
      <c r="X164" s="96">
        <f ca="1">INDEX(OFFSET('Measure Inputs'!$V$7,,,InputRows),$C164)*$T164*$V164*$U164</f>
        <v>182889.92505600004</v>
      </c>
      <c r="Y164" s="96">
        <f ca="1">INDEX(OFFSET('Measure Inputs'!$W$7,,,InputRows),$C164)*$T164*$V164*$U164</f>
        <v>48.492864000000004</v>
      </c>
      <c r="Z164" s="96">
        <f ca="1">INDEX(OFFSET('Measure Inputs'!$X$7,,,InputRows),$C164)*$T164*$V164*$U164</f>
        <v>0</v>
      </c>
      <c r="AA164" s="55"/>
      <c r="AB164" s="96">
        <f ca="1">INDEX(OFFSET('Measure Inputs'!$Z$7,,,InputRows),$C164)*$T164*$V164*$U164</f>
        <v>0</v>
      </c>
      <c r="AC164" s="96">
        <f ca="1">INDEX(OFFSET('Measure Inputs'!$AA$7,,,InputRows),$C164)*$T164*$V164*$U164</f>
        <v>0</v>
      </c>
      <c r="AD164" s="96">
        <f ca="1">INDEX(OFFSET('Measure Inputs'!$AB$7,,,InputRows),$C164)*$T164*$V164*$U164</f>
        <v>0</v>
      </c>
      <c r="AE164" s="55"/>
      <c r="AF164" s="57">
        <f ca="1">INDEX(OFFSET('Measure Inputs'!$Q$7,,,InputRows),$C164)*$T164</f>
        <v>0</v>
      </c>
      <c r="AG164" s="57">
        <f ca="1">INDEX(OFFSET('Measure Inputs'!$P$7,,,InputRows),$C164)*$T164*$V164</f>
        <v>20000</v>
      </c>
      <c r="AH164" s="57">
        <f ca="1">INDEX(OFFSET('Measure Inputs'!$R$7,,,InputRows),$C164)*$T164*$V164</f>
        <v>0</v>
      </c>
      <c r="AI164" s="57">
        <f ca="1">INDEX(OFFSET('Measure Inputs'!$O$7,,,InputRows),$C164)*$T164</f>
        <v>6800</v>
      </c>
      <c r="AJ164" s="57">
        <f ca="1">INDEX(OFFSET('Measure Inputs'!$S$7,,,InputRows),$C164)*$T164</f>
        <v>0</v>
      </c>
      <c r="AK164" s="63">
        <f ca="1">INDEX(OFFSET('Measure Inputs'!$M$7,,,InputRows),$C164)</f>
        <v>15</v>
      </c>
      <c r="AL164" s="88">
        <f ca="1">INDEX(OFFSET('Measure Inputs'!$N$7,,,InputRows),$C164)</f>
        <v>0</v>
      </c>
      <c r="AM164" s="57">
        <f ca="1">SUMIFS(OFFSET('Program Inputs'!$N$5,,,TotalPrograms),OFFSET('Program Inputs'!$B$5,,,TotalPrograms),SUBSTITUTE($B164,"All","*"))+AF164</f>
        <v>0</v>
      </c>
      <c r="AN164" s="57">
        <f t="shared" ca="1" si="365"/>
        <v>6800</v>
      </c>
      <c r="AO164" s="55"/>
      <c r="AP164" s="59">
        <f t="shared" ca="1" si="366"/>
        <v>56406.569052526756</v>
      </c>
      <c r="AQ164" s="59">
        <f t="shared" ca="1" si="367"/>
        <v>18375.597206909224</v>
      </c>
      <c r="AR164" s="59">
        <f ca="1">SUMPRODUCT($CA164:$DI164,'General Inputs'!$F$32:$AN$32,'General Inputs'!$F$51:$AN$51)/(1-Loss_ElectricEnergy)</f>
        <v>47372.071195732264</v>
      </c>
      <c r="AS164" s="59">
        <f ca="1">SUMPRODUCT($DK164:$ES164,'General Inputs'!$F$33:$AN$33,'General Inputs'!$F$51:$AN$51)/(1-Loss_ElectricDemand)</f>
        <v>9034.4978567944945</v>
      </c>
      <c r="AT164" s="59">
        <f ca="1">SUMPRODUCT($EU164:$GC164,'General Inputs'!$F$34:$AN$34,'General Inputs'!$F$51:$AN$51)/(1-Loss_GasEnergy)</f>
        <v>0</v>
      </c>
      <c r="AU164" s="59">
        <f ca="1">INDEX('General Inputs'!$F$51:$AN$51,MATCH($H164,'General Inputs'!$F$50:$AN$50,0))*$AJ164</f>
        <v>0</v>
      </c>
      <c r="AV164" s="59">
        <f ca="1">INDEX('General Inputs'!$F$51:$AN$51,MATCH($H164,'General Inputs'!$F$50:$AN$50,0))*$AI164</f>
        <v>6247.703050349136</v>
      </c>
      <c r="AW164" s="59">
        <f ca="1">INDEX('General Inputs'!$F$51:$AN$51,MATCH($H164,'General Inputs'!$F$50:$AN$50,0))*$AM164</f>
        <v>0</v>
      </c>
      <c r="AX164" s="59">
        <f ca="1">SUM(INDEX('General Inputs'!$F$51:$AN$51,MATCH($H164,'General Inputs'!$F$50:$AN$50,0))*$AG164,INDEX('General Inputs'!$F$51:$AN$51,MATCH($H164+$AL164,'General Inputs'!$F$50:$AN$50,0))*-$AH164)</f>
        <v>18375.597206909224</v>
      </c>
      <c r="AY164" s="55"/>
      <c r="AZ164" s="59">
        <f ca="1">SUMPRODUCT($CA164:$DI164,'General Inputs'!$F$32:$AN$32,'General Inputs'!$F$52:$AN$52)/(1-Loss_ElectricEnergy)</f>
        <v>47372.071195732264</v>
      </c>
      <c r="BA164" s="59">
        <f ca="1">SUMPRODUCT($DK164:$ES164,'General Inputs'!$F$33:$AN$33,'General Inputs'!$F$52:$AN$52)/(1-Loss_ElectricDemand)</f>
        <v>9034.4978567944945</v>
      </c>
      <c r="BB164" s="59">
        <f ca="1">SUMPRODUCT($EU164:$GC164,'General Inputs'!$F$34:$AN$34,'General Inputs'!$F$52:$AN$52)/(1-Loss_GasEnergy)</f>
        <v>0</v>
      </c>
      <c r="BC164" s="59">
        <f ca="1">INDEX('General Inputs'!$F$52:$AN$52,MATCH($H164,'General Inputs'!$F$50:$AN$50,0))*$AI164</f>
        <v>6247.703050349136</v>
      </c>
      <c r="BD164" s="59">
        <f ca="1">INDEX('General Inputs'!$F$52:$AN$52,MATCH($H164,'General Inputs'!$F$50:$AN$50,0))*$AM164</f>
        <v>0</v>
      </c>
      <c r="BE164" s="55"/>
      <c r="BF164" s="59">
        <f ca="1">SUMPRODUCT($CA164:$DI164,OFFSET('General Inputs'!$F$40:$AN$40,MATCH($D164&amp;" Electric ($/kWh)",'General Inputs'!$E$40:$E$46,0),),'General Inputs'!$F$54:$AN$54)</f>
        <v>0</v>
      </c>
      <c r="BG164" s="59">
        <f ca="1">SUMPRODUCT($EU164:$GC164,OFFSET('General Inputs'!$F$40:$AN$40,MATCH($D164&amp;" Natural Gas ($/therm)",'General Inputs'!$E$40:$E$46,0),),'General Inputs'!$F$54:$AN$54)</f>
        <v>0</v>
      </c>
      <c r="BH164" s="59">
        <f ca="1">INDEX('General Inputs'!$F$54:$AN$54,MATCH($H164,'General Inputs'!$F$50:$AN$50,0))*$AI164</f>
        <v>6247.703050349136</v>
      </c>
      <c r="BI164" s="59">
        <f ca="1">SUM(INDEX('General Inputs'!$F$54:$AN$54,MATCH($H164,'General Inputs'!$F$50:$AN$50,0))*$AG164,INDEX('General Inputs'!$F$51:$AN$51,MATCH($H164+$AL164,'General Inputs'!$F$50:$AN$50,0))*-$AH164)</f>
        <v>18375.597206909224</v>
      </c>
      <c r="BJ164" s="55"/>
      <c r="BK164" s="59">
        <f ca="1">SUMPRODUCT($CA164:$DI164,'General Inputs'!$F$32:$AN$32,'General Inputs'!$F$53:$AN$53)/(1-Loss_ElectricEnergy)</f>
        <v>47372.071195732264</v>
      </c>
      <c r="BL164" s="59">
        <f ca="1">SUMPRODUCT($DK164:$ES164,'General Inputs'!$F$33:$AN$33,'General Inputs'!$F$53:$AN$53)/(1-Loss_ElectricDemand)</f>
        <v>9034.4978567944945</v>
      </c>
      <c r="BM164" s="59">
        <f ca="1">SUMPRODUCT($EU164:$GC164,'General Inputs'!$F$34:$AN$34,'General Inputs'!$F$53:$AN$53)/(1-Loss_GasEnergy)</f>
        <v>0</v>
      </c>
      <c r="BN164" s="59">
        <f ca="1">INDEX('General Inputs'!$F$53:$AN$53,MATCH($H164,'General Inputs'!$F$50:$AN$50,0))*$AJ164</f>
        <v>0</v>
      </c>
      <c r="BO164" s="59">
        <f ca="1">SUMPRODUCT($CA164:$DI164,'General Inputs'!$F$35:$AN$35,'General Inputs'!$F$53:$AN$53)/(1-Loss_ElectricEnergy)</f>
        <v>17802.746236772997</v>
      </c>
      <c r="BP164" s="59">
        <f ca="1">INDEX('General Inputs'!$F$51:$AN$51,MATCH($H164,'General Inputs'!$F$50:$AN$50,0))*$AM164</f>
        <v>0</v>
      </c>
      <c r="BQ164" s="59">
        <f ca="1">SUM(INDEX('General Inputs'!$F$53:$AN$53,MATCH($H164,'General Inputs'!$F$50:$AN$50,0))*$AG164,INDEX('General Inputs'!$F$53:$AN$53,MATCH($H164+$AL164,'General Inputs'!$F$50:$AN$50,0))*-$AH164)</f>
        <v>18375.597206909224</v>
      </c>
      <c r="BR164" s="55"/>
      <c r="BS164" s="59">
        <f ca="1">SUMPRODUCT($CA164:$DI164,'General Inputs'!$F$32:$AN$32,'General Inputs'!$F$55:$AN$55)/(1-Loss_ElectricEnergy)</f>
        <v>47372.071195732264</v>
      </c>
      <c r="BT164" s="59">
        <f ca="1">SUMPRODUCT($DK164:$ES164,'General Inputs'!$F$33:$AN$33,'General Inputs'!$F$55:$AN$55)/(1-Loss_ElectricDemand)</f>
        <v>9034.4978567944945</v>
      </c>
      <c r="BU164" s="59">
        <f ca="1">SUMPRODUCT($EU164:$GC164,'General Inputs'!$F$34:$AN$34,'General Inputs'!$F$55:$AN$55)/(1-Loss_GasEnergy)</f>
        <v>0</v>
      </c>
      <c r="BV164" s="59">
        <f ca="1">SUMPRODUCT($CA164:$DI164,OFFSET('General Inputs'!$F$40:$AN$40,MATCH($D164&amp;" Electric ($/kWh)",'General Inputs'!$E$40:$E$46,0),),'General Inputs'!$F$55:$AN$55)</f>
        <v>0</v>
      </c>
      <c r="BW164" s="59">
        <f ca="1">SUMPRODUCT($EU164:$GC164,OFFSET('General Inputs'!$F$40:$AN$40,MATCH($D164&amp;" Natural Gas ($/therm)",'General Inputs'!$E$40:$E$46,0),),'General Inputs'!$F$55:$AN$55)</f>
        <v>0</v>
      </c>
      <c r="BX164" s="59">
        <f ca="1">INDEX('General Inputs'!$F$55:$AN$55,MATCH($H164,'General Inputs'!$F$50:$AN$50,0))*$AI164</f>
        <v>6247.703050349136</v>
      </c>
      <c r="BY164" s="59">
        <f ca="1">INDEX('General Inputs'!$F$51:$AN$51,MATCH($H164,'General Inputs'!$F$50:$AN$50,0))*$AM164</f>
        <v>0</v>
      </c>
      <c r="BZ164" s="55"/>
      <c r="CA164" s="88">
        <f t="shared" ca="1" si="377"/>
        <v>0</v>
      </c>
      <c r="CB164" s="88">
        <f t="shared" ca="1" si="377"/>
        <v>182889.92505600004</v>
      </c>
      <c r="CC164" s="88">
        <f t="shared" ca="1" si="377"/>
        <v>182889.92505600004</v>
      </c>
      <c r="CD164" s="88">
        <f t="shared" ca="1" si="377"/>
        <v>182889.92505600004</v>
      </c>
      <c r="CE164" s="88">
        <f t="shared" ca="1" si="377"/>
        <v>182889.92505600004</v>
      </c>
      <c r="CF164" s="88">
        <f t="shared" ca="1" si="377"/>
        <v>182889.92505600004</v>
      </c>
      <c r="CG164" s="88">
        <f t="shared" ca="1" si="377"/>
        <v>182889.92505600004</v>
      </c>
      <c r="CH164" s="88">
        <f t="shared" ca="1" si="377"/>
        <v>182889.92505600004</v>
      </c>
      <c r="CI164" s="88">
        <f t="shared" ca="1" si="377"/>
        <v>182889.92505600004</v>
      </c>
      <c r="CJ164" s="88">
        <f t="shared" ca="1" si="377"/>
        <v>182889.92505600004</v>
      </c>
      <c r="CK164" s="88">
        <f t="shared" ca="1" si="378"/>
        <v>182889.92505600004</v>
      </c>
      <c r="CL164" s="88">
        <f t="shared" ca="1" si="378"/>
        <v>182889.92505600004</v>
      </c>
      <c r="CM164" s="88">
        <f t="shared" ca="1" si="378"/>
        <v>182889.92505600004</v>
      </c>
      <c r="CN164" s="88">
        <f t="shared" ca="1" si="378"/>
        <v>182889.92505600004</v>
      </c>
      <c r="CO164" s="88">
        <f t="shared" ca="1" si="378"/>
        <v>182889.92505600004</v>
      </c>
      <c r="CP164" s="88">
        <f t="shared" ca="1" si="378"/>
        <v>182889.92505600004</v>
      </c>
      <c r="CQ164" s="88">
        <f t="shared" ca="1" si="378"/>
        <v>0</v>
      </c>
      <c r="CR164" s="88">
        <f t="shared" ca="1" si="378"/>
        <v>0</v>
      </c>
      <c r="CS164" s="88">
        <f t="shared" ca="1" si="378"/>
        <v>0</v>
      </c>
      <c r="CT164" s="88">
        <f t="shared" ca="1" si="378"/>
        <v>0</v>
      </c>
      <c r="CU164" s="88">
        <f t="shared" ca="1" si="379"/>
        <v>0</v>
      </c>
      <c r="CV164" s="88">
        <f t="shared" ca="1" si="379"/>
        <v>0</v>
      </c>
      <c r="CW164" s="88">
        <f t="shared" ca="1" si="379"/>
        <v>0</v>
      </c>
      <c r="CX164" s="88">
        <f t="shared" ca="1" si="379"/>
        <v>0</v>
      </c>
      <c r="CY164" s="88">
        <f t="shared" ca="1" si="379"/>
        <v>0</v>
      </c>
      <c r="CZ164" s="88">
        <f t="shared" ca="1" si="379"/>
        <v>0</v>
      </c>
      <c r="DA164" s="88">
        <f t="shared" ca="1" si="379"/>
        <v>0</v>
      </c>
      <c r="DB164" s="88">
        <f t="shared" ca="1" si="379"/>
        <v>0</v>
      </c>
      <c r="DC164" s="88">
        <f t="shared" ca="1" si="379"/>
        <v>0</v>
      </c>
      <c r="DD164" s="88">
        <f t="shared" ca="1" si="379"/>
        <v>0</v>
      </c>
      <c r="DE164" s="88">
        <f t="shared" ca="1" si="379"/>
        <v>0</v>
      </c>
      <c r="DF164" s="88">
        <f t="shared" ca="1" si="379"/>
        <v>0</v>
      </c>
      <c r="DG164" s="88">
        <f t="shared" ca="1" si="379"/>
        <v>0</v>
      </c>
      <c r="DH164" s="88">
        <f t="shared" ca="1" si="379"/>
        <v>0</v>
      </c>
      <c r="DI164" s="88">
        <f t="shared" ca="1" si="379"/>
        <v>0</v>
      </c>
      <c r="DJ164" s="169"/>
      <c r="DK164" s="88">
        <f t="shared" ca="1" si="380"/>
        <v>0</v>
      </c>
      <c r="DL164" s="88">
        <f t="shared" ca="1" si="380"/>
        <v>48.492864000000004</v>
      </c>
      <c r="DM164" s="88">
        <f t="shared" ca="1" si="380"/>
        <v>48.492864000000004</v>
      </c>
      <c r="DN164" s="88">
        <f t="shared" ca="1" si="380"/>
        <v>48.492864000000004</v>
      </c>
      <c r="DO164" s="88">
        <f t="shared" ca="1" si="380"/>
        <v>48.492864000000004</v>
      </c>
      <c r="DP164" s="88">
        <f t="shared" ca="1" si="380"/>
        <v>48.492864000000004</v>
      </c>
      <c r="DQ164" s="88">
        <f t="shared" ca="1" si="380"/>
        <v>48.492864000000004</v>
      </c>
      <c r="DR164" s="88">
        <f t="shared" ca="1" si="380"/>
        <v>48.492864000000004</v>
      </c>
      <c r="DS164" s="88">
        <f t="shared" ca="1" si="380"/>
        <v>48.492864000000004</v>
      </c>
      <c r="DT164" s="88">
        <f t="shared" ca="1" si="380"/>
        <v>48.492864000000004</v>
      </c>
      <c r="DU164" s="88">
        <f t="shared" ca="1" si="381"/>
        <v>48.492864000000004</v>
      </c>
      <c r="DV164" s="88">
        <f t="shared" ca="1" si="381"/>
        <v>48.492864000000004</v>
      </c>
      <c r="DW164" s="88">
        <f t="shared" ca="1" si="381"/>
        <v>48.492864000000004</v>
      </c>
      <c r="DX164" s="88">
        <f t="shared" ca="1" si="381"/>
        <v>48.492864000000004</v>
      </c>
      <c r="DY164" s="88">
        <f t="shared" ca="1" si="381"/>
        <v>48.492864000000004</v>
      </c>
      <c r="DZ164" s="88">
        <f t="shared" ca="1" si="381"/>
        <v>48.492864000000004</v>
      </c>
      <c r="EA164" s="88">
        <f t="shared" ca="1" si="381"/>
        <v>0</v>
      </c>
      <c r="EB164" s="88">
        <f t="shared" ca="1" si="381"/>
        <v>0</v>
      </c>
      <c r="EC164" s="88">
        <f t="shared" ca="1" si="381"/>
        <v>0</v>
      </c>
      <c r="ED164" s="88">
        <f t="shared" ca="1" si="381"/>
        <v>0</v>
      </c>
      <c r="EE164" s="88">
        <f t="shared" ca="1" si="382"/>
        <v>0</v>
      </c>
      <c r="EF164" s="88">
        <f t="shared" ca="1" si="382"/>
        <v>0</v>
      </c>
      <c r="EG164" s="88">
        <f t="shared" ca="1" si="382"/>
        <v>0</v>
      </c>
      <c r="EH164" s="88">
        <f t="shared" ca="1" si="382"/>
        <v>0</v>
      </c>
      <c r="EI164" s="88">
        <f t="shared" ca="1" si="382"/>
        <v>0</v>
      </c>
      <c r="EJ164" s="88">
        <f t="shared" ca="1" si="382"/>
        <v>0</v>
      </c>
      <c r="EK164" s="88">
        <f t="shared" ca="1" si="382"/>
        <v>0</v>
      </c>
      <c r="EL164" s="88">
        <f t="shared" ca="1" si="382"/>
        <v>0</v>
      </c>
      <c r="EM164" s="88">
        <f t="shared" ca="1" si="382"/>
        <v>0</v>
      </c>
      <c r="EN164" s="88">
        <f t="shared" ca="1" si="382"/>
        <v>0</v>
      </c>
      <c r="EO164" s="88">
        <f t="shared" ca="1" si="382"/>
        <v>0</v>
      </c>
      <c r="EP164" s="88">
        <f t="shared" ca="1" si="382"/>
        <v>0</v>
      </c>
      <c r="EQ164" s="88">
        <f t="shared" ca="1" si="382"/>
        <v>0</v>
      </c>
      <c r="ER164" s="88">
        <f t="shared" ca="1" si="382"/>
        <v>0</v>
      </c>
      <c r="ES164" s="88">
        <f t="shared" ca="1" si="382"/>
        <v>0</v>
      </c>
      <c r="ET164" s="169"/>
      <c r="EU164" s="88">
        <f t="shared" ca="1" si="383"/>
        <v>0</v>
      </c>
      <c r="EV164" s="88">
        <f t="shared" ca="1" si="383"/>
        <v>0</v>
      </c>
      <c r="EW164" s="88">
        <f t="shared" ca="1" si="383"/>
        <v>0</v>
      </c>
      <c r="EX164" s="88">
        <f t="shared" ca="1" si="383"/>
        <v>0</v>
      </c>
      <c r="EY164" s="88">
        <f t="shared" ca="1" si="383"/>
        <v>0</v>
      </c>
      <c r="EZ164" s="88">
        <f t="shared" ca="1" si="383"/>
        <v>0</v>
      </c>
      <c r="FA164" s="88">
        <f t="shared" ca="1" si="383"/>
        <v>0</v>
      </c>
      <c r="FB164" s="88">
        <f t="shared" ca="1" si="383"/>
        <v>0</v>
      </c>
      <c r="FC164" s="88">
        <f t="shared" ca="1" si="383"/>
        <v>0</v>
      </c>
      <c r="FD164" s="88">
        <f t="shared" ca="1" si="383"/>
        <v>0</v>
      </c>
      <c r="FE164" s="88">
        <f t="shared" ca="1" si="384"/>
        <v>0</v>
      </c>
      <c r="FF164" s="88">
        <f t="shared" ca="1" si="384"/>
        <v>0</v>
      </c>
      <c r="FG164" s="88">
        <f t="shared" ca="1" si="384"/>
        <v>0</v>
      </c>
      <c r="FH164" s="88">
        <f t="shared" ca="1" si="384"/>
        <v>0</v>
      </c>
      <c r="FI164" s="88">
        <f t="shared" ca="1" si="384"/>
        <v>0</v>
      </c>
      <c r="FJ164" s="88">
        <f t="shared" ca="1" si="384"/>
        <v>0</v>
      </c>
      <c r="FK164" s="88">
        <f t="shared" ca="1" si="384"/>
        <v>0</v>
      </c>
      <c r="FL164" s="88">
        <f t="shared" ca="1" si="384"/>
        <v>0</v>
      </c>
      <c r="FM164" s="88">
        <f t="shared" ca="1" si="384"/>
        <v>0</v>
      </c>
      <c r="FN164" s="88">
        <f t="shared" ca="1" si="384"/>
        <v>0</v>
      </c>
      <c r="FO164" s="88">
        <f t="shared" ca="1" si="385"/>
        <v>0</v>
      </c>
      <c r="FP164" s="88">
        <f t="shared" ca="1" si="385"/>
        <v>0</v>
      </c>
      <c r="FQ164" s="88">
        <f t="shared" ca="1" si="385"/>
        <v>0</v>
      </c>
      <c r="FR164" s="88">
        <f t="shared" ca="1" si="385"/>
        <v>0</v>
      </c>
      <c r="FS164" s="88">
        <f t="shared" ca="1" si="385"/>
        <v>0</v>
      </c>
      <c r="FT164" s="88">
        <f t="shared" ca="1" si="385"/>
        <v>0</v>
      </c>
      <c r="FU164" s="88">
        <f t="shared" ca="1" si="385"/>
        <v>0</v>
      </c>
      <c r="FV164" s="88">
        <f t="shared" ca="1" si="385"/>
        <v>0</v>
      </c>
      <c r="FW164" s="88">
        <f t="shared" ca="1" si="385"/>
        <v>0</v>
      </c>
      <c r="FX164" s="88">
        <f t="shared" ca="1" si="385"/>
        <v>0</v>
      </c>
      <c r="FY164" s="88">
        <f t="shared" ca="1" si="385"/>
        <v>0</v>
      </c>
      <c r="FZ164" s="88">
        <f t="shared" ca="1" si="385"/>
        <v>0</v>
      </c>
      <c r="GA164" s="88">
        <f t="shared" ca="1" si="385"/>
        <v>0</v>
      </c>
      <c r="GB164" s="88">
        <f t="shared" ca="1" si="385"/>
        <v>0</v>
      </c>
      <c r="GC164" s="88">
        <f t="shared" ca="1" si="385"/>
        <v>0</v>
      </c>
      <c r="GD164" s="60"/>
    </row>
    <row r="165" spans="1:186" s="54" customFormat="1" ht="14.45" customHeight="1">
      <c r="A165" s="61"/>
      <c r="B165" s="100" t="str">
        <f t="shared" si="345"/>
        <v>C&amp;I_C&amp;I Prescriptive_0_High Bay Fluorescent Fixture w/ HE Electronic Ballast (T8 18-20 lamp)_2018</v>
      </c>
      <c r="C165" s="100">
        <f>INDEX('Measure Inputs'!$D:$D,MATCH($B165,'Measure Inputs'!$B:$B,0))</f>
        <v>117</v>
      </c>
      <c r="D165" s="101" t="s">
        <v>256</v>
      </c>
      <c r="E165" s="101" t="s">
        <v>255</v>
      </c>
      <c r="F165" s="101">
        <v>0</v>
      </c>
      <c r="G165" s="101" t="s">
        <v>355</v>
      </c>
      <c r="H165" s="101">
        <v>2018</v>
      </c>
      <c r="I165" s="55"/>
      <c r="J165" s="58">
        <f t="shared" ca="1" si="229"/>
        <v>3.8600913243593205</v>
      </c>
      <c r="K165" s="58">
        <f t="shared" ca="1" si="246"/>
        <v>10.158135064103474</v>
      </c>
      <c r="L165" s="58">
        <f t="shared" ca="1" si="230"/>
        <v>0.38</v>
      </c>
      <c r="M165" s="58">
        <f t="shared" ca="1" si="231"/>
        <v>5.078393154317185</v>
      </c>
      <c r="N165" s="58">
        <f t="shared" ca="1" si="232"/>
        <v>10.158135064103474</v>
      </c>
      <c r="O165" s="55"/>
      <c r="P165" s="175">
        <f ca="1">IFERROR(($AW165+AV165)/SUMPRODUCT($CA165:$DI165,'General Inputs'!$F$51:$AN$51),"n/a")</f>
        <v>3.7311323177544311E-3</v>
      </c>
      <c r="Q165" s="175">
        <f t="shared" ca="1" si="309"/>
        <v>3.3045661706702915E-2</v>
      </c>
      <c r="R165" s="56">
        <f t="shared" ca="1" si="364"/>
        <v>3449.7720460799992</v>
      </c>
      <c r="S165" s="55"/>
      <c r="T165" s="56">
        <f ca="1">INDEX(OFFSET('Measure Inputs'!$L$7,,,InputRows),$C165)</f>
        <v>80</v>
      </c>
      <c r="U165" s="134">
        <f ca="1">INDEX(OFFSET('Measure Inputs'!$T$7,,,InputRows),$C165)</f>
        <v>1</v>
      </c>
      <c r="V165" s="134">
        <f ca="1">INDEX(OFFSET('Measure Inputs'!$U$7,,,InputRows),$C165)</f>
        <v>1</v>
      </c>
      <c r="W165" s="55"/>
      <c r="X165" s="96">
        <f ca="1">INDEX(OFFSET('Measure Inputs'!$V$7,,,InputRows),$C165)*$T165*$V165*$U165</f>
        <v>229984.80307199995</v>
      </c>
      <c r="Y165" s="96">
        <f ca="1">INDEX(OFFSET('Measure Inputs'!$W$7,,,InputRows),$C165)*$T165*$V165*$U165</f>
        <v>60.979968</v>
      </c>
      <c r="Z165" s="96">
        <f ca="1">INDEX(OFFSET('Measure Inputs'!$X$7,,,InputRows),$C165)*$T165*$V165*$U165</f>
        <v>0</v>
      </c>
      <c r="AA165" s="55"/>
      <c r="AB165" s="96">
        <f ca="1">INDEX(OFFSET('Measure Inputs'!$Z$7,,,InputRows),$C165)*$T165*$V165*$U165</f>
        <v>0</v>
      </c>
      <c r="AC165" s="96">
        <f ca="1">INDEX(OFFSET('Measure Inputs'!$AA$7,,,InputRows),$C165)*$T165*$V165*$U165</f>
        <v>0</v>
      </c>
      <c r="AD165" s="96">
        <f ca="1">INDEX(OFFSET('Measure Inputs'!$AB$7,,,InputRows),$C165)*$T165*$V165*$U165</f>
        <v>0</v>
      </c>
      <c r="AE165" s="55"/>
      <c r="AF165" s="57">
        <f ca="1">INDEX(OFFSET('Measure Inputs'!$Q$7,,,InputRows),$C165)*$T165</f>
        <v>0</v>
      </c>
      <c r="AG165" s="57">
        <f ca="1">INDEX(OFFSET('Measure Inputs'!$P$7,,,InputRows),$C165)*$T165*$V165</f>
        <v>20000</v>
      </c>
      <c r="AH165" s="57">
        <f ca="1">INDEX(OFFSET('Measure Inputs'!$R$7,,,InputRows),$C165)*$T165*$V165</f>
        <v>0</v>
      </c>
      <c r="AI165" s="57">
        <f ca="1">INDEX(OFFSET('Measure Inputs'!$O$7,,,InputRows),$C165)*$T165</f>
        <v>7600</v>
      </c>
      <c r="AJ165" s="57">
        <f ca="1">INDEX(OFFSET('Measure Inputs'!$S$7,,,InputRows),$C165)*$T165</f>
        <v>0</v>
      </c>
      <c r="AK165" s="63">
        <f ca="1">INDEX(OFFSET('Measure Inputs'!$M$7,,,InputRows),$C165)</f>
        <v>15</v>
      </c>
      <c r="AL165" s="88">
        <f ca="1">INDEX(OFFSET('Measure Inputs'!$N$7,,,InputRows),$C165)</f>
        <v>0</v>
      </c>
      <c r="AM165" s="57">
        <f ca="1">SUMIFS(OFFSET('Program Inputs'!$N$5,,,TotalPrograms),OFFSET('Program Inputs'!$B$5,,,TotalPrograms),SUBSTITUTE($B165,"All","*"))+AF165</f>
        <v>0</v>
      </c>
      <c r="AN165" s="57">
        <f t="shared" ca="1" si="365"/>
        <v>7600</v>
      </c>
      <c r="AO165" s="55"/>
      <c r="AP165" s="59">
        <f t="shared" ca="1" si="366"/>
        <v>70931.483358311656</v>
      </c>
      <c r="AQ165" s="59">
        <f t="shared" ca="1" si="367"/>
        <v>18375.597206909224</v>
      </c>
      <c r="AR165" s="59">
        <f ca="1">SUMPRODUCT($CA165:$DI165,'General Inputs'!$F$32:$AN$32,'General Inputs'!$F$51:$AN$51)/(1-Loss_ElectricEnergy)</f>
        <v>59570.566622121427</v>
      </c>
      <c r="AS165" s="59">
        <f ca="1">SUMPRODUCT($DK165:$ES165,'General Inputs'!$F$33:$AN$33,'General Inputs'!$F$51:$AN$51)/(1-Loss_ElectricDemand)</f>
        <v>11360.916736190231</v>
      </c>
      <c r="AT165" s="59">
        <f ca="1">SUMPRODUCT($EU165:$GC165,'General Inputs'!$F$34:$AN$34,'General Inputs'!$F$51:$AN$51)/(1-Loss_GasEnergy)</f>
        <v>0</v>
      </c>
      <c r="AU165" s="59">
        <f ca="1">INDEX('General Inputs'!$F$51:$AN$51,MATCH($H165,'General Inputs'!$F$50:$AN$50,0))*$AJ165</f>
        <v>0</v>
      </c>
      <c r="AV165" s="59">
        <f ca="1">INDEX('General Inputs'!$F$51:$AN$51,MATCH($H165,'General Inputs'!$F$50:$AN$50,0))*$AI165</f>
        <v>6982.7269386255057</v>
      </c>
      <c r="AW165" s="59">
        <f ca="1">INDEX('General Inputs'!$F$51:$AN$51,MATCH($H165,'General Inputs'!$F$50:$AN$50,0))*$AM165</f>
        <v>0</v>
      </c>
      <c r="AX165" s="59">
        <f ca="1">SUM(INDEX('General Inputs'!$F$51:$AN$51,MATCH($H165,'General Inputs'!$F$50:$AN$50,0))*$AG165,INDEX('General Inputs'!$F$51:$AN$51,MATCH($H165+$AL165,'General Inputs'!$F$50:$AN$50,0))*-$AH165)</f>
        <v>18375.597206909224</v>
      </c>
      <c r="AY165" s="55"/>
      <c r="AZ165" s="59">
        <f ca="1">SUMPRODUCT($CA165:$DI165,'General Inputs'!$F$32:$AN$32,'General Inputs'!$F$52:$AN$52)/(1-Loss_ElectricEnergy)</f>
        <v>59570.566622121427</v>
      </c>
      <c r="BA165" s="59">
        <f ca="1">SUMPRODUCT($DK165:$ES165,'General Inputs'!$F$33:$AN$33,'General Inputs'!$F$52:$AN$52)/(1-Loss_ElectricDemand)</f>
        <v>11360.916736190231</v>
      </c>
      <c r="BB165" s="59">
        <f ca="1">SUMPRODUCT($EU165:$GC165,'General Inputs'!$F$34:$AN$34,'General Inputs'!$F$52:$AN$52)/(1-Loss_GasEnergy)</f>
        <v>0</v>
      </c>
      <c r="BC165" s="59">
        <f ca="1">INDEX('General Inputs'!$F$52:$AN$52,MATCH($H165,'General Inputs'!$F$50:$AN$50,0))*$AI165</f>
        <v>6982.7269386255057</v>
      </c>
      <c r="BD165" s="59">
        <f ca="1">INDEX('General Inputs'!$F$52:$AN$52,MATCH($H165,'General Inputs'!$F$50:$AN$50,0))*$AM165</f>
        <v>0</v>
      </c>
      <c r="BE165" s="55"/>
      <c r="BF165" s="59">
        <f ca="1">SUMPRODUCT($CA165:$DI165,OFFSET('General Inputs'!$F$40:$AN$40,MATCH($D165&amp;" Electric ($/kWh)",'General Inputs'!$E$40:$E$46,0),),'General Inputs'!$F$54:$AN$54)</f>
        <v>0</v>
      </c>
      <c r="BG165" s="59">
        <f ca="1">SUMPRODUCT($EU165:$GC165,OFFSET('General Inputs'!$F$40:$AN$40,MATCH($D165&amp;" Natural Gas ($/therm)",'General Inputs'!$E$40:$E$46,0),),'General Inputs'!$F$54:$AN$54)</f>
        <v>0</v>
      </c>
      <c r="BH165" s="59">
        <f ca="1">INDEX('General Inputs'!$F$54:$AN$54,MATCH($H165,'General Inputs'!$F$50:$AN$50,0))*$AI165</f>
        <v>6982.7269386255057</v>
      </c>
      <c r="BI165" s="59">
        <f ca="1">SUM(INDEX('General Inputs'!$F$54:$AN$54,MATCH($H165,'General Inputs'!$F$50:$AN$50,0))*$AG165,INDEX('General Inputs'!$F$51:$AN$51,MATCH($H165+$AL165,'General Inputs'!$F$50:$AN$50,0))*-$AH165)</f>
        <v>18375.597206909224</v>
      </c>
      <c r="BJ165" s="55"/>
      <c r="BK165" s="59">
        <f ca="1">SUMPRODUCT($CA165:$DI165,'General Inputs'!$F$32:$AN$32,'General Inputs'!$F$53:$AN$53)/(1-Loss_ElectricEnergy)</f>
        <v>59570.566622121427</v>
      </c>
      <c r="BL165" s="59">
        <f ca="1">SUMPRODUCT($DK165:$ES165,'General Inputs'!$F$33:$AN$33,'General Inputs'!$F$53:$AN$53)/(1-Loss_ElectricDemand)</f>
        <v>11360.916736190231</v>
      </c>
      <c r="BM165" s="59">
        <f ca="1">SUMPRODUCT($EU165:$GC165,'General Inputs'!$F$34:$AN$34,'General Inputs'!$F$53:$AN$53)/(1-Loss_GasEnergy)</f>
        <v>0</v>
      </c>
      <c r="BN165" s="59">
        <f ca="1">INDEX('General Inputs'!$F$53:$AN$53,MATCH($H165,'General Inputs'!$F$50:$AN$50,0))*$AJ165</f>
        <v>0</v>
      </c>
      <c r="BO165" s="59">
        <f ca="1">SUMPRODUCT($CA165:$DI165,'General Inputs'!$F$35:$AN$35,'General Inputs'!$F$53:$AN$53)/(1-Loss_ElectricEnergy)</f>
        <v>22387.02370374613</v>
      </c>
      <c r="BP165" s="59">
        <f ca="1">INDEX('General Inputs'!$F$51:$AN$51,MATCH($H165,'General Inputs'!$F$50:$AN$50,0))*$AM165</f>
        <v>0</v>
      </c>
      <c r="BQ165" s="59">
        <f ca="1">SUM(INDEX('General Inputs'!$F$53:$AN$53,MATCH($H165,'General Inputs'!$F$50:$AN$50,0))*$AG165,INDEX('General Inputs'!$F$53:$AN$53,MATCH($H165+$AL165,'General Inputs'!$F$50:$AN$50,0))*-$AH165)</f>
        <v>18375.597206909224</v>
      </c>
      <c r="BR165" s="55"/>
      <c r="BS165" s="59">
        <f ca="1">SUMPRODUCT($CA165:$DI165,'General Inputs'!$F$32:$AN$32,'General Inputs'!$F$55:$AN$55)/(1-Loss_ElectricEnergy)</f>
        <v>59570.566622121427</v>
      </c>
      <c r="BT165" s="59">
        <f ca="1">SUMPRODUCT($DK165:$ES165,'General Inputs'!$F$33:$AN$33,'General Inputs'!$F$55:$AN$55)/(1-Loss_ElectricDemand)</f>
        <v>11360.916736190231</v>
      </c>
      <c r="BU165" s="59">
        <f ca="1">SUMPRODUCT($EU165:$GC165,'General Inputs'!$F$34:$AN$34,'General Inputs'!$F$55:$AN$55)/(1-Loss_GasEnergy)</f>
        <v>0</v>
      </c>
      <c r="BV165" s="59">
        <f ca="1">SUMPRODUCT($CA165:$DI165,OFFSET('General Inputs'!$F$40:$AN$40,MATCH($D165&amp;" Electric ($/kWh)",'General Inputs'!$E$40:$E$46,0),),'General Inputs'!$F$55:$AN$55)</f>
        <v>0</v>
      </c>
      <c r="BW165" s="59">
        <f ca="1">SUMPRODUCT($EU165:$GC165,OFFSET('General Inputs'!$F$40:$AN$40,MATCH($D165&amp;" Natural Gas ($/therm)",'General Inputs'!$E$40:$E$46,0),),'General Inputs'!$F$55:$AN$55)</f>
        <v>0</v>
      </c>
      <c r="BX165" s="59">
        <f ca="1">INDEX('General Inputs'!$F$55:$AN$55,MATCH($H165,'General Inputs'!$F$50:$AN$50,0))*$AI165</f>
        <v>6982.7269386255057</v>
      </c>
      <c r="BY165" s="59">
        <f ca="1">INDEX('General Inputs'!$F$51:$AN$51,MATCH($H165,'General Inputs'!$F$50:$AN$50,0))*$AM165</f>
        <v>0</v>
      </c>
      <c r="BZ165" s="55"/>
      <c r="CA165" s="88">
        <f t="shared" ca="1" si="377"/>
        <v>0</v>
      </c>
      <c r="CB165" s="88">
        <f t="shared" ca="1" si="377"/>
        <v>229984.80307199995</v>
      </c>
      <c r="CC165" s="88">
        <f t="shared" ca="1" si="377"/>
        <v>229984.80307199995</v>
      </c>
      <c r="CD165" s="88">
        <f t="shared" ca="1" si="377"/>
        <v>229984.80307199995</v>
      </c>
      <c r="CE165" s="88">
        <f t="shared" ca="1" si="377"/>
        <v>229984.80307199995</v>
      </c>
      <c r="CF165" s="88">
        <f t="shared" ca="1" si="377"/>
        <v>229984.80307199995</v>
      </c>
      <c r="CG165" s="88">
        <f t="shared" ca="1" si="377"/>
        <v>229984.80307199995</v>
      </c>
      <c r="CH165" s="88">
        <f t="shared" ca="1" si="377"/>
        <v>229984.80307199995</v>
      </c>
      <c r="CI165" s="88">
        <f t="shared" ca="1" si="377"/>
        <v>229984.80307199995</v>
      </c>
      <c r="CJ165" s="88">
        <f t="shared" ca="1" si="377"/>
        <v>229984.80307199995</v>
      </c>
      <c r="CK165" s="88">
        <f t="shared" ca="1" si="378"/>
        <v>229984.80307199995</v>
      </c>
      <c r="CL165" s="88">
        <f t="shared" ca="1" si="378"/>
        <v>229984.80307199995</v>
      </c>
      <c r="CM165" s="88">
        <f t="shared" ca="1" si="378"/>
        <v>229984.80307199995</v>
      </c>
      <c r="CN165" s="88">
        <f t="shared" ca="1" si="378"/>
        <v>229984.80307199995</v>
      </c>
      <c r="CO165" s="88">
        <f t="shared" ca="1" si="378"/>
        <v>229984.80307199995</v>
      </c>
      <c r="CP165" s="88">
        <f t="shared" ca="1" si="378"/>
        <v>229984.80307199995</v>
      </c>
      <c r="CQ165" s="88">
        <f t="shared" ca="1" si="378"/>
        <v>0</v>
      </c>
      <c r="CR165" s="88">
        <f t="shared" ca="1" si="378"/>
        <v>0</v>
      </c>
      <c r="CS165" s="88">
        <f t="shared" ca="1" si="378"/>
        <v>0</v>
      </c>
      <c r="CT165" s="88">
        <f t="shared" ca="1" si="378"/>
        <v>0</v>
      </c>
      <c r="CU165" s="88">
        <f t="shared" ca="1" si="379"/>
        <v>0</v>
      </c>
      <c r="CV165" s="88">
        <f t="shared" ca="1" si="379"/>
        <v>0</v>
      </c>
      <c r="CW165" s="88">
        <f t="shared" ca="1" si="379"/>
        <v>0</v>
      </c>
      <c r="CX165" s="88">
        <f t="shared" ca="1" si="379"/>
        <v>0</v>
      </c>
      <c r="CY165" s="88">
        <f t="shared" ca="1" si="379"/>
        <v>0</v>
      </c>
      <c r="CZ165" s="88">
        <f t="shared" ca="1" si="379"/>
        <v>0</v>
      </c>
      <c r="DA165" s="88">
        <f t="shared" ca="1" si="379"/>
        <v>0</v>
      </c>
      <c r="DB165" s="88">
        <f t="shared" ca="1" si="379"/>
        <v>0</v>
      </c>
      <c r="DC165" s="88">
        <f t="shared" ca="1" si="379"/>
        <v>0</v>
      </c>
      <c r="DD165" s="88">
        <f t="shared" ca="1" si="379"/>
        <v>0</v>
      </c>
      <c r="DE165" s="88">
        <f t="shared" ca="1" si="379"/>
        <v>0</v>
      </c>
      <c r="DF165" s="88">
        <f t="shared" ca="1" si="379"/>
        <v>0</v>
      </c>
      <c r="DG165" s="88">
        <f t="shared" ca="1" si="379"/>
        <v>0</v>
      </c>
      <c r="DH165" s="88">
        <f t="shared" ca="1" si="379"/>
        <v>0</v>
      </c>
      <c r="DI165" s="88">
        <f t="shared" ca="1" si="379"/>
        <v>0</v>
      </c>
      <c r="DJ165" s="169"/>
      <c r="DK165" s="88">
        <f t="shared" ca="1" si="380"/>
        <v>0</v>
      </c>
      <c r="DL165" s="88">
        <f t="shared" ca="1" si="380"/>
        <v>60.979968</v>
      </c>
      <c r="DM165" s="88">
        <f t="shared" ca="1" si="380"/>
        <v>60.979968</v>
      </c>
      <c r="DN165" s="88">
        <f t="shared" ca="1" si="380"/>
        <v>60.979968</v>
      </c>
      <c r="DO165" s="88">
        <f t="shared" ca="1" si="380"/>
        <v>60.979968</v>
      </c>
      <c r="DP165" s="88">
        <f t="shared" ca="1" si="380"/>
        <v>60.979968</v>
      </c>
      <c r="DQ165" s="88">
        <f t="shared" ca="1" si="380"/>
        <v>60.979968</v>
      </c>
      <c r="DR165" s="88">
        <f t="shared" ca="1" si="380"/>
        <v>60.979968</v>
      </c>
      <c r="DS165" s="88">
        <f t="shared" ca="1" si="380"/>
        <v>60.979968</v>
      </c>
      <c r="DT165" s="88">
        <f t="shared" ca="1" si="380"/>
        <v>60.979968</v>
      </c>
      <c r="DU165" s="88">
        <f t="shared" ca="1" si="381"/>
        <v>60.979968</v>
      </c>
      <c r="DV165" s="88">
        <f t="shared" ca="1" si="381"/>
        <v>60.979968</v>
      </c>
      <c r="DW165" s="88">
        <f t="shared" ca="1" si="381"/>
        <v>60.979968</v>
      </c>
      <c r="DX165" s="88">
        <f t="shared" ca="1" si="381"/>
        <v>60.979968</v>
      </c>
      <c r="DY165" s="88">
        <f t="shared" ca="1" si="381"/>
        <v>60.979968</v>
      </c>
      <c r="DZ165" s="88">
        <f t="shared" ca="1" si="381"/>
        <v>60.979968</v>
      </c>
      <c r="EA165" s="88">
        <f t="shared" ca="1" si="381"/>
        <v>0</v>
      </c>
      <c r="EB165" s="88">
        <f t="shared" ca="1" si="381"/>
        <v>0</v>
      </c>
      <c r="EC165" s="88">
        <f t="shared" ca="1" si="381"/>
        <v>0</v>
      </c>
      <c r="ED165" s="88">
        <f t="shared" ca="1" si="381"/>
        <v>0</v>
      </c>
      <c r="EE165" s="88">
        <f t="shared" ca="1" si="382"/>
        <v>0</v>
      </c>
      <c r="EF165" s="88">
        <f t="shared" ca="1" si="382"/>
        <v>0</v>
      </c>
      <c r="EG165" s="88">
        <f t="shared" ca="1" si="382"/>
        <v>0</v>
      </c>
      <c r="EH165" s="88">
        <f t="shared" ca="1" si="382"/>
        <v>0</v>
      </c>
      <c r="EI165" s="88">
        <f t="shared" ca="1" si="382"/>
        <v>0</v>
      </c>
      <c r="EJ165" s="88">
        <f t="shared" ca="1" si="382"/>
        <v>0</v>
      </c>
      <c r="EK165" s="88">
        <f t="shared" ca="1" si="382"/>
        <v>0</v>
      </c>
      <c r="EL165" s="88">
        <f t="shared" ca="1" si="382"/>
        <v>0</v>
      </c>
      <c r="EM165" s="88">
        <f t="shared" ca="1" si="382"/>
        <v>0</v>
      </c>
      <c r="EN165" s="88">
        <f t="shared" ca="1" si="382"/>
        <v>0</v>
      </c>
      <c r="EO165" s="88">
        <f t="shared" ca="1" si="382"/>
        <v>0</v>
      </c>
      <c r="EP165" s="88">
        <f t="shared" ca="1" si="382"/>
        <v>0</v>
      </c>
      <c r="EQ165" s="88">
        <f t="shared" ca="1" si="382"/>
        <v>0</v>
      </c>
      <c r="ER165" s="88">
        <f t="shared" ca="1" si="382"/>
        <v>0</v>
      </c>
      <c r="ES165" s="88">
        <f t="shared" ca="1" si="382"/>
        <v>0</v>
      </c>
      <c r="ET165" s="169"/>
      <c r="EU165" s="88">
        <f t="shared" ca="1" si="383"/>
        <v>0</v>
      </c>
      <c r="EV165" s="88">
        <f t="shared" ca="1" si="383"/>
        <v>0</v>
      </c>
      <c r="EW165" s="88">
        <f t="shared" ca="1" si="383"/>
        <v>0</v>
      </c>
      <c r="EX165" s="88">
        <f t="shared" ca="1" si="383"/>
        <v>0</v>
      </c>
      <c r="EY165" s="88">
        <f t="shared" ca="1" si="383"/>
        <v>0</v>
      </c>
      <c r="EZ165" s="88">
        <f t="shared" ca="1" si="383"/>
        <v>0</v>
      </c>
      <c r="FA165" s="88">
        <f t="shared" ca="1" si="383"/>
        <v>0</v>
      </c>
      <c r="FB165" s="88">
        <f t="shared" ca="1" si="383"/>
        <v>0</v>
      </c>
      <c r="FC165" s="88">
        <f t="shared" ca="1" si="383"/>
        <v>0</v>
      </c>
      <c r="FD165" s="88">
        <f t="shared" ca="1" si="383"/>
        <v>0</v>
      </c>
      <c r="FE165" s="88">
        <f t="shared" ca="1" si="384"/>
        <v>0</v>
      </c>
      <c r="FF165" s="88">
        <f t="shared" ca="1" si="384"/>
        <v>0</v>
      </c>
      <c r="FG165" s="88">
        <f t="shared" ca="1" si="384"/>
        <v>0</v>
      </c>
      <c r="FH165" s="88">
        <f t="shared" ca="1" si="384"/>
        <v>0</v>
      </c>
      <c r="FI165" s="88">
        <f t="shared" ca="1" si="384"/>
        <v>0</v>
      </c>
      <c r="FJ165" s="88">
        <f t="shared" ca="1" si="384"/>
        <v>0</v>
      </c>
      <c r="FK165" s="88">
        <f t="shared" ca="1" si="384"/>
        <v>0</v>
      </c>
      <c r="FL165" s="88">
        <f t="shared" ca="1" si="384"/>
        <v>0</v>
      </c>
      <c r="FM165" s="88">
        <f t="shared" ca="1" si="384"/>
        <v>0</v>
      </c>
      <c r="FN165" s="88">
        <f t="shared" ca="1" si="384"/>
        <v>0</v>
      </c>
      <c r="FO165" s="88">
        <f t="shared" ca="1" si="385"/>
        <v>0</v>
      </c>
      <c r="FP165" s="88">
        <f t="shared" ca="1" si="385"/>
        <v>0</v>
      </c>
      <c r="FQ165" s="88">
        <f t="shared" ca="1" si="385"/>
        <v>0</v>
      </c>
      <c r="FR165" s="88">
        <f t="shared" ca="1" si="385"/>
        <v>0</v>
      </c>
      <c r="FS165" s="88">
        <f t="shared" ca="1" si="385"/>
        <v>0</v>
      </c>
      <c r="FT165" s="88">
        <f t="shared" ca="1" si="385"/>
        <v>0</v>
      </c>
      <c r="FU165" s="88">
        <f t="shared" ca="1" si="385"/>
        <v>0</v>
      </c>
      <c r="FV165" s="88">
        <f t="shared" ca="1" si="385"/>
        <v>0</v>
      </c>
      <c r="FW165" s="88">
        <f t="shared" ca="1" si="385"/>
        <v>0</v>
      </c>
      <c r="FX165" s="88">
        <f t="shared" ca="1" si="385"/>
        <v>0</v>
      </c>
      <c r="FY165" s="88">
        <f t="shared" ca="1" si="385"/>
        <v>0</v>
      </c>
      <c r="FZ165" s="88">
        <f t="shared" ca="1" si="385"/>
        <v>0</v>
      </c>
      <c r="GA165" s="88">
        <f t="shared" ca="1" si="385"/>
        <v>0</v>
      </c>
      <c r="GB165" s="88">
        <f t="shared" ca="1" si="385"/>
        <v>0</v>
      </c>
      <c r="GC165" s="88">
        <f t="shared" ca="1" si="385"/>
        <v>0</v>
      </c>
      <c r="GD165" s="60"/>
    </row>
    <row r="166" spans="1:186" s="54" customFormat="1" ht="14.45" customHeight="1">
      <c r="A166" s="61"/>
      <c r="B166" s="100" t="str">
        <f t="shared" si="345"/>
        <v>C&amp;I_C&amp;I Prescriptive_0_Low-Wattage T8 _2018</v>
      </c>
      <c r="C166" s="100">
        <f>INDEX('Measure Inputs'!$D:$D,MATCH($B166,'Measure Inputs'!$B:$B,0))</f>
        <v>118</v>
      </c>
      <c r="D166" s="101" t="s">
        <v>256</v>
      </c>
      <c r="E166" s="101" t="s">
        <v>255</v>
      </c>
      <c r="F166" s="101">
        <v>0</v>
      </c>
      <c r="G166" s="101" t="s">
        <v>280</v>
      </c>
      <c r="H166" s="101">
        <v>2018</v>
      </c>
      <c r="I166" s="55"/>
      <c r="J166" s="58">
        <f t="shared" ca="1" si="229"/>
        <v>3.3304436956533063</v>
      </c>
      <c r="K166" s="58">
        <f t="shared" ca="1" si="246"/>
        <v>13.321774782613225</v>
      </c>
      <c r="L166" s="58">
        <f t="shared" ca="1" si="230"/>
        <v>0.25</v>
      </c>
      <c r="M166" s="58">
        <f t="shared" ca="1" si="231"/>
        <v>4.4213203893367972</v>
      </c>
      <c r="N166" s="58">
        <f t="shared" ca="1" si="232"/>
        <v>13.321774782613225</v>
      </c>
      <c r="O166" s="55"/>
      <c r="P166" s="175">
        <f ca="1">IFERROR(($AW166+AV166)/SUMPRODUCT($CA166:$DI166,'General Inputs'!$F$51:$AN$51),"n/a")</f>
        <v>2.7414245403043287E-3</v>
      </c>
      <c r="Q166" s="175">
        <f t="shared" ref="Q166:Q220" ca="1" si="386">IFERROR($AN166/X166,"n/a")</f>
        <v>1.6613271611706643E-2</v>
      </c>
      <c r="R166" s="56">
        <f t="shared" ca="1" si="364"/>
        <v>204.65565599999999</v>
      </c>
      <c r="S166" s="55"/>
      <c r="T166" s="56">
        <f ca="1">INDEX(OFFSET('Measure Inputs'!$L$7,,,InputRows),$C166)</f>
        <v>850</v>
      </c>
      <c r="U166" s="134">
        <f ca="1">INDEX(OFFSET('Measure Inputs'!$T$7,,,InputRows),$C166)</f>
        <v>1</v>
      </c>
      <c r="V166" s="134">
        <f ca="1">INDEX(OFFSET('Measure Inputs'!$U$7,,,InputRows),$C166)</f>
        <v>1</v>
      </c>
      <c r="W166" s="55"/>
      <c r="X166" s="96">
        <f ca="1">INDEX(OFFSET('Measure Inputs'!$V$7,,,InputRows),$C166)*$T166*$V166*$U166</f>
        <v>25581.956999999999</v>
      </c>
      <c r="Y166" s="96">
        <f ca="1">INDEX(OFFSET('Measure Inputs'!$W$7,,,InputRows),$C166)*$T166*$V166*$U166</f>
        <v>6.7830000000000013</v>
      </c>
      <c r="Z166" s="96">
        <f ca="1">INDEX(OFFSET('Measure Inputs'!$X$7,,,InputRows),$C166)*$T166*$V166*$U166</f>
        <v>0</v>
      </c>
      <c r="AA166" s="55"/>
      <c r="AB166" s="96">
        <f ca="1">INDEX(OFFSET('Measure Inputs'!$Z$7,,,InputRows),$C166)*$T166*$V166*$U166</f>
        <v>0</v>
      </c>
      <c r="AC166" s="96">
        <f ca="1">INDEX(OFFSET('Measure Inputs'!$AA$7,,,InputRows),$C166)*$T166*$V166*$U166</f>
        <v>0</v>
      </c>
      <c r="AD166" s="96">
        <f ca="1">INDEX(OFFSET('Measure Inputs'!$AB$7,,,InputRows),$C166)*$T166*$V166*$U166</f>
        <v>0</v>
      </c>
      <c r="AE166" s="55"/>
      <c r="AF166" s="57">
        <f ca="1">INDEX(OFFSET('Measure Inputs'!$Q$7,,,InputRows),$C166)*$T166</f>
        <v>0</v>
      </c>
      <c r="AG166" s="57">
        <f ca="1">INDEX(OFFSET('Measure Inputs'!$P$7,,,InputRows),$C166)*$T166*$V166</f>
        <v>1700</v>
      </c>
      <c r="AH166" s="57">
        <f ca="1">INDEX(OFFSET('Measure Inputs'!$R$7,,,InputRows),$C166)*$T166*$V166</f>
        <v>0</v>
      </c>
      <c r="AI166" s="57">
        <f ca="1">INDEX(OFFSET('Measure Inputs'!$O$7,,,InputRows),$C166)*$T166</f>
        <v>425</v>
      </c>
      <c r="AJ166" s="57">
        <f ca="1">INDEX(OFFSET('Measure Inputs'!$S$7,,,InputRows),$C166)*$T166</f>
        <v>0</v>
      </c>
      <c r="AK166" s="63">
        <f ca="1">INDEX(OFFSET('Measure Inputs'!$M$7,,,InputRows),$C166)</f>
        <v>8</v>
      </c>
      <c r="AL166" s="88">
        <f ca="1">INDEX(OFFSET('Measure Inputs'!$N$7,,,InputRows),$C166)</f>
        <v>0</v>
      </c>
      <c r="AM166" s="57">
        <f ca="1">SUMIFS(OFFSET('Program Inputs'!$N$5,,,TotalPrograms),OFFSET('Program Inputs'!$B$5,,,TotalPrograms),SUBSTITUTE($B166,"All","*"))+AF166</f>
        <v>0</v>
      </c>
      <c r="AN166" s="57">
        <f t="shared" ca="1" si="365"/>
        <v>425</v>
      </c>
      <c r="AO166" s="55"/>
      <c r="AP166" s="59">
        <f t="shared" ca="1" si="366"/>
        <v>5201.9058090873032</v>
      </c>
      <c r="AQ166" s="59">
        <f t="shared" ca="1" si="367"/>
        <v>1561.925762587284</v>
      </c>
      <c r="AR166" s="59">
        <f ca="1">SUMPRODUCT($CA166:$DI166,'General Inputs'!$F$32:$AN$32,'General Inputs'!$F$51:$AN$51)/(1-Loss_ElectricEnergy)</f>
        <v>4368.7296795538432</v>
      </c>
      <c r="AS166" s="59">
        <f ca="1">SUMPRODUCT($DK166:$ES166,'General Inputs'!$F$33:$AN$33,'General Inputs'!$F$51:$AN$51)/(1-Loss_ElectricDemand)</f>
        <v>833.17612953345997</v>
      </c>
      <c r="AT166" s="59">
        <f ca="1">SUMPRODUCT($EU166:$GC166,'General Inputs'!$F$34:$AN$34,'General Inputs'!$F$51:$AN$51)/(1-Loss_GasEnergy)</f>
        <v>0</v>
      </c>
      <c r="AU166" s="59">
        <f ca="1">INDEX('General Inputs'!$F$51:$AN$51,MATCH($H166,'General Inputs'!$F$50:$AN$50,0))*$AJ166</f>
        <v>0</v>
      </c>
      <c r="AV166" s="59">
        <f ca="1">INDEX('General Inputs'!$F$51:$AN$51,MATCH($H166,'General Inputs'!$F$50:$AN$50,0))*$AI166</f>
        <v>390.481440646821</v>
      </c>
      <c r="AW166" s="59">
        <f ca="1">INDEX('General Inputs'!$F$51:$AN$51,MATCH($H166,'General Inputs'!$F$50:$AN$50,0))*$AM166</f>
        <v>0</v>
      </c>
      <c r="AX166" s="59">
        <f ca="1">SUM(INDEX('General Inputs'!$F$51:$AN$51,MATCH($H166,'General Inputs'!$F$50:$AN$50,0))*$AG166,INDEX('General Inputs'!$F$51:$AN$51,MATCH($H166+$AL166,'General Inputs'!$F$50:$AN$50,0))*-$AH166)</f>
        <v>1561.925762587284</v>
      </c>
      <c r="AY166" s="55"/>
      <c r="AZ166" s="59">
        <f ca="1">SUMPRODUCT($CA166:$DI166,'General Inputs'!$F$32:$AN$32,'General Inputs'!$F$52:$AN$52)/(1-Loss_ElectricEnergy)</f>
        <v>4368.7296795538432</v>
      </c>
      <c r="BA166" s="59">
        <f ca="1">SUMPRODUCT($DK166:$ES166,'General Inputs'!$F$33:$AN$33,'General Inputs'!$F$52:$AN$52)/(1-Loss_ElectricDemand)</f>
        <v>833.17612953345997</v>
      </c>
      <c r="BB166" s="59">
        <f ca="1">SUMPRODUCT($EU166:$GC166,'General Inputs'!$F$34:$AN$34,'General Inputs'!$F$52:$AN$52)/(1-Loss_GasEnergy)</f>
        <v>0</v>
      </c>
      <c r="BC166" s="59">
        <f ca="1">INDEX('General Inputs'!$F$52:$AN$52,MATCH($H166,'General Inputs'!$F$50:$AN$50,0))*$AI166</f>
        <v>390.481440646821</v>
      </c>
      <c r="BD166" s="59">
        <f ca="1">INDEX('General Inputs'!$F$52:$AN$52,MATCH($H166,'General Inputs'!$F$50:$AN$50,0))*$AM166</f>
        <v>0</v>
      </c>
      <c r="BE166" s="55"/>
      <c r="BF166" s="59">
        <f ca="1">SUMPRODUCT($CA166:$DI166,OFFSET('General Inputs'!$F$40:$AN$40,MATCH($D166&amp;" Electric ($/kWh)",'General Inputs'!$E$40:$E$46,0),),'General Inputs'!$F$54:$AN$54)</f>
        <v>0</v>
      </c>
      <c r="BG166" s="59">
        <f ca="1">SUMPRODUCT($EU166:$GC166,OFFSET('General Inputs'!$F$40:$AN$40,MATCH($D166&amp;" Natural Gas ($/therm)",'General Inputs'!$E$40:$E$46,0),),'General Inputs'!$F$54:$AN$54)</f>
        <v>0</v>
      </c>
      <c r="BH166" s="59">
        <f ca="1">INDEX('General Inputs'!$F$54:$AN$54,MATCH($H166,'General Inputs'!$F$50:$AN$50,0))*$AI166</f>
        <v>390.481440646821</v>
      </c>
      <c r="BI166" s="59">
        <f ca="1">SUM(INDEX('General Inputs'!$F$54:$AN$54,MATCH($H166,'General Inputs'!$F$50:$AN$50,0))*$AG166,INDEX('General Inputs'!$F$51:$AN$51,MATCH($H166+$AL166,'General Inputs'!$F$50:$AN$50,0))*-$AH166)</f>
        <v>1561.925762587284</v>
      </c>
      <c r="BJ166" s="55"/>
      <c r="BK166" s="59">
        <f ca="1">SUMPRODUCT($CA166:$DI166,'General Inputs'!$F$32:$AN$32,'General Inputs'!$F$53:$AN$53)/(1-Loss_ElectricEnergy)</f>
        <v>4368.7296795538432</v>
      </c>
      <c r="BL166" s="59">
        <f ca="1">SUMPRODUCT($DK166:$ES166,'General Inputs'!$F$33:$AN$33,'General Inputs'!$F$53:$AN$53)/(1-Loss_ElectricDemand)</f>
        <v>833.17612953345997</v>
      </c>
      <c r="BM166" s="59">
        <f ca="1">SUMPRODUCT($EU166:$GC166,'General Inputs'!$F$34:$AN$34,'General Inputs'!$F$53:$AN$53)/(1-Loss_GasEnergy)</f>
        <v>0</v>
      </c>
      <c r="BN166" s="59">
        <f ca="1">INDEX('General Inputs'!$F$53:$AN$53,MATCH($H166,'General Inputs'!$F$50:$AN$50,0))*$AJ166</f>
        <v>0</v>
      </c>
      <c r="BO166" s="59">
        <f ca="1">SUMPRODUCT($CA166:$DI166,'General Inputs'!$F$35:$AN$35,'General Inputs'!$F$53:$AN$53)/(1-Loss_ElectricEnergy)</f>
        <v>1703.8684116702807</v>
      </c>
      <c r="BP166" s="59">
        <f ca="1">INDEX('General Inputs'!$F$51:$AN$51,MATCH($H166,'General Inputs'!$F$50:$AN$50,0))*$AM166</f>
        <v>0</v>
      </c>
      <c r="BQ166" s="59">
        <f ca="1">SUM(INDEX('General Inputs'!$F$53:$AN$53,MATCH($H166,'General Inputs'!$F$50:$AN$50,0))*$AG166,INDEX('General Inputs'!$F$53:$AN$53,MATCH($H166+$AL166,'General Inputs'!$F$50:$AN$50,0))*-$AH166)</f>
        <v>1561.925762587284</v>
      </c>
      <c r="BR166" s="55"/>
      <c r="BS166" s="59">
        <f ca="1">SUMPRODUCT($CA166:$DI166,'General Inputs'!$F$32:$AN$32,'General Inputs'!$F$55:$AN$55)/(1-Loss_ElectricEnergy)</f>
        <v>4368.7296795538432</v>
      </c>
      <c r="BT166" s="59">
        <f ca="1">SUMPRODUCT($DK166:$ES166,'General Inputs'!$F$33:$AN$33,'General Inputs'!$F$55:$AN$55)/(1-Loss_ElectricDemand)</f>
        <v>833.17612953345997</v>
      </c>
      <c r="BU166" s="59">
        <f ca="1">SUMPRODUCT($EU166:$GC166,'General Inputs'!$F$34:$AN$34,'General Inputs'!$F$55:$AN$55)/(1-Loss_GasEnergy)</f>
        <v>0</v>
      </c>
      <c r="BV166" s="59">
        <f ca="1">SUMPRODUCT($CA166:$DI166,OFFSET('General Inputs'!$F$40:$AN$40,MATCH($D166&amp;" Electric ($/kWh)",'General Inputs'!$E$40:$E$46,0),),'General Inputs'!$F$55:$AN$55)</f>
        <v>0</v>
      </c>
      <c r="BW166" s="59">
        <f ca="1">SUMPRODUCT($EU166:$GC166,OFFSET('General Inputs'!$F$40:$AN$40,MATCH($D166&amp;" Natural Gas ($/therm)",'General Inputs'!$E$40:$E$46,0),),'General Inputs'!$F$55:$AN$55)</f>
        <v>0</v>
      </c>
      <c r="BX166" s="59">
        <f ca="1">INDEX('General Inputs'!$F$55:$AN$55,MATCH($H166,'General Inputs'!$F$50:$AN$50,0))*$AI166</f>
        <v>390.481440646821</v>
      </c>
      <c r="BY166" s="59">
        <f ca="1">INDEX('General Inputs'!$F$51:$AN$51,MATCH($H166,'General Inputs'!$F$50:$AN$50,0))*$AM166</f>
        <v>0</v>
      </c>
      <c r="BZ166" s="55"/>
      <c r="CA166" s="88">
        <f t="shared" ca="1" si="377"/>
        <v>0</v>
      </c>
      <c r="CB166" s="88">
        <f t="shared" ca="1" si="377"/>
        <v>25581.956999999999</v>
      </c>
      <c r="CC166" s="88">
        <f t="shared" ca="1" si="377"/>
        <v>25581.956999999999</v>
      </c>
      <c r="CD166" s="88">
        <f t="shared" ca="1" si="377"/>
        <v>25581.956999999999</v>
      </c>
      <c r="CE166" s="88">
        <f t="shared" ca="1" si="377"/>
        <v>25581.956999999999</v>
      </c>
      <c r="CF166" s="88">
        <f t="shared" ca="1" si="377"/>
        <v>25581.956999999999</v>
      </c>
      <c r="CG166" s="88">
        <f t="shared" ca="1" si="377"/>
        <v>25581.956999999999</v>
      </c>
      <c r="CH166" s="88">
        <f t="shared" ca="1" si="377"/>
        <v>25581.956999999999</v>
      </c>
      <c r="CI166" s="88">
        <f t="shared" ca="1" si="377"/>
        <v>25581.956999999999</v>
      </c>
      <c r="CJ166" s="88">
        <f t="shared" ca="1" si="377"/>
        <v>0</v>
      </c>
      <c r="CK166" s="88">
        <f t="shared" ca="1" si="378"/>
        <v>0</v>
      </c>
      <c r="CL166" s="88">
        <f t="shared" ca="1" si="378"/>
        <v>0</v>
      </c>
      <c r="CM166" s="88">
        <f t="shared" ca="1" si="378"/>
        <v>0</v>
      </c>
      <c r="CN166" s="88">
        <f t="shared" ca="1" si="378"/>
        <v>0</v>
      </c>
      <c r="CO166" s="88">
        <f t="shared" ca="1" si="378"/>
        <v>0</v>
      </c>
      <c r="CP166" s="88">
        <f t="shared" ca="1" si="378"/>
        <v>0</v>
      </c>
      <c r="CQ166" s="88">
        <f t="shared" ca="1" si="378"/>
        <v>0</v>
      </c>
      <c r="CR166" s="88">
        <f t="shared" ca="1" si="378"/>
        <v>0</v>
      </c>
      <c r="CS166" s="88">
        <f t="shared" ca="1" si="378"/>
        <v>0</v>
      </c>
      <c r="CT166" s="88">
        <f t="shared" ca="1" si="378"/>
        <v>0</v>
      </c>
      <c r="CU166" s="88">
        <f t="shared" ca="1" si="379"/>
        <v>0</v>
      </c>
      <c r="CV166" s="88">
        <f t="shared" ca="1" si="379"/>
        <v>0</v>
      </c>
      <c r="CW166" s="88">
        <f t="shared" ca="1" si="379"/>
        <v>0</v>
      </c>
      <c r="CX166" s="88">
        <f t="shared" ca="1" si="379"/>
        <v>0</v>
      </c>
      <c r="CY166" s="88">
        <f t="shared" ca="1" si="379"/>
        <v>0</v>
      </c>
      <c r="CZ166" s="88">
        <f t="shared" ca="1" si="379"/>
        <v>0</v>
      </c>
      <c r="DA166" s="88">
        <f t="shared" ca="1" si="379"/>
        <v>0</v>
      </c>
      <c r="DB166" s="88">
        <f t="shared" ca="1" si="379"/>
        <v>0</v>
      </c>
      <c r="DC166" s="88">
        <f t="shared" ca="1" si="379"/>
        <v>0</v>
      </c>
      <c r="DD166" s="88">
        <f t="shared" ca="1" si="379"/>
        <v>0</v>
      </c>
      <c r="DE166" s="88">
        <f t="shared" ca="1" si="379"/>
        <v>0</v>
      </c>
      <c r="DF166" s="88">
        <f t="shared" ca="1" si="379"/>
        <v>0</v>
      </c>
      <c r="DG166" s="88">
        <f t="shared" ca="1" si="379"/>
        <v>0</v>
      </c>
      <c r="DH166" s="88">
        <f t="shared" ca="1" si="379"/>
        <v>0</v>
      </c>
      <c r="DI166" s="88">
        <f t="shared" ca="1" si="379"/>
        <v>0</v>
      </c>
      <c r="DJ166" s="169"/>
      <c r="DK166" s="88">
        <f t="shared" ca="1" si="380"/>
        <v>0</v>
      </c>
      <c r="DL166" s="88">
        <f t="shared" ca="1" si="380"/>
        <v>6.7830000000000013</v>
      </c>
      <c r="DM166" s="88">
        <f t="shared" ca="1" si="380"/>
        <v>6.7830000000000013</v>
      </c>
      <c r="DN166" s="88">
        <f t="shared" ca="1" si="380"/>
        <v>6.7830000000000013</v>
      </c>
      <c r="DO166" s="88">
        <f t="shared" ca="1" si="380"/>
        <v>6.7830000000000013</v>
      </c>
      <c r="DP166" s="88">
        <f t="shared" ca="1" si="380"/>
        <v>6.7830000000000013</v>
      </c>
      <c r="DQ166" s="88">
        <f t="shared" ca="1" si="380"/>
        <v>6.7830000000000013</v>
      </c>
      <c r="DR166" s="88">
        <f t="shared" ca="1" si="380"/>
        <v>6.7830000000000013</v>
      </c>
      <c r="DS166" s="88">
        <f t="shared" ca="1" si="380"/>
        <v>6.7830000000000013</v>
      </c>
      <c r="DT166" s="88">
        <f t="shared" ca="1" si="380"/>
        <v>0</v>
      </c>
      <c r="DU166" s="88">
        <f t="shared" ca="1" si="381"/>
        <v>0</v>
      </c>
      <c r="DV166" s="88">
        <f t="shared" ca="1" si="381"/>
        <v>0</v>
      </c>
      <c r="DW166" s="88">
        <f t="shared" ca="1" si="381"/>
        <v>0</v>
      </c>
      <c r="DX166" s="88">
        <f t="shared" ca="1" si="381"/>
        <v>0</v>
      </c>
      <c r="DY166" s="88">
        <f t="shared" ca="1" si="381"/>
        <v>0</v>
      </c>
      <c r="DZ166" s="88">
        <f t="shared" ca="1" si="381"/>
        <v>0</v>
      </c>
      <c r="EA166" s="88">
        <f t="shared" ca="1" si="381"/>
        <v>0</v>
      </c>
      <c r="EB166" s="88">
        <f t="shared" ca="1" si="381"/>
        <v>0</v>
      </c>
      <c r="EC166" s="88">
        <f t="shared" ca="1" si="381"/>
        <v>0</v>
      </c>
      <c r="ED166" s="88">
        <f t="shared" ca="1" si="381"/>
        <v>0</v>
      </c>
      <c r="EE166" s="88">
        <f t="shared" ca="1" si="382"/>
        <v>0</v>
      </c>
      <c r="EF166" s="88">
        <f t="shared" ca="1" si="382"/>
        <v>0</v>
      </c>
      <c r="EG166" s="88">
        <f t="shared" ca="1" si="382"/>
        <v>0</v>
      </c>
      <c r="EH166" s="88">
        <f t="shared" ca="1" si="382"/>
        <v>0</v>
      </c>
      <c r="EI166" s="88">
        <f t="shared" ca="1" si="382"/>
        <v>0</v>
      </c>
      <c r="EJ166" s="88">
        <f t="shared" ca="1" si="382"/>
        <v>0</v>
      </c>
      <c r="EK166" s="88">
        <f t="shared" ca="1" si="382"/>
        <v>0</v>
      </c>
      <c r="EL166" s="88">
        <f t="shared" ca="1" si="382"/>
        <v>0</v>
      </c>
      <c r="EM166" s="88">
        <f t="shared" ca="1" si="382"/>
        <v>0</v>
      </c>
      <c r="EN166" s="88">
        <f t="shared" ca="1" si="382"/>
        <v>0</v>
      </c>
      <c r="EO166" s="88">
        <f t="shared" ca="1" si="382"/>
        <v>0</v>
      </c>
      <c r="EP166" s="88">
        <f t="shared" ca="1" si="382"/>
        <v>0</v>
      </c>
      <c r="EQ166" s="88">
        <f t="shared" ca="1" si="382"/>
        <v>0</v>
      </c>
      <c r="ER166" s="88">
        <f t="shared" ca="1" si="382"/>
        <v>0</v>
      </c>
      <c r="ES166" s="88">
        <f t="shared" ca="1" si="382"/>
        <v>0</v>
      </c>
      <c r="ET166" s="169"/>
      <c r="EU166" s="88">
        <f t="shared" ca="1" si="383"/>
        <v>0</v>
      </c>
      <c r="EV166" s="88">
        <f t="shared" ca="1" si="383"/>
        <v>0</v>
      </c>
      <c r="EW166" s="88">
        <f t="shared" ca="1" si="383"/>
        <v>0</v>
      </c>
      <c r="EX166" s="88">
        <f t="shared" ca="1" si="383"/>
        <v>0</v>
      </c>
      <c r="EY166" s="88">
        <f t="shared" ca="1" si="383"/>
        <v>0</v>
      </c>
      <c r="EZ166" s="88">
        <f t="shared" ca="1" si="383"/>
        <v>0</v>
      </c>
      <c r="FA166" s="88">
        <f t="shared" ca="1" si="383"/>
        <v>0</v>
      </c>
      <c r="FB166" s="88">
        <f t="shared" ca="1" si="383"/>
        <v>0</v>
      </c>
      <c r="FC166" s="88">
        <f t="shared" ca="1" si="383"/>
        <v>0</v>
      </c>
      <c r="FD166" s="88">
        <f t="shared" ca="1" si="383"/>
        <v>0</v>
      </c>
      <c r="FE166" s="88">
        <f t="shared" ca="1" si="384"/>
        <v>0</v>
      </c>
      <c r="FF166" s="88">
        <f t="shared" ca="1" si="384"/>
        <v>0</v>
      </c>
      <c r="FG166" s="88">
        <f t="shared" ca="1" si="384"/>
        <v>0</v>
      </c>
      <c r="FH166" s="88">
        <f t="shared" ca="1" si="384"/>
        <v>0</v>
      </c>
      <c r="FI166" s="88">
        <f t="shared" ca="1" si="384"/>
        <v>0</v>
      </c>
      <c r="FJ166" s="88">
        <f t="shared" ca="1" si="384"/>
        <v>0</v>
      </c>
      <c r="FK166" s="88">
        <f t="shared" ca="1" si="384"/>
        <v>0</v>
      </c>
      <c r="FL166" s="88">
        <f t="shared" ca="1" si="384"/>
        <v>0</v>
      </c>
      <c r="FM166" s="88">
        <f t="shared" ca="1" si="384"/>
        <v>0</v>
      </c>
      <c r="FN166" s="88">
        <f t="shared" ca="1" si="384"/>
        <v>0</v>
      </c>
      <c r="FO166" s="88">
        <f t="shared" ca="1" si="385"/>
        <v>0</v>
      </c>
      <c r="FP166" s="88">
        <f t="shared" ca="1" si="385"/>
        <v>0</v>
      </c>
      <c r="FQ166" s="88">
        <f t="shared" ca="1" si="385"/>
        <v>0</v>
      </c>
      <c r="FR166" s="88">
        <f t="shared" ca="1" si="385"/>
        <v>0</v>
      </c>
      <c r="FS166" s="88">
        <f t="shared" ca="1" si="385"/>
        <v>0</v>
      </c>
      <c r="FT166" s="88">
        <f t="shared" ca="1" si="385"/>
        <v>0</v>
      </c>
      <c r="FU166" s="88">
        <f t="shared" ca="1" si="385"/>
        <v>0</v>
      </c>
      <c r="FV166" s="88">
        <f t="shared" ca="1" si="385"/>
        <v>0</v>
      </c>
      <c r="FW166" s="88">
        <f t="shared" ca="1" si="385"/>
        <v>0</v>
      </c>
      <c r="FX166" s="88">
        <f t="shared" ca="1" si="385"/>
        <v>0</v>
      </c>
      <c r="FY166" s="88">
        <f t="shared" ca="1" si="385"/>
        <v>0</v>
      </c>
      <c r="FZ166" s="88">
        <f t="shared" ca="1" si="385"/>
        <v>0</v>
      </c>
      <c r="GA166" s="88">
        <f t="shared" ca="1" si="385"/>
        <v>0</v>
      </c>
      <c r="GB166" s="88">
        <f t="shared" ca="1" si="385"/>
        <v>0</v>
      </c>
      <c r="GC166" s="88">
        <f t="shared" ca="1" si="385"/>
        <v>0</v>
      </c>
      <c r="GD166" s="60"/>
    </row>
    <row r="167" spans="1:186" s="54" customFormat="1" ht="14.45" customHeight="1">
      <c r="A167" s="61"/>
      <c r="B167" s="100" t="str">
        <f t="shared" si="345"/>
        <v>C&amp;I_C&amp;I Prescriptive_0_Energy Star LED Lamp (≤5W)_2018</v>
      </c>
      <c r="C167" s="100">
        <f>INDEX('Measure Inputs'!$D:$D,MATCH($B167,'Measure Inputs'!$B:$B,0))</f>
        <v>119</v>
      </c>
      <c r="D167" s="101" t="s">
        <v>256</v>
      </c>
      <c r="E167" s="101" t="s">
        <v>255</v>
      </c>
      <c r="F167" s="101">
        <v>0</v>
      </c>
      <c r="G167" s="101" t="s">
        <v>288</v>
      </c>
      <c r="H167" s="101">
        <v>2018</v>
      </c>
      <c r="I167" s="55"/>
      <c r="J167" s="58">
        <f t="shared" ca="1" si="229"/>
        <v>1.973596264090848</v>
      </c>
      <c r="K167" s="58">
        <f t="shared" ca="1" si="246"/>
        <v>3.5524732753635266</v>
      </c>
      <c r="L167" s="58">
        <f t="shared" ca="1" si="230"/>
        <v>0.55555555555555547</v>
      </c>
      <c r="M167" s="58">
        <f t="shared" ca="1" si="231"/>
        <v>2.6200417121995829</v>
      </c>
      <c r="N167" s="58">
        <f t="shared" ca="1" si="232"/>
        <v>3.5524732753635266</v>
      </c>
      <c r="O167" s="55"/>
      <c r="P167" s="175">
        <f ca="1">IFERROR(($AW167+AV167)/SUMPRODUCT($CA167:$DI167,'General Inputs'!$F$51:$AN$51),"n/a")</f>
        <v>1.0280342026141235E-2</v>
      </c>
      <c r="Q167" s="175">
        <f t="shared" ca="1" si="386"/>
        <v>6.229976854389991E-2</v>
      </c>
      <c r="R167" s="56">
        <f t="shared" ca="1" si="364"/>
        <v>96.308543999999998</v>
      </c>
      <c r="S167" s="55"/>
      <c r="T167" s="56">
        <f ca="1">INDEX(OFFSET('Measure Inputs'!$L$7,,,InputRows),$C167)</f>
        <v>150</v>
      </c>
      <c r="U167" s="134">
        <f ca="1">INDEX(OFFSET('Measure Inputs'!$T$7,,,InputRows),$C167)</f>
        <v>1</v>
      </c>
      <c r="V167" s="134">
        <f ca="1">INDEX(OFFSET('Measure Inputs'!$U$7,,,InputRows),$C167)</f>
        <v>1</v>
      </c>
      <c r="W167" s="55"/>
      <c r="X167" s="96">
        <f ca="1">INDEX(OFFSET('Measure Inputs'!$V$7,,,InputRows),$C167)*$T167*$V167*$U167</f>
        <v>12038.567999999999</v>
      </c>
      <c r="Y167" s="96">
        <f ca="1">INDEX(OFFSET('Measure Inputs'!$W$7,,,InputRows),$C167)*$T167*$V167*$U167</f>
        <v>3.1920000000000002</v>
      </c>
      <c r="Z167" s="96">
        <f ca="1">INDEX(OFFSET('Measure Inputs'!$X$7,,,InputRows),$C167)*$T167*$V167*$U167</f>
        <v>0</v>
      </c>
      <c r="AA167" s="55"/>
      <c r="AB167" s="96">
        <f ca="1">INDEX(OFFSET('Measure Inputs'!$Z$7,,,InputRows),$C167)*$T167*$V167*$U167</f>
        <v>0</v>
      </c>
      <c r="AC167" s="96">
        <f ca="1">INDEX(OFFSET('Measure Inputs'!$AA$7,,,InputRows),$C167)*$T167*$V167*$U167</f>
        <v>0</v>
      </c>
      <c r="AD167" s="96">
        <f ca="1">INDEX(OFFSET('Measure Inputs'!$AB$7,,,InputRows),$C167)*$T167*$V167*$U167</f>
        <v>0</v>
      </c>
      <c r="AE167" s="55"/>
      <c r="AF167" s="57">
        <f ca="1">INDEX(OFFSET('Measure Inputs'!$Q$7,,,InputRows),$C167)*$T167</f>
        <v>0</v>
      </c>
      <c r="AG167" s="57">
        <f ca="1">INDEX(OFFSET('Measure Inputs'!$P$7,,,InputRows),$C167)*$T167*$V167</f>
        <v>1350</v>
      </c>
      <c r="AH167" s="57">
        <f ca="1">INDEX(OFFSET('Measure Inputs'!$R$7,,,InputRows),$C167)*$T167*$V167</f>
        <v>0</v>
      </c>
      <c r="AI167" s="57">
        <f ca="1">INDEX(OFFSET('Measure Inputs'!$O$7,,,InputRows),$C167)*$T167</f>
        <v>750</v>
      </c>
      <c r="AJ167" s="57">
        <f ca="1">INDEX(OFFSET('Measure Inputs'!$S$7,,,InputRows),$C167)*$T167</f>
        <v>0</v>
      </c>
      <c r="AK167" s="63">
        <f ca="1">INDEX(OFFSET('Measure Inputs'!$M$7,,,InputRows),$C167)</f>
        <v>8</v>
      </c>
      <c r="AL167" s="88">
        <f ca="1">INDEX(OFFSET('Measure Inputs'!$N$7,,,InputRows),$C167)</f>
        <v>0</v>
      </c>
      <c r="AM167" s="57">
        <f ca="1">SUMIFS(OFFSET('Program Inputs'!$N$5,,,TotalPrograms),OFFSET('Program Inputs'!$B$5,,,TotalPrograms),SUBSTITUTE($B167,"All","*"))+AF167</f>
        <v>0</v>
      </c>
      <c r="AN167" s="57">
        <f t="shared" ca="1" si="365"/>
        <v>750</v>
      </c>
      <c r="AO167" s="55"/>
      <c r="AP167" s="59">
        <f t="shared" ca="1" si="366"/>
        <v>2447.9556748646132</v>
      </c>
      <c r="AQ167" s="59">
        <f t="shared" ca="1" si="367"/>
        <v>1240.3528114663727</v>
      </c>
      <c r="AR167" s="59">
        <f ca="1">SUMPRODUCT($CA167:$DI167,'General Inputs'!$F$32:$AN$32,'General Inputs'!$F$51:$AN$51)/(1-Loss_ElectricEnergy)</f>
        <v>2055.8727903782792</v>
      </c>
      <c r="AS167" s="59">
        <f ca="1">SUMPRODUCT($DK167:$ES167,'General Inputs'!$F$33:$AN$33,'General Inputs'!$F$51:$AN$51)/(1-Loss_ElectricDemand)</f>
        <v>392.08288448633408</v>
      </c>
      <c r="AT167" s="59">
        <f ca="1">SUMPRODUCT($EU167:$GC167,'General Inputs'!$F$34:$AN$34,'General Inputs'!$F$51:$AN$51)/(1-Loss_GasEnergy)</f>
        <v>0</v>
      </c>
      <c r="AU167" s="59">
        <f ca="1">INDEX('General Inputs'!$F$51:$AN$51,MATCH($H167,'General Inputs'!$F$50:$AN$50,0))*$AJ167</f>
        <v>0</v>
      </c>
      <c r="AV167" s="59">
        <f ca="1">INDEX('General Inputs'!$F$51:$AN$51,MATCH($H167,'General Inputs'!$F$50:$AN$50,0))*$AI167</f>
        <v>689.0848952590959</v>
      </c>
      <c r="AW167" s="59">
        <f ca="1">INDEX('General Inputs'!$F$51:$AN$51,MATCH($H167,'General Inputs'!$F$50:$AN$50,0))*$AM167</f>
        <v>0</v>
      </c>
      <c r="AX167" s="59">
        <f ca="1">SUM(INDEX('General Inputs'!$F$51:$AN$51,MATCH($H167,'General Inputs'!$F$50:$AN$50,0))*$AG167,INDEX('General Inputs'!$F$51:$AN$51,MATCH($H167+$AL167,'General Inputs'!$F$50:$AN$50,0))*-$AH167)</f>
        <v>1240.3528114663727</v>
      </c>
      <c r="AY167" s="55"/>
      <c r="AZ167" s="59">
        <f ca="1">SUMPRODUCT($CA167:$DI167,'General Inputs'!$F$32:$AN$32,'General Inputs'!$F$52:$AN$52)/(1-Loss_ElectricEnergy)</f>
        <v>2055.8727903782792</v>
      </c>
      <c r="BA167" s="59">
        <f ca="1">SUMPRODUCT($DK167:$ES167,'General Inputs'!$F$33:$AN$33,'General Inputs'!$F$52:$AN$52)/(1-Loss_ElectricDemand)</f>
        <v>392.08288448633408</v>
      </c>
      <c r="BB167" s="59">
        <f ca="1">SUMPRODUCT($EU167:$GC167,'General Inputs'!$F$34:$AN$34,'General Inputs'!$F$52:$AN$52)/(1-Loss_GasEnergy)</f>
        <v>0</v>
      </c>
      <c r="BC167" s="59">
        <f ca="1">INDEX('General Inputs'!$F$52:$AN$52,MATCH($H167,'General Inputs'!$F$50:$AN$50,0))*$AI167</f>
        <v>689.0848952590959</v>
      </c>
      <c r="BD167" s="59">
        <f ca="1">INDEX('General Inputs'!$F$52:$AN$52,MATCH($H167,'General Inputs'!$F$50:$AN$50,0))*$AM167</f>
        <v>0</v>
      </c>
      <c r="BE167" s="55"/>
      <c r="BF167" s="59">
        <f ca="1">SUMPRODUCT($CA167:$DI167,OFFSET('General Inputs'!$F$40:$AN$40,MATCH($D167&amp;" Electric ($/kWh)",'General Inputs'!$E$40:$E$46,0),),'General Inputs'!$F$54:$AN$54)</f>
        <v>0</v>
      </c>
      <c r="BG167" s="59">
        <f ca="1">SUMPRODUCT($EU167:$GC167,OFFSET('General Inputs'!$F$40:$AN$40,MATCH($D167&amp;" Natural Gas ($/therm)",'General Inputs'!$E$40:$E$46,0),),'General Inputs'!$F$54:$AN$54)</f>
        <v>0</v>
      </c>
      <c r="BH167" s="59">
        <f ca="1">INDEX('General Inputs'!$F$54:$AN$54,MATCH($H167,'General Inputs'!$F$50:$AN$50,0))*$AI167</f>
        <v>689.0848952590959</v>
      </c>
      <c r="BI167" s="59">
        <f ca="1">SUM(INDEX('General Inputs'!$F$54:$AN$54,MATCH($H167,'General Inputs'!$F$50:$AN$50,0))*$AG167,INDEX('General Inputs'!$F$51:$AN$51,MATCH($H167+$AL167,'General Inputs'!$F$50:$AN$50,0))*-$AH167)</f>
        <v>1240.3528114663727</v>
      </c>
      <c r="BJ167" s="55"/>
      <c r="BK167" s="59">
        <f ca="1">SUMPRODUCT($CA167:$DI167,'General Inputs'!$F$32:$AN$32,'General Inputs'!$F$53:$AN$53)/(1-Loss_ElectricEnergy)</f>
        <v>2055.8727903782792</v>
      </c>
      <c r="BL167" s="59">
        <f ca="1">SUMPRODUCT($DK167:$ES167,'General Inputs'!$F$33:$AN$33,'General Inputs'!$F$53:$AN$53)/(1-Loss_ElectricDemand)</f>
        <v>392.08288448633408</v>
      </c>
      <c r="BM167" s="59">
        <f ca="1">SUMPRODUCT($EU167:$GC167,'General Inputs'!$F$34:$AN$34,'General Inputs'!$F$53:$AN$53)/(1-Loss_GasEnergy)</f>
        <v>0</v>
      </c>
      <c r="BN167" s="59">
        <f ca="1">INDEX('General Inputs'!$F$53:$AN$53,MATCH($H167,'General Inputs'!$F$50:$AN$50,0))*$AJ167</f>
        <v>0</v>
      </c>
      <c r="BO167" s="59">
        <f ca="1">SUMPRODUCT($CA167:$DI167,'General Inputs'!$F$35:$AN$35,'General Inputs'!$F$53:$AN$53)/(1-Loss_ElectricEnergy)</f>
        <v>801.82042902130831</v>
      </c>
      <c r="BP167" s="59">
        <f ca="1">INDEX('General Inputs'!$F$51:$AN$51,MATCH($H167,'General Inputs'!$F$50:$AN$50,0))*$AM167</f>
        <v>0</v>
      </c>
      <c r="BQ167" s="59">
        <f ca="1">SUM(INDEX('General Inputs'!$F$53:$AN$53,MATCH($H167,'General Inputs'!$F$50:$AN$50,0))*$AG167,INDEX('General Inputs'!$F$53:$AN$53,MATCH($H167+$AL167,'General Inputs'!$F$50:$AN$50,0))*-$AH167)</f>
        <v>1240.3528114663727</v>
      </c>
      <c r="BR167" s="55"/>
      <c r="BS167" s="59">
        <f ca="1">SUMPRODUCT($CA167:$DI167,'General Inputs'!$F$32:$AN$32,'General Inputs'!$F$55:$AN$55)/(1-Loss_ElectricEnergy)</f>
        <v>2055.8727903782792</v>
      </c>
      <c r="BT167" s="59">
        <f ca="1">SUMPRODUCT($DK167:$ES167,'General Inputs'!$F$33:$AN$33,'General Inputs'!$F$55:$AN$55)/(1-Loss_ElectricDemand)</f>
        <v>392.08288448633408</v>
      </c>
      <c r="BU167" s="59">
        <f ca="1">SUMPRODUCT($EU167:$GC167,'General Inputs'!$F$34:$AN$34,'General Inputs'!$F$55:$AN$55)/(1-Loss_GasEnergy)</f>
        <v>0</v>
      </c>
      <c r="BV167" s="59">
        <f ca="1">SUMPRODUCT($CA167:$DI167,OFFSET('General Inputs'!$F$40:$AN$40,MATCH($D167&amp;" Electric ($/kWh)",'General Inputs'!$E$40:$E$46,0),),'General Inputs'!$F$55:$AN$55)</f>
        <v>0</v>
      </c>
      <c r="BW167" s="59">
        <f ca="1">SUMPRODUCT($EU167:$GC167,OFFSET('General Inputs'!$F$40:$AN$40,MATCH($D167&amp;" Natural Gas ($/therm)",'General Inputs'!$E$40:$E$46,0),),'General Inputs'!$F$55:$AN$55)</f>
        <v>0</v>
      </c>
      <c r="BX167" s="59">
        <f ca="1">INDEX('General Inputs'!$F$55:$AN$55,MATCH($H167,'General Inputs'!$F$50:$AN$50,0))*$AI167</f>
        <v>689.0848952590959</v>
      </c>
      <c r="BY167" s="59">
        <f ca="1">INDEX('General Inputs'!$F$51:$AN$51,MATCH($H167,'General Inputs'!$F$50:$AN$50,0))*$AM167</f>
        <v>0</v>
      </c>
      <c r="BZ167" s="55"/>
      <c r="CA167" s="88">
        <f t="shared" ca="1" si="377"/>
        <v>0</v>
      </c>
      <c r="CB167" s="88">
        <f t="shared" ca="1" si="377"/>
        <v>12038.567999999999</v>
      </c>
      <c r="CC167" s="88">
        <f t="shared" ca="1" si="377"/>
        <v>12038.567999999999</v>
      </c>
      <c r="CD167" s="88">
        <f t="shared" ca="1" si="377"/>
        <v>12038.567999999999</v>
      </c>
      <c r="CE167" s="88">
        <f t="shared" ca="1" si="377"/>
        <v>12038.567999999999</v>
      </c>
      <c r="CF167" s="88">
        <f t="shared" ca="1" si="377"/>
        <v>12038.567999999999</v>
      </c>
      <c r="CG167" s="88">
        <f t="shared" ca="1" si="377"/>
        <v>12038.567999999999</v>
      </c>
      <c r="CH167" s="88">
        <f t="shared" ca="1" si="377"/>
        <v>12038.567999999999</v>
      </c>
      <c r="CI167" s="88">
        <f t="shared" ca="1" si="377"/>
        <v>12038.567999999999</v>
      </c>
      <c r="CJ167" s="88">
        <f t="shared" ca="1" si="377"/>
        <v>0</v>
      </c>
      <c r="CK167" s="88">
        <f t="shared" ca="1" si="378"/>
        <v>0</v>
      </c>
      <c r="CL167" s="88">
        <f t="shared" ca="1" si="378"/>
        <v>0</v>
      </c>
      <c r="CM167" s="88">
        <f t="shared" ca="1" si="378"/>
        <v>0</v>
      </c>
      <c r="CN167" s="88">
        <f t="shared" ca="1" si="378"/>
        <v>0</v>
      </c>
      <c r="CO167" s="88">
        <f t="shared" ca="1" si="378"/>
        <v>0</v>
      </c>
      <c r="CP167" s="88">
        <f t="shared" ca="1" si="378"/>
        <v>0</v>
      </c>
      <c r="CQ167" s="88">
        <f t="shared" ca="1" si="378"/>
        <v>0</v>
      </c>
      <c r="CR167" s="88">
        <f t="shared" ca="1" si="378"/>
        <v>0</v>
      </c>
      <c r="CS167" s="88">
        <f t="shared" ca="1" si="378"/>
        <v>0</v>
      </c>
      <c r="CT167" s="88">
        <f t="shared" ca="1" si="378"/>
        <v>0</v>
      </c>
      <c r="CU167" s="88">
        <f t="shared" ca="1" si="379"/>
        <v>0</v>
      </c>
      <c r="CV167" s="88">
        <f t="shared" ca="1" si="379"/>
        <v>0</v>
      </c>
      <c r="CW167" s="88">
        <f t="shared" ca="1" si="379"/>
        <v>0</v>
      </c>
      <c r="CX167" s="88">
        <f t="shared" ca="1" si="379"/>
        <v>0</v>
      </c>
      <c r="CY167" s="88">
        <f t="shared" ca="1" si="379"/>
        <v>0</v>
      </c>
      <c r="CZ167" s="88">
        <f t="shared" ca="1" si="379"/>
        <v>0</v>
      </c>
      <c r="DA167" s="88">
        <f t="shared" ca="1" si="379"/>
        <v>0</v>
      </c>
      <c r="DB167" s="88">
        <f t="shared" ca="1" si="379"/>
        <v>0</v>
      </c>
      <c r="DC167" s="88">
        <f t="shared" ca="1" si="379"/>
        <v>0</v>
      </c>
      <c r="DD167" s="88">
        <f t="shared" ca="1" si="379"/>
        <v>0</v>
      </c>
      <c r="DE167" s="88">
        <f t="shared" ca="1" si="379"/>
        <v>0</v>
      </c>
      <c r="DF167" s="88">
        <f t="shared" ca="1" si="379"/>
        <v>0</v>
      </c>
      <c r="DG167" s="88">
        <f t="shared" ca="1" si="379"/>
        <v>0</v>
      </c>
      <c r="DH167" s="88">
        <f t="shared" ca="1" si="379"/>
        <v>0</v>
      </c>
      <c r="DI167" s="88">
        <f t="shared" ca="1" si="379"/>
        <v>0</v>
      </c>
      <c r="DJ167" s="169"/>
      <c r="DK167" s="88">
        <f t="shared" ca="1" si="380"/>
        <v>0</v>
      </c>
      <c r="DL167" s="88">
        <f t="shared" ca="1" si="380"/>
        <v>3.1920000000000002</v>
      </c>
      <c r="DM167" s="88">
        <f t="shared" ca="1" si="380"/>
        <v>3.1920000000000002</v>
      </c>
      <c r="DN167" s="88">
        <f t="shared" ca="1" si="380"/>
        <v>3.1920000000000002</v>
      </c>
      <c r="DO167" s="88">
        <f t="shared" ca="1" si="380"/>
        <v>3.1920000000000002</v>
      </c>
      <c r="DP167" s="88">
        <f t="shared" ca="1" si="380"/>
        <v>3.1920000000000002</v>
      </c>
      <c r="DQ167" s="88">
        <f t="shared" ca="1" si="380"/>
        <v>3.1920000000000002</v>
      </c>
      <c r="DR167" s="88">
        <f t="shared" ca="1" si="380"/>
        <v>3.1920000000000002</v>
      </c>
      <c r="DS167" s="88">
        <f t="shared" ca="1" si="380"/>
        <v>3.1920000000000002</v>
      </c>
      <c r="DT167" s="88">
        <f t="shared" ca="1" si="380"/>
        <v>0</v>
      </c>
      <c r="DU167" s="88">
        <f t="shared" ca="1" si="381"/>
        <v>0</v>
      </c>
      <c r="DV167" s="88">
        <f t="shared" ca="1" si="381"/>
        <v>0</v>
      </c>
      <c r="DW167" s="88">
        <f t="shared" ca="1" si="381"/>
        <v>0</v>
      </c>
      <c r="DX167" s="88">
        <f t="shared" ca="1" si="381"/>
        <v>0</v>
      </c>
      <c r="DY167" s="88">
        <f t="shared" ca="1" si="381"/>
        <v>0</v>
      </c>
      <c r="DZ167" s="88">
        <f t="shared" ca="1" si="381"/>
        <v>0</v>
      </c>
      <c r="EA167" s="88">
        <f t="shared" ca="1" si="381"/>
        <v>0</v>
      </c>
      <c r="EB167" s="88">
        <f t="shared" ca="1" si="381"/>
        <v>0</v>
      </c>
      <c r="EC167" s="88">
        <f t="shared" ca="1" si="381"/>
        <v>0</v>
      </c>
      <c r="ED167" s="88">
        <f t="shared" ca="1" si="381"/>
        <v>0</v>
      </c>
      <c r="EE167" s="88">
        <f t="shared" ca="1" si="382"/>
        <v>0</v>
      </c>
      <c r="EF167" s="88">
        <f t="shared" ca="1" si="382"/>
        <v>0</v>
      </c>
      <c r="EG167" s="88">
        <f t="shared" ca="1" si="382"/>
        <v>0</v>
      </c>
      <c r="EH167" s="88">
        <f t="shared" ca="1" si="382"/>
        <v>0</v>
      </c>
      <c r="EI167" s="88">
        <f t="shared" ca="1" si="382"/>
        <v>0</v>
      </c>
      <c r="EJ167" s="88">
        <f t="shared" ca="1" si="382"/>
        <v>0</v>
      </c>
      <c r="EK167" s="88">
        <f t="shared" ca="1" si="382"/>
        <v>0</v>
      </c>
      <c r="EL167" s="88">
        <f t="shared" ca="1" si="382"/>
        <v>0</v>
      </c>
      <c r="EM167" s="88">
        <f t="shared" ca="1" si="382"/>
        <v>0</v>
      </c>
      <c r="EN167" s="88">
        <f t="shared" ca="1" si="382"/>
        <v>0</v>
      </c>
      <c r="EO167" s="88">
        <f t="shared" ca="1" si="382"/>
        <v>0</v>
      </c>
      <c r="EP167" s="88">
        <f t="shared" ca="1" si="382"/>
        <v>0</v>
      </c>
      <c r="EQ167" s="88">
        <f t="shared" ca="1" si="382"/>
        <v>0</v>
      </c>
      <c r="ER167" s="88">
        <f t="shared" ca="1" si="382"/>
        <v>0</v>
      </c>
      <c r="ES167" s="88">
        <f t="shared" ca="1" si="382"/>
        <v>0</v>
      </c>
      <c r="ET167" s="169"/>
      <c r="EU167" s="88">
        <f t="shared" ca="1" si="383"/>
        <v>0</v>
      </c>
      <c r="EV167" s="88">
        <f t="shared" ca="1" si="383"/>
        <v>0</v>
      </c>
      <c r="EW167" s="88">
        <f t="shared" ca="1" si="383"/>
        <v>0</v>
      </c>
      <c r="EX167" s="88">
        <f t="shared" ca="1" si="383"/>
        <v>0</v>
      </c>
      <c r="EY167" s="88">
        <f t="shared" ca="1" si="383"/>
        <v>0</v>
      </c>
      <c r="EZ167" s="88">
        <f t="shared" ca="1" si="383"/>
        <v>0</v>
      </c>
      <c r="FA167" s="88">
        <f t="shared" ca="1" si="383"/>
        <v>0</v>
      </c>
      <c r="FB167" s="88">
        <f t="shared" ca="1" si="383"/>
        <v>0</v>
      </c>
      <c r="FC167" s="88">
        <f t="shared" ca="1" si="383"/>
        <v>0</v>
      </c>
      <c r="FD167" s="88">
        <f t="shared" ca="1" si="383"/>
        <v>0</v>
      </c>
      <c r="FE167" s="88">
        <f t="shared" ca="1" si="384"/>
        <v>0</v>
      </c>
      <c r="FF167" s="88">
        <f t="shared" ca="1" si="384"/>
        <v>0</v>
      </c>
      <c r="FG167" s="88">
        <f t="shared" ca="1" si="384"/>
        <v>0</v>
      </c>
      <c r="FH167" s="88">
        <f t="shared" ca="1" si="384"/>
        <v>0</v>
      </c>
      <c r="FI167" s="88">
        <f t="shared" ca="1" si="384"/>
        <v>0</v>
      </c>
      <c r="FJ167" s="88">
        <f t="shared" ca="1" si="384"/>
        <v>0</v>
      </c>
      <c r="FK167" s="88">
        <f t="shared" ca="1" si="384"/>
        <v>0</v>
      </c>
      <c r="FL167" s="88">
        <f t="shared" ca="1" si="384"/>
        <v>0</v>
      </c>
      <c r="FM167" s="88">
        <f t="shared" ca="1" si="384"/>
        <v>0</v>
      </c>
      <c r="FN167" s="88">
        <f t="shared" ca="1" si="384"/>
        <v>0</v>
      </c>
      <c r="FO167" s="88">
        <f t="shared" ca="1" si="385"/>
        <v>0</v>
      </c>
      <c r="FP167" s="88">
        <f t="shared" ca="1" si="385"/>
        <v>0</v>
      </c>
      <c r="FQ167" s="88">
        <f t="shared" ca="1" si="385"/>
        <v>0</v>
      </c>
      <c r="FR167" s="88">
        <f t="shared" ca="1" si="385"/>
        <v>0</v>
      </c>
      <c r="FS167" s="88">
        <f t="shared" ca="1" si="385"/>
        <v>0</v>
      </c>
      <c r="FT167" s="88">
        <f t="shared" ca="1" si="385"/>
        <v>0</v>
      </c>
      <c r="FU167" s="88">
        <f t="shared" ca="1" si="385"/>
        <v>0</v>
      </c>
      <c r="FV167" s="88">
        <f t="shared" ca="1" si="385"/>
        <v>0</v>
      </c>
      <c r="FW167" s="88">
        <f t="shared" ca="1" si="385"/>
        <v>0</v>
      </c>
      <c r="FX167" s="88">
        <f t="shared" ca="1" si="385"/>
        <v>0</v>
      </c>
      <c r="FY167" s="88">
        <f t="shared" ca="1" si="385"/>
        <v>0</v>
      </c>
      <c r="FZ167" s="88">
        <f t="shared" ca="1" si="385"/>
        <v>0</v>
      </c>
      <c r="GA167" s="88">
        <f t="shared" ca="1" si="385"/>
        <v>0</v>
      </c>
      <c r="GB167" s="88">
        <f t="shared" ca="1" si="385"/>
        <v>0</v>
      </c>
      <c r="GC167" s="88">
        <f t="shared" ca="1" si="385"/>
        <v>0</v>
      </c>
      <c r="GD167" s="60"/>
    </row>
    <row r="168" spans="1:186" s="54" customFormat="1" ht="14.45" customHeight="1">
      <c r="A168" s="61"/>
      <c r="B168" s="100" t="str">
        <f t="shared" si="345"/>
        <v>C&amp;I_C&amp;I Prescriptive_0_Energy Star LED Lamp (6-10W)_2018</v>
      </c>
      <c r="C168" s="100">
        <f>INDEX('Measure Inputs'!$D:$D,MATCH($B168,'Measure Inputs'!$B:$B,0))</f>
        <v>120</v>
      </c>
      <c r="D168" s="101" t="s">
        <v>256</v>
      </c>
      <c r="E168" s="101" t="s">
        <v>255</v>
      </c>
      <c r="F168" s="101">
        <v>0</v>
      </c>
      <c r="G168" s="101" t="s">
        <v>358</v>
      </c>
      <c r="H168" s="101">
        <v>2018</v>
      </c>
      <c r="I168" s="55"/>
      <c r="J168" s="58">
        <f t="shared" ca="1" si="229"/>
        <v>2.9603943961362722</v>
      </c>
      <c r="K168" s="58">
        <f t="shared" ca="1" si="246"/>
        <v>3.1345352429678179</v>
      </c>
      <c r="L168" s="58">
        <f t="shared" ca="1" si="230"/>
        <v>0.94444444444444442</v>
      </c>
      <c r="M168" s="58">
        <f t="shared" ca="1" si="231"/>
        <v>3.9300625682993746</v>
      </c>
      <c r="N168" s="58">
        <f t="shared" ca="1" si="232"/>
        <v>3.1345352429678179</v>
      </c>
      <c r="O168" s="55"/>
      <c r="P168" s="175">
        <f ca="1">IFERROR(($AW168+AV168)/SUMPRODUCT($CA168:$DI168,'General Inputs'!$F$51:$AN$51),"n/a")</f>
        <v>1.1651054296293399E-2</v>
      </c>
      <c r="Q168" s="175">
        <f t="shared" ca="1" si="386"/>
        <v>7.0606404349753224E-2</v>
      </c>
      <c r="R168" s="56">
        <f t="shared" ca="1" si="364"/>
        <v>192.617088</v>
      </c>
      <c r="S168" s="55"/>
      <c r="T168" s="56">
        <f ca="1">INDEX(OFFSET('Measure Inputs'!$L$7,,,InputRows),$C168)</f>
        <v>200</v>
      </c>
      <c r="U168" s="134">
        <f ca="1">INDEX(OFFSET('Measure Inputs'!$T$7,,,InputRows),$C168)</f>
        <v>1</v>
      </c>
      <c r="V168" s="134">
        <f ca="1">INDEX(OFFSET('Measure Inputs'!$U$7,,,InputRows),$C168)</f>
        <v>1</v>
      </c>
      <c r="W168" s="55"/>
      <c r="X168" s="96">
        <f ca="1">INDEX(OFFSET('Measure Inputs'!$V$7,,,InputRows),$C168)*$T168*$V168*$U168</f>
        <v>24077.135999999999</v>
      </c>
      <c r="Y168" s="96">
        <f ca="1">INDEX(OFFSET('Measure Inputs'!$W$7,,,InputRows),$C168)*$T168*$V168*$U168</f>
        <v>6.3840000000000003</v>
      </c>
      <c r="Z168" s="96">
        <f ca="1">INDEX(OFFSET('Measure Inputs'!$X$7,,,InputRows),$C168)*$T168*$V168*$U168</f>
        <v>0</v>
      </c>
      <c r="AA168" s="55"/>
      <c r="AB168" s="96">
        <f ca="1">INDEX(OFFSET('Measure Inputs'!$Z$7,,,InputRows),$C168)*$T168*$V168*$U168</f>
        <v>0</v>
      </c>
      <c r="AC168" s="96">
        <f ca="1">INDEX(OFFSET('Measure Inputs'!$AA$7,,,InputRows),$C168)*$T168*$V168*$U168</f>
        <v>0</v>
      </c>
      <c r="AD168" s="96">
        <f ca="1">INDEX(OFFSET('Measure Inputs'!$AB$7,,,InputRows),$C168)*$T168*$V168*$U168</f>
        <v>0</v>
      </c>
      <c r="AE168" s="55"/>
      <c r="AF168" s="57">
        <f ca="1">INDEX(OFFSET('Measure Inputs'!$Q$7,,,InputRows),$C168)*$T168</f>
        <v>0</v>
      </c>
      <c r="AG168" s="57">
        <f ca="1">INDEX(OFFSET('Measure Inputs'!$P$7,,,InputRows),$C168)*$T168*$V168</f>
        <v>1800</v>
      </c>
      <c r="AH168" s="57">
        <f ca="1">INDEX(OFFSET('Measure Inputs'!$R$7,,,InputRows),$C168)*$T168*$V168</f>
        <v>0</v>
      </c>
      <c r="AI168" s="57">
        <f ca="1">INDEX(OFFSET('Measure Inputs'!$O$7,,,InputRows),$C168)*$T168</f>
        <v>1700</v>
      </c>
      <c r="AJ168" s="57">
        <f ca="1">INDEX(OFFSET('Measure Inputs'!$S$7,,,InputRows),$C168)*$T168</f>
        <v>0</v>
      </c>
      <c r="AK168" s="63">
        <f ca="1">INDEX(OFFSET('Measure Inputs'!$M$7,,,InputRows),$C168)</f>
        <v>8</v>
      </c>
      <c r="AL168" s="88">
        <f ca="1">INDEX(OFFSET('Measure Inputs'!$N$7,,,InputRows),$C168)</f>
        <v>0</v>
      </c>
      <c r="AM168" s="57">
        <f ca="1">SUMIFS(OFFSET('Program Inputs'!$N$5,,,TotalPrograms),OFFSET('Program Inputs'!$B$5,,,TotalPrograms),SUBSTITUTE($B168,"All","*"))+AF168</f>
        <v>0</v>
      </c>
      <c r="AN168" s="57">
        <f t="shared" ca="1" si="365"/>
        <v>1700</v>
      </c>
      <c r="AO168" s="55"/>
      <c r="AP168" s="59">
        <f t="shared" ca="1" si="366"/>
        <v>4895.9113497292265</v>
      </c>
      <c r="AQ168" s="59">
        <f t="shared" ca="1" si="367"/>
        <v>1653.8037486218302</v>
      </c>
      <c r="AR168" s="59">
        <f ca="1">SUMPRODUCT($CA168:$DI168,'General Inputs'!$F$32:$AN$32,'General Inputs'!$F$51:$AN$51)/(1-Loss_ElectricEnergy)</f>
        <v>4111.7455807565584</v>
      </c>
      <c r="AS168" s="59">
        <f ca="1">SUMPRODUCT($DK168:$ES168,'General Inputs'!$F$33:$AN$33,'General Inputs'!$F$51:$AN$51)/(1-Loss_ElectricDemand)</f>
        <v>784.16576897266816</v>
      </c>
      <c r="AT168" s="59">
        <f ca="1">SUMPRODUCT($EU168:$GC168,'General Inputs'!$F$34:$AN$34,'General Inputs'!$F$51:$AN$51)/(1-Loss_GasEnergy)</f>
        <v>0</v>
      </c>
      <c r="AU168" s="59">
        <f ca="1">INDEX('General Inputs'!$F$51:$AN$51,MATCH($H168,'General Inputs'!$F$50:$AN$50,0))*$AJ168</f>
        <v>0</v>
      </c>
      <c r="AV168" s="59">
        <f ca="1">INDEX('General Inputs'!$F$51:$AN$51,MATCH($H168,'General Inputs'!$F$50:$AN$50,0))*$AI168</f>
        <v>1561.925762587284</v>
      </c>
      <c r="AW168" s="59">
        <f ca="1">INDEX('General Inputs'!$F$51:$AN$51,MATCH($H168,'General Inputs'!$F$50:$AN$50,0))*$AM168</f>
        <v>0</v>
      </c>
      <c r="AX168" s="59">
        <f ca="1">SUM(INDEX('General Inputs'!$F$51:$AN$51,MATCH($H168,'General Inputs'!$F$50:$AN$50,0))*$AG168,INDEX('General Inputs'!$F$51:$AN$51,MATCH($H168+$AL168,'General Inputs'!$F$50:$AN$50,0))*-$AH168)</f>
        <v>1653.8037486218302</v>
      </c>
      <c r="AY168" s="55"/>
      <c r="AZ168" s="59">
        <f ca="1">SUMPRODUCT($CA168:$DI168,'General Inputs'!$F$32:$AN$32,'General Inputs'!$F$52:$AN$52)/(1-Loss_ElectricEnergy)</f>
        <v>4111.7455807565584</v>
      </c>
      <c r="BA168" s="59">
        <f ca="1">SUMPRODUCT($DK168:$ES168,'General Inputs'!$F$33:$AN$33,'General Inputs'!$F$52:$AN$52)/(1-Loss_ElectricDemand)</f>
        <v>784.16576897266816</v>
      </c>
      <c r="BB168" s="59">
        <f ca="1">SUMPRODUCT($EU168:$GC168,'General Inputs'!$F$34:$AN$34,'General Inputs'!$F$52:$AN$52)/(1-Loss_GasEnergy)</f>
        <v>0</v>
      </c>
      <c r="BC168" s="59">
        <f ca="1">INDEX('General Inputs'!$F$52:$AN$52,MATCH($H168,'General Inputs'!$F$50:$AN$50,0))*$AI168</f>
        <v>1561.925762587284</v>
      </c>
      <c r="BD168" s="59">
        <f ca="1">INDEX('General Inputs'!$F$52:$AN$52,MATCH($H168,'General Inputs'!$F$50:$AN$50,0))*$AM168</f>
        <v>0</v>
      </c>
      <c r="BE168" s="55"/>
      <c r="BF168" s="59">
        <f ca="1">SUMPRODUCT($CA168:$DI168,OFFSET('General Inputs'!$F$40:$AN$40,MATCH($D168&amp;" Electric ($/kWh)",'General Inputs'!$E$40:$E$46,0),),'General Inputs'!$F$54:$AN$54)</f>
        <v>0</v>
      </c>
      <c r="BG168" s="59">
        <f ca="1">SUMPRODUCT($EU168:$GC168,OFFSET('General Inputs'!$F$40:$AN$40,MATCH($D168&amp;" Natural Gas ($/therm)",'General Inputs'!$E$40:$E$46,0),),'General Inputs'!$F$54:$AN$54)</f>
        <v>0</v>
      </c>
      <c r="BH168" s="59">
        <f ca="1">INDEX('General Inputs'!$F$54:$AN$54,MATCH($H168,'General Inputs'!$F$50:$AN$50,0))*$AI168</f>
        <v>1561.925762587284</v>
      </c>
      <c r="BI168" s="59">
        <f ca="1">SUM(INDEX('General Inputs'!$F$54:$AN$54,MATCH($H168,'General Inputs'!$F$50:$AN$50,0))*$AG168,INDEX('General Inputs'!$F$51:$AN$51,MATCH($H168+$AL168,'General Inputs'!$F$50:$AN$50,0))*-$AH168)</f>
        <v>1653.8037486218302</v>
      </c>
      <c r="BJ168" s="55"/>
      <c r="BK168" s="59">
        <f ca="1">SUMPRODUCT($CA168:$DI168,'General Inputs'!$F$32:$AN$32,'General Inputs'!$F$53:$AN$53)/(1-Loss_ElectricEnergy)</f>
        <v>4111.7455807565584</v>
      </c>
      <c r="BL168" s="59">
        <f ca="1">SUMPRODUCT($DK168:$ES168,'General Inputs'!$F$33:$AN$33,'General Inputs'!$F$53:$AN$53)/(1-Loss_ElectricDemand)</f>
        <v>784.16576897266816</v>
      </c>
      <c r="BM168" s="59">
        <f ca="1">SUMPRODUCT($EU168:$GC168,'General Inputs'!$F$34:$AN$34,'General Inputs'!$F$53:$AN$53)/(1-Loss_GasEnergy)</f>
        <v>0</v>
      </c>
      <c r="BN168" s="59">
        <f ca="1">INDEX('General Inputs'!$F$53:$AN$53,MATCH($H168,'General Inputs'!$F$50:$AN$50,0))*$AJ168</f>
        <v>0</v>
      </c>
      <c r="BO168" s="59">
        <f ca="1">SUMPRODUCT($CA168:$DI168,'General Inputs'!$F$35:$AN$35,'General Inputs'!$F$53:$AN$53)/(1-Loss_ElectricEnergy)</f>
        <v>1603.6408580426166</v>
      </c>
      <c r="BP168" s="59">
        <f ca="1">INDEX('General Inputs'!$F$51:$AN$51,MATCH($H168,'General Inputs'!$F$50:$AN$50,0))*$AM168</f>
        <v>0</v>
      </c>
      <c r="BQ168" s="59">
        <f ca="1">SUM(INDEX('General Inputs'!$F$53:$AN$53,MATCH($H168,'General Inputs'!$F$50:$AN$50,0))*$AG168,INDEX('General Inputs'!$F$53:$AN$53,MATCH($H168+$AL168,'General Inputs'!$F$50:$AN$50,0))*-$AH168)</f>
        <v>1653.8037486218302</v>
      </c>
      <c r="BR168" s="55"/>
      <c r="BS168" s="59">
        <f ca="1">SUMPRODUCT($CA168:$DI168,'General Inputs'!$F$32:$AN$32,'General Inputs'!$F$55:$AN$55)/(1-Loss_ElectricEnergy)</f>
        <v>4111.7455807565584</v>
      </c>
      <c r="BT168" s="59">
        <f ca="1">SUMPRODUCT($DK168:$ES168,'General Inputs'!$F$33:$AN$33,'General Inputs'!$F$55:$AN$55)/(1-Loss_ElectricDemand)</f>
        <v>784.16576897266816</v>
      </c>
      <c r="BU168" s="59">
        <f ca="1">SUMPRODUCT($EU168:$GC168,'General Inputs'!$F$34:$AN$34,'General Inputs'!$F$55:$AN$55)/(1-Loss_GasEnergy)</f>
        <v>0</v>
      </c>
      <c r="BV168" s="59">
        <f ca="1">SUMPRODUCT($CA168:$DI168,OFFSET('General Inputs'!$F$40:$AN$40,MATCH($D168&amp;" Electric ($/kWh)",'General Inputs'!$E$40:$E$46,0),),'General Inputs'!$F$55:$AN$55)</f>
        <v>0</v>
      </c>
      <c r="BW168" s="59">
        <f ca="1">SUMPRODUCT($EU168:$GC168,OFFSET('General Inputs'!$F$40:$AN$40,MATCH($D168&amp;" Natural Gas ($/therm)",'General Inputs'!$E$40:$E$46,0),),'General Inputs'!$F$55:$AN$55)</f>
        <v>0</v>
      </c>
      <c r="BX168" s="59">
        <f ca="1">INDEX('General Inputs'!$F$55:$AN$55,MATCH($H168,'General Inputs'!$F$50:$AN$50,0))*$AI168</f>
        <v>1561.925762587284</v>
      </c>
      <c r="BY168" s="59">
        <f ca="1">INDEX('General Inputs'!$F$51:$AN$51,MATCH($H168,'General Inputs'!$F$50:$AN$50,0))*$AM168</f>
        <v>0</v>
      </c>
      <c r="BZ168" s="55"/>
      <c r="CA168" s="88">
        <f t="shared" ca="1" si="377"/>
        <v>0</v>
      </c>
      <c r="CB168" s="88">
        <f t="shared" ca="1" si="377"/>
        <v>24077.135999999999</v>
      </c>
      <c r="CC168" s="88">
        <f t="shared" ca="1" si="377"/>
        <v>24077.135999999999</v>
      </c>
      <c r="CD168" s="88">
        <f t="shared" ca="1" si="377"/>
        <v>24077.135999999999</v>
      </c>
      <c r="CE168" s="88">
        <f t="shared" ca="1" si="377"/>
        <v>24077.135999999999</v>
      </c>
      <c r="CF168" s="88">
        <f t="shared" ca="1" si="377"/>
        <v>24077.135999999999</v>
      </c>
      <c r="CG168" s="88">
        <f t="shared" ca="1" si="377"/>
        <v>24077.135999999999</v>
      </c>
      <c r="CH168" s="88">
        <f t="shared" ca="1" si="377"/>
        <v>24077.135999999999</v>
      </c>
      <c r="CI168" s="88">
        <f t="shared" ca="1" si="377"/>
        <v>24077.135999999999</v>
      </c>
      <c r="CJ168" s="88">
        <f t="shared" ca="1" si="377"/>
        <v>0</v>
      </c>
      <c r="CK168" s="88">
        <f t="shared" ca="1" si="378"/>
        <v>0</v>
      </c>
      <c r="CL168" s="88">
        <f t="shared" ca="1" si="378"/>
        <v>0</v>
      </c>
      <c r="CM168" s="88">
        <f t="shared" ca="1" si="378"/>
        <v>0</v>
      </c>
      <c r="CN168" s="88">
        <f t="shared" ca="1" si="378"/>
        <v>0</v>
      </c>
      <c r="CO168" s="88">
        <f t="shared" ca="1" si="378"/>
        <v>0</v>
      </c>
      <c r="CP168" s="88">
        <f t="shared" ca="1" si="378"/>
        <v>0</v>
      </c>
      <c r="CQ168" s="88">
        <f t="shared" ca="1" si="378"/>
        <v>0</v>
      </c>
      <c r="CR168" s="88">
        <f t="shared" ca="1" si="378"/>
        <v>0</v>
      </c>
      <c r="CS168" s="88">
        <f t="shared" ca="1" si="378"/>
        <v>0</v>
      </c>
      <c r="CT168" s="88">
        <f t="shared" ca="1" si="378"/>
        <v>0</v>
      </c>
      <c r="CU168" s="88">
        <f t="shared" ca="1" si="379"/>
        <v>0</v>
      </c>
      <c r="CV168" s="88">
        <f t="shared" ca="1" si="379"/>
        <v>0</v>
      </c>
      <c r="CW168" s="88">
        <f t="shared" ca="1" si="379"/>
        <v>0</v>
      </c>
      <c r="CX168" s="88">
        <f t="shared" ca="1" si="379"/>
        <v>0</v>
      </c>
      <c r="CY168" s="88">
        <f t="shared" ca="1" si="379"/>
        <v>0</v>
      </c>
      <c r="CZ168" s="88">
        <f t="shared" ca="1" si="379"/>
        <v>0</v>
      </c>
      <c r="DA168" s="88">
        <f t="shared" ca="1" si="379"/>
        <v>0</v>
      </c>
      <c r="DB168" s="88">
        <f t="shared" ca="1" si="379"/>
        <v>0</v>
      </c>
      <c r="DC168" s="88">
        <f t="shared" ca="1" si="379"/>
        <v>0</v>
      </c>
      <c r="DD168" s="88">
        <f t="shared" ca="1" si="379"/>
        <v>0</v>
      </c>
      <c r="DE168" s="88">
        <f t="shared" ca="1" si="379"/>
        <v>0</v>
      </c>
      <c r="DF168" s="88">
        <f t="shared" ca="1" si="379"/>
        <v>0</v>
      </c>
      <c r="DG168" s="88">
        <f t="shared" ca="1" si="379"/>
        <v>0</v>
      </c>
      <c r="DH168" s="88">
        <f t="shared" ca="1" si="379"/>
        <v>0</v>
      </c>
      <c r="DI168" s="88">
        <f t="shared" ca="1" si="379"/>
        <v>0</v>
      </c>
      <c r="DJ168" s="169"/>
      <c r="DK168" s="88">
        <f t="shared" ca="1" si="380"/>
        <v>0</v>
      </c>
      <c r="DL168" s="88">
        <f t="shared" ca="1" si="380"/>
        <v>6.3840000000000003</v>
      </c>
      <c r="DM168" s="88">
        <f t="shared" ca="1" si="380"/>
        <v>6.3840000000000003</v>
      </c>
      <c r="DN168" s="88">
        <f t="shared" ca="1" si="380"/>
        <v>6.3840000000000003</v>
      </c>
      <c r="DO168" s="88">
        <f t="shared" ca="1" si="380"/>
        <v>6.3840000000000003</v>
      </c>
      <c r="DP168" s="88">
        <f t="shared" ca="1" si="380"/>
        <v>6.3840000000000003</v>
      </c>
      <c r="DQ168" s="88">
        <f t="shared" ca="1" si="380"/>
        <v>6.3840000000000003</v>
      </c>
      <c r="DR168" s="88">
        <f t="shared" ca="1" si="380"/>
        <v>6.3840000000000003</v>
      </c>
      <c r="DS168" s="88">
        <f t="shared" ca="1" si="380"/>
        <v>6.3840000000000003</v>
      </c>
      <c r="DT168" s="88">
        <f t="shared" ca="1" si="380"/>
        <v>0</v>
      </c>
      <c r="DU168" s="88">
        <f t="shared" ca="1" si="381"/>
        <v>0</v>
      </c>
      <c r="DV168" s="88">
        <f t="shared" ca="1" si="381"/>
        <v>0</v>
      </c>
      <c r="DW168" s="88">
        <f t="shared" ca="1" si="381"/>
        <v>0</v>
      </c>
      <c r="DX168" s="88">
        <f t="shared" ca="1" si="381"/>
        <v>0</v>
      </c>
      <c r="DY168" s="88">
        <f t="shared" ca="1" si="381"/>
        <v>0</v>
      </c>
      <c r="DZ168" s="88">
        <f t="shared" ca="1" si="381"/>
        <v>0</v>
      </c>
      <c r="EA168" s="88">
        <f t="shared" ca="1" si="381"/>
        <v>0</v>
      </c>
      <c r="EB168" s="88">
        <f t="shared" ca="1" si="381"/>
        <v>0</v>
      </c>
      <c r="EC168" s="88">
        <f t="shared" ca="1" si="381"/>
        <v>0</v>
      </c>
      <c r="ED168" s="88">
        <f t="shared" ca="1" si="381"/>
        <v>0</v>
      </c>
      <c r="EE168" s="88">
        <f t="shared" ca="1" si="382"/>
        <v>0</v>
      </c>
      <c r="EF168" s="88">
        <f t="shared" ca="1" si="382"/>
        <v>0</v>
      </c>
      <c r="EG168" s="88">
        <f t="shared" ca="1" si="382"/>
        <v>0</v>
      </c>
      <c r="EH168" s="88">
        <f t="shared" ca="1" si="382"/>
        <v>0</v>
      </c>
      <c r="EI168" s="88">
        <f t="shared" ca="1" si="382"/>
        <v>0</v>
      </c>
      <c r="EJ168" s="88">
        <f t="shared" ca="1" si="382"/>
        <v>0</v>
      </c>
      <c r="EK168" s="88">
        <f t="shared" ca="1" si="382"/>
        <v>0</v>
      </c>
      <c r="EL168" s="88">
        <f t="shared" ca="1" si="382"/>
        <v>0</v>
      </c>
      <c r="EM168" s="88">
        <f t="shared" ca="1" si="382"/>
        <v>0</v>
      </c>
      <c r="EN168" s="88">
        <f t="shared" ca="1" si="382"/>
        <v>0</v>
      </c>
      <c r="EO168" s="88">
        <f t="shared" ca="1" si="382"/>
        <v>0</v>
      </c>
      <c r="EP168" s="88">
        <f t="shared" ca="1" si="382"/>
        <v>0</v>
      </c>
      <c r="EQ168" s="88">
        <f t="shared" ca="1" si="382"/>
        <v>0</v>
      </c>
      <c r="ER168" s="88">
        <f t="shared" ca="1" si="382"/>
        <v>0</v>
      </c>
      <c r="ES168" s="88">
        <f t="shared" ca="1" si="382"/>
        <v>0</v>
      </c>
      <c r="ET168" s="169"/>
      <c r="EU168" s="88">
        <f t="shared" ca="1" si="383"/>
        <v>0</v>
      </c>
      <c r="EV168" s="88">
        <f t="shared" ca="1" si="383"/>
        <v>0</v>
      </c>
      <c r="EW168" s="88">
        <f t="shared" ca="1" si="383"/>
        <v>0</v>
      </c>
      <c r="EX168" s="88">
        <f t="shared" ca="1" si="383"/>
        <v>0</v>
      </c>
      <c r="EY168" s="88">
        <f t="shared" ca="1" si="383"/>
        <v>0</v>
      </c>
      <c r="EZ168" s="88">
        <f t="shared" ca="1" si="383"/>
        <v>0</v>
      </c>
      <c r="FA168" s="88">
        <f t="shared" ca="1" si="383"/>
        <v>0</v>
      </c>
      <c r="FB168" s="88">
        <f t="shared" ca="1" si="383"/>
        <v>0</v>
      </c>
      <c r="FC168" s="88">
        <f t="shared" ca="1" si="383"/>
        <v>0</v>
      </c>
      <c r="FD168" s="88">
        <f t="shared" ca="1" si="383"/>
        <v>0</v>
      </c>
      <c r="FE168" s="88">
        <f t="shared" ca="1" si="384"/>
        <v>0</v>
      </c>
      <c r="FF168" s="88">
        <f t="shared" ca="1" si="384"/>
        <v>0</v>
      </c>
      <c r="FG168" s="88">
        <f t="shared" ca="1" si="384"/>
        <v>0</v>
      </c>
      <c r="FH168" s="88">
        <f t="shared" ca="1" si="384"/>
        <v>0</v>
      </c>
      <c r="FI168" s="88">
        <f t="shared" ca="1" si="384"/>
        <v>0</v>
      </c>
      <c r="FJ168" s="88">
        <f t="shared" ca="1" si="384"/>
        <v>0</v>
      </c>
      <c r="FK168" s="88">
        <f t="shared" ca="1" si="384"/>
        <v>0</v>
      </c>
      <c r="FL168" s="88">
        <f t="shared" ca="1" si="384"/>
        <v>0</v>
      </c>
      <c r="FM168" s="88">
        <f t="shared" ca="1" si="384"/>
        <v>0</v>
      </c>
      <c r="FN168" s="88">
        <f t="shared" ca="1" si="384"/>
        <v>0</v>
      </c>
      <c r="FO168" s="88">
        <f t="shared" ca="1" si="385"/>
        <v>0</v>
      </c>
      <c r="FP168" s="88">
        <f t="shared" ca="1" si="385"/>
        <v>0</v>
      </c>
      <c r="FQ168" s="88">
        <f t="shared" ca="1" si="385"/>
        <v>0</v>
      </c>
      <c r="FR168" s="88">
        <f t="shared" ca="1" si="385"/>
        <v>0</v>
      </c>
      <c r="FS168" s="88">
        <f t="shared" ca="1" si="385"/>
        <v>0</v>
      </c>
      <c r="FT168" s="88">
        <f t="shared" ca="1" si="385"/>
        <v>0</v>
      </c>
      <c r="FU168" s="88">
        <f t="shared" ca="1" si="385"/>
        <v>0</v>
      </c>
      <c r="FV168" s="88">
        <f t="shared" ca="1" si="385"/>
        <v>0</v>
      </c>
      <c r="FW168" s="88">
        <f t="shared" ca="1" si="385"/>
        <v>0</v>
      </c>
      <c r="FX168" s="88">
        <f t="shared" ca="1" si="385"/>
        <v>0</v>
      </c>
      <c r="FY168" s="88">
        <f t="shared" ca="1" si="385"/>
        <v>0</v>
      </c>
      <c r="FZ168" s="88">
        <f t="shared" ca="1" si="385"/>
        <v>0</v>
      </c>
      <c r="GA168" s="88">
        <f t="shared" ca="1" si="385"/>
        <v>0</v>
      </c>
      <c r="GB168" s="88">
        <f t="shared" ca="1" si="385"/>
        <v>0</v>
      </c>
      <c r="GC168" s="88">
        <f t="shared" ca="1" si="385"/>
        <v>0</v>
      </c>
      <c r="GD168" s="60"/>
    </row>
    <row r="169" spans="1:186" s="54" customFormat="1" ht="14.45" customHeight="1">
      <c r="A169" s="61"/>
      <c r="B169" s="100" t="str">
        <f t="shared" si="345"/>
        <v>C&amp;I_C&amp;I Prescriptive_0_Energy Star LED Lamp (11 to 20W)_2018</v>
      </c>
      <c r="C169" s="100">
        <f>INDEX('Measure Inputs'!$D:$D,MATCH($B169,'Measure Inputs'!$B:$B,0))</f>
        <v>121</v>
      </c>
      <c r="D169" s="101" t="s">
        <v>256</v>
      </c>
      <c r="E169" s="101" t="s">
        <v>255</v>
      </c>
      <c r="F169" s="101">
        <v>0</v>
      </c>
      <c r="G169" s="101" t="s">
        <v>357</v>
      </c>
      <c r="H169" s="101">
        <v>2018</v>
      </c>
      <c r="I169" s="55"/>
      <c r="J169" s="58">
        <f t="shared" ca="1" si="229"/>
        <v>2.6366012590588674</v>
      </c>
      <c r="K169" s="58">
        <f t="shared" ca="1" si="246"/>
        <v>3.3748496115953506</v>
      </c>
      <c r="L169" s="58">
        <f t="shared" ca="1" si="230"/>
        <v>0.78125</v>
      </c>
      <c r="M169" s="58">
        <f t="shared" ca="1" si="231"/>
        <v>3.5002119748916303</v>
      </c>
      <c r="N169" s="58">
        <f t="shared" ca="1" si="232"/>
        <v>3.3748496115953506</v>
      </c>
      <c r="O169" s="55"/>
      <c r="P169" s="175">
        <f ca="1">IFERROR(($AW169+AV169)/SUMPRODUCT($CA169:$DI169,'General Inputs'!$F$51:$AN$51),"n/a")</f>
        <v>1.0821412659096039E-2</v>
      </c>
      <c r="Q169" s="175">
        <f t="shared" ca="1" si="386"/>
        <v>6.5578703730420976E-2</v>
      </c>
      <c r="R169" s="56">
        <f t="shared" ca="1" si="364"/>
        <v>152.48852799999997</v>
      </c>
      <c r="S169" s="55"/>
      <c r="T169" s="56">
        <f ca="1">INDEX(OFFSET('Measure Inputs'!$L$7,,,InputRows),$C169)</f>
        <v>100</v>
      </c>
      <c r="U169" s="134">
        <f ca="1">INDEX(OFFSET('Measure Inputs'!$T$7,,,InputRows),$C169)</f>
        <v>1</v>
      </c>
      <c r="V169" s="134">
        <f ca="1">INDEX(OFFSET('Measure Inputs'!$U$7,,,InputRows),$C169)</f>
        <v>1</v>
      </c>
      <c r="W169" s="55"/>
      <c r="X169" s="96">
        <f ca="1">INDEX(OFFSET('Measure Inputs'!$V$7,,,InputRows),$C169)*$T169*$V169*$U169</f>
        <v>19061.065999999995</v>
      </c>
      <c r="Y169" s="96">
        <f ca="1">INDEX(OFFSET('Measure Inputs'!$W$7,,,InputRows),$C169)*$T169*$V169*$U169</f>
        <v>5.0540000000000003</v>
      </c>
      <c r="Z169" s="96">
        <f ca="1">INDEX(OFFSET('Measure Inputs'!$X$7,,,InputRows),$C169)*$T169*$V169*$U169</f>
        <v>0</v>
      </c>
      <c r="AA169" s="55"/>
      <c r="AB169" s="96">
        <f ca="1">INDEX(OFFSET('Measure Inputs'!$Z$7,,,InputRows),$C169)*$T169*$V169*$U169</f>
        <v>0</v>
      </c>
      <c r="AC169" s="96">
        <f ca="1">INDEX(OFFSET('Measure Inputs'!$AA$7,,,InputRows),$C169)*$T169*$V169*$U169</f>
        <v>0</v>
      </c>
      <c r="AD169" s="96">
        <f ca="1">INDEX(OFFSET('Measure Inputs'!$AB$7,,,InputRows),$C169)*$T169*$V169*$U169</f>
        <v>0</v>
      </c>
      <c r="AE169" s="55"/>
      <c r="AF169" s="57">
        <f ca="1">INDEX(OFFSET('Measure Inputs'!$Q$7,,,InputRows),$C169)*$T169</f>
        <v>0</v>
      </c>
      <c r="AG169" s="57">
        <f ca="1">INDEX(OFFSET('Measure Inputs'!$P$7,,,InputRows),$C169)*$T169*$V169</f>
        <v>1600</v>
      </c>
      <c r="AH169" s="57">
        <f ca="1">INDEX(OFFSET('Measure Inputs'!$R$7,,,InputRows),$C169)*$T169*$V169</f>
        <v>0</v>
      </c>
      <c r="AI169" s="57">
        <f ca="1">INDEX(OFFSET('Measure Inputs'!$O$7,,,InputRows),$C169)*$T169</f>
        <v>1250</v>
      </c>
      <c r="AJ169" s="57">
        <f ca="1">INDEX(OFFSET('Measure Inputs'!$S$7,,,InputRows),$C169)*$T169</f>
        <v>0</v>
      </c>
      <c r="AK169" s="63">
        <f ca="1">INDEX(OFFSET('Measure Inputs'!$M$7,,,InputRows),$C169)</f>
        <v>8</v>
      </c>
      <c r="AL169" s="88">
        <f ca="1">INDEX(OFFSET('Measure Inputs'!$N$7,,,InputRows),$C169)</f>
        <v>0</v>
      </c>
      <c r="AM169" s="57">
        <f ca="1">SUMIFS(OFFSET('Program Inputs'!$N$5,,,TotalPrograms),OFFSET('Program Inputs'!$B$5,,,TotalPrograms),SUBSTITUTE($B169,"All","*"))+AF169</f>
        <v>0</v>
      </c>
      <c r="AN169" s="57">
        <f t="shared" ca="1" si="365"/>
        <v>1250</v>
      </c>
      <c r="AO169" s="55"/>
      <c r="AP169" s="59">
        <f t="shared" ca="1" si="366"/>
        <v>3875.9298185356379</v>
      </c>
      <c r="AQ169" s="59">
        <f t="shared" ca="1" si="367"/>
        <v>1470.047776552738</v>
      </c>
      <c r="AR169" s="59">
        <f ca="1">SUMPRODUCT($CA169:$DI169,'General Inputs'!$F$32:$AN$32,'General Inputs'!$F$51:$AN$51)/(1-Loss_ElectricEnergy)</f>
        <v>3255.1319180989422</v>
      </c>
      <c r="AS169" s="59">
        <f ca="1">SUMPRODUCT($DK169:$ES169,'General Inputs'!$F$33:$AN$33,'General Inputs'!$F$51:$AN$51)/(1-Loss_ElectricDemand)</f>
        <v>620.79790043669561</v>
      </c>
      <c r="AT169" s="59">
        <f ca="1">SUMPRODUCT($EU169:$GC169,'General Inputs'!$F$34:$AN$34,'General Inputs'!$F$51:$AN$51)/(1-Loss_GasEnergy)</f>
        <v>0</v>
      </c>
      <c r="AU169" s="59">
        <f ca="1">INDEX('General Inputs'!$F$51:$AN$51,MATCH($H169,'General Inputs'!$F$50:$AN$50,0))*$AJ169</f>
        <v>0</v>
      </c>
      <c r="AV169" s="59">
        <f ca="1">INDEX('General Inputs'!$F$51:$AN$51,MATCH($H169,'General Inputs'!$F$50:$AN$50,0))*$AI169</f>
        <v>1148.4748254318265</v>
      </c>
      <c r="AW169" s="59">
        <f ca="1">INDEX('General Inputs'!$F$51:$AN$51,MATCH($H169,'General Inputs'!$F$50:$AN$50,0))*$AM169</f>
        <v>0</v>
      </c>
      <c r="AX169" s="59">
        <f ca="1">SUM(INDEX('General Inputs'!$F$51:$AN$51,MATCH($H169,'General Inputs'!$F$50:$AN$50,0))*$AG169,INDEX('General Inputs'!$F$51:$AN$51,MATCH($H169+$AL169,'General Inputs'!$F$50:$AN$50,0))*-$AH169)</f>
        <v>1470.047776552738</v>
      </c>
      <c r="AY169" s="55"/>
      <c r="AZ169" s="59">
        <f ca="1">SUMPRODUCT($CA169:$DI169,'General Inputs'!$F$32:$AN$32,'General Inputs'!$F$52:$AN$52)/(1-Loss_ElectricEnergy)</f>
        <v>3255.1319180989422</v>
      </c>
      <c r="BA169" s="59">
        <f ca="1">SUMPRODUCT($DK169:$ES169,'General Inputs'!$F$33:$AN$33,'General Inputs'!$F$52:$AN$52)/(1-Loss_ElectricDemand)</f>
        <v>620.79790043669561</v>
      </c>
      <c r="BB169" s="59">
        <f ca="1">SUMPRODUCT($EU169:$GC169,'General Inputs'!$F$34:$AN$34,'General Inputs'!$F$52:$AN$52)/(1-Loss_GasEnergy)</f>
        <v>0</v>
      </c>
      <c r="BC169" s="59">
        <f ca="1">INDEX('General Inputs'!$F$52:$AN$52,MATCH($H169,'General Inputs'!$F$50:$AN$50,0))*$AI169</f>
        <v>1148.4748254318265</v>
      </c>
      <c r="BD169" s="59">
        <f ca="1">INDEX('General Inputs'!$F$52:$AN$52,MATCH($H169,'General Inputs'!$F$50:$AN$50,0))*$AM169</f>
        <v>0</v>
      </c>
      <c r="BE169" s="55"/>
      <c r="BF169" s="59">
        <f ca="1">SUMPRODUCT($CA169:$DI169,OFFSET('General Inputs'!$F$40:$AN$40,MATCH($D169&amp;" Electric ($/kWh)",'General Inputs'!$E$40:$E$46,0),),'General Inputs'!$F$54:$AN$54)</f>
        <v>0</v>
      </c>
      <c r="BG169" s="59">
        <f ca="1">SUMPRODUCT($EU169:$GC169,OFFSET('General Inputs'!$F$40:$AN$40,MATCH($D169&amp;" Natural Gas ($/therm)",'General Inputs'!$E$40:$E$46,0),),'General Inputs'!$F$54:$AN$54)</f>
        <v>0</v>
      </c>
      <c r="BH169" s="59">
        <f ca="1">INDEX('General Inputs'!$F$54:$AN$54,MATCH($H169,'General Inputs'!$F$50:$AN$50,0))*$AI169</f>
        <v>1148.4748254318265</v>
      </c>
      <c r="BI169" s="59">
        <f ca="1">SUM(INDEX('General Inputs'!$F$54:$AN$54,MATCH($H169,'General Inputs'!$F$50:$AN$50,0))*$AG169,INDEX('General Inputs'!$F$51:$AN$51,MATCH($H169+$AL169,'General Inputs'!$F$50:$AN$50,0))*-$AH169)</f>
        <v>1470.047776552738</v>
      </c>
      <c r="BJ169" s="55"/>
      <c r="BK169" s="59">
        <f ca="1">SUMPRODUCT($CA169:$DI169,'General Inputs'!$F$32:$AN$32,'General Inputs'!$F$53:$AN$53)/(1-Loss_ElectricEnergy)</f>
        <v>3255.1319180989422</v>
      </c>
      <c r="BL169" s="59">
        <f ca="1">SUMPRODUCT($DK169:$ES169,'General Inputs'!$F$33:$AN$33,'General Inputs'!$F$53:$AN$53)/(1-Loss_ElectricDemand)</f>
        <v>620.79790043669561</v>
      </c>
      <c r="BM169" s="59">
        <f ca="1">SUMPRODUCT($EU169:$GC169,'General Inputs'!$F$34:$AN$34,'General Inputs'!$F$53:$AN$53)/(1-Loss_GasEnergy)</f>
        <v>0</v>
      </c>
      <c r="BN169" s="59">
        <f ca="1">INDEX('General Inputs'!$F$53:$AN$53,MATCH($H169,'General Inputs'!$F$50:$AN$50,0))*$AJ169</f>
        <v>0</v>
      </c>
      <c r="BO169" s="59">
        <f ca="1">SUMPRODUCT($CA169:$DI169,'General Inputs'!$F$35:$AN$35,'General Inputs'!$F$53:$AN$53)/(1-Loss_ElectricEnergy)</f>
        <v>1269.5490126170712</v>
      </c>
      <c r="BP169" s="59">
        <f ca="1">INDEX('General Inputs'!$F$51:$AN$51,MATCH($H169,'General Inputs'!$F$50:$AN$50,0))*$AM169</f>
        <v>0</v>
      </c>
      <c r="BQ169" s="59">
        <f ca="1">SUM(INDEX('General Inputs'!$F$53:$AN$53,MATCH($H169,'General Inputs'!$F$50:$AN$50,0))*$AG169,INDEX('General Inputs'!$F$53:$AN$53,MATCH($H169+$AL169,'General Inputs'!$F$50:$AN$50,0))*-$AH169)</f>
        <v>1470.047776552738</v>
      </c>
      <c r="BR169" s="55"/>
      <c r="BS169" s="59">
        <f ca="1">SUMPRODUCT($CA169:$DI169,'General Inputs'!$F$32:$AN$32,'General Inputs'!$F$55:$AN$55)/(1-Loss_ElectricEnergy)</f>
        <v>3255.1319180989422</v>
      </c>
      <c r="BT169" s="59">
        <f ca="1">SUMPRODUCT($DK169:$ES169,'General Inputs'!$F$33:$AN$33,'General Inputs'!$F$55:$AN$55)/(1-Loss_ElectricDemand)</f>
        <v>620.79790043669561</v>
      </c>
      <c r="BU169" s="59">
        <f ca="1">SUMPRODUCT($EU169:$GC169,'General Inputs'!$F$34:$AN$34,'General Inputs'!$F$55:$AN$55)/(1-Loss_GasEnergy)</f>
        <v>0</v>
      </c>
      <c r="BV169" s="59">
        <f ca="1">SUMPRODUCT($CA169:$DI169,OFFSET('General Inputs'!$F$40:$AN$40,MATCH($D169&amp;" Electric ($/kWh)",'General Inputs'!$E$40:$E$46,0),),'General Inputs'!$F$55:$AN$55)</f>
        <v>0</v>
      </c>
      <c r="BW169" s="59">
        <f ca="1">SUMPRODUCT($EU169:$GC169,OFFSET('General Inputs'!$F$40:$AN$40,MATCH($D169&amp;" Natural Gas ($/therm)",'General Inputs'!$E$40:$E$46,0),),'General Inputs'!$F$55:$AN$55)</f>
        <v>0</v>
      </c>
      <c r="BX169" s="59">
        <f ca="1">INDEX('General Inputs'!$F$55:$AN$55,MATCH($H169,'General Inputs'!$F$50:$AN$50,0))*$AI169</f>
        <v>1148.4748254318265</v>
      </c>
      <c r="BY169" s="59">
        <f ca="1">INDEX('General Inputs'!$F$51:$AN$51,MATCH($H169,'General Inputs'!$F$50:$AN$50,0))*$AM169</f>
        <v>0</v>
      </c>
      <c r="BZ169" s="55"/>
      <c r="CA169" s="88">
        <f t="shared" ca="1" si="377"/>
        <v>0</v>
      </c>
      <c r="CB169" s="88">
        <f t="shared" ca="1" si="377"/>
        <v>19061.065999999995</v>
      </c>
      <c r="CC169" s="88">
        <f t="shared" ca="1" si="377"/>
        <v>19061.065999999995</v>
      </c>
      <c r="CD169" s="88">
        <f t="shared" ca="1" si="377"/>
        <v>19061.065999999995</v>
      </c>
      <c r="CE169" s="88">
        <f t="shared" ca="1" si="377"/>
        <v>19061.065999999995</v>
      </c>
      <c r="CF169" s="88">
        <f t="shared" ca="1" si="377"/>
        <v>19061.065999999995</v>
      </c>
      <c r="CG169" s="88">
        <f t="shared" ca="1" si="377"/>
        <v>19061.065999999995</v>
      </c>
      <c r="CH169" s="88">
        <f t="shared" ca="1" si="377"/>
        <v>19061.065999999995</v>
      </c>
      <c r="CI169" s="88">
        <f t="shared" ca="1" si="377"/>
        <v>19061.065999999995</v>
      </c>
      <c r="CJ169" s="88">
        <f t="shared" ca="1" si="377"/>
        <v>0</v>
      </c>
      <c r="CK169" s="88">
        <f t="shared" ca="1" si="378"/>
        <v>0</v>
      </c>
      <c r="CL169" s="88">
        <f t="shared" ca="1" si="378"/>
        <v>0</v>
      </c>
      <c r="CM169" s="88">
        <f t="shared" ca="1" si="378"/>
        <v>0</v>
      </c>
      <c r="CN169" s="88">
        <f t="shared" ca="1" si="378"/>
        <v>0</v>
      </c>
      <c r="CO169" s="88">
        <f t="shared" ca="1" si="378"/>
        <v>0</v>
      </c>
      <c r="CP169" s="88">
        <f t="shared" ca="1" si="378"/>
        <v>0</v>
      </c>
      <c r="CQ169" s="88">
        <f t="shared" ca="1" si="378"/>
        <v>0</v>
      </c>
      <c r="CR169" s="88">
        <f t="shared" ca="1" si="378"/>
        <v>0</v>
      </c>
      <c r="CS169" s="88">
        <f t="shared" ca="1" si="378"/>
        <v>0</v>
      </c>
      <c r="CT169" s="88">
        <f t="shared" ca="1" si="378"/>
        <v>0</v>
      </c>
      <c r="CU169" s="88">
        <f t="shared" ca="1" si="379"/>
        <v>0</v>
      </c>
      <c r="CV169" s="88">
        <f t="shared" ca="1" si="379"/>
        <v>0</v>
      </c>
      <c r="CW169" s="88">
        <f t="shared" ca="1" si="379"/>
        <v>0</v>
      </c>
      <c r="CX169" s="88">
        <f t="shared" ca="1" si="379"/>
        <v>0</v>
      </c>
      <c r="CY169" s="88">
        <f t="shared" ca="1" si="379"/>
        <v>0</v>
      </c>
      <c r="CZ169" s="88">
        <f t="shared" ca="1" si="379"/>
        <v>0</v>
      </c>
      <c r="DA169" s="88">
        <f t="shared" ca="1" si="379"/>
        <v>0</v>
      </c>
      <c r="DB169" s="88">
        <f t="shared" ca="1" si="379"/>
        <v>0</v>
      </c>
      <c r="DC169" s="88">
        <f t="shared" ca="1" si="379"/>
        <v>0</v>
      </c>
      <c r="DD169" s="88">
        <f t="shared" ca="1" si="379"/>
        <v>0</v>
      </c>
      <c r="DE169" s="88">
        <f t="shared" ca="1" si="379"/>
        <v>0</v>
      </c>
      <c r="DF169" s="88">
        <f t="shared" ca="1" si="379"/>
        <v>0</v>
      </c>
      <c r="DG169" s="88">
        <f t="shared" ca="1" si="379"/>
        <v>0</v>
      </c>
      <c r="DH169" s="88">
        <f t="shared" ca="1" si="379"/>
        <v>0</v>
      </c>
      <c r="DI169" s="88">
        <f t="shared" ca="1" si="379"/>
        <v>0</v>
      </c>
      <c r="DJ169" s="169"/>
      <c r="DK169" s="88">
        <f t="shared" ca="1" si="380"/>
        <v>0</v>
      </c>
      <c r="DL169" s="88">
        <f t="shared" ca="1" si="380"/>
        <v>5.0540000000000003</v>
      </c>
      <c r="DM169" s="88">
        <f t="shared" ca="1" si="380"/>
        <v>5.0540000000000003</v>
      </c>
      <c r="DN169" s="88">
        <f t="shared" ca="1" si="380"/>
        <v>5.0540000000000003</v>
      </c>
      <c r="DO169" s="88">
        <f t="shared" ca="1" si="380"/>
        <v>5.0540000000000003</v>
      </c>
      <c r="DP169" s="88">
        <f t="shared" ca="1" si="380"/>
        <v>5.0540000000000003</v>
      </c>
      <c r="DQ169" s="88">
        <f t="shared" ca="1" si="380"/>
        <v>5.0540000000000003</v>
      </c>
      <c r="DR169" s="88">
        <f t="shared" ca="1" si="380"/>
        <v>5.0540000000000003</v>
      </c>
      <c r="DS169" s="88">
        <f t="shared" ca="1" si="380"/>
        <v>5.0540000000000003</v>
      </c>
      <c r="DT169" s="88">
        <f t="shared" ca="1" si="380"/>
        <v>0</v>
      </c>
      <c r="DU169" s="88">
        <f t="shared" ca="1" si="381"/>
        <v>0</v>
      </c>
      <c r="DV169" s="88">
        <f t="shared" ca="1" si="381"/>
        <v>0</v>
      </c>
      <c r="DW169" s="88">
        <f t="shared" ca="1" si="381"/>
        <v>0</v>
      </c>
      <c r="DX169" s="88">
        <f t="shared" ca="1" si="381"/>
        <v>0</v>
      </c>
      <c r="DY169" s="88">
        <f t="shared" ca="1" si="381"/>
        <v>0</v>
      </c>
      <c r="DZ169" s="88">
        <f t="shared" ca="1" si="381"/>
        <v>0</v>
      </c>
      <c r="EA169" s="88">
        <f t="shared" ca="1" si="381"/>
        <v>0</v>
      </c>
      <c r="EB169" s="88">
        <f t="shared" ca="1" si="381"/>
        <v>0</v>
      </c>
      <c r="EC169" s="88">
        <f t="shared" ca="1" si="381"/>
        <v>0</v>
      </c>
      <c r="ED169" s="88">
        <f t="shared" ca="1" si="381"/>
        <v>0</v>
      </c>
      <c r="EE169" s="88">
        <f t="shared" ca="1" si="382"/>
        <v>0</v>
      </c>
      <c r="EF169" s="88">
        <f t="shared" ca="1" si="382"/>
        <v>0</v>
      </c>
      <c r="EG169" s="88">
        <f t="shared" ca="1" si="382"/>
        <v>0</v>
      </c>
      <c r="EH169" s="88">
        <f t="shared" ca="1" si="382"/>
        <v>0</v>
      </c>
      <c r="EI169" s="88">
        <f t="shared" ca="1" si="382"/>
        <v>0</v>
      </c>
      <c r="EJ169" s="88">
        <f t="shared" ca="1" si="382"/>
        <v>0</v>
      </c>
      <c r="EK169" s="88">
        <f t="shared" ca="1" si="382"/>
        <v>0</v>
      </c>
      <c r="EL169" s="88">
        <f t="shared" ca="1" si="382"/>
        <v>0</v>
      </c>
      <c r="EM169" s="88">
        <f t="shared" ca="1" si="382"/>
        <v>0</v>
      </c>
      <c r="EN169" s="88">
        <f t="shared" ca="1" si="382"/>
        <v>0</v>
      </c>
      <c r="EO169" s="88">
        <f t="shared" ca="1" si="382"/>
        <v>0</v>
      </c>
      <c r="EP169" s="88">
        <f t="shared" ca="1" si="382"/>
        <v>0</v>
      </c>
      <c r="EQ169" s="88">
        <f t="shared" ca="1" si="382"/>
        <v>0</v>
      </c>
      <c r="ER169" s="88">
        <f t="shared" ca="1" si="382"/>
        <v>0</v>
      </c>
      <c r="ES169" s="88">
        <f t="shared" ca="1" si="382"/>
        <v>0</v>
      </c>
      <c r="ET169" s="169"/>
      <c r="EU169" s="88">
        <f t="shared" ca="1" si="383"/>
        <v>0</v>
      </c>
      <c r="EV169" s="88">
        <f t="shared" ca="1" si="383"/>
        <v>0</v>
      </c>
      <c r="EW169" s="88">
        <f t="shared" ca="1" si="383"/>
        <v>0</v>
      </c>
      <c r="EX169" s="88">
        <f t="shared" ca="1" si="383"/>
        <v>0</v>
      </c>
      <c r="EY169" s="88">
        <f t="shared" ca="1" si="383"/>
        <v>0</v>
      </c>
      <c r="EZ169" s="88">
        <f t="shared" ca="1" si="383"/>
        <v>0</v>
      </c>
      <c r="FA169" s="88">
        <f t="shared" ca="1" si="383"/>
        <v>0</v>
      </c>
      <c r="FB169" s="88">
        <f t="shared" ca="1" si="383"/>
        <v>0</v>
      </c>
      <c r="FC169" s="88">
        <f t="shared" ca="1" si="383"/>
        <v>0</v>
      </c>
      <c r="FD169" s="88">
        <f t="shared" ca="1" si="383"/>
        <v>0</v>
      </c>
      <c r="FE169" s="88">
        <f t="shared" ca="1" si="384"/>
        <v>0</v>
      </c>
      <c r="FF169" s="88">
        <f t="shared" ca="1" si="384"/>
        <v>0</v>
      </c>
      <c r="FG169" s="88">
        <f t="shared" ca="1" si="384"/>
        <v>0</v>
      </c>
      <c r="FH169" s="88">
        <f t="shared" ca="1" si="384"/>
        <v>0</v>
      </c>
      <c r="FI169" s="88">
        <f t="shared" ca="1" si="384"/>
        <v>0</v>
      </c>
      <c r="FJ169" s="88">
        <f t="shared" ca="1" si="384"/>
        <v>0</v>
      </c>
      <c r="FK169" s="88">
        <f t="shared" ca="1" si="384"/>
        <v>0</v>
      </c>
      <c r="FL169" s="88">
        <f t="shared" ca="1" si="384"/>
        <v>0</v>
      </c>
      <c r="FM169" s="88">
        <f t="shared" ca="1" si="384"/>
        <v>0</v>
      </c>
      <c r="FN169" s="88">
        <f t="shared" ca="1" si="384"/>
        <v>0</v>
      </c>
      <c r="FO169" s="88">
        <f t="shared" ca="1" si="385"/>
        <v>0</v>
      </c>
      <c r="FP169" s="88">
        <f t="shared" ca="1" si="385"/>
        <v>0</v>
      </c>
      <c r="FQ169" s="88">
        <f t="shared" ca="1" si="385"/>
        <v>0</v>
      </c>
      <c r="FR169" s="88">
        <f t="shared" ca="1" si="385"/>
        <v>0</v>
      </c>
      <c r="FS169" s="88">
        <f t="shared" ca="1" si="385"/>
        <v>0</v>
      </c>
      <c r="FT169" s="88">
        <f t="shared" ca="1" si="385"/>
        <v>0</v>
      </c>
      <c r="FU169" s="88">
        <f t="shared" ca="1" si="385"/>
        <v>0</v>
      </c>
      <c r="FV169" s="88">
        <f t="shared" ca="1" si="385"/>
        <v>0</v>
      </c>
      <c r="FW169" s="88">
        <f t="shared" ca="1" si="385"/>
        <v>0</v>
      </c>
      <c r="FX169" s="88">
        <f t="shared" ca="1" si="385"/>
        <v>0</v>
      </c>
      <c r="FY169" s="88">
        <f t="shared" ca="1" si="385"/>
        <v>0</v>
      </c>
      <c r="FZ169" s="88">
        <f t="shared" ca="1" si="385"/>
        <v>0</v>
      </c>
      <c r="GA169" s="88">
        <f t="shared" ca="1" si="385"/>
        <v>0</v>
      </c>
      <c r="GB169" s="88">
        <f t="shared" ca="1" si="385"/>
        <v>0</v>
      </c>
      <c r="GC169" s="88">
        <f t="shared" ca="1" si="385"/>
        <v>0</v>
      </c>
      <c r="GD169" s="60"/>
    </row>
    <row r="170" spans="1:186" s="54" customFormat="1" ht="14.45" customHeight="1">
      <c r="A170" s="61"/>
      <c r="B170" s="100" t="str">
        <f t="shared" si="345"/>
        <v>C&amp;I_C&amp;I Prescriptive_0_Energy Star LED Lamp (&gt;20W)_2018</v>
      </c>
      <c r="C170" s="100">
        <f>INDEX('Measure Inputs'!$D:$D,MATCH($B170,'Measure Inputs'!$B:$B,0))</f>
        <v>122</v>
      </c>
      <c r="D170" s="101" t="s">
        <v>256</v>
      </c>
      <c r="E170" s="101" t="s">
        <v>255</v>
      </c>
      <c r="F170" s="101">
        <v>0</v>
      </c>
      <c r="G170" s="101" t="s">
        <v>356</v>
      </c>
      <c r="H170" s="101">
        <v>2018</v>
      </c>
      <c r="I170" s="55"/>
      <c r="J170" s="58">
        <f t="shared" ca="1" si="229"/>
        <v>2.4221408695660411</v>
      </c>
      <c r="K170" s="58">
        <f t="shared" ca="1" si="246"/>
        <v>3.5524732753635266</v>
      </c>
      <c r="L170" s="58">
        <f t="shared" ca="1" si="230"/>
        <v>0.68181818181818188</v>
      </c>
      <c r="M170" s="58">
        <f t="shared" ca="1" si="231"/>
        <v>3.2155057376994884</v>
      </c>
      <c r="N170" s="58">
        <f t="shared" ca="1" si="232"/>
        <v>3.5524732753635266</v>
      </c>
      <c r="O170" s="55"/>
      <c r="P170" s="175">
        <f ca="1">IFERROR(($AW170+AV170)/SUMPRODUCT($CA170:$DI170,'General Inputs'!$F$51:$AN$51),"n/a")</f>
        <v>1.0280342026141235E-2</v>
      </c>
      <c r="Q170" s="175">
        <f t="shared" ca="1" si="386"/>
        <v>6.229976854389991E-2</v>
      </c>
      <c r="R170" s="56">
        <f t="shared" ca="1" si="364"/>
        <v>192.617088</v>
      </c>
      <c r="S170" s="55"/>
      <c r="T170" s="56">
        <f ca="1">INDEX(OFFSET('Measure Inputs'!$L$7,,,InputRows),$C170)</f>
        <v>100</v>
      </c>
      <c r="U170" s="134">
        <f ca="1">INDEX(OFFSET('Measure Inputs'!$T$7,,,InputRows),$C170)</f>
        <v>1</v>
      </c>
      <c r="V170" s="134">
        <f ca="1">INDEX(OFFSET('Measure Inputs'!$U$7,,,InputRows),$C170)</f>
        <v>1</v>
      </c>
      <c r="W170" s="55"/>
      <c r="X170" s="96">
        <f ca="1">INDEX(OFFSET('Measure Inputs'!$V$7,,,InputRows),$C170)*$T170*$V170*$U170</f>
        <v>24077.135999999999</v>
      </c>
      <c r="Y170" s="96">
        <f ca="1">INDEX(OFFSET('Measure Inputs'!$W$7,,,InputRows),$C170)*$T170*$V170*$U170</f>
        <v>6.3840000000000003</v>
      </c>
      <c r="Z170" s="96">
        <f ca="1">INDEX(OFFSET('Measure Inputs'!$X$7,,,InputRows),$C170)*$T170*$V170*$U170</f>
        <v>0</v>
      </c>
      <c r="AA170" s="55"/>
      <c r="AB170" s="96">
        <f ca="1">INDEX(OFFSET('Measure Inputs'!$Z$7,,,InputRows),$C170)*$T170*$V170*$U170</f>
        <v>0</v>
      </c>
      <c r="AC170" s="96">
        <f ca="1">INDEX(OFFSET('Measure Inputs'!$AA$7,,,InputRows),$C170)*$T170*$V170*$U170</f>
        <v>0</v>
      </c>
      <c r="AD170" s="96">
        <f ca="1">INDEX(OFFSET('Measure Inputs'!$AB$7,,,InputRows),$C170)*$T170*$V170*$U170</f>
        <v>0</v>
      </c>
      <c r="AE170" s="55"/>
      <c r="AF170" s="57">
        <f ca="1">INDEX(OFFSET('Measure Inputs'!$Q$7,,,InputRows),$C170)*$T170</f>
        <v>0</v>
      </c>
      <c r="AG170" s="57">
        <f ca="1">INDEX(OFFSET('Measure Inputs'!$P$7,,,InputRows),$C170)*$T170*$V170</f>
        <v>2200</v>
      </c>
      <c r="AH170" s="57">
        <f ca="1">INDEX(OFFSET('Measure Inputs'!$R$7,,,InputRows),$C170)*$T170*$V170</f>
        <v>0</v>
      </c>
      <c r="AI170" s="57">
        <f ca="1">INDEX(OFFSET('Measure Inputs'!$O$7,,,InputRows),$C170)*$T170</f>
        <v>1500</v>
      </c>
      <c r="AJ170" s="57">
        <f ca="1">INDEX(OFFSET('Measure Inputs'!$S$7,,,InputRows),$C170)*$T170</f>
        <v>0</v>
      </c>
      <c r="AK170" s="63">
        <f ca="1">INDEX(OFFSET('Measure Inputs'!$M$7,,,InputRows),$C170)</f>
        <v>8</v>
      </c>
      <c r="AL170" s="88">
        <f ca="1">INDEX(OFFSET('Measure Inputs'!$N$7,,,InputRows),$C170)</f>
        <v>0</v>
      </c>
      <c r="AM170" s="57">
        <f ca="1">SUMIFS(OFFSET('Program Inputs'!$N$5,,,TotalPrograms),OFFSET('Program Inputs'!$B$5,,,TotalPrograms),SUBSTITUTE($B170,"All","*"))+AF170</f>
        <v>0</v>
      </c>
      <c r="AN170" s="57">
        <f t="shared" ca="1" si="365"/>
        <v>1500</v>
      </c>
      <c r="AO170" s="55"/>
      <c r="AP170" s="59">
        <f t="shared" ca="1" si="366"/>
        <v>4895.9113497292265</v>
      </c>
      <c r="AQ170" s="59">
        <f t="shared" ca="1" si="367"/>
        <v>2021.3156927600146</v>
      </c>
      <c r="AR170" s="59">
        <f ca="1">SUMPRODUCT($CA170:$DI170,'General Inputs'!$F$32:$AN$32,'General Inputs'!$F$51:$AN$51)/(1-Loss_ElectricEnergy)</f>
        <v>4111.7455807565584</v>
      </c>
      <c r="AS170" s="59">
        <f ca="1">SUMPRODUCT($DK170:$ES170,'General Inputs'!$F$33:$AN$33,'General Inputs'!$F$51:$AN$51)/(1-Loss_ElectricDemand)</f>
        <v>784.16576897266816</v>
      </c>
      <c r="AT170" s="59">
        <f ca="1">SUMPRODUCT($EU170:$GC170,'General Inputs'!$F$34:$AN$34,'General Inputs'!$F$51:$AN$51)/(1-Loss_GasEnergy)</f>
        <v>0</v>
      </c>
      <c r="AU170" s="59">
        <f ca="1">INDEX('General Inputs'!$F$51:$AN$51,MATCH($H170,'General Inputs'!$F$50:$AN$50,0))*$AJ170</f>
        <v>0</v>
      </c>
      <c r="AV170" s="59">
        <f ca="1">INDEX('General Inputs'!$F$51:$AN$51,MATCH($H170,'General Inputs'!$F$50:$AN$50,0))*$AI170</f>
        <v>1378.1697905181918</v>
      </c>
      <c r="AW170" s="59">
        <f ca="1">INDEX('General Inputs'!$F$51:$AN$51,MATCH($H170,'General Inputs'!$F$50:$AN$50,0))*$AM170</f>
        <v>0</v>
      </c>
      <c r="AX170" s="59">
        <f ca="1">SUM(INDEX('General Inputs'!$F$51:$AN$51,MATCH($H170,'General Inputs'!$F$50:$AN$50,0))*$AG170,INDEX('General Inputs'!$F$51:$AN$51,MATCH($H170+$AL170,'General Inputs'!$F$50:$AN$50,0))*-$AH170)</f>
        <v>2021.3156927600146</v>
      </c>
      <c r="AY170" s="55"/>
      <c r="AZ170" s="59">
        <f ca="1">SUMPRODUCT($CA170:$DI170,'General Inputs'!$F$32:$AN$32,'General Inputs'!$F$52:$AN$52)/(1-Loss_ElectricEnergy)</f>
        <v>4111.7455807565584</v>
      </c>
      <c r="BA170" s="59">
        <f ca="1">SUMPRODUCT($DK170:$ES170,'General Inputs'!$F$33:$AN$33,'General Inputs'!$F$52:$AN$52)/(1-Loss_ElectricDemand)</f>
        <v>784.16576897266816</v>
      </c>
      <c r="BB170" s="59">
        <f ca="1">SUMPRODUCT($EU170:$GC170,'General Inputs'!$F$34:$AN$34,'General Inputs'!$F$52:$AN$52)/(1-Loss_GasEnergy)</f>
        <v>0</v>
      </c>
      <c r="BC170" s="59">
        <f ca="1">INDEX('General Inputs'!$F$52:$AN$52,MATCH($H170,'General Inputs'!$F$50:$AN$50,0))*$AI170</f>
        <v>1378.1697905181918</v>
      </c>
      <c r="BD170" s="59">
        <f ca="1">INDEX('General Inputs'!$F$52:$AN$52,MATCH($H170,'General Inputs'!$F$50:$AN$50,0))*$AM170</f>
        <v>0</v>
      </c>
      <c r="BE170" s="55"/>
      <c r="BF170" s="59">
        <f ca="1">SUMPRODUCT($CA170:$DI170,OFFSET('General Inputs'!$F$40:$AN$40,MATCH($D170&amp;" Electric ($/kWh)",'General Inputs'!$E$40:$E$46,0),),'General Inputs'!$F$54:$AN$54)</f>
        <v>0</v>
      </c>
      <c r="BG170" s="59">
        <f ca="1">SUMPRODUCT($EU170:$GC170,OFFSET('General Inputs'!$F$40:$AN$40,MATCH($D170&amp;" Natural Gas ($/therm)",'General Inputs'!$E$40:$E$46,0),),'General Inputs'!$F$54:$AN$54)</f>
        <v>0</v>
      </c>
      <c r="BH170" s="59">
        <f ca="1">INDEX('General Inputs'!$F$54:$AN$54,MATCH($H170,'General Inputs'!$F$50:$AN$50,0))*$AI170</f>
        <v>1378.1697905181918</v>
      </c>
      <c r="BI170" s="59">
        <f ca="1">SUM(INDEX('General Inputs'!$F$54:$AN$54,MATCH($H170,'General Inputs'!$F$50:$AN$50,0))*$AG170,INDEX('General Inputs'!$F$51:$AN$51,MATCH($H170+$AL170,'General Inputs'!$F$50:$AN$50,0))*-$AH170)</f>
        <v>2021.3156927600146</v>
      </c>
      <c r="BJ170" s="55"/>
      <c r="BK170" s="59">
        <f ca="1">SUMPRODUCT($CA170:$DI170,'General Inputs'!$F$32:$AN$32,'General Inputs'!$F$53:$AN$53)/(1-Loss_ElectricEnergy)</f>
        <v>4111.7455807565584</v>
      </c>
      <c r="BL170" s="59">
        <f ca="1">SUMPRODUCT($DK170:$ES170,'General Inputs'!$F$33:$AN$33,'General Inputs'!$F$53:$AN$53)/(1-Loss_ElectricDemand)</f>
        <v>784.16576897266816</v>
      </c>
      <c r="BM170" s="59">
        <f ca="1">SUMPRODUCT($EU170:$GC170,'General Inputs'!$F$34:$AN$34,'General Inputs'!$F$53:$AN$53)/(1-Loss_GasEnergy)</f>
        <v>0</v>
      </c>
      <c r="BN170" s="59">
        <f ca="1">INDEX('General Inputs'!$F$53:$AN$53,MATCH($H170,'General Inputs'!$F$50:$AN$50,0))*$AJ170</f>
        <v>0</v>
      </c>
      <c r="BO170" s="59">
        <f ca="1">SUMPRODUCT($CA170:$DI170,'General Inputs'!$F$35:$AN$35,'General Inputs'!$F$53:$AN$53)/(1-Loss_ElectricEnergy)</f>
        <v>1603.6408580426166</v>
      </c>
      <c r="BP170" s="59">
        <f ca="1">INDEX('General Inputs'!$F$51:$AN$51,MATCH($H170,'General Inputs'!$F$50:$AN$50,0))*$AM170</f>
        <v>0</v>
      </c>
      <c r="BQ170" s="59">
        <f ca="1">SUM(INDEX('General Inputs'!$F$53:$AN$53,MATCH($H170,'General Inputs'!$F$50:$AN$50,0))*$AG170,INDEX('General Inputs'!$F$53:$AN$53,MATCH($H170+$AL170,'General Inputs'!$F$50:$AN$50,0))*-$AH170)</f>
        <v>2021.3156927600146</v>
      </c>
      <c r="BR170" s="55"/>
      <c r="BS170" s="59">
        <f ca="1">SUMPRODUCT($CA170:$DI170,'General Inputs'!$F$32:$AN$32,'General Inputs'!$F$55:$AN$55)/(1-Loss_ElectricEnergy)</f>
        <v>4111.7455807565584</v>
      </c>
      <c r="BT170" s="59">
        <f ca="1">SUMPRODUCT($DK170:$ES170,'General Inputs'!$F$33:$AN$33,'General Inputs'!$F$55:$AN$55)/(1-Loss_ElectricDemand)</f>
        <v>784.16576897266816</v>
      </c>
      <c r="BU170" s="59">
        <f ca="1">SUMPRODUCT($EU170:$GC170,'General Inputs'!$F$34:$AN$34,'General Inputs'!$F$55:$AN$55)/(1-Loss_GasEnergy)</f>
        <v>0</v>
      </c>
      <c r="BV170" s="59">
        <f ca="1">SUMPRODUCT($CA170:$DI170,OFFSET('General Inputs'!$F$40:$AN$40,MATCH($D170&amp;" Electric ($/kWh)",'General Inputs'!$E$40:$E$46,0),),'General Inputs'!$F$55:$AN$55)</f>
        <v>0</v>
      </c>
      <c r="BW170" s="59">
        <f ca="1">SUMPRODUCT($EU170:$GC170,OFFSET('General Inputs'!$F$40:$AN$40,MATCH($D170&amp;" Natural Gas ($/therm)",'General Inputs'!$E$40:$E$46,0),),'General Inputs'!$F$55:$AN$55)</f>
        <v>0</v>
      </c>
      <c r="BX170" s="59">
        <f ca="1">INDEX('General Inputs'!$F$55:$AN$55,MATCH($H170,'General Inputs'!$F$50:$AN$50,0))*$AI170</f>
        <v>1378.1697905181918</v>
      </c>
      <c r="BY170" s="59">
        <f ca="1">INDEX('General Inputs'!$F$51:$AN$51,MATCH($H170,'General Inputs'!$F$50:$AN$50,0))*$AM170</f>
        <v>0</v>
      </c>
      <c r="BZ170" s="55"/>
      <c r="CA170" s="88">
        <f t="shared" ca="1" si="377"/>
        <v>0</v>
      </c>
      <c r="CB170" s="88">
        <f t="shared" ca="1" si="377"/>
        <v>24077.135999999999</v>
      </c>
      <c r="CC170" s="88">
        <f t="shared" ca="1" si="377"/>
        <v>24077.135999999999</v>
      </c>
      <c r="CD170" s="88">
        <f t="shared" ca="1" si="377"/>
        <v>24077.135999999999</v>
      </c>
      <c r="CE170" s="88">
        <f t="shared" ca="1" si="377"/>
        <v>24077.135999999999</v>
      </c>
      <c r="CF170" s="88">
        <f t="shared" ca="1" si="377"/>
        <v>24077.135999999999</v>
      </c>
      <c r="CG170" s="88">
        <f t="shared" ca="1" si="377"/>
        <v>24077.135999999999</v>
      </c>
      <c r="CH170" s="88">
        <f t="shared" ca="1" si="377"/>
        <v>24077.135999999999</v>
      </c>
      <c r="CI170" s="88">
        <f t="shared" ca="1" si="377"/>
        <v>24077.135999999999</v>
      </c>
      <c r="CJ170" s="88">
        <f t="shared" ca="1" si="377"/>
        <v>0</v>
      </c>
      <c r="CK170" s="88">
        <f t="shared" ca="1" si="378"/>
        <v>0</v>
      </c>
      <c r="CL170" s="88">
        <f t="shared" ca="1" si="378"/>
        <v>0</v>
      </c>
      <c r="CM170" s="88">
        <f t="shared" ca="1" si="378"/>
        <v>0</v>
      </c>
      <c r="CN170" s="88">
        <f t="shared" ca="1" si="378"/>
        <v>0</v>
      </c>
      <c r="CO170" s="88">
        <f t="shared" ca="1" si="378"/>
        <v>0</v>
      </c>
      <c r="CP170" s="88">
        <f t="shared" ca="1" si="378"/>
        <v>0</v>
      </c>
      <c r="CQ170" s="88">
        <f t="shared" ca="1" si="378"/>
        <v>0</v>
      </c>
      <c r="CR170" s="88">
        <f t="shared" ca="1" si="378"/>
        <v>0</v>
      </c>
      <c r="CS170" s="88">
        <f t="shared" ca="1" si="378"/>
        <v>0</v>
      </c>
      <c r="CT170" s="88">
        <f t="shared" ca="1" si="378"/>
        <v>0</v>
      </c>
      <c r="CU170" s="88">
        <f t="shared" ca="1" si="379"/>
        <v>0</v>
      </c>
      <c r="CV170" s="88">
        <f t="shared" ca="1" si="379"/>
        <v>0</v>
      </c>
      <c r="CW170" s="88">
        <f t="shared" ca="1" si="379"/>
        <v>0</v>
      </c>
      <c r="CX170" s="88">
        <f t="shared" ca="1" si="379"/>
        <v>0</v>
      </c>
      <c r="CY170" s="88">
        <f t="shared" ca="1" si="379"/>
        <v>0</v>
      </c>
      <c r="CZ170" s="88">
        <f t="shared" ca="1" si="379"/>
        <v>0</v>
      </c>
      <c r="DA170" s="88">
        <f t="shared" ca="1" si="379"/>
        <v>0</v>
      </c>
      <c r="DB170" s="88">
        <f t="shared" ca="1" si="379"/>
        <v>0</v>
      </c>
      <c r="DC170" s="88">
        <f t="shared" ca="1" si="379"/>
        <v>0</v>
      </c>
      <c r="DD170" s="88">
        <f t="shared" ca="1" si="379"/>
        <v>0</v>
      </c>
      <c r="DE170" s="88">
        <f t="shared" ca="1" si="379"/>
        <v>0</v>
      </c>
      <c r="DF170" s="88">
        <f t="shared" ca="1" si="379"/>
        <v>0</v>
      </c>
      <c r="DG170" s="88">
        <f t="shared" ca="1" si="379"/>
        <v>0</v>
      </c>
      <c r="DH170" s="88">
        <f t="shared" ca="1" si="379"/>
        <v>0</v>
      </c>
      <c r="DI170" s="88">
        <f t="shared" ca="1" si="379"/>
        <v>0</v>
      </c>
      <c r="DJ170" s="169"/>
      <c r="DK170" s="88">
        <f t="shared" ca="1" si="380"/>
        <v>0</v>
      </c>
      <c r="DL170" s="88">
        <f t="shared" ca="1" si="380"/>
        <v>6.3840000000000003</v>
      </c>
      <c r="DM170" s="88">
        <f t="shared" ca="1" si="380"/>
        <v>6.3840000000000003</v>
      </c>
      <c r="DN170" s="88">
        <f t="shared" ca="1" si="380"/>
        <v>6.3840000000000003</v>
      </c>
      <c r="DO170" s="88">
        <f t="shared" ca="1" si="380"/>
        <v>6.3840000000000003</v>
      </c>
      <c r="DP170" s="88">
        <f t="shared" ca="1" si="380"/>
        <v>6.3840000000000003</v>
      </c>
      <c r="DQ170" s="88">
        <f t="shared" ca="1" si="380"/>
        <v>6.3840000000000003</v>
      </c>
      <c r="DR170" s="88">
        <f t="shared" ca="1" si="380"/>
        <v>6.3840000000000003</v>
      </c>
      <c r="DS170" s="88">
        <f t="shared" ca="1" si="380"/>
        <v>6.3840000000000003</v>
      </c>
      <c r="DT170" s="88">
        <f t="shared" ca="1" si="380"/>
        <v>0</v>
      </c>
      <c r="DU170" s="88">
        <f t="shared" ca="1" si="381"/>
        <v>0</v>
      </c>
      <c r="DV170" s="88">
        <f t="shared" ca="1" si="381"/>
        <v>0</v>
      </c>
      <c r="DW170" s="88">
        <f t="shared" ca="1" si="381"/>
        <v>0</v>
      </c>
      <c r="DX170" s="88">
        <f t="shared" ca="1" si="381"/>
        <v>0</v>
      </c>
      <c r="DY170" s="88">
        <f t="shared" ca="1" si="381"/>
        <v>0</v>
      </c>
      <c r="DZ170" s="88">
        <f t="shared" ca="1" si="381"/>
        <v>0</v>
      </c>
      <c r="EA170" s="88">
        <f t="shared" ca="1" si="381"/>
        <v>0</v>
      </c>
      <c r="EB170" s="88">
        <f t="shared" ca="1" si="381"/>
        <v>0</v>
      </c>
      <c r="EC170" s="88">
        <f t="shared" ca="1" si="381"/>
        <v>0</v>
      </c>
      <c r="ED170" s="88">
        <f t="shared" ca="1" si="381"/>
        <v>0</v>
      </c>
      <c r="EE170" s="88">
        <f t="shared" ca="1" si="382"/>
        <v>0</v>
      </c>
      <c r="EF170" s="88">
        <f t="shared" ca="1" si="382"/>
        <v>0</v>
      </c>
      <c r="EG170" s="88">
        <f t="shared" ca="1" si="382"/>
        <v>0</v>
      </c>
      <c r="EH170" s="88">
        <f t="shared" ca="1" si="382"/>
        <v>0</v>
      </c>
      <c r="EI170" s="88">
        <f t="shared" ca="1" si="382"/>
        <v>0</v>
      </c>
      <c r="EJ170" s="88">
        <f t="shared" ca="1" si="382"/>
        <v>0</v>
      </c>
      <c r="EK170" s="88">
        <f t="shared" ca="1" si="382"/>
        <v>0</v>
      </c>
      <c r="EL170" s="88">
        <f t="shared" ca="1" si="382"/>
        <v>0</v>
      </c>
      <c r="EM170" s="88">
        <f t="shared" ca="1" si="382"/>
        <v>0</v>
      </c>
      <c r="EN170" s="88">
        <f t="shared" ca="1" si="382"/>
        <v>0</v>
      </c>
      <c r="EO170" s="88">
        <f t="shared" ca="1" si="382"/>
        <v>0</v>
      </c>
      <c r="EP170" s="88">
        <f t="shared" ca="1" si="382"/>
        <v>0</v>
      </c>
      <c r="EQ170" s="88">
        <f t="shared" ca="1" si="382"/>
        <v>0</v>
      </c>
      <c r="ER170" s="88">
        <f t="shared" ca="1" si="382"/>
        <v>0</v>
      </c>
      <c r="ES170" s="88">
        <f t="shared" ca="1" si="382"/>
        <v>0</v>
      </c>
      <c r="ET170" s="169"/>
      <c r="EU170" s="88">
        <f t="shared" ca="1" si="383"/>
        <v>0</v>
      </c>
      <c r="EV170" s="88">
        <f t="shared" ca="1" si="383"/>
        <v>0</v>
      </c>
      <c r="EW170" s="88">
        <f t="shared" ca="1" si="383"/>
        <v>0</v>
      </c>
      <c r="EX170" s="88">
        <f t="shared" ca="1" si="383"/>
        <v>0</v>
      </c>
      <c r="EY170" s="88">
        <f t="shared" ca="1" si="383"/>
        <v>0</v>
      </c>
      <c r="EZ170" s="88">
        <f t="shared" ca="1" si="383"/>
        <v>0</v>
      </c>
      <c r="FA170" s="88">
        <f t="shared" ca="1" si="383"/>
        <v>0</v>
      </c>
      <c r="FB170" s="88">
        <f t="shared" ca="1" si="383"/>
        <v>0</v>
      </c>
      <c r="FC170" s="88">
        <f t="shared" ca="1" si="383"/>
        <v>0</v>
      </c>
      <c r="FD170" s="88">
        <f t="shared" ca="1" si="383"/>
        <v>0</v>
      </c>
      <c r="FE170" s="88">
        <f t="shared" ca="1" si="384"/>
        <v>0</v>
      </c>
      <c r="FF170" s="88">
        <f t="shared" ca="1" si="384"/>
        <v>0</v>
      </c>
      <c r="FG170" s="88">
        <f t="shared" ca="1" si="384"/>
        <v>0</v>
      </c>
      <c r="FH170" s="88">
        <f t="shared" ca="1" si="384"/>
        <v>0</v>
      </c>
      <c r="FI170" s="88">
        <f t="shared" ca="1" si="384"/>
        <v>0</v>
      </c>
      <c r="FJ170" s="88">
        <f t="shared" ca="1" si="384"/>
        <v>0</v>
      </c>
      <c r="FK170" s="88">
        <f t="shared" ca="1" si="384"/>
        <v>0</v>
      </c>
      <c r="FL170" s="88">
        <f t="shared" ca="1" si="384"/>
        <v>0</v>
      </c>
      <c r="FM170" s="88">
        <f t="shared" ca="1" si="384"/>
        <v>0</v>
      </c>
      <c r="FN170" s="88">
        <f t="shared" ca="1" si="384"/>
        <v>0</v>
      </c>
      <c r="FO170" s="88">
        <f t="shared" ca="1" si="385"/>
        <v>0</v>
      </c>
      <c r="FP170" s="88">
        <f t="shared" ca="1" si="385"/>
        <v>0</v>
      </c>
      <c r="FQ170" s="88">
        <f t="shared" ca="1" si="385"/>
        <v>0</v>
      </c>
      <c r="FR170" s="88">
        <f t="shared" ca="1" si="385"/>
        <v>0</v>
      </c>
      <c r="FS170" s="88">
        <f t="shared" ca="1" si="385"/>
        <v>0</v>
      </c>
      <c r="FT170" s="88">
        <f t="shared" ca="1" si="385"/>
        <v>0</v>
      </c>
      <c r="FU170" s="88">
        <f t="shared" ca="1" si="385"/>
        <v>0</v>
      </c>
      <c r="FV170" s="88">
        <f t="shared" ca="1" si="385"/>
        <v>0</v>
      </c>
      <c r="FW170" s="88">
        <f t="shared" ca="1" si="385"/>
        <v>0</v>
      </c>
      <c r="FX170" s="88">
        <f t="shared" ca="1" si="385"/>
        <v>0</v>
      </c>
      <c r="FY170" s="88">
        <f t="shared" ca="1" si="385"/>
        <v>0</v>
      </c>
      <c r="FZ170" s="88">
        <f t="shared" ca="1" si="385"/>
        <v>0</v>
      </c>
      <c r="GA170" s="88">
        <f t="shared" ca="1" si="385"/>
        <v>0</v>
      </c>
      <c r="GB170" s="88">
        <f t="shared" ca="1" si="385"/>
        <v>0</v>
      </c>
      <c r="GC170" s="88">
        <f t="shared" ca="1" si="385"/>
        <v>0</v>
      </c>
      <c r="GD170" s="60"/>
    </row>
    <row r="171" spans="1:186" s="54" customFormat="1" ht="14.45" customHeight="1">
      <c r="A171" s="61"/>
      <c r="B171" s="100" t="str">
        <f t="shared" si="345"/>
        <v>C&amp;I_C&amp;I Prescriptive_0_High Performance T8 (1-2 Lamp)_2018</v>
      </c>
      <c r="C171" s="100">
        <f>INDEX('Measure Inputs'!$D:$D,MATCH($B171,'Measure Inputs'!$B:$B,0))</f>
        <v>123</v>
      </c>
      <c r="D171" s="101" t="s">
        <v>256</v>
      </c>
      <c r="E171" s="101" t="s">
        <v>255</v>
      </c>
      <c r="F171" s="101">
        <v>0</v>
      </c>
      <c r="G171" s="101" t="s">
        <v>289</v>
      </c>
      <c r="H171" s="101">
        <v>2018</v>
      </c>
      <c r="I171" s="55"/>
      <c r="J171" s="58">
        <f t="shared" ca="1" si="229"/>
        <v>0.93544771609768573</v>
      </c>
      <c r="K171" s="58">
        <f t="shared" ca="1" si="246"/>
        <v>1.8708954321953715</v>
      </c>
      <c r="L171" s="58">
        <f t="shared" ca="1" si="230"/>
        <v>0.5</v>
      </c>
      <c r="M171" s="58">
        <f t="shared" ca="1" si="231"/>
        <v>1.2306888305137729</v>
      </c>
      <c r="N171" s="58">
        <f t="shared" ca="1" si="232"/>
        <v>1.8708954321953715</v>
      </c>
      <c r="O171" s="55"/>
      <c r="P171" s="175">
        <f ca="1">IFERROR(($AW171+AV171)/SUMPRODUCT($CA171:$DI171,'General Inputs'!$F$51:$AN$51),"n/a")</f>
        <v>2.0258398932171344E-2</v>
      </c>
      <c r="Q171" s="175">
        <f t="shared" ca="1" si="386"/>
        <v>0.17942333340643174</v>
      </c>
      <c r="R171" s="56">
        <f t="shared" ca="1" si="364"/>
        <v>112.86157499999996</v>
      </c>
      <c r="S171" s="55"/>
      <c r="T171" s="56">
        <f ca="1">INDEX(OFFSET('Measure Inputs'!$L$7,,,InputRows),$C171)</f>
        <v>150</v>
      </c>
      <c r="U171" s="134">
        <f ca="1">INDEX(OFFSET('Measure Inputs'!$T$7,,,InputRows),$C171)</f>
        <v>1</v>
      </c>
      <c r="V171" s="134">
        <f ca="1">INDEX(OFFSET('Measure Inputs'!$U$7,,,InputRows),$C171)</f>
        <v>1</v>
      </c>
      <c r="W171" s="55"/>
      <c r="X171" s="96">
        <f ca="1">INDEX(OFFSET('Measure Inputs'!$V$7,,,InputRows),$C171)*$T171*$V171*$U171</f>
        <v>7524.1049999999996</v>
      </c>
      <c r="Y171" s="96">
        <f ca="1">INDEX(OFFSET('Measure Inputs'!$W$7,,,InputRows),$C171)*$T171*$V171*$U171</f>
        <v>1.9950000000000001</v>
      </c>
      <c r="Z171" s="96">
        <f ca="1">INDEX(OFFSET('Measure Inputs'!$X$7,,,InputRows),$C171)*$T171*$V171*$U171</f>
        <v>0</v>
      </c>
      <c r="AA171" s="55"/>
      <c r="AB171" s="96">
        <f ca="1">INDEX(OFFSET('Measure Inputs'!$Z$7,,,InputRows),$C171)*$T171*$V171*$U171</f>
        <v>0</v>
      </c>
      <c r="AC171" s="96">
        <f ca="1">INDEX(OFFSET('Measure Inputs'!$AA$7,,,InputRows),$C171)*$T171*$V171*$U171</f>
        <v>0</v>
      </c>
      <c r="AD171" s="96">
        <f ca="1">INDEX(OFFSET('Measure Inputs'!$AB$7,,,InputRows),$C171)*$T171*$V171*$U171</f>
        <v>0</v>
      </c>
      <c r="AE171" s="55"/>
      <c r="AF171" s="57">
        <f ca="1">INDEX(OFFSET('Measure Inputs'!$Q$7,,,InputRows),$C171)*$T171</f>
        <v>0</v>
      </c>
      <c r="AG171" s="57">
        <f ca="1">INDEX(OFFSET('Measure Inputs'!$P$7,,,InputRows),$C171)*$T171*$V171</f>
        <v>2700</v>
      </c>
      <c r="AH171" s="57">
        <f ca="1">INDEX(OFFSET('Measure Inputs'!$R$7,,,InputRows),$C171)*$T171*$V171</f>
        <v>0</v>
      </c>
      <c r="AI171" s="57">
        <f ca="1">INDEX(OFFSET('Measure Inputs'!$O$7,,,InputRows),$C171)*$T171</f>
        <v>1350</v>
      </c>
      <c r="AJ171" s="57">
        <f ca="1">INDEX(OFFSET('Measure Inputs'!$S$7,,,InputRows),$C171)*$T171</f>
        <v>0</v>
      </c>
      <c r="AK171" s="63">
        <f ca="1">INDEX(OFFSET('Measure Inputs'!$M$7,,,InputRows),$C171)</f>
        <v>15</v>
      </c>
      <c r="AL171" s="88">
        <f ca="1">INDEX(OFFSET('Measure Inputs'!$N$7,,,InputRows),$C171)</f>
        <v>0</v>
      </c>
      <c r="AM171" s="57">
        <f ca="1">SUMIFS(OFFSET('Program Inputs'!$N$5,,,TotalPrograms),OFFSET('Program Inputs'!$B$5,,,TotalPrograms),SUBSTITUTE($B171,"All","*"))+AF171</f>
        <v>0</v>
      </c>
      <c r="AN171" s="57">
        <f t="shared" ca="1" si="365"/>
        <v>1350</v>
      </c>
      <c r="AO171" s="55"/>
      <c r="AP171" s="59">
        <f t="shared" ca="1" si="366"/>
        <v>2320.5704092831234</v>
      </c>
      <c r="AQ171" s="59">
        <f t="shared" ca="1" si="367"/>
        <v>2480.7056229327454</v>
      </c>
      <c r="AR171" s="59">
        <f ca="1">SUMPRODUCT($CA171:$DI171,'General Inputs'!$F$32:$AN$32,'General Inputs'!$F$51:$AN$51)/(1-Loss_ElectricEnergy)</f>
        <v>1948.8905014042032</v>
      </c>
      <c r="AS171" s="59">
        <f ca="1">SUMPRODUCT($DK171:$ES171,'General Inputs'!$F$33:$AN$33,'General Inputs'!$F$51:$AN$51)/(1-Loss_ElectricDemand)</f>
        <v>371.67990787892035</v>
      </c>
      <c r="AT171" s="59">
        <f ca="1">SUMPRODUCT($EU171:$GC171,'General Inputs'!$F$34:$AN$34,'General Inputs'!$F$51:$AN$51)/(1-Loss_GasEnergy)</f>
        <v>0</v>
      </c>
      <c r="AU171" s="59">
        <f ca="1">INDEX('General Inputs'!$F$51:$AN$51,MATCH($H171,'General Inputs'!$F$50:$AN$50,0))*$AJ171</f>
        <v>0</v>
      </c>
      <c r="AV171" s="59">
        <f ca="1">INDEX('General Inputs'!$F$51:$AN$51,MATCH($H171,'General Inputs'!$F$50:$AN$50,0))*$AI171</f>
        <v>1240.3528114663727</v>
      </c>
      <c r="AW171" s="59">
        <f ca="1">INDEX('General Inputs'!$F$51:$AN$51,MATCH($H171,'General Inputs'!$F$50:$AN$50,0))*$AM171</f>
        <v>0</v>
      </c>
      <c r="AX171" s="59">
        <f ca="1">SUM(INDEX('General Inputs'!$F$51:$AN$51,MATCH($H171,'General Inputs'!$F$50:$AN$50,0))*$AG171,INDEX('General Inputs'!$F$51:$AN$51,MATCH($H171+$AL171,'General Inputs'!$F$50:$AN$50,0))*-$AH171)</f>
        <v>2480.7056229327454</v>
      </c>
      <c r="AY171" s="55"/>
      <c r="AZ171" s="59">
        <f ca="1">SUMPRODUCT($CA171:$DI171,'General Inputs'!$F$32:$AN$32,'General Inputs'!$F$52:$AN$52)/(1-Loss_ElectricEnergy)</f>
        <v>1948.8905014042032</v>
      </c>
      <c r="BA171" s="59">
        <f ca="1">SUMPRODUCT($DK171:$ES171,'General Inputs'!$F$33:$AN$33,'General Inputs'!$F$52:$AN$52)/(1-Loss_ElectricDemand)</f>
        <v>371.67990787892035</v>
      </c>
      <c r="BB171" s="59">
        <f ca="1">SUMPRODUCT($EU171:$GC171,'General Inputs'!$F$34:$AN$34,'General Inputs'!$F$52:$AN$52)/(1-Loss_GasEnergy)</f>
        <v>0</v>
      </c>
      <c r="BC171" s="59">
        <f ca="1">INDEX('General Inputs'!$F$52:$AN$52,MATCH($H171,'General Inputs'!$F$50:$AN$50,0))*$AI171</f>
        <v>1240.3528114663727</v>
      </c>
      <c r="BD171" s="59">
        <f ca="1">INDEX('General Inputs'!$F$52:$AN$52,MATCH($H171,'General Inputs'!$F$50:$AN$50,0))*$AM171</f>
        <v>0</v>
      </c>
      <c r="BE171" s="55"/>
      <c r="BF171" s="59">
        <f ca="1">SUMPRODUCT($CA171:$DI171,OFFSET('General Inputs'!$F$40:$AN$40,MATCH($D171&amp;" Electric ($/kWh)",'General Inputs'!$E$40:$E$46,0),),'General Inputs'!$F$54:$AN$54)</f>
        <v>0</v>
      </c>
      <c r="BG171" s="59">
        <f ca="1">SUMPRODUCT($EU171:$GC171,OFFSET('General Inputs'!$F$40:$AN$40,MATCH($D171&amp;" Natural Gas ($/therm)",'General Inputs'!$E$40:$E$46,0),),'General Inputs'!$F$54:$AN$54)</f>
        <v>0</v>
      </c>
      <c r="BH171" s="59">
        <f ca="1">INDEX('General Inputs'!$F$54:$AN$54,MATCH($H171,'General Inputs'!$F$50:$AN$50,0))*$AI171</f>
        <v>1240.3528114663727</v>
      </c>
      <c r="BI171" s="59">
        <f ca="1">SUM(INDEX('General Inputs'!$F$54:$AN$54,MATCH($H171,'General Inputs'!$F$50:$AN$50,0))*$AG171,INDEX('General Inputs'!$F$51:$AN$51,MATCH($H171+$AL171,'General Inputs'!$F$50:$AN$50,0))*-$AH171)</f>
        <v>2480.7056229327454</v>
      </c>
      <c r="BJ171" s="55"/>
      <c r="BK171" s="59">
        <f ca="1">SUMPRODUCT($CA171:$DI171,'General Inputs'!$F$32:$AN$32,'General Inputs'!$F$53:$AN$53)/(1-Loss_ElectricEnergy)</f>
        <v>1948.8905014042032</v>
      </c>
      <c r="BL171" s="59">
        <f ca="1">SUMPRODUCT($DK171:$ES171,'General Inputs'!$F$33:$AN$33,'General Inputs'!$F$53:$AN$53)/(1-Loss_ElectricDemand)</f>
        <v>371.67990787892035</v>
      </c>
      <c r="BM171" s="59">
        <f ca="1">SUMPRODUCT($EU171:$GC171,'General Inputs'!$F$34:$AN$34,'General Inputs'!$F$53:$AN$53)/(1-Loss_GasEnergy)</f>
        <v>0</v>
      </c>
      <c r="BN171" s="59">
        <f ca="1">INDEX('General Inputs'!$F$53:$AN$53,MATCH($H171,'General Inputs'!$F$50:$AN$50,0))*$AJ171</f>
        <v>0</v>
      </c>
      <c r="BO171" s="59">
        <f ca="1">SUMPRODUCT($CA171:$DI171,'General Inputs'!$F$35:$AN$35,'General Inputs'!$F$53:$AN$53)/(1-Loss_ElectricEnergy)</f>
        <v>732.40629265291716</v>
      </c>
      <c r="BP171" s="59">
        <f ca="1">INDEX('General Inputs'!$F$51:$AN$51,MATCH($H171,'General Inputs'!$F$50:$AN$50,0))*$AM171</f>
        <v>0</v>
      </c>
      <c r="BQ171" s="59">
        <f ca="1">SUM(INDEX('General Inputs'!$F$53:$AN$53,MATCH($H171,'General Inputs'!$F$50:$AN$50,0))*$AG171,INDEX('General Inputs'!$F$53:$AN$53,MATCH($H171+$AL171,'General Inputs'!$F$50:$AN$50,0))*-$AH171)</f>
        <v>2480.7056229327454</v>
      </c>
      <c r="BR171" s="55"/>
      <c r="BS171" s="59">
        <f ca="1">SUMPRODUCT($CA171:$DI171,'General Inputs'!$F$32:$AN$32,'General Inputs'!$F$55:$AN$55)/(1-Loss_ElectricEnergy)</f>
        <v>1948.8905014042032</v>
      </c>
      <c r="BT171" s="59">
        <f ca="1">SUMPRODUCT($DK171:$ES171,'General Inputs'!$F$33:$AN$33,'General Inputs'!$F$55:$AN$55)/(1-Loss_ElectricDemand)</f>
        <v>371.67990787892035</v>
      </c>
      <c r="BU171" s="59">
        <f ca="1">SUMPRODUCT($EU171:$GC171,'General Inputs'!$F$34:$AN$34,'General Inputs'!$F$55:$AN$55)/(1-Loss_GasEnergy)</f>
        <v>0</v>
      </c>
      <c r="BV171" s="59">
        <f ca="1">SUMPRODUCT($CA171:$DI171,OFFSET('General Inputs'!$F$40:$AN$40,MATCH($D171&amp;" Electric ($/kWh)",'General Inputs'!$E$40:$E$46,0),),'General Inputs'!$F$55:$AN$55)</f>
        <v>0</v>
      </c>
      <c r="BW171" s="59">
        <f ca="1">SUMPRODUCT($EU171:$GC171,OFFSET('General Inputs'!$F$40:$AN$40,MATCH($D171&amp;" Natural Gas ($/therm)",'General Inputs'!$E$40:$E$46,0),),'General Inputs'!$F$55:$AN$55)</f>
        <v>0</v>
      </c>
      <c r="BX171" s="59">
        <f ca="1">INDEX('General Inputs'!$F$55:$AN$55,MATCH($H171,'General Inputs'!$F$50:$AN$50,0))*$AI171</f>
        <v>1240.3528114663727</v>
      </c>
      <c r="BY171" s="59">
        <f ca="1">INDEX('General Inputs'!$F$51:$AN$51,MATCH($H171,'General Inputs'!$F$50:$AN$50,0))*$AM171</f>
        <v>0</v>
      </c>
      <c r="BZ171" s="55"/>
      <c r="CA171" s="88">
        <f t="shared" ca="1" si="377"/>
        <v>0</v>
      </c>
      <c r="CB171" s="88">
        <f t="shared" ca="1" si="377"/>
        <v>7524.1049999999996</v>
      </c>
      <c r="CC171" s="88">
        <f t="shared" ca="1" si="377"/>
        <v>7524.1049999999996</v>
      </c>
      <c r="CD171" s="88">
        <f t="shared" ca="1" si="377"/>
        <v>7524.1049999999996</v>
      </c>
      <c r="CE171" s="88">
        <f t="shared" ca="1" si="377"/>
        <v>7524.1049999999996</v>
      </c>
      <c r="CF171" s="88">
        <f t="shared" ca="1" si="377"/>
        <v>7524.1049999999996</v>
      </c>
      <c r="CG171" s="88">
        <f t="shared" ca="1" si="377"/>
        <v>7524.1049999999996</v>
      </c>
      <c r="CH171" s="88">
        <f t="shared" ca="1" si="377"/>
        <v>7524.1049999999996</v>
      </c>
      <c r="CI171" s="88">
        <f t="shared" ca="1" si="377"/>
        <v>7524.1049999999996</v>
      </c>
      <c r="CJ171" s="88">
        <f t="shared" ca="1" si="377"/>
        <v>7524.1049999999996</v>
      </c>
      <c r="CK171" s="88">
        <f t="shared" ca="1" si="378"/>
        <v>7524.1049999999996</v>
      </c>
      <c r="CL171" s="88">
        <f t="shared" ca="1" si="378"/>
        <v>7524.1049999999996</v>
      </c>
      <c r="CM171" s="88">
        <f t="shared" ca="1" si="378"/>
        <v>7524.1049999999996</v>
      </c>
      <c r="CN171" s="88">
        <f t="shared" ca="1" si="378"/>
        <v>7524.1049999999996</v>
      </c>
      <c r="CO171" s="88">
        <f t="shared" ca="1" si="378"/>
        <v>7524.1049999999996</v>
      </c>
      <c r="CP171" s="88">
        <f t="shared" ca="1" si="378"/>
        <v>7524.1049999999996</v>
      </c>
      <c r="CQ171" s="88">
        <f t="shared" ca="1" si="378"/>
        <v>0</v>
      </c>
      <c r="CR171" s="88">
        <f t="shared" ca="1" si="378"/>
        <v>0</v>
      </c>
      <c r="CS171" s="88">
        <f t="shared" ca="1" si="378"/>
        <v>0</v>
      </c>
      <c r="CT171" s="88">
        <f t="shared" ca="1" si="378"/>
        <v>0</v>
      </c>
      <c r="CU171" s="88">
        <f t="shared" ca="1" si="379"/>
        <v>0</v>
      </c>
      <c r="CV171" s="88">
        <f t="shared" ca="1" si="379"/>
        <v>0</v>
      </c>
      <c r="CW171" s="88">
        <f t="shared" ca="1" si="379"/>
        <v>0</v>
      </c>
      <c r="CX171" s="88">
        <f t="shared" ca="1" si="379"/>
        <v>0</v>
      </c>
      <c r="CY171" s="88">
        <f t="shared" ca="1" si="379"/>
        <v>0</v>
      </c>
      <c r="CZ171" s="88">
        <f t="shared" ca="1" si="379"/>
        <v>0</v>
      </c>
      <c r="DA171" s="88">
        <f t="shared" ca="1" si="379"/>
        <v>0</v>
      </c>
      <c r="DB171" s="88">
        <f t="shared" ca="1" si="379"/>
        <v>0</v>
      </c>
      <c r="DC171" s="88">
        <f t="shared" ca="1" si="379"/>
        <v>0</v>
      </c>
      <c r="DD171" s="88">
        <f t="shared" ca="1" si="379"/>
        <v>0</v>
      </c>
      <c r="DE171" s="88">
        <f t="shared" ca="1" si="379"/>
        <v>0</v>
      </c>
      <c r="DF171" s="88">
        <f t="shared" ca="1" si="379"/>
        <v>0</v>
      </c>
      <c r="DG171" s="88">
        <f t="shared" ca="1" si="379"/>
        <v>0</v>
      </c>
      <c r="DH171" s="88">
        <f t="shared" ca="1" si="379"/>
        <v>0</v>
      </c>
      <c r="DI171" s="88">
        <f t="shared" ca="1" si="379"/>
        <v>0</v>
      </c>
      <c r="DJ171" s="169"/>
      <c r="DK171" s="88">
        <f t="shared" ca="1" si="380"/>
        <v>0</v>
      </c>
      <c r="DL171" s="88">
        <f t="shared" ca="1" si="380"/>
        <v>1.9950000000000001</v>
      </c>
      <c r="DM171" s="88">
        <f t="shared" ca="1" si="380"/>
        <v>1.9950000000000001</v>
      </c>
      <c r="DN171" s="88">
        <f t="shared" ca="1" si="380"/>
        <v>1.9950000000000001</v>
      </c>
      <c r="DO171" s="88">
        <f t="shared" ca="1" si="380"/>
        <v>1.9950000000000001</v>
      </c>
      <c r="DP171" s="88">
        <f t="shared" ca="1" si="380"/>
        <v>1.9950000000000001</v>
      </c>
      <c r="DQ171" s="88">
        <f t="shared" ca="1" si="380"/>
        <v>1.9950000000000001</v>
      </c>
      <c r="DR171" s="88">
        <f t="shared" ca="1" si="380"/>
        <v>1.9950000000000001</v>
      </c>
      <c r="DS171" s="88">
        <f t="shared" ca="1" si="380"/>
        <v>1.9950000000000001</v>
      </c>
      <c r="DT171" s="88">
        <f t="shared" ca="1" si="380"/>
        <v>1.9950000000000001</v>
      </c>
      <c r="DU171" s="88">
        <f t="shared" ca="1" si="381"/>
        <v>1.9950000000000001</v>
      </c>
      <c r="DV171" s="88">
        <f t="shared" ca="1" si="381"/>
        <v>1.9950000000000001</v>
      </c>
      <c r="DW171" s="88">
        <f t="shared" ca="1" si="381"/>
        <v>1.9950000000000001</v>
      </c>
      <c r="DX171" s="88">
        <f t="shared" ca="1" si="381"/>
        <v>1.9950000000000001</v>
      </c>
      <c r="DY171" s="88">
        <f t="shared" ca="1" si="381"/>
        <v>1.9950000000000001</v>
      </c>
      <c r="DZ171" s="88">
        <f t="shared" ca="1" si="381"/>
        <v>1.9950000000000001</v>
      </c>
      <c r="EA171" s="88">
        <f t="shared" ca="1" si="381"/>
        <v>0</v>
      </c>
      <c r="EB171" s="88">
        <f t="shared" ca="1" si="381"/>
        <v>0</v>
      </c>
      <c r="EC171" s="88">
        <f t="shared" ca="1" si="381"/>
        <v>0</v>
      </c>
      <c r="ED171" s="88">
        <f t="shared" ca="1" si="381"/>
        <v>0</v>
      </c>
      <c r="EE171" s="88">
        <f t="shared" ca="1" si="382"/>
        <v>0</v>
      </c>
      <c r="EF171" s="88">
        <f t="shared" ca="1" si="382"/>
        <v>0</v>
      </c>
      <c r="EG171" s="88">
        <f t="shared" ca="1" si="382"/>
        <v>0</v>
      </c>
      <c r="EH171" s="88">
        <f t="shared" ca="1" si="382"/>
        <v>0</v>
      </c>
      <c r="EI171" s="88">
        <f t="shared" ca="1" si="382"/>
        <v>0</v>
      </c>
      <c r="EJ171" s="88">
        <f t="shared" ca="1" si="382"/>
        <v>0</v>
      </c>
      <c r="EK171" s="88">
        <f t="shared" ca="1" si="382"/>
        <v>0</v>
      </c>
      <c r="EL171" s="88">
        <f t="shared" ca="1" si="382"/>
        <v>0</v>
      </c>
      <c r="EM171" s="88">
        <f t="shared" ca="1" si="382"/>
        <v>0</v>
      </c>
      <c r="EN171" s="88">
        <f t="shared" ca="1" si="382"/>
        <v>0</v>
      </c>
      <c r="EO171" s="88">
        <f t="shared" ca="1" si="382"/>
        <v>0</v>
      </c>
      <c r="EP171" s="88">
        <f t="shared" ca="1" si="382"/>
        <v>0</v>
      </c>
      <c r="EQ171" s="88">
        <f t="shared" ca="1" si="382"/>
        <v>0</v>
      </c>
      <c r="ER171" s="88">
        <f t="shared" ca="1" si="382"/>
        <v>0</v>
      </c>
      <c r="ES171" s="88">
        <f t="shared" ca="1" si="382"/>
        <v>0</v>
      </c>
      <c r="ET171" s="169"/>
      <c r="EU171" s="88">
        <f t="shared" ca="1" si="383"/>
        <v>0</v>
      </c>
      <c r="EV171" s="88">
        <f t="shared" ca="1" si="383"/>
        <v>0</v>
      </c>
      <c r="EW171" s="88">
        <f t="shared" ca="1" si="383"/>
        <v>0</v>
      </c>
      <c r="EX171" s="88">
        <f t="shared" ca="1" si="383"/>
        <v>0</v>
      </c>
      <c r="EY171" s="88">
        <f t="shared" ca="1" si="383"/>
        <v>0</v>
      </c>
      <c r="EZ171" s="88">
        <f t="shared" ca="1" si="383"/>
        <v>0</v>
      </c>
      <c r="FA171" s="88">
        <f t="shared" ca="1" si="383"/>
        <v>0</v>
      </c>
      <c r="FB171" s="88">
        <f t="shared" ca="1" si="383"/>
        <v>0</v>
      </c>
      <c r="FC171" s="88">
        <f t="shared" ca="1" si="383"/>
        <v>0</v>
      </c>
      <c r="FD171" s="88">
        <f t="shared" ca="1" si="383"/>
        <v>0</v>
      </c>
      <c r="FE171" s="88">
        <f t="shared" ca="1" si="384"/>
        <v>0</v>
      </c>
      <c r="FF171" s="88">
        <f t="shared" ca="1" si="384"/>
        <v>0</v>
      </c>
      <c r="FG171" s="88">
        <f t="shared" ca="1" si="384"/>
        <v>0</v>
      </c>
      <c r="FH171" s="88">
        <f t="shared" ca="1" si="384"/>
        <v>0</v>
      </c>
      <c r="FI171" s="88">
        <f t="shared" ca="1" si="384"/>
        <v>0</v>
      </c>
      <c r="FJ171" s="88">
        <f t="shared" ca="1" si="384"/>
        <v>0</v>
      </c>
      <c r="FK171" s="88">
        <f t="shared" ca="1" si="384"/>
        <v>0</v>
      </c>
      <c r="FL171" s="88">
        <f t="shared" ca="1" si="384"/>
        <v>0</v>
      </c>
      <c r="FM171" s="88">
        <f t="shared" ca="1" si="384"/>
        <v>0</v>
      </c>
      <c r="FN171" s="88">
        <f t="shared" ca="1" si="384"/>
        <v>0</v>
      </c>
      <c r="FO171" s="88">
        <f t="shared" ca="1" si="385"/>
        <v>0</v>
      </c>
      <c r="FP171" s="88">
        <f t="shared" ca="1" si="385"/>
        <v>0</v>
      </c>
      <c r="FQ171" s="88">
        <f t="shared" ca="1" si="385"/>
        <v>0</v>
      </c>
      <c r="FR171" s="88">
        <f t="shared" ca="1" si="385"/>
        <v>0</v>
      </c>
      <c r="FS171" s="88">
        <f t="shared" ca="1" si="385"/>
        <v>0</v>
      </c>
      <c r="FT171" s="88">
        <f t="shared" ca="1" si="385"/>
        <v>0</v>
      </c>
      <c r="FU171" s="88">
        <f t="shared" ca="1" si="385"/>
        <v>0</v>
      </c>
      <c r="FV171" s="88">
        <f t="shared" ca="1" si="385"/>
        <v>0</v>
      </c>
      <c r="FW171" s="88">
        <f t="shared" ca="1" si="385"/>
        <v>0</v>
      </c>
      <c r="FX171" s="88">
        <f t="shared" ca="1" si="385"/>
        <v>0</v>
      </c>
      <c r="FY171" s="88">
        <f t="shared" ca="1" si="385"/>
        <v>0</v>
      </c>
      <c r="FZ171" s="88">
        <f t="shared" ca="1" si="385"/>
        <v>0</v>
      </c>
      <c r="GA171" s="88">
        <f t="shared" ca="1" si="385"/>
        <v>0</v>
      </c>
      <c r="GB171" s="88">
        <f t="shared" ca="1" si="385"/>
        <v>0</v>
      </c>
      <c r="GC171" s="88">
        <f t="shared" ca="1" si="385"/>
        <v>0</v>
      </c>
      <c r="GD171" s="60"/>
    </row>
    <row r="172" spans="1:186" s="54" customFormat="1" ht="14.45" customHeight="1">
      <c r="A172" s="61"/>
      <c r="B172" s="100" t="str">
        <f t="shared" si="345"/>
        <v>C&amp;I_C&amp;I Prescriptive_0_High Performance T8 (3-4 Lamp)_2018</v>
      </c>
      <c r="C172" s="100">
        <f>INDEX('Measure Inputs'!$D:$D,MATCH($B172,'Measure Inputs'!$B:$B,0))</f>
        <v>124</v>
      </c>
      <c r="D172" s="101" t="s">
        <v>256</v>
      </c>
      <c r="E172" s="101" t="s">
        <v>255</v>
      </c>
      <c r="F172" s="101">
        <v>0</v>
      </c>
      <c r="G172" s="101" t="s">
        <v>290</v>
      </c>
      <c r="H172" s="101">
        <v>2018</v>
      </c>
      <c r="I172" s="55"/>
      <c r="J172" s="58">
        <f t="shared" ca="1" si="229"/>
        <v>1.3909700821974282</v>
      </c>
      <c r="K172" s="58">
        <f t="shared" ca="1" si="246"/>
        <v>2.6660259908784041</v>
      </c>
      <c r="L172" s="58">
        <f t="shared" ca="1" si="230"/>
        <v>0.52173913043478259</v>
      </c>
      <c r="M172" s="58">
        <f t="shared" ca="1" si="231"/>
        <v>1.8299807827639578</v>
      </c>
      <c r="N172" s="58">
        <f t="shared" ca="1" si="232"/>
        <v>2.6660259908784041</v>
      </c>
      <c r="O172" s="55"/>
      <c r="P172" s="175">
        <f ca="1">IFERROR(($AW172+AV172)/SUMPRODUCT($CA172:$DI172,'General Inputs'!$F$51:$AN$51),"n/a")</f>
        <v>1.4216420303278139E-2</v>
      </c>
      <c r="Q172" s="175">
        <f t="shared" ca="1" si="386"/>
        <v>0.12591111116240825</v>
      </c>
      <c r="R172" s="56">
        <f t="shared" ca="1" si="364"/>
        <v>214.43699249999995</v>
      </c>
      <c r="S172" s="55"/>
      <c r="T172" s="56">
        <f ca="1">INDEX(OFFSET('Measure Inputs'!$L$7,,,InputRows),$C172)</f>
        <v>150</v>
      </c>
      <c r="U172" s="134">
        <f ca="1">INDEX(OFFSET('Measure Inputs'!$T$7,,,InputRows),$C172)</f>
        <v>1</v>
      </c>
      <c r="V172" s="134">
        <f ca="1">INDEX(OFFSET('Measure Inputs'!$U$7,,,InputRows),$C172)</f>
        <v>1</v>
      </c>
      <c r="W172" s="55"/>
      <c r="X172" s="96">
        <f ca="1">INDEX(OFFSET('Measure Inputs'!$V$7,,,InputRows),$C172)*$T172*$V172*$U172</f>
        <v>14295.799499999997</v>
      </c>
      <c r="Y172" s="96">
        <f ca="1">INDEX(OFFSET('Measure Inputs'!$W$7,,,InputRows),$C172)*$T172*$V172*$U172</f>
        <v>3.7905000000000002</v>
      </c>
      <c r="Z172" s="96">
        <f ca="1">INDEX(OFFSET('Measure Inputs'!$X$7,,,InputRows),$C172)*$T172*$V172*$U172</f>
        <v>0</v>
      </c>
      <c r="AA172" s="55"/>
      <c r="AB172" s="96">
        <f ca="1">INDEX(OFFSET('Measure Inputs'!$Z$7,,,InputRows),$C172)*$T172*$V172*$U172</f>
        <v>0</v>
      </c>
      <c r="AC172" s="96">
        <f ca="1">INDEX(OFFSET('Measure Inputs'!$AA$7,,,InputRows),$C172)*$T172*$V172*$U172</f>
        <v>0</v>
      </c>
      <c r="AD172" s="96">
        <f ca="1">INDEX(OFFSET('Measure Inputs'!$AB$7,,,InputRows),$C172)*$T172*$V172*$U172</f>
        <v>0</v>
      </c>
      <c r="AE172" s="55"/>
      <c r="AF172" s="57">
        <f ca="1">INDEX(OFFSET('Measure Inputs'!$Q$7,,,InputRows),$C172)*$T172</f>
        <v>0</v>
      </c>
      <c r="AG172" s="57">
        <f ca="1">INDEX(OFFSET('Measure Inputs'!$P$7,,,InputRows),$C172)*$T172*$V172</f>
        <v>3450</v>
      </c>
      <c r="AH172" s="57">
        <f ca="1">INDEX(OFFSET('Measure Inputs'!$R$7,,,InputRows),$C172)*$T172*$V172</f>
        <v>0</v>
      </c>
      <c r="AI172" s="57">
        <f ca="1">INDEX(OFFSET('Measure Inputs'!$O$7,,,InputRows),$C172)*$T172</f>
        <v>1800</v>
      </c>
      <c r="AJ172" s="57">
        <f ca="1">INDEX(OFFSET('Measure Inputs'!$S$7,,,InputRows),$C172)*$T172</f>
        <v>0</v>
      </c>
      <c r="AK172" s="63">
        <f ca="1">INDEX(OFFSET('Measure Inputs'!$M$7,,,InputRows),$C172)</f>
        <v>15</v>
      </c>
      <c r="AL172" s="88">
        <f ca="1">INDEX(OFFSET('Measure Inputs'!$N$7,,,InputRows),$C172)</f>
        <v>0</v>
      </c>
      <c r="AM172" s="57">
        <f ca="1">SUMIFS(OFFSET('Program Inputs'!$N$5,,,TotalPrograms),OFFSET('Program Inputs'!$B$5,,,TotalPrograms),SUBSTITUTE($B172,"All","*"))+AF172</f>
        <v>0</v>
      </c>
      <c r="AN172" s="57">
        <f t="shared" ca="1" si="365"/>
        <v>1800</v>
      </c>
      <c r="AO172" s="55"/>
      <c r="AP172" s="59">
        <f t="shared" ca="1" si="366"/>
        <v>4409.083777637934</v>
      </c>
      <c r="AQ172" s="59">
        <f t="shared" ca="1" si="367"/>
        <v>3169.7905181918413</v>
      </c>
      <c r="AR172" s="59">
        <f ca="1">SUMPRODUCT($CA172:$DI172,'General Inputs'!$F$32:$AN$32,'General Inputs'!$F$51:$AN$51)/(1-Loss_ElectricEnergy)</f>
        <v>3702.8919526679856</v>
      </c>
      <c r="AS172" s="59">
        <f ca="1">SUMPRODUCT($DK172:$ES172,'General Inputs'!$F$33:$AN$33,'General Inputs'!$F$51:$AN$51)/(1-Loss_ElectricDemand)</f>
        <v>706.1918249699487</v>
      </c>
      <c r="AT172" s="59">
        <f ca="1">SUMPRODUCT($EU172:$GC172,'General Inputs'!$F$34:$AN$34,'General Inputs'!$F$51:$AN$51)/(1-Loss_GasEnergy)</f>
        <v>0</v>
      </c>
      <c r="AU172" s="59">
        <f ca="1">INDEX('General Inputs'!$F$51:$AN$51,MATCH($H172,'General Inputs'!$F$50:$AN$50,0))*$AJ172</f>
        <v>0</v>
      </c>
      <c r="AV172" s="59">
        <f ca="1">INDEX('General Inputs'!$F$51:$AN$51,MATCH($H172,'General Inputs'!$F$50:$AN$50,0))*$AI172</f>
        <v>1653.8037486218302</v>
      </c>
      <c r="AW172" s="59">
        <f ca="1">INDEX('General Inputs'!$F$51:$AN$51,MATCH($H172,'General Inputs'!$F$50:$AN$50,0))*$AM172</f>
        <v>0</v>
      </c>
      <c r="AX172" s="59">
        <f ca="1">SUM(INDEX('General Inputs'!$F$51:$AN$51,MATCH($H172,'General Inputs'!$F$50:$AN$50,0))*$AG172,INDEX('General Inputs'!$F$51:$AN$51,MATCH($H172+$AL172,'General Inputs'!$F$50:$AN$50,0))*-$AH172)</f>
        <v>3169.7905181918413</v>
      </c>
      <c r="AY172" s="55"/>
      <c r="AZ172" s="59">
        <f ca="1">SUMPRODUCT($CA172:$DI172,'General Inputs'!$F$32:$AN$32,'General Inputs'!$F$52:$AN$52)/(1-Loss_ElectricEnergy)</f>
        <v>3702.8919526679856</v>
      </c>
      <c r="BA172" s="59">
        <f ca="1">SUMPRODUCT($DK172:$ES172,'General Inputs'!$F$33:$AN$33,'General Inputs'!$F$52:$AN$52)/(1-Loss_ElectricDemand)</f>
        <v>706.1918249699487</v>
      </c>
      <c r="BB172" s="59">
        <f ca="1">SUMPRODUCT($EU172:$GC172,'General Inputs'!$F$34:$AN$34,'General Inputs'!$F$52:$AN$52)/(1-Loss_GasEnergy)</f>
        <v>0</v>
      </c>
      <c r="BC172" s="59">
        <f ca="1">INDEX('General Inputs'!$F$52:$AN$52,MATCH($H172,'General Inputs'!$F$50:$AN$50,0))*$AI172</f>
        <v>1653.8037486218302</v>
      </c>
      <c r="BD172" s="59">
        <f ca="1">INDEX('General Inputs'!$F$52:$AN$52,MATCH($H172,'General Inputs'!$F$50:$AN$50,0))*$AM172</f>
        <v>0</v>
      </c>
      <c r="BE172" s="55"/>
      <c r="BF172" s="59">
        <f ca="1">SUMPRODUCT($CA172:$DI172,OFFSET('General Inputs'!$F$40:$AN$40,MATCH($D172&amp;" Electric ($/kWh)",'General Inputs'!$E$40:$E$46,0),),'General Inputs'!$F$54:$AN$54)</f>
        <v>0</v>
      </c>
      <c r="BG172" s="59">
        <f ca="1">SUMPRODUCT($EU172:$GC172,OFFSET('General Inputs'!$F$40:$AN$40,MATCH($D172&amp;" Natural Gas ($/therm)",'General Inputs'!$E$40:$E$46,0),),'General Inputs'!$F$54:$AN$54)</f>
        <v>0</v>
      </c>
      <c r="BH172" s="59">
        <f ca="1">INDEX('General Inputs'!$F$54:$AN$54,MATCH($H172,'General Inputs'!$F$50:$AN$50,0))*$AI172</f>
        <v>1653.8037486218302</v>
      </c>
      <c r="BI172" s="59">
        <f ca="1">SUM(INDEX('General Inputs'!$F$54:$AN$54,MATCH($H172,'General Inputs'!$F$50:$AN$50,0))*$AG172,INDEX('General Inputs'!$F$51:$AN$51,MATCH($H172+$AL172,'General Inputs'!$F$50:$AN$50,0))*-$AH172)</f>
        <v>3169.7905181918413</v>
      </c>
      <c r="BJ172" s="55"/>
      <c r="BK172" s="59">
        <f ca="1">SUMPRODUCT($CA172:$DI172,'General Inputs'!$F$32:$AN$32,'General Inputs'!$F$53:$AN$53)/(1-Loss_ElectricEnergy)</f>
        <v>3702.8919526679856</v>
      </c>
      <c r="BL172" s="59">
        <f ca="1">SUMPRODUCT($DK172:$ES172,'General Inputs'!$F$33:$AN$33,'General Inputs'!$F$53:$AN$53)/(1-Loss_ElectricDemand)</f>
        <v>706.1918249699487</v>
      </c>
      <c r="BM172" s="59">
        <f ca="1">SUMPRODUCT($EU172:$GC172,'General Inputs'!$F$34:$AN$34,'General Inputs'!$F$53:$AN$53)/(1-Loss_GasEnergy)</f>
        <v>0</v>
      </c>
      <c r="BN172" s="59">
        <f ca="1">INDEX('General Inputs'!$F$53:$AN$53,MATCH($H172,'General Inputs'!$F$50:$AN$50,0))*$AJ172</f>
        <v>0</v>
      </c>
      <c r="BO172" s="59">
        <f ca="1">SUMPRODUCT($CA172:$DI172,'General Inputs'!$F$35:$AN$35,'General Inputs'!$F$53:$AN$53)/(1-Loss_ElectricEnergy)</f>
        <v>1391.5719560405428</v>
      </c>
      <c r="BP172" s="59">
        <f ca="1">INDEX('General Inputs'!$F$51:$AN$51,MATCH($H172,'General Inputs'!$F$50:$AN$50,0))*$AM172</f>
        <v>0</v>
      </c>
      <c r="BQ172" s="59">
        <f ca="1">SUM(INDEX('General Inputs'!$F$53:$AN$53,MATCH($H172,'General Inputs'!$F$50:$AN$50,0))*$AG172,INDEX('General Inputs'!$F$53:$AN$53,MATCH($H172+$AL172,'General Inputs'!$F$50:$AN$50,0))*-$AH172)</f>
        <v>3169.7905181918413</v>
      </c>
      <c r="BR172" s="55"/>
      <c r="BS172" s="59">
        <f ca="1">SUMPRODUCT($CA172:$DI172,'General Inputs'!$F$32:$AN$32,'General Inputs'!$F$55:$AN$55)/(1-Loss_ElectricEnergy)</f>
        <v>3702.8919526679856</v>
      </c>
      <c r="BT172" s="59">
        <f ca="1">SUMPRODUCT($DK172:$ES172,'General Inputs'!$F$33:$AN$33,'General Inputs'!$F$55:$AN$55)/(1-Loss_ElectricDemand)</f>
        <v>706.1918249699487</v>
      </c>
      <c r="BU172" s="59">
        <f ca="1">SUMPRODUCT($EU172:$GC172,'General Inputs'!$F$34:$AN$34,'General Inputs'!$F$55:$AN$55)/(1-Loss_GasEnergy)</f>
        <v>0</v>
      </c>
      <c r="BV172" s="59">
        <f ca="1">SUMPRODUCT($CA172:$DI172,OFFSET('General Inputs'!$F$40:$AN$40,MATCH($D172&amp;" Electric ($/kWh)",'General Inputs'!$E$40:$E$46,0),),'General Inputs'!$F$55:$AN$55)</f>
        <v>0</v>
      </c>
      <c r="BW172" s="59">
        <f ca="1">SUMPRODUCT($EU172:$GC172,OFFSET('General Inputs'!$F$40:$AN$40,MATCH($D172&amp;" Natural Gas ($/therm)",'General Inputs'!$E$40:$E$46,0),),'General Inputs'!$F$55:$AN$55)</f>
        <v>0</v>
      </c>
      <c r="BX172" s="59">
        <f ca="1">INDEX('General Inputs'!$F$55:$AN$55,MATCH($H172,'General Inputs'!$F$50:$AN$50,0))*$AI172</f>
        <v>1653.8037486218302</v>
      </c>
      <c r="BY172" s="59">
        <f ca="1">INDEX('General Inputs'!$F$51:$AN$51,MATCH($H172,'General Inputs'!$F$50:$AN$50,0))*$AM172</f>
        <v>0</v>
      </c>
      <c r="BZ172" s="55"/>
      <c r="CA172" s="88">
        <f t="shared" ca="1" si="377"/>
        <v>0</v>
      </c>
      <c r="CB172" s="88">
        <f t="shared" ca="1" si="377"/>
        <v>14295.799499999997</v>
      </c>
      <c r="CC172" s="88">
        <f t="shared" ca="1" si="377"/>
        <v>14295.799499999997</v>
      </c>
      <c r="CD172" s="88">
        <f t="shared" ca="1" si="377"/>
        <v>14295.799499999997</v>
      </c>
      <c r="CE172" s="88">
        <f t="shared" ca="1" si="377"/>
        <v>14295.799499999997</v>
      </c>
      <c r="CF172" s="88">
        <f t="shared" ca="1" si="377"/>
        <v>14295.799499999997</v>
      </c>
      <c r="CG172" s="88">
        <f t="shared" ca="1" si="377"/>
        <v>14295.799499999997</v>
      </c>
      <c r="CH172" s="88">
        <f t="shared" ca="1" si="377"/>
        <v>14295.799499999997</v>
      </c>
      <c r="CI172" s="88">
        <f t="shared" ca="1" si="377"/>
        <v>14295.799499999997</v>
      </c>
      <c r="CJ172" s="88">
        <f t="shared" ca="1" si="377"/>
        <v>14295.799499999997</v>
      </c>
      <c r="CK172" s="88">
        <f t="shared" ca="1" si="378"/>
        <v>14295.799499999997</v>
      </c>
      <c r="CL172" s="88">
        <f t="shared" ca="1" si="378"/>
        <v>14295.799499999997</v>
      </c>
      <c r="CM172" s="88">
        <f t="shared" ca="1" si="378"/>
        <v>14295.799499999997</v>
      </c>
      <c r="CN172" s="88">
        <f t="shared" ca="1" si="378"/>
        <v>14295.799499999997</v>
      </c>
      <c r="CO172" s="88">
        <f t="shared" ca="1" si="378"/>
        <v>14295.799499999997</v>
      </c>
      <c r="CP172" s="88">
        <f t="shared" ca="1" si="378"/>
        <v>14295.799499999997</v>
      </c>
      <c r="CQ172" s="88">
        <f t="shared" ca="1" si="378"/>
        <v>0</v>
      </c>
      <c r="CR172" s="88">
        <f t="shared" ca="1" si="378"/>
        <v>0</v>
      </c>
      <c r="CS172" s="88">
        <f t="shared" ca="1" si="378"/>
        <v>0</v>
      </c>
      <c r="CT172" s="88">
        <f t="shared" ca="1" si="378"/>
        <v>0</v>
      </c>
      <c r="CU172" s="88">
        <f t="shared" ca="1" si="379"/>
        <v>0</v>
      </c>
      <c r="CV172" s="88">
        <f t="shared" ca="1" si="379"/>
        <v>0</v>
      </c>
      <c r="CW172" s="88">
        <f t="shared" ca="1" si="379"/>
        <v>0</v>
      </c>
      <c r="CX172" s="88">
        <f t="shared" ca="1" si="379"/>
        <v>0</v>
      </c>
      <c r="CY172" s="88">
        <f t="shared" ca="1" si="379"/>
        <v>0</v>
      </c>
      <c r="CZ172" s="88">
        <f t="shared" ca="1" si="379"/>
        <v>0</v>
      </c>
      <c r="DA172" s="88">
        <f t="shared" ca="1" si="379"/>
        <v>0</v>
      </c>
      <c r="DB172" s="88">
        <f t="shared" ca="1" si="379"/>
        <v>0</v>
      </c>
      <c r="DC172" s="88">
        <f t="shared" ca="1" si="379"/>
        <v>0</v>
      </c>
      <c r="DD172" s="88">
        <f t="shared" ca="1" si="379"/>
        <v>0</v>
      </c>
      <c r="DE172" s="88">
        <f t="shared" ca="1" si="379"/>
        <v>0</v>
      </c>
      <c r="DF172" s="88">
        <f t="shared" ca="1" si="379"/>
        <v>0</v>
      </c>
      <c r="DG172" s="88">
        <f t="shared" ca="1" si="379"/>
        <v>0</v>
      </c>
      <c r="DH172" s="88">
        <f t="shared" ca="1" si="379"/>
        <v>0</v>
      </c>
      <c r="DI172" s="88">
        <f t="shared" ca="1" si="379"/>
        <v>0</v>
      </c>
      <c r="DJ172" s="169"/>
      <c r="DK172" s="88">
        <f t="shared" ca="1" si="380"/>
        <v>0</v>
      </c>
      <c r="DL172" s="88">
        <f t="shared" ca="1" si="380"/>
        <v>3.7905000000000002</v>
      </c>
      <c r="DM172" s="88">
        <f t="shared" ca="1" si="380"/>
        <v>3.7905000000000002</v>
      </c>
      <c r="DN172" s="88">
        <f t="shared" ca="1" si="380"/>
        <v>3.7905000000000002</v>
      </c>
      <c r="DO172" s="88">
        <f t="shared" ca="1" si="380"/>
        <v>3.7905000000000002</v>
      </c>
      <c r="DP172" s="88">
        <f t="shared" ca="1" si="380"/>
        <v>3.7905000000000002</v>
      </c>
      <c r="DQ172" s="88">
        <f t="shared" ca="1" si="380"/>
        <v>3.7905000000000002</v>
      </c>
      <c r="DR172" s="88">
        <f t="shared" ca="1" si="380"/>
        <v>3.7905000000000002</v>
      </c>
      <c r="DS172" s="88">
        <f t="shared" ca="1" si="380"/>
        <v>3.7905000000000002</v>
      </c>
      <c r="DT172" s="88">
        <f t="shared" ca="1" si="380"/>
        <v>3.7905000000000002</v>
      </c>
      <c r="DU172" s="88">
        <f t="shared" ca="1" si="381"/>
        <v>3.7905000000000002</v>
      </c>
      <c r="DV172" s="88">
        <f t="shared" ca="1" si="381"/>
        <v>3.7905000000000002</v>
      </c>
      <c r="DW172" s="88">
        <f t="shared" ca="1" si="381"/>
        <v>3.7905000000000002</v>
      </c>
      <c r="DX172" s="88">
        <f t="shared" ca="1" si="381"/>
        <v>3.7905000000000002</v>
      </c>
      <c r="DY172" s="88">
        <f t="shared" ca="1" si="381"/>
        <v>3.7905000000000002</v>
      </c>
      <c r="DZ172" s="88">
        <f t="shared" ca="1" si="381"/>
        <v>3.7905000000000002</v>
      </c>
      <c r="EA172" s="88">
        <f t="shared" ca="1" si="381"/>
        <v>0</v>
      </c>
      <c r="EB172" s="88">
        <f t="shared" ca="1" si="381"/>
        <v>0</v>
      </c>
      <c r="EC172" s="88">
        <f t="shared" ca="1" si="381"/>
        <v>0</v>
      </c>
      <c r="ED172" s="88">
        <f t="shared" ca="1" si="381"/>
        <v>0</v>
      </c>
      <c r="EE172" s="88">
        <f t="shared" ca="1" si="382"/>
        <v>0</v>
      </c>
      <c r="EF172" s="88">
        <f t="shared" ca="1" si="382"/>
        <v>0</v>
      </c>
      <c r="EG172" s="88">
        <f t="shared" ca="1" si="382"/>
        <v>0</v>
      </c>
      <c r="EH172" s="88">
        <f t="shared" ca="1" si="382"/>
        <v>0</v>
      </c>
      <c r="EI172" s="88">
        <f t="shared" ca="1" si="382"/>
        <v>0</v>
      </c>
      <c r="EJ172" s="88">
        <f t="shared" ca="1" si="382"/>
        <v>0</v>
      </c>
      <c r="EK172" s="88">
        <f t="shared" ca="1" si="382"/>
        <v>0</v>
      </c>
      <c r="EL172" s="88">
        <f t="shared" ca="1" si="382"/>
        <v>0</v>
      </c>
      <c r="EM172" s="88">
        <f t="shared" ca="1" si="382"/>
        <v>0</v>
      </c>
      <c r="EN172" s="88">
        <f t="shared" ca="1" si="382"/>
        <v>0</v>
      </c>
      <c r="EO172" s="88">
        <f t="shared" ca="1" si="382"/>
        <v>0</v>
      </c>
      <c r="EP172" s="88">
        <f t="shared" ca="1" si="382"/>
        <v>0</v>
      </c>
      <c r="EQ172" s="88">
        <f t="shared" ca="1" si="382"/>
        <v>0</v>
      </c>
      <c r="ER172" s="88">
        <f t="shared" ca="1" si="382"/>
        <v>0</v>
      </c>
      <c r="ES172" s="88">
        <f t="shared" ca="1" si="382"/>
        <v>0</v>
      </c>
      <c r="ET172" s="169"/>
      <c r="EU172" s="88">
        <f t="shared" ca="1" si="383"/>
        <v>0</v>
      </c>
      <c r="EV172" s="88">
        <f t="shared" ca="1" si="383"/>
        <v>0</v>
      </c>
      <c r="EW172" s="88">
        <f t="shared" ca="1" si="383"/>
        <v>0</v>
      </c>
      <c r="EX172" s="88">
        <f t="shared" ca="1" si="383"/>
        <v>0</v>
      </c>
      <c r="EY172" s="88">
        <f t="shared" ca="1" si="383"/>
        <v>0</v>
      </c>
      <c r="EZ172" s="88">
        <f t="shared" ca="1" si="383"/>
        <v>0</v>
      </c>
      <c r="FA172" s="88">
        <f t="shared" ca="1" si="383"/>
        <v>0</v>
      </c>
      <c r="FB172" s="88">
        <f t="shared" ca="1" si="383"/>
        <v>0</v>
      </c>
      <c r="FC172" s="88">
        <f t="shared" ca="1" si="383"/>
        <v>0</v>
      </c>
      <c r="FD172" s="88">
        <f t="shared" ca="1" si="383"/>
        <v>0</v>
      </c>
      <c r="FE172" s="88">
        <f t="shared" ca="1" si="384"/>
        <v>0</v>
      </c>
      <c r="FF172" s="88">
        <f t="shared" ca="1" si="384"/>
        <v>0</v>
      </c>
      <c r="FG172" s="88">
        <f t="shared" ca="1" si="384"/>
        <v>0</v>
      </c>
      <c r="FH172" s="88">
        <f t="shared" ca="1" si="384"/>
        <v>0</v>
      </c>
      <c r="FI172" s="88">
        <f t="shared" ca="1" si="384"/>
        <v>0</v>
      </c>
      <c r="FJ172" s="88">
        <f t="shared" ca="1" si="384"/>
        <v>0</v>
      </c>
      <c r="FK172" s="88">
        <f t="shared" ca="1" si="384"/>
        <v>0</v>
      </c>
      <c r="FL172" s="88">
        <f t="shared" ca="1" si="384"/>
        <v>0</v>
      </c>
      <c r="FM172" s="88">
        <f t="shared" ca="1" si="384"/>
        <v>0</v>
      </c>
      <c r="FN172" s="88">
        <f t="shared" ca="1" si="384"/>
        <v>0</v>
      </c>
      <c r="FO172" s="88">
        <f t="shared" ca="1" si="385"/>
        <v>0</v>
      </c>
      <c r="FP172" s="88">
        <f t="shared" ca="1" si="385"/>
        <v>0</v>
      </c>
      <c r="FQ172" s="88">
        <f t="shared" ca="1" si="385"/>
        <v>0</v>
      </c>
      <c r="FR172" s="88">
        <f t="shared" ca="1" si="385"/>
        <v>0</v>
      </c>
      <c r="FS172" s="88">
        <f t="shared" ca="1" si="385"/>
        <v>0</v>
      </c>
      <c r="FT172" s="88">
        <f t="shared" ca="1" si="385"/>
        <v>0</v>
      </c>
      <c r="FU172" s="88">
        <f t="shared" ca="1" si="385"/>
        <v>0</v>
      </c>
      <c r="FV172" s="88">
        <f t="shared" ca="1" si="385"/>
        <v>0</v>
      </c>
      <c r="FW172" s="88">
        <f t="shared" ca="1" si="385"/>
        <v>0</v>
      </c>
      <c r="FX172" s="88">
        <f t="shared" ca="1" si="385"/>
        <v>0</v>
      </c>
      <c r="FY172" s="88">
        <f t="shared" ca="1" si="385"/>
        <v>0</v>
      </c>
      <c r="FZ172" s="88">
        <f t="shared" ca="1" si="385"/>
        <v>0</v>
      </c>
      <c r="GA172" s="88">
        <f t="shared" ca="1" si="385"/>
        <v>0</v>
      </c>
      <c r="GB172" s="88">
        <f t="shared" ca="1" si="385"/>
        <v>0</v>
      </c>
      <c r="GC172" s="88">
        <f t="shared" ca="1" si="385"/>
        <v>0</v>
      </c>
      <c r="GD172" s="60"/>
    </row>
    <row r="173" spans="1:186" s="54" customFormat="1" ht="14.45" customHeight="1">
      <c r="A173" s="61"/>
      <c r="B173" s="100" t="str">
        <f t="shared" si="345"/>
        <v>C&amp;I_C&amp;I Prescriptive_0_LED Parking Garage/Canopy (&lt;30W)_2018</v>
      </c>
      <c r="C173" s="100">
        <f>INDEX('Measure Inputs'!$D:$D,MATCH($B173,'Measure Inputs'!$B:$B,0))</f>
        <v>125</v>
      </c>
      <c r="D173" s="101" t="s">
        <v>256</v>
      </c>
      <c r="E173" s="101" t="s">
        <v>255</v>
      </c>
      <c r="F173" s="101">
        <v>0</v>
      </c>
      <c r="G173" s="101" t="s">
        <v>291</v>
      </c>
      <c r="H173" s="101">
        <v>2018</v>
      </c>
      <c r="I173" s="55"/>
      <c r="J173" s="58">
        <f t="shared" ca="1" si="229"/>
        <v>0.61759280461500787</v>
      </c>
      <c r="K173" s="58">
        <f t="shared" ca="1" si="246"/>
        <v>1.9557105479475252</v>
      </c>
      <c r="L173" s="58">
        <f t="shared" ca="1" si="230"/>
        <v>0.31578947368421051</v>
      </c>
      <c r="M173" s="58">
        <f t="shared" ca="1" si="231"/>
        <v>0.81988344763666565</v>
      </c>
      <c r="N173" s="58">
        <f t="shared" ca="1" si="232"/>
        <v>1.9557105479475252</v>
      </c>
      <c r="O173" s="55"/>
      <c r="P173" s="175">
        <f ca="1">IFERROR(($AW173+AV173)/SUMPRODUCT($CA173:$DI173,'General Inputs'!$F$51:$AN$51),"n/a")</f>
        <v>1.867384738901719E-2</v>
      </c>
      <c r="Q173" s="175">
        <f t="shared" ca="1" si="386"/>
        <v>0.11316514248276995</v>
      </c>
      <c r="R173" s="56">
        <f t="shared" ca="1" si="364"/>
        <v>1060.3971979999999</v>
      </c>
      <c r="S173" s="55"/>
      <c r="T173" s="56">
        <f ca="1">INDEX(OFFSET('Measure Inputs'!$L$7,,,InputRows),$C173)</f>
        <v>250</v>
      </c>
      <c r="U173" s="134">
        <f ca="1">INDEX(OFFSET('Measure Inputs'!$T$7,,,InputRows),$C173)</f>
        <v>1</v>
      </c>
      <c r="V173" s="134">
        <f ca="1">INDEX(OFFSET('Measure Inputs'!$U$7,,,InputRows),$C173)</f>
        <v>1</v>
      </c>
      <c r="W173" s="55"/>
      <c r="X173" s="96">
        <f ca="1">INDEX(OFFSET('Measure Inputs'!$V$7,,,InputRows),$C173)*$T173*$V173*$U173</f>
        <v>132549.64974999998</v>
      </c>
      <c r="Y173" s="96">
        <f ca="1">INDEX(OFFSET('Measure Inputs'!$W$7,,,InputRows),$C173)*$T173*$V173*$U173</f>
        <v>35.145249999999997</v>
      </c>
      <c r="Z173" s="96">
        <f ca="1">INDEX(OFFSET('Measure Inputs'!$X$7,,,InputRows),$C173)*$T173*$V173*$U173</f>
        <v>0</v>
      </c>
      <c r="AA173" s="55"/>
      <c r="AB173" s="96">
        <f ca="1">INDEX(OFFSET('Measure Inputs'!$Z$7,,,InputRows),$C173)*$T173*$V173*$U173</f>
        <v>0</v>
      </c>
      <c r="AC173" s="96">
        <f ca="1">INDEX(OFFSET('Measure Inputs'!$AA$7,,,InputRows),$C173)*$T173*$V173*$U173</f>
        <v>0</v>
      </c>
      <c r="AD173" s="96">
        <f ca="1">INDEX(OFFSET('Measure Inputs'!$AB$7,,,InputRows),$C173)*$T173*$V173*$U173</f>
        <v>0</v>
      </c>
      <c r="AE173" s="55"/>
      <c r="AF173" s="57">
        <f ca="1">INDEX(OFFSET('Measure Inputs'!$Q$7,,,InputRows),$C173)*$T173</f>
        <v>0</v>
      </c>
      <c r="AG173" s="57">
        <f ca="1">INDEX(OFFSET('Measure Inputs'!$P$7,,,InputRows),$C173)*$T173*$V173</f>
        <v>47500</v>
      </c>
      <c r="AH173" s="57">
        <f ca="1">INDEX(OFFSET('Measure Inputs'!$R$7,,,InputRows),$C173)*$T173*$V173</f>
        <v>0</v>
      </c>
      <c r="AI173" s="57">
        <f ca="1">INDEX(OFFSET('Measure Inputs'!$O$7,,,InputRows),$C173)*$T173</f>
        <v>15000</v>
      </c>
      <c r="AJ173" s="57">
        <f ca="1">INDEX(OFFSET('Measure Inputs'!$S$7,,,InputRows),$C173)*$T173</f>
        <v>0</v>
      </c>
      <c r="AK173" s="63">
        <f ca="1">INDEX(OFFSET('Measure Inputs'!$M$7,,,InputRows),$C173)</f>
        <v>8</v>
      </c>
      <c r="AL173" s="88">
        <f ca="1">INDEX(OFFSET('Measure Inputs'!$N$7,,,InputRows),$C173)</f>
        <v>0</v>
      </c>
      <c r="AM173" s="57">
        <f ca="1">SUMIFS(OFFSET('Program Inputs'!$N$5,,,TotalPrograms),OFFSET('Program Inputs'!$B$5,,,TotalPrograms),SUBSTITUTE($B173,"All","*"))+AF173</f>
        <v>0</v>
      </c>
      <c r="AN173" s="57">
        <f t="shared" ca="1" si="365"/>
        <v>15000</v>
      </c>
      <c r="AO173" s="55"/>
      <c r="AP173" s="59">
        <f t="shared" ca="1" si="366"/>
        <v>26953.011961790588</v>
      </c>
      <c r="AQ173" s="59">
        <f t="shared" ca="1" si="367"/>
        <v>43642.043366409409</v>
      </c>
      <c r="AR173" s="59">
        <f ca="1">SUMPRODUCT($CA173:$DI173,'General Inputs'!$F$32:$AN$32,'General Inputs'!$F$51:$AN$51)/(1-Loss_ElectricEnergy)</f>
        <v>22636.016035727513</v>
      </c>
      <c r="AS173" s="59">
        <f ca="1">SUMPRODUCT($DK173:$ES173,'General Inputs'!$F$33:$AN$33,'General Inputs'!$F$51:$AN$51)/(1-Loss_ElectricDemand)</f>
        <v>4316.9959260630731</v>
      </c>
      <c r="AT173" s="59">
        <f ca="1">SUMPRODUCT($EU173:$GC173,'General Inputs'!$F$34:$AN$34,'General Inputs'!$F$51:$AN$51)/(1-Loss_GasEnergy)</f>
        <v>0</v>
      </c>
      <c r="AU173" s="59">
        <f ca="1">INDEX('General Inputs'!$F$51:$AN$51,MATCH($H173,'General Inputs'!$F$50:$AN$50,0))*$AJ173</f>
        <v>0</v>
      </c>
      <c r="AV173" s="59">
        <f ca="1">INDEX('General Inputs'!$F$51:$AN$51,MATCH($H173,'General Inputs'!$F$50:$AN$50,0))*$AI173</f>
        <v>13781.697905181918</v>
      </c>
      <c r="AW173" s="59">
        <f ca="1">INDEX('General Inputs'!$F$51:$AN$51,MATCH($H173,'General Inputs'!$F$50:$AN$50,0))*$AM173</f>
        <v>0</v>
      </c>
      <c r="AX173" s="59">
        <f ca="1">SUM(INDEX('General Inputs'!$F$51:$AN$51,MATCH($H173,'General Inputs'!$F$50:$AN$50,0))*$AG173,INDEX('General Inputs'!$F$51:$AN$51,MATCH($H173+$AL173,'General Inputs'!$F$50:$AN$50,0))*-$AH173)</f>
        <v>43642.043366409409</v>
      </c>
      <c r="AY173" s="55"/>
      <c r="AZ173" s="59">
        <f ca="1">SUMPRODUCT($CA173:$DI173,'General Inputs'!$F$32:$AN$32,'General Inputs'!$F$52:$AN$52)/(1-Loss_ElectricEnergy)</f>
        <v>22636.016035727513</v>
      </c>
      <c r="BA173" s="59">
        <f ca="1">SUMPRODUCT($DK173:$ES173,'General Inputs'!$F$33:$AN$33,'General Inputs'!$F$52:$AN$52)/(1-Loss_ElectricDemand)</f>
        <v>4316.9959260630731</v>
      </c>
      <c r="BB173" s="59">
        <f ca="1">SUMPRODUCT($EU173:$GC173,'General Inputs'!$F$34:$AN$34,'General Inputs'!$F$52:$AN$52)/(1-Loss_GasEnergy)</f>
        <v>0</v>
      </c>
      <c r="BC173" s="59">
        <f ca="1">INDEX('General Inputs'!$F$52:$AN$52,MATCH($H173,'General Inputs'!$F$50:$AN$50,0))*$AI173</f>
        <v>13781.697905181918</v>
      </c>
      <c r="BD173" s="59">
        <f ca="1">INDEX('General Inputs'!$F$52:$AN$52,MATCH($H173,'General Inputs'!$F$50:$AN$50,0))*$AM173</f>
        <v>0</v>
      </c>
      <c r="BE173" s="55"/>
      <c r="BF173" s="59">
        <f ca="1">SUMPRODUCT($CA173:$DI173,OFFSET('General Inputs'!$F$40:$AN$40,MATCH($D173&amp;" Electric ($/kWh)",'General Inputs'!$E$40:$E$46,0),),'General Inputs'!$F$54:$AN$54)</f>
        <v>0</v>
      </c>
      <c r="BG173" s="59">
        <f ca="1">SUMPRODUCT($EU173:$GC173,OFFSET('General Inputs'!$F$40:$AN$40,MATCH($D173&amp;" Natural Gas ($/therm)",'General Inputs'!$E$40:$E$46,0),),'General Inputs'!$F$54:$AN$54)</f>
        <v>0</v>
      </c>
      <c r="BH173" s="59">
        <f ca="1">INDEX('General Inputs'!$F$54:$AN$54,MATCH($H173,'General Inputs'!$F$50:$AN$50,0))*$AI173</f>
        <v>13781.697905181918</v>
      </c>
      <c r="BI173" s="59">
        <f ca="1">SUM(INDEX('General Inputs'!$F$54:$AN$54,MATCH($H173,'General Inputs'!$F$50:$AN$50,0))*$AG173,INDEX('General Inputs'!$F$51:$AN$51,MATCH($H173+$AL173,'General Inputs'!$F$50:$AN$50,0))*-$AH173)</f>
        <v>43642.043366409409</v>
      </c>
      <c r="BJ173" s="55"/>
      <c r="BK173" s="59">
        <f ca="1">SUMPRODUCT($CA173:$DI173,'General Inputs'!$F$32:$AN$32,'General Inputs'!$F$53:$AN$53)/(1-Loss_ElectricEnergy)</f>
        <v>22636.016035727513</v>
      </c>
      <c r="BL173" s="59">
        <f ca="1">SUMPRODUCT($DK173:$ES173,'General Inputs'!$F$33:$AN$33,'General Inputs'!$F$53:$AN$53)/(1-Loss_ElectricDemand)</f>
        <v>4316.9959260630731</v>
      </c>
      <c r="BM173" s="59">
        <f ca="1">SUMPRODUCT($EU173:$GC173,'General Inputs'!$F$34:$AN$34,'General Inputs'!$F$53:$AN$53)/(1-Loss_GasEnergy)</f>
        <v>0</v>
      </c>
      <c r="BN173" s="59">
        <f ca="1">INDEX('General Inputs'!$F$53:$AN$53,MATCH($H173,'General Inputs'!$F$50:$AN$50,0))*$AJ173</f>
        <v>0</v>
      </c>
      <c r="BO173" s="59">
        <f ca="1">SUMPRODUCT($CA173:$DI173,'General Inputs'!$F$35:$AN$35,'General Inputs'!$F$53:$AN$53)/(1-Loss_ElectricEnergy)</f>
        <v>8828.3770153700298</v>
      </c>
      <c r="BP173" s="59">
        <f ca="1">INDEX('General Inputs'!$F$51:$AN$51,MATCH($H173,'General Inputs'!$F$50:$AN$50,0))*$AM173</f>
        <v>0</v>
      </c>
      <c r="BQ173" s="59">
        <f ca="1">SUM(INDEX('General Inputs'!$F$53:$AN$53,MATCH($H173,'General Inputs'!$F$50:$AN$50,0))*$AG173,INDEX('General Inputs'!$F$53:$AN$53,MATCH($H173+$AL173,'General Inputs'!$F$50:$AN$50,0))*-$AH173)</f>
        <v>43642.043366409409</v>
      </c>
      <c r="BR173" s="55"/>
      <c r="BS173" s="59">
        <f ca="1">SUMPRODUCT($CA173:$DI173,'General Inputs'!$F$32:$AN$32,'General Inputs'!$F$55:$AN$55)/(1-Loss_ElectricEnergy)</f>
        <v>22636.016035727513</v>
      </c>
      <c r="BT173" s="59">
        <f ca="1">SUMPRODUCT($DK173:$ES173,'General Inputs'!$F$33:$AN$33,'General Inputs'!$F$55:$AN$55)/(1-Loss_ElectricDemand)</f>
        <v>4316.9959260630731</v>
      </c>
      <c r="BU173" s="59">
        <f ca="1">SUMPRODUCT($EU173:$GC173,'General Inputs'!$F$34:$AN$34,'General Inputs'!$F$55:$AN$55)/(1-Loss_GasEnergy)</f>
        <v>0</v>
      </c>
      <c r="BV173" s="59">
        <f ca="1">SUMPRODUCT($CA173:$DI173,OFFSET('General Inputs'!$F$40:$AN$40,MATCH($D173&amp;" Electric ($/kWh)",'General Inputs'!$E$40:$E$46,0),),'General Inputs'!$F$55:$AN$55)</f>
        <v>0</v>
      </c>
      <c r="BW173" s="59">
        <f ca="1">SUMPRODUCT($EU173:$GC173,OFFSET('General Inputs'!$F$40:$AN$40,MATCH($D173&amp;" Natural Gas ($/therm)",'General Inputs'!$E$40:$E$46,0),),'General Inputs'!$F$55:$AN$55)</f>
        <v>0</v>
      </c>
      <c r="BX173" s="59">
        <f ca="1">INDEX('General Inputs'!$F$55:$AN$55,MATCH($H173,'General Inputs'!$F$50:$AN$50,0))*$AI173</f>
        <v>13781.697905181918</v>
      </c>
      <c r="BY173" s="59">
        <f ca="1">INDEX('General Inputs'!$F$51:$AN$51,MATCH($H173,'General Inputs'!$F$50:$AN$50,0))*$AM173</f>
        <v>0</v>
      </c>
      <c r="BZ173" s="55"/>
      <c r="CA173" s="88">
        <f t="shared" ref="CA173:CJ181" ca="1" si="387">IF(AND($H173&lt;=CA$8,$H173+$AK173&gt;CA$8),IF(AND($H173+$AL173&lt;=CA$8,$AL173&gt;0),$AB173,$X173),0)</f>
        <v>0</v>
      </c>
      <c r="CB173" s="88">
        <f t="shared" ca="1" si="387"/>
        <v>132549.64974999998</v>
      </c>
      <c r="CC173" s="88">
        <f t="shared" ca="1" si="387"/>
        <v>132549.64974999998</v>
      </c>
      <c r="CD173" s="88">
        <f t="shared" ca="1" si="387"/>
        <v>132549.64974999998</v>
      </c>
      <c r="CE173" s="88">
        <f t="shared" ca="1" si="387"/>
        <v>132549.64974999998</v>
      </c>
      <c r="CF173" s="88">
        <f t="shared" ca="1" si="387"/>
        <v>132549.64974999998</v>
      </c>
      <c r="CG173" s="88">
        <f t="shared" ca="1" si="387"/>
        <v>132549.64974999998</v>
      </c>
      <c r="CH173" s="88">
        <f t="shared" ca="1" si="387"/>
        <v>132549.64974999998</v>
      </c>
      <c r="CI173" s="88">
        <f t="shared" ca="1" si="387"/>
        <v>132549.64974999998</v>
      </c>
      <c r="CJ173" s="88">
        <f t="shared" ca="1" si="387"/>
        <v>0</v>
      </c>
      <c r="CK173" s="88">
        <f t="shared" ref="CK173:CT181" ca="1" si="388">IF(AND($H173&lt;=CK$8,$H173+$AK173&gt;CK$8),IF(AND($H173+$AL173&lt;=CK$8,$AL173&gt;0),$AB173,$X173),0)</f>
        <v>0</v>
      </c>
      <c r="CL173" s="88">
        <f t="shared" ca="1" si="388"/>
        <v>0</v>
      </c>
      <c r="CM173" s="88">
        <f t="shared" ca="1" si="388"/>
        <v>0</v>
      </c>
      <c r="CN173" s="88">
        <f t="shared" ca="1" si="388"/>
        <v>0</v>
      </c>
      <c r="CO173" s="88">
        <f t="shared" ca="1" si="388"/>
        <v>0</v>
      </c>
      <c r="CP173" s="88">
        <f t="shared" ca="1" si="388"/>
        <v>0</v>
      </c>
      <c r="CQ173" s="88">
        <f t="shared" ca="1" si="388"/>
        <v>0</v>
      </c>
      <c r="CR173" s="88">
        <f t="shared" ca="1" si="388"/>
        <v>0</v>
      </c>
      <c r="CS173" s="88">
        <f t="shared" ca="1" si="388"/>
        <v>0</v>
      </c>
      <c r="CT173" s="88">
        <f t="shared" ca="1" si="388"/>
        <v>0</v>
      </c>
      <c r="CU173" s="88">
        <f t="shared" ref="CU173:DI181" ca="1" si="389">IF(AND($H173&lt;=CU$8,$H173+$AK173&gt;CU$8),IF(AND($H173+$AL173&lt;=CU$8,$AL173&gt;0),$AB173,$X173),0)</f>
        <v>0</v>
      </c>
      <c r="CV173" s="88">
        <f t="shared" ca="1" si="389"/>
        <v>0</v>
      </c>
      <c r="CW173" s="88">
        <f t="shared" ca="1" si="389"/>
        <v>0</v>
      </c>
      <c r="CX173" s="88">
        <f t="shared" ca="1" si="389"/>
        <v>0</v>
      </c>
      <c r="CY173" s="88">
        <f t="shared" ca="1" si="389"/>
        <v>0</v>
      </c>
      <c r="CZ173" s="88">
        <f t="shared" ca="1" si="389"/>
        <v>0</v>
      </c>
      <c r="DA173" s="88">
        <f t="shared" ca="1" si="389"/>
        <v>0</v>
      </c>
      <c r="DB173" s="88">
        <f t="shared" ca="1" si="389"/>
        <v>0</v>
      </c>
      <c r="DC173" s="88">
        <f t="shared" ca="1" si="389"/>
        <v>0</v>
      </c>
      <c r="DD173" s="88">
        <f t="shared" ca="1" si="389"/>
        <v>0</v>
      </c>
      <c r="DE173" s="88">
        <f t="shared" ca="1" si="389"/>
        <v>0</v>
      </c>
      <c r="DF173" s="88">
        <f t="shared" ca="1" si="389"/>
        <v>0</v>
      </c>
      <c r="DG173" s="88">
        <f t="shared" ca="1" si="389"/>
        <v>0</v>
      </c>
      <c r="DH173" s="88">
        <f t="shared" ca="1" si="389"/>
        <v>0</v>
      </c>
      <c r="DI173" s="88">
        <f t="shared" ca="1" si="389"/>
        <v>0</v>
      </c>
      <c r="DJ173" s="169"/>
      <c r="DK173" s="88">
        <f t="shared" ref="DK173:DT181" ca="1" si="390">IF(AND($H173&lt;=DK$8,$H173+$AK173&gt;DK$8),IF(AND($H173+$AL173&lt;=DK$8,$AL173&gt;0),$AC173,$Y173),0)</f>
        <v>0</v>
      </c>
      <c r="DL173" s="88">
        <f t="shared" ca="1" si="390"/>
        <v>35.145249999999997</v>
      </c>
      <c r="DM173" s="88">
        <f t="shared" ca="1" si="390"/>
        <v>35.145249999999997</v>
      </c>
      <c r="DN173" s="88">
        <f t="shared" ca="1" si="390"/>
        <v>35.145249999999997</v>
      </c>
      <c r="DO173" s="88">
        <f t="shared" ca="1" si="390"/>
        <v>35.145249999999997</v>
      </c>
      <c r="DP173" s="88">
        <f t="shared" ca="1" si="390"/>
        <v>35.145249999999997</v>
      </c>
      <c r="DQ173" s="88">
        <f t="shared" ca="1" si="390"/>
        <v>35.145249999999997</v>
      </c>
      <c r="DR173" s="88">
        <f t="shared" ca="1" si="390"/>
        <v>35.145249999999997</v>
      </c>
      <c r="DS173" s="88">
        <f t="shared" ca="1" si="390"/>
        <v>35.145249999999997</v>
      </c>
      <c r="DT173" s="88">
        <f t="shared" ca="1" si="390"/>
        <v>0</v>
      </c>
      <c r="DU173" s="88">
        <f t="shared" ref="DU173:ED181" ca="1" si="391">IF(AND($H173&lt;=DU$8,$H173+$AK173&gt;DU$8),IF(AND($H173+$AL173&lt;=DU$8,$AL173&gt;0),$AC173,$Y173),0)</f>
        <v>0</v>
      </c>
      <c r="DV173" s="88">
        <f t="shared" ca="1" si="391"/>
        <v>0</v>
      </c>
      <c r="DW173" s="88">
        <f t="shared" ca="1" si="391"/>
        <v>0</v>
      </c>
      <c r="DX173" s="88">
        <f t="shared" ca="1" si="391"/>
        <v>0</v>
      </c>
      <c r="DY173" s="88">
        <f t="shared" ca="1" si="391"/>
        <v>0</v>
      </c>
      <c r="DZ173" s="88">
        <f t="shared" ca="1" si="391"/>
        <v>0</v>
      </c>
      <c r="EA173" s="88">
        <f t="shared" ca="1" si="391"/>
        <v>0</v>
      </c>
      <c r="EB173" s="88">
        <f t="shared" ca="1" si="391"/>
        <v>0</v>
      </c>
      <c r="EC173" s="88">
        <f t="shared" ca="1" si="391"/>
        <v>0</v>
      </c>
      <c r="ED173" s="88">
        <f t="shared" ca="1" si="391"/>
        <v>0</v>
      </c>
      <c r="EE173" s="88">
        <f t="shared" ref="EE173:ES181" ca="1" si="392">IF(AND($H173&lt;=EE$8,$H173+$AK173&gt;EE$8),IF(AND($H173+$AL173&lt;=EE$8,$AL173&gt;0),$AC173,$Y173),0)</f>
        <v>0</v>
      </c>
      <c r="EF173" s="88">
        <f t="shared" ca="1" si="392"/>
        <v>0</v>
      </c>
      <c r="EG173" s="88">
        <f t="shared" ca="1" si="392"/>
        <v>0</v>
      </c>
      <c r="EH173" s="88">
        <f t="shared" ca="1" si="392"/>
        <v>0</v>
      </c>
      <c r="EI173" s="88">
        <f t="shared" ca="1" si="392"/>
        <v>0</v>
      </c>
      <c r="EJ173" s="88">
        <f t="shared" ca="1" si="392"/>
        <v>0</v>
      </c>
      <c r="EK173" s="88">
        <f t="shared" ca="1" si="392"/>
        <v>0</v>
      </c>
      <c r="EL173" s="88">
        <f t="shared" ca="1" si="392"/>
        <v>0</v>
      </c>
      <c r="EM173" s="88">
        <f t="shared" ca="1" si="392"/>
        <v>0</v>
      </c>
      <c r="EN173" s="88">
        <f t="shared" ca="1" si="392"/>
        <v>0</v>
      </c>
      <c r="EO173" s="88">
        <f t="shared" ca="1" si="392"/>
        <v>0</v>
      </c>
      <c r="EP173" s="88">
        <f t="shared" ca="1" si="392"/>
        <v>0</v>
      </c>
      <c r="EQ173" s="88">
        <f t="shared" ca="1" si="392"/>
        <v>0</v>
      </c>
      <c r="ER173" s="88">
        <f t="shared" ca="1" si="392"/>
        <v>0</v>
      </c>
      <c r="ES173" s="88">
        <f t="shared" ca="1" si="392"/>
        <v>0</v>
      </c>
      <c r="ET173" s="169"/>
      <c r="EU173" s="88">
        <f t="shared" ref="EU173:FD181" ca="1" si="393">IF(AND($H173&lt;=EU$8,$H173+$AK173&gt;EU$8),IF(AND($H173+$AL173&lt;=EU$8,$AL173&gt;0),$AD173,$Z173),0)</f>
        <v>0</v>
      </c>
      <c r="EV173" s="88">
        <f t="shared" ca="1" si="393"/>
        <v>0</v>
      </c>
      <c r="EW173" s="88">
        <f t="shared" ca="1" si="393"/>
        <v>0</v>
      </c>
      <c r="EX173" s="88">
        <f t="shared" ca="1" si="393"/>
        <v>0</v>
      </c>
      <c r="EY173" s="88">
        <f t="shared" ca="1" si="393"/>
        <v>0</v>
      </c>
      <c r="EZ173" s="88">
        <f t="shared" ca="1" si="393"/>
        <v>0</v>
      </c>
      <c r="FA173" s="88">
        <f t="shared" ca="1" si="393"/>
        <v>0</v>
      </c>
      <c r="FB173" s="88">
        <f t="shared" ca="1" si="393"/>
        <v>0</v>
      </c>
      <c r="FC173" s="88">
        <f t="shared" ca="1" si="393"/>
        <v>0</v>
      </c>
      <c r="FD173" s="88">
        <f t="shared" ca="1" si="393"/>
        <v>0</v>
      </c>
      <c r="FE173" s="88">
        <f t="shared" ref="FE173:FN181" ca="1" si="394">IF(AND($H173&lt;=FE$8,$H173+$AK173&gt;FE$8),IF(AND($H173+$AL173&lt;=FE$8,$AL173&gt;0),$AD173,$Z173),0)</f>
        <v>0</v>
      </c>
      <c r="FF173" s="88">
        <f t="shared" ca="1" si="394"/>
        <v>0</v>
      </c>
      <c r="FG173" s="88">
        <f t="shared" ca="1" si="394"/>
        <v>0</v>
      </c>
      <c r="FH173" s="88">
        <f t="shared" ca="1" si="394"/>
        <v>0</v>
      </c>
      <c r="FI173" s="88">
        <f t="shared" ca="1" si="394"/>
        <v>0</v>
      </c>
      <c r="FJ173" s="88">
        <f t="shared" ca="1" si="394"/>
        <v>0</v>
      </c>
      <c r="FK173" s="88">
        <f t="shared" ca="1" si="394"/>
        <v>0</v>
      </c>
      <c r="FL173" s="88">
        <f t="shared" ca="1" si="394"/>
        <v>0</v>
      </c>
      <c r="FM173" s="88">
        <f t="shared" ca="1" si="394"/>
        <v>0</v>
      </c>
      <c r="FN173" s="88">
        <f t="shared" ca="1" si="394"/>
        <v>0</v>
      </c>
      <c r="FO173" s="88">
        <f t="shared" ref="FO173:GC181" ca="1" si="395">IF(AND($H173&lt;=FO$8,$H173+$AK173&gt;FO$8),IF(AND($H173+$AL173&lt;=FO$8,$AL173&gt;0),$AD173,$Z173),0)</f>
        <v>0</v>
      </c>
      <c r="FP173" s="88">
        <f t="shared" ca="1" si="395"/>
        <v>0</v>
      </c>
      <c r="FQ173" s="88">
        <f t="shared" ca="1" si="395"/>
        <v>0</v>
      </c>
      <c r="FR173" s="88">
        <f t="shared" ca="1" si="395"/>
        <v>0</v>
      </c>
      <c r="FS173" s="88">
        <f t="shared" ca="1" si="395"/>
        <v>0</v>
      </c>
      <c r="FT173" s="88">
        <f t="shared" ca="1" si="395"/>
        <v>0</v>
      </c>
      <c r="FU173" s="88">
        <f t="shared" ca="1" si="395"/>
        <v>0</v>
      </c>
      <c r="FV173" s="88">
        <f t="shared" ca="1" si="395"/>
        <v>0</v>
      </c>
      <c r="FW173" s="88">
        <f t="shared" ca="1" si="395"/>
        <v>0</v>
      </c>
      <c r="FX173" s="88">
        <f t="shared" ca="1" si="395"/>
        <v>0</v>
      </c>
      <c r="FY173" s="88">
        <f t="shared" ca="1" si="395"/>
        <v>0</v>
      </c>
      <c r="FZ173" s="88">
        <f t="shared" ca="1" si="395"/>
        <v>0</v>
      </c>
      <c r="GA173" s="88">
        <f t="shared" ca="1" si="395"/>
        <v>0</v>
      </c>
      <c r="GB173" s="88">
        <f t="shared" ca="1" si="395"/>
        <v>0</v>
      </c>
      <c r="GC173" s="88">
        <f t="shared" ca="1" si="395"/>
        <v>0</v>
      </c>
      <c r="GD173" s="60"/>
    </row>
    <row r="174" spans="1:186" s="54" customFormat="1" ht="14.45" customHeight="1">
      <c r="A174" s="61"/>
      <c r="B174" s="100" t="str">
        <f t="shared" si="345"/>
        <v>C&amp;I_C&amp;I Prescriptive_0_LED Parking Garage/Canopy (30-75W)_2018</v>
      </c>
      <c r="C174" s="100">
        <f>INDEX('Measure Inputs'!$D:$D,MATCH($B174,'Measure Inputs'!$B:$B,0))</f>
        <v>126</v>
      </c>
      <c r="D174" s="101" t="s">
        <v>256</v>
      </c>
      <c r="E174" s="101" t="s">
        <v>255</v>
      </c>
      <c r="F174" s="101">
        <v>0</v>
      </c>
      <c r="G174" s="101" t="s">
        <v>292</v>
      </c>
      <c r="H174" s="101">
        <v>2018</v>
      </c>
      <c r="I174" s="55"/>
      <c r="J174" s="58">
        <f t="shared" ca="1" si="229"/>
        <v>0.50440169327896767</v>
      </c>
      <c r="K174" s="58">
        <f t="shared" ca="1" si="246"/>
        <v>1.4476328597106374</v>
      </c>
      <c r="L174" s="58">
        <f t="shared" ca="1" si="230"/>
        <v>0.34843205574912889</v>
      </c>
      <c r="M174" s="58">
        <f t="shared" ca="1" si="231"/>
        <v>0.66961693236877862</v>
      </c>
      <c r="N174" s="58">
        <f t="shared" ca="1" si="232"/>
        <v>1.4476328597106374</v>
      </c>
      <c r="O174" s="55"/>
      <c r="P174" s="175">
        <f ca="1">IFERROR(($AW174+AV174)/SUMPRODUCT($CA174:$DI174,'General Inputs'!$F$51:$AN$51),"n/a")</f>
        <v>2.5227833192984619E-2</v>
      </c>
      <c r="Q174" s="175">
        <f t="shared" ca="1" si="386"/>
        <v>0.15288286759239239</v>
      </c>
      <c r="R174" s="56">
        <f t="shared" ca="1" si="364"/>
        <v>523.2764224</v>
      </c>
      <c r="S174" s="55"/>
      <c r="T174" s="56">
        <f ca="1">INDEX(OFFSET('Measure Inputs'!$L$7,,,InputRows),$C174)</f>
        <v>100</v>
      </c>
      <c r="U174" s="134">
        <f ca="1">INDEX(OFFSET('Measure Inputs'!$T$7,,,InputRows),$C174)</f>
        <v>1</v>
      </c>
      <c r="V174" s="134">
        <f ca="1">INDEX(OFFSET('Measure Inputs'!$U$7,,,InputRows),$C174)</f>
        <v>1</v>
      </c>
      <c r="W174" s="55"/>
      <c r="X174" s="96">
        <f ca="1">INDEX(OFFSET('Measure Inputs'!$V$7,,,InputRows),$C174)*$T174*$V174*$U174</f>
        <v>65409.552800000005</v>
      </c>
      <c r="Y174" s="96">
        <f ca="1">INDEX(OFFSET('Measure Inputs'!$W$7,,,InputRows),$C174)*$T174*$V174*$U174</f>
        <v>17.343200000000003</v>
      </c>
      <c r="Z174" s="96">
        <f ca="1">INDEX(OFFSET('Measure Inputs'!$X$7,,,InputRows),$C174)*$T174*$V174*$U174</f>
        <v>0</v>
      </c>
      <c r="AA174" s="55"/>
      <c r="AB174" s="96">
        <f ca="1">INDEX(OFFSET('Measure Inputs'!$Z$7,,,InputRows),$C174)*$T174*$V174*$U174</f>
        <v>0</v>
      </c>
      <c r="AC174" s="96">
        <f ca="1">INDEX(OFFSET('Measure Inputs'!$AA$7,,,InputRows),$C174)*$T174*$V174*$U174</f>
        <v>0</v>
      </c>
      <c r="AD174" s="96">
        <f ca="1">INDEX(OFFSET('Measure Inputs'!$AB$7,,,InputRows),$C174)*$T174*$V174*$U174</f>
        <v>0</v>
      </c>
      <c r="AE174" s="55"/>
      <c r="AF174" s="57">
        <f ca="1">INDEX(OFFSET('Measure Inputs'!$Q$7,,,InputRows),$C174)*$T174</f>
        <v>0</v>
      </c>
      <c r="AG174" s="57">
        <f ca="1">INDEX(OFFSET('Measure Inputs'!$P$7,,,InputRows),$C174)*$T174*$V174</f>
        <v>28700</v>
      </c>
      <c r="AH174" s="57">
        <f ca="1">INDEX(OFFSET('Measure Inputs'!$R$7,,,InputRows),$C174)*$T174*$V174</f>
        <v>0</v>
      </c>
      <c r="AI174" s="57">
        <f ca="1">INDEX(OFFSET('Measure Inputs'!$O$7,,,InputRows),$C174)*$T174</f>
        <v>10000</v>
      </c>
      <c r="AJ174" s="57">
        <f ca="1">INDEX(OFFSET('Measure Inputs'!$S$7,,,InputRows),$C174)*$T174</f>
        <v>0</v>
      </c>
      <c r="AK174" s="63">
        <f ca="1">INDEX(OFFSET('Measure Inputs'!$M$7,,,InputRows),$C174)</f>
        <v>8</v>
      </c>
      <c r="AL174" s="88">
        <f ca="1">INDEX(OFFSET('Measure Inputs'!$N$7,,,InputRows),$C174)</f>
        <v>0</v>
      </c>
      <c r="AM174" s="57">
        <f ca="1">SUMIFS(OFFSET('Program Inputs'!$N$5,,,TotalPrograms),OFFSET('Program Inputs'!$B$5,,,TotalPrograms),SUBSTITUTE($B174,"All","*"))+AF174</f>
        <v>0</v>
      </c>
      <c r="AN174" s="57">
        <f t="shared" ca="1" si="365"/>
        <v>10000</v>
      </c>
      <c r="AO174" s="55"/>
      <c r="AP174" s="59">
        <f t="shared" ca="1" si="366"/>
        <v>13300.5591667644</v>
      </c>
      <c r="AQ174" s="59">
        <f t="shared" ca="1" si="367"/>
        <v>26368.981991914738</v>
      </c>
      <c r="AR174" s="59">
        <f ca="1">SUMPRODUCT($CA174:$DI174,'General Inputs'!$F$32:$AN$32,'General Inputs'!$F$51:$AN$51)/(1-Loss_ElectricEnergy)</f>
        <v>11170.242161055317</v>
      </c>
      <c r="AS174" s="59">
        <f ca="1">SUMPRODUCT($DK174:$ES174,'General Inputs'!$F$33:$AN$33,'General Inputs'!$F$51:$AN$51)/(1-Loss_ElectricDemand)</f>
        <v>2130.317005709082</v>
      </c>
      <c r="AT174" s="59">
        <f ca="1">SUMPRODUCT($EU174:$GC174,'General Inputs'!$F$34:$AN$34,'General Inputs'!$F$51:$AN$51)/(1-Loss_GasEnergy)</f>
        <v>0</v>
      </c>
      <c r="AU174" s="59">
        <f ca="1">INDEX('General Inputs'!$F$51:$AN$51,MATCH($H174,'General Inputs'!$F$50:$AN$50,0))*$AJ174</f>
        <v>0</v>
      </c>
      <c r="AV174" s="59">
        <f ca="1">INDEX('General Inputs'!$F$51:$AN$51,MATCH($H174,'General Inputs'!$F$50:$AN$50,0))*$AI174</f>
        <v>9187.798603454612</v>
      </c>
      <c r="AW174" s="59">
        <f ca="1">INDEX('General Inputs'!$F$51:$AN$51,MATCH($H174,'General Inputs'!$F$50:$AN$50,0))*$AM174</f>
        <v>0</v>
      </c>
      <c r="AX174" s="59">
        <f ca="1">SUM(INDEX('General Inputs'!$F$51:$AN$51,MATCH($H174,'General Inputs'!$F$50:$AN$50,0))*$AG174,INDEX('General Inputs'!$F$51:$AN$51,MATCH($H174+$AL174,'General Inputs'!$F$50:$AN$50,0))*-$AH174)</f>
        <v>26368.981991914738</v>
      </c>
      <c r="AY174" s="55"/>
      <c r="AZ174" s="59">
        <f ca="1">SUMPRODUCT($CA174:$DI174,'General Inputs'!$F$32:$AN$32,'General Inputs'!$F$52:$AN$52)/(1-Loss_ElectricEnergy)</f>
        <v>11170.242161055317</v>
      </c>
      <c r="BA174" s="59">
        <f ca="1">SUMPRODUCT($DK174:$ES174,'General Inputs'!$F$33:$AN$33,'General Inputs'!$F$52:$AN$52)/(1-Loss_ElectricDemand)</f>
        <v>2130.317005709082</v>
      </c>
      <c r="BB174" s="59">
        <f ca="1">SUMPRODUCT($EU174:$GC174,'General Inputs'!$F$34:$AN$34,'General Inputs'!$F$52:$AN$52)/(1-Loss_GasEnergy)</f>
        <v>0</v>
      </c>
      <c r="BC174" s="59">
        <f ca="1">INDEX('General Inputs'!$F$52:$AN$52,MATCH($H174,'General Inputs'!$F$50:$AN$50,0))*$AI174</f>
        <v>9187.798603454612</v>
      </c>
      <c r="BD174" s="59">
        <f ca="1">INDEX('General Inputs'!$F$52:$AN$52,MATCH($H174,'General Inputs'!$F$50:$AN$50,0))*$AM174</f>
        <v>0</v>
      </c>
      <c r="BE174" s="55"/>
      <c r="BF174" s="59">
        <f ca="1">SUMPRODUCT($CA174:$DI174,OFFSET('General Inputs'!$F$40:$AN$40,MATCH($D174&amp;" Electric ($/kWh)",'General Inputs'!$E$40:$E$46,0),),'General Inputs'!$F$54:$AN$54)</f>
        <v>0</v>
      </c>
      <c r="BG174" s="59">
        <f ca="1">SUMPRODUCT($EU174:$GC174,OFFSET('General Inputs'!$F$40:$AN$40,MATCH($D174&amp;" Natural Gas ($/therm)",'General Inputs'!$E$40:$E$46,0),),'General Inputs'!$F$54:$AN$54)</f>
        <v>0</v>
      </c>
      <c r="BH174" s="59">
        <f ca="1">INDEX('General Inputs'!$F$54:$AN$54,MATCH($H174,'General Inputs'!$F$50:$AN$50,0))*$AI174</f>
        <v>9187.798603454612</v>
      </c>
      <c r="BI174" s="59">
        <f ca="1">SUM(INDEX('General Inputs'!$F$54:$AN$54,MATCH($H174,'General Inputs'!$F$50:$AN$50,0))*$AG174,INDEX('General Inputs'!$F$51:$AN$51,MATCH($H174+$AL174,'General Inputs'!$F$50:$AN$50,0))*-$AH174)</f>
        <v>26368.981991914738</v>
      </c>
      <c r="BJ174" s="55"/>
      <c r="BK174" s="59">
        <f ca="1">SUMPRODUCT($CA174:$DI174,'General Inputs'!$F$32:$AN$32,'General Inputs'!$F$53:$AN$53)/(1-Loss_ElectricEnergy)</f>
        <v>11170.242161055317</v>
      </c>
      <c r="BL174" s="59">
        <f ca="1">SUMPRODUCT($DK174:$ES174,'General Inputs'!$F$33:$AN$33,'General Inputs'!$F$53:$AN$53)/(1-Loss_ElectricDemand)</f>
        <v>2130.317005709082</v>
      </c>
      <c r="BM174" s="59">
        <f ca="1">SUMPRODUCT($EU174:$GC174,'General Inputs'!$F$34:$AN$34,'General Inputs'!$F$53:$AN$53)/(1-Loss_GasEnergy)</f>
        <v>0</v>
      </c>
      <c r="BN174" s="59">
        <f ca="1">INDEX('General Inputs'!$F$53:$AN$53,MATCH($H174,'General Inputs'!$F$50:$AN$50,0))*$AJ174</f>
        <v>0</v>
      </c>
      <c r="BO174" s="59">
        <f ca="1">SUMPRODUCT($CA174:$DI174,'General Inputs'!$F$35:$AN$35,'General Inputs'!$F$53:$AN$53)/(1-Loss_ElectricEnergy)</f>
        <v>4356.5576643491095</v>
      </c>
      <c r="BP174" s="59">
        <f ca="1">INDEX('General Inputs'!$F$51:$AN$51,MATCH($H174,'General Inputs'!$F$50:$AN$50,0))*$AM174</f>
        <v>0</v>
      </c>
      <c r="BQ174" s="59">
        <f ca="1">SUM(INDEX('General Inputs'!$F$53:$AN$53,MATCH($H174,'General Inputs'!$F$50:$AN$50,0))*$AG174,INDEX('General Inputs'!$F$53:$AN$53,MATCH($H174+$AL174,'General Inputs'!$F$50:$AN$50,0))*-$AH174)</f>
        <v>26368.981991914738</v>
      </c>
      <c r="BR174" s="55"/>
      <c r="BS174" s="59">
        <f ca="1">SUMPRODUCT($CA174:$DI174,'General Inputs'!$F$32:$AN$32,'General Inputs'!$F$55:$AN$55)/(1-Loss_ElectricEnergy)</f>
        <v>11170.242161055317</v>
      </c>
      <c r="BT174" s="59">
        <f ca="1">SUMPRODUCT($DK174:$ES174,'General Inputs'!$F$33:$AN$33,'General Inputs'!$F$55:$AN$55)/(1-Loss_ElectricDemand)</f>
        <v>2130.317005709082</v>
      </c>
      <c r="BU174" s="59">
        <f ca="1">SUMPRODUCT($EU174:$GC174,'General Inputs'!$F$34:$AN$34,'General Inputs'!$F$55:$AN$55)/(1-Loss_GasEnergy)</f>
        <v>0</v>
      </c>
      <c r="BV174" s="59">
        <f ca="1">SUMPRODUCT($CA174:$DI174,OFFSET('General Inputs'!$F$40:$AN$40,MATCH($D174&amp;" Electric ($/kWh)",'General Inputs'!$E$40:$E$46,0),),'General Inputs'!$F$55:$AN$55)</f>
        <v>0</v>
      </c>
      <c r="BW174" s="59">
        <f ca="1">SUMPRODUCT($EU174:$GC174,OFFSET('General Inputs'!$F$40:$AN$40,MATCH($D174&amp;" Natural Gas ($/therm)",'General Inputs'!$E$40:$E$46,0),),'General Inputs'!$F$55:$AN$55)</f>
        <v>0</v>
      </c>
      <c r="BX174" s="59">
        <f ca="1">INDEX('General Inputs'!$F$55:$AN$55,MATCH($H174,'General Inputs'!$F$50:$AN$50,0))*$AI174</f>
        <v>9187.798603454612</v>
      </c>
      <c r="BY174" s="59">
        <f ca="1">INDEX('General Inputs'!$F$51:$AN$51,MATCH($H174,'General Inputs'!$F$50:$AN$50,0))*$AM174</f>
        <v>0</v>
      </c>
      <c r="BZ174" s="55"/>
      <c r="CA174" s="88">
        <f t="shared" ca="1" si="387"/>
        <v>0</v>
      </c>
      <c r="CB174" s="88">
        <f t="shared" ca="1" si="387"/>
        <v>65409.552800000005</v>
      </c>
      <c r="CC174" s="88">
        <f t="shared" ca="1" si="387"/>
        <v>65409.552800000005</v>
      </c>
      <c r="CD174" s="88">
        <f t="shared" ca="1" si="387"/>
        <v>65409.552800000005</v>
      </c>
      <c r="CE174" s="88">
        <f t="shared" ca="1" si="387"/>
        <v>65409.552800000005</v>
      </c>
      <c r="CF174" s="88">
        <f t="shared" ca="1" si="387"/>
        <v>65409.552800000005</v>
      </c>
      <c r="CG174" s="88">
        <f t="shared" ca="1" si="387"/>
        <v>65409.552800000005</v>
      </c>
      <c r="CH174" s="88">
        <f t="shared" ca="1" si="387"/>
        <v>65409.552800000005</v>
      </c>
      <c r="CI174" s="88">
        <f t="shared" ca="1" si="387"/>
        <v>65409.552800000005</v>
      </c>
      <c r="CJ174" s="88">
        <f t="shared" ca="1" si="387"/>
        <v>0</v>
      </c>
      <c r="CK174" s="88">
        <f t="shared" ca="1" si="388"/>
        <v>0</v>
      </c>
      <c r="CL174" s="88">
        <f t="shared" ca="1" si="388"/>
        <v>0</v>
      </c>
      <c r="CM174" s="88">
        <f t="shared" ca="1" si="388"/>
        <v>0</v>
      </c>
      <c r="CN174" s="88">
        <f t="shared" ca="1" si="388"/>
        <v>0</v>
      </c>
      <c r="CO174" s="88">
        <f t="shared" ca="1" si="388"/>
        <v>0</v>
      </c>
      <c r="CP174" s="88">
        <f t="shared" ca="1" si="388"/>
        <v>0</v>
      </c>
      <c r="CQ174" s="88">
        <f t="shared" ca="1" si="388"/>
        <v>0</v>
      </c>
      <c r="CR174" s="88">
        <f t="shared" ca="1" si="388"/>
        <v>0</v>
      </c>
      <c r="CS174" s="88">
        <f t="shared" ca="1" si="388"/>
        <v>0</v>
      </c>
      <c r="CT174" s="88">
        <f t="shared" ca="1" si="388"/>
        <v>0</v>
      </c>
      <c r="CU174" s="88">
        <f t="shared" ca="1" si="389"/>
        <v>0</v>
      </c>
      <c r="CV174" s="88">
        <f t="shared" ca="1" si="389"/>
        <v>0</v>
      </c>
      <c r="CW174" s="88">
        <f t="shared" ca="1" si="389"/>
        <v>0</v>
      </c>
      <c r="CX174" s="88">
        <f t="shared" ca="1" si="389"/>
        <v>0</v>
      </c>
      <c r="CY174" s="88">
        <f t="shared" ca="1" si="389"/>
        <v>0</v>
      </c>
      <c r="CZ174" s="88">
        <f t="shared" ca="1" si="389"/>
        <v>0</v>
      </c>
      <c r="DA174" s="88">
        <f t="shared" ca="1" si="389"/>
        <v>0</v>
      </c>
      <c r="DB174" s="88">
        <f t="shared" ca="1" si="389"/>
        <v>0</v>
      </c>
      <c r="DC174" s="88">
        <f t="shared" ca="1" si="389"/>
        <v>0</v>
      </c>
      <c r="DD174" s="88">
        <f t="shared" ca="1" si="389"/>
        <v>0</v>
      </c>
      <c r="DE174" s="88">
        <f t="shared" ca="1" si="389"/>
        <v>0</v>
      </c>
      <c r="DF174" s="88">
        <f t="shared" ca="1" si="389"/>
        <v>0</v>
      </c>
      <c r="DG174" s="88">
        <f t="shared" ca="1" si="389"/>
        <v>0</v>
      </c>
      <c r="DH174" s="88">
        <f t="shared" ca="1" si="389"/>
        <v>0</v>
      </c>
      <c r="DI174" s="88">
        <f t="shared" ca="1" si="389"/>
        <v>0</v>
      </c>
      <c r="DJ174" s="169"/>
      <c r="DK174" s="88">
        <f t="shared" ca="1" si="390"/>
        <v>0</v>
      </c>
      <c r="DL174" s="88">
        <f t="shared" ca="1" si="390"/>
        <v>17.343200000000003</v>
      </c>
      <c r="DM174" s="88">
        <f t="shared" ca="1" si="390"/>
        <v>17.343200000000003</v>
      </c>
      <c r="DN174" s="88">
        <f t="shared" ca="1" si="390"/>
        <v>17.343200000000003</v>
      </c>
      <c r="DO174" s="88">
        <f t="shared" ca="1" si="390"/>
        <v>17.343200000000003</v>
      </c>
      <c r="DP174" s="88">
        <f t="shared" ca="1" si="390"/>
        <v>17.343200000000003</v>
      </c>
      <c r="DQ174" s="88">
        <f t="shared" ca="1" si="390"/>
        <v>17.343200000000003</v>
      </c>
      <c r="DR174" s="88">
        <f t="shared" ca="1" si="390"/>
        <v>17.343200000000003</v>
      </c>
      <c r="DS174" s="88">
        <f t="shared" ca="1" si="390"/>
        <v>17.343200000000003</v>
      </c>
      <c r="DT174" s="88">
        <f t="shared" ca="1" si="390"/>
        <v>0</v>
      </c>
      <c r="DU174" s="88">
        <f t="shared" ca="1" si="391"/>
        <v>0</v>
      </c>
      <c r="DV174" s="88">
        <f t="shared" ca="1" si="391"/>
        <v>0</v>
      </c>
      <c r="DW174" s="88">
        <f t="shared" ca="1" si="391"/>
        <v>0</v>
      </c>
      <c r="DX174" s="88">
        <f t="shared" ca="1" si="391"/>
        <v>0</v>
      </c>
      <c r="DY174" s="88">
        <f t="shared" ca="1" si="391"/>
        <v>0</v>
      </c>
      <c r="DZ174" s="88">
        <f t="shared" ca="1" si="391"/>
        <v>0</v>
      </c>
      <c r="EA174" s="88">
        <f t="shared" ca="1" si="391"/>
        <v>0</v>
      </c>
      <c r="EB174" s="88">
        <f t="shared" ca="1" si="391"/>
        <v>0</v>
      </c>
      <c r="EC174" s="88">
        <f t="shared" ca="1" si="391"/>
        <v>0</v>
      </c>
      <c r="ED174" s="88">
        <f t="shared" ca="1" si="391"/>
        <v>0</v>
      </c>
      <c r="EE174" s="88">
        <f t="shared" ca="1" si="392"/>
        <v>0</v>
      </c>
      <c r="EF174" s="88">
        <f t="shared" ca="1" si="392"/>
        <v>0</v>
      </c>
      <c r="EG174" s="88">
        <f t="shared" ca="1" si="392"/>
        <v>0</v>
      </c>
      <c r="EH174" s="88">
        <f t="shared" ca="1" si="392"/>
        <v>0</v>
      </c>
      <c r="EI174" s="88">
        <f t="shared" ca="1" si="392"/>
        <v>0</v>
      </c>
      <c r="EJ174" s="88">
        <f t="shared" ca="1" si="392"/>
        <v>0</v>
      </c>
      <c r="EK174" s="88">
        <f t="shared" ca="1" si="392"/>
        <v>0</v>
      </c>
      <c r="EL174" s="88">
        <f t="shared" ca="1" si="392"/>
        <v>0</v>
      </c>
      <c r="EM174" s="88">
        <f t="shared" ca="1" si="392"/>
        <v>0</v>
      </c>
      <c r="EN174" s="88">
        <f t="shared" ca="1" si="392"/>
        <v>0</v>
      </c>
      <c r="EO174" s="88">
        <f t="shared" ca="1" si="392"/>
        <v>0</v>
      </c>
      <c r="EP174" s="88">
        <f t="shared" ca="1" si="392"/>
        <v>0</v>
      </c>
      <c r="EQ174" s="88">
        <f t="shared" ca="1" si="392"/>
        <v>0</v>
      </c>
      <c r="ER174" s="88">
        <f t="shared" ca="1" si="392"/>
        <v>0</v>
      </c>
      <c r="ES174" s="88">
        <f t="shared" ca="1" si="392"/>
        <v>0</v>
      </c>
      <c r="ET174" s="169"/>
      <c r="EU174" s="88">
        <f t="shared" ca="1" si="393"/>
        <v>0</v>
      </c>
      <c r="EV174" s="88">
        <f t="shared" ca="1" si="393"/>
        <v>0</v>
      </c>
      <c r="EW174" s="88">
        <f t="shared" ca="1" si="393"/>
        <v>0</v>
      </c>
      <c r="EX174" s="88">
        <f t="shared" ca="1" si="393"/>
        <v>0</v>
      </c>
      <c r="EY174" s="88">
        <f t="shared" ca="1" si="393"/>
        <v>0</v>
      </c>
      <c r="EZ174" s="88">
        <f t="shared" ca="1" si="393"/>
        <v>0</v>
      </c>
      <c r="FA174" s="88">
        <f t="shared" ca="1" si="393"/>
        <v>0</v>
      </c>
      <c r="FB174" s="88">
        <f t="shared" ca="1" si="393"/>
        <v>0</v>
      </c>
      <c r="FC174" s="88">
        <f t="shared" ca="1" si="393"/>
        <v>0</v>
      </c>
      <c r="FD174" s="88">
        <f t="shared" ca="1" si="393"/>
        <v>0</v>
      </c>
      <c r="FE174" s="88">
        <f t="shared" ca="1" si="394"/>
        <v>0</v>
      </c>
      <c r="FF174" s="88">
        <f t="shared" ca="1" si="394"/>
        <v>0</v>
      </c>
      <c r="FG174" s="88">
        <f t="shared" ca="1" si="394"/>
        <v>0</v>
      </c>
      <c r="FH174" s="88">
        <f t="shared" ca="1" si="394"/>
        <v>0</v>
      </c>
      <c r="FI174" s="88">
        <f t="shared" ca="1" si="394"/>
        <v>0</v>
      </c>
      <c r="FJ174" s="88">
        <f t="shared" ca="1" si="394"/>
        <v>0</v>
      </c>
      <c r="FK174" s="88">
        <f t="shared" ca="1" si="394"/>
        <v>0</v>
      </c>
      <c r="FL174" s="88">
        <f t="shared" ca="1" si="394"/>
        <v>0</v>
      </c>
      <c r="FM174" s="88">
        <f t="shared" ca="1" si="394"/>
        <v>0</v>
      </c>
      <c r="FN174" s="88">
        <f t="shared" ca="1" si="394"/>
        <v>0</v>
      </c>
      <c r="FO174" s="88">
        <f t="shared" ca="1" si="395"/>
        <v>0</v>
      </c>
      <c r="FP174" s="88">
        <f t="shared" ca="1" si="395"/>
        <v>0</v>
      </c>
      <c r="FQ174" s="88">
        <f t="shared" ca="1" si="395"/>
        <v>0</v>
      </c>
      <c r="FR174" s="88">
        <f t="shared" ca="1" si="395"/>
        <v>0</v>
      </c>
      <c r="FS174" s="88">
        <f t="shared" ca="1" si="395"/>
        <v>0</v>
      </c>
      <c r="FT174" s="88">
        <f t="shared" ca="1" si="395"/>
        <v>0</v>
      </c>
      <c r="FU174" s="88">
        <f t="shared" ca="1" si="395"/>
        <v>0</v>
      </c>
      <c r="FV174" s="88">
        <f t="shared" ca="1" si="395"/>
        <v>0</v>
      </c>
      <c r="FW174" s="88">
        <f t="shared" ca="1" si="395"/>
        <v>0</v>
      </c>
      <c r="FX174" s="88">
        <f t="shared" ca="1" si="395"/>
        <v>0</v>
      </c>
      <c r="FY174" s="88">
        <f t="shared" ca="1" si="395"/>
        <v>0</v>
      </c>
      <c r="FZ174" s="88">
        <f t="shared" ca="1" si="395"/>
        <v>0</v>
      </c>
      <c r="GA174" s="88">
        <f t="shared" ca="1" si="395"/>
        <v>0</v>
      </c>
      <c r="GB174" s="88">
        <f t="shared" ca="1" si="395"/>
        <v>0</v>
      </c>
      <c r="GC174" s="88">
        <f t="shared" ca="1" si="395"/>
        <v>0</v>
      </c>
      <c r="GD174" s="60"/>
    </row>
    <row r="175" spans="1:186" s="54" customFormat="1" ht="14.45" customHeight="1">
      <c r="A175" s="61"/>
      <c r="B175" s="100" t="str">
        <f t="shared" si="345"/>
        <v>C&amp;I_C&amp;I Prescriptive_0_LED Parking Garage/Canopy (≥75W)_2018</v>
      </c>
      <c r="C175" s="100">
        <f>INDEX('Measure Inputs'!$D:$D,MATCH($B175,'Measure Inputs'!$B:$B,0))</f>
        <v>127</v>
      </c>
      <c r="D175" s="101" t="s">
        <v>256</v>
      </c>
      <c r="E175" s="101" t="s">
        <v>255</v>
      </c>
      <c r="F175" s="101">
        <v>0</v>
      </c>
      <c r="G175" s="101" t="s">
        <v>293</v>
      </c>
      <c r="H175" s="101">
        <v>2018</v>
      </c>
      <c r="I175" s="55"/>
      <c r="J175" s="58">
        <f t="shared" ca="1" si="229"/>
        <v>0.69448126850536962</v>
      </c>
      <c r="K175" s="58">
        <f t="shared" ca="1" si="246"/>
        <v>1.939586971325711</v>
      </c>
      <c r="L175" s="58">
        <f t="shared" ca="1" si="230"/>
        <v>0.35805626598465473</v>
      </c>
      <c r="M175" s="58">
        <f t="shared" ca="1" si="231"/>
        <v>0.92195649380373423</v>
      </c>
      <c r="N175" s="58">
        <f t="shared" ca="1" si="232"/>
        <v>1.939586971325711</v>
      </c>
      <c r="O175" s="55"/>
      <c r="P175" s="175">
        <f ca="1">IFERROR(($AW175+AV175)/SUMPRODUCT($CA175:$DI175,'General Inputs'!$F$51:$AN$51),"n/a")</f>
        <v>1.8829081061779537E-2</v>
      </c>
      <c r="Q175" s="175">
        <f t="shared" ca="1" si="386"/>
        <v>0.11410587206732284</v>
      </c>
      <c r="R175" s="56">
        <f t="shared" ca="1" si="364"/>
        <v>2453.8614439999988</v>
      </c>
      <c r="S175" s="55"/>
      <c r="T175" s="56">
        <f ca="1">INDEX(OFFSET('Measure Inputs'!$L$7,,,InputRows),$C175)</f>
        <v>250</v>
      </c>
      <c r="U175" s="134">
        <f ca="1">INDEX(OFFSET('Measure Inputs'!$T$7,,,InputRows),$C175)</f>
        <v>1</v>
      </c>
      <c r="V175" s="134">
        <f ca="1">INDEX(OFFSET('Measure Inputs'!$U$7,,,InputRows),$C175)</f>
        <v>1</v>
      </c>
      <c r="W175" s="55"/>
      <c r="X175" s="96">
        <f ca="1">INDEX(OFFSET('Measure Inputs'!$V$7,,,InputRows),$C175)*$T175*$V175*$U175</f>
        <v>306732.6804999999</v>
      </c>
      <c r="Y175" s="96">
        <f ca="1">INDEX(OFFSET('Measure Inputs'!$W$7,,,InputRows),$C175)*$T175*$V175*$U175</f>
        <v>81.329499999999982</v>
      </c>
      <c r="Z175" s="96">
        <f ca="1">INDEX(OFFSET('Measure Inputs'!$X$7,,,InputRows),$C175)*$T175*$V175*$U175</f>
        <v>0</v>
      </c>
      <c r="AA175" s="55"/>
      <c r="AB175" s="96">
        <f ca="1">INDEX(OFFSET('Measure Inputs'!$Z$7,,,InputRows),$C175)*$T175*$V175*$U175</f>
        <v>0</v>
      </c>
      <c r="AC175" s="96">
        <f ca="1">INDEX(OFFSET('Measure Inputs'!$AA$7,,,InputRows),$C175)*$T175*$V175*$U175</f>
        <v>0</v>
      </c>
      <c r="AD175" s="96">
        <f ca="1">INDEX(OFFSET('Measure Inputs'!$AB$7,,,InputRows),$C175)*$T175*$V175*$U175</f>
        <v>0</v>
      </c>
      <c r="AE175" s="55"/>
      <c r="AF175" s="57">
        <f ca="1">INDEX(OFFSET('Measure Inputs'!$Q$7,,,InputRows),$C175)*$T175</f>
        <v>0</v>
      </c>
      <c r="AG175" s="57">
        <f ca="1">INDEX(OFFSET('Measure Inputs'!$P$7,,,InputRows),$C175)*$T175*$V175</f>
        <v>97750</v>
      </c>
      <c r="AH175" s="57">
        <f ca="1">INDEX(OFFSET('Measure Inputs'!$R$7,,,InputRows),$C175)*$T175*$V175</f>
        <v>0</v>
      </c>
      <c r="AI175" s="57">
        <f ca="1">INDEX(OFFSET('Measure Inputs'!$O$7,,,InputRows),$C175)*$T175</f>
        <v>35000</v>
      </c>
      <c r="AJ175" s="57">
        <f ca="1">INDEX(OFFSET('Measure Inputs'!$S$7,,,InputRows),$C175)*$T175</f>
        <v>0</v>
      </c>
      <c r="AK175" s="63">
        <f ca="1">INDEX(OFFSET('Measure Inputs'!$M$7,,,InputRows),$C175)</f>
        <v>8</v>
      </c>
      <c r="AL175" s="88">
        <f ca="1">INDEX(OFFSET('Measure Inputs'!$N$7,,,InputRows),$C175)</f>
        <v>0</v>
      </c>
      <c r="AM175" s="57">
        <f ca="1">SUMIFS(OFFSET('Program Inputs'!$N$5,,,TotalPrograms),OFFSET('Program Inputs'!$B$5,,,TotalPrograms),SUBSTITUTE($B175,"All","*"))+AF175</f>
        <v>0</v>
      </c>
      <c r="AN175" s="57">
        <f t="shared" ca="1" si="365"/>
        <v>35000</v>
      </c>
      <c r="AO175" s="55"/>
      <c r="AP175" s="59">
        <f t="shared" ca="1" si="366"/>
        <v>62371.870632487946</v>
      </c>
      <c r="AQ175" s="59">
        <f t="shared" ca="1" si="367"/>
        <v>89810.731348768837</v>
      </c>
      <c r="AR175" s="59">
        <f ca="1">SUMPRODUCT($CA175:$DI175,'General Inputs'!$F$32:$AN$32,'General Inputs'!$F$51:$AN$51)/(1-Loss_ElectricEnergy)</f>
        <v>52381.925471513234</v>
      </c>
      <c r="AS175" s="59">
        <f ca="1">SUMPRODUCT($DK175:$ES175,'General Inputs'!$F$33:$AN$33,'General Inputs'!$F$51:$AN$51)/(1-Loss_ElectricDemand)</f>
        <v>9989.9451609747157</v>
      </c>
      <c r="AT175" s="59">
        <f ca="1">SUMPRODUCT($EU175:$GC175,'General Inputs'!$F$34:$AN$34,'General Inputs'!$F$51:$AN$51)/(1-Loss_GasEnergy)</f>
        <v>0</v>
      </c>
      <c r="AU175" s="59">
        <f ca="1">INDEX('General Inputs'!$F$51:$AN$51,MATCH($H175,'General Inputs'!$F$50:$AN$50,0))*$AJ175</f>
        <v>0</v>
      </c>
      <c r="AV175" s="59">
        <f ca="1">INDEX('General Inputs'!$F$51:$AN$51,MATCH($H175,'General Inputs'!$F$50:$AN$50,0))*$AI175</f>
        <v>32157.295112091142</v>
      </c>
      <c r="AW175" s="59">
        <f ca="1">INDEX('General Inputs'!$F$51:$AN$51,MATCH($H175,'General Inputs'!$F$50:$AN$50,0))*$AM175</f>
        <v>0</v>
      </c>
      <c r="AX175" s="59">
        <f ca="1">SUM(INDEX('General Inputs'!$F$51:$AN$51,MATCH($H175,'General Inputs'!$F$50:$AN$50,0))*$AG175,INDEX('General Inputs'!$F$51:$AN$51,MATCH($H175+$AL175,'General Inputs'!$F$50:$AN$50,0))*-$AH175)</f>
        <v>89810.731348768837</v>
      </c>
      <c r="AY175" s="55"/>
      <c r="AZ175" s="59">
        <f ca="1">SUMPRODUCT($CA175:$DI175,'General Inputs'!$F$32:$AN$32,'General Inputs'!$F$52:$AN$52)/(1-Loss_ElectricEnergy)</f>
        <v>52381.925471513234</v>
      </c>
      <c r="BA175" s="59">
        <f ca="1">SUMPRODUCT($DK175:$ES175,'General Inputs'!$F$33:$AN$33,'General Inputs'!$F$52:$AN$52)/(1-Loss_ElectricDemand)</f>
        <v>9989.9451609747157</v>
      </c>
      <c r="BB175" s="59">
        <f ca="1">SUMPRODUCT($EU175:$GC175,'General Inputs'!$F$34:$AN$34,'General Inputs'!$F$52:$AN$52)/(1-Loss_GasEnergy)</f>
        <v>0</v>
      </c>
      <c r="BC175" s="59">
        <f ca="1">INDEX('General Inputs'!$F$52:$AN$52,MATCH($H175,'General Inputs'!$F$50:$AN$50,0))*$AI175</f>
        <v>32157.295112091142</v>
      </c>
      <c r="BD175" s="59">
        <f ca="1">INDEX('General Inputs'!$F$52:$AN$52,MATCH($H175,'General Inputs'!$F$50:$AN$50,0))*$AM175</f>
        <v>0</v>
      </c>
      <c r="BE175" s="55"/>
      <c r="BF175" s="59">
        <f ca="1">SUMPRODUCT($CA175:$DI175,OFFSET('General Inputs'!$F$40:$AN$40,MATCH($D175&amp;" Electric ($/kWh)",'General Inputs'!$E$40:$E$46,0),),'General Inputs'!$F$54:$AN$54)</f>
        <v>0</v>
      </c>
      <c r="BG175" s="59">
        <f ca="1">SUMPRODUCT($EU175:$GC175,OFFSET('General Inputs'!$F$40:$AN$40,MATCH($D175&amp;" Natural Gas ($/therm)",'General Inputs'!$E$40:$E$46,0),),'General Inputs'!$F$54:$AN$54)</f>
        <v>0</v>
      </c>
      <c r="BH175" s="59">
        <f ca="1">INDEX('General Inputs'!$F$54:$AN$54,MATCH($H175,'General Inputs'!$F$50:$AN$50,0))*$AI175</f>
        <v>32157.295112091142</v>
      </c>
      <c r="BI175" s="59">
        <f ca="1">SUM(INDEX('General Inputs'!$F$54:$AN$54,MATCH($H175,'General Inputs'!$F$50:$AN$50,0))*$AG175,INDEX('General Inputs'!$F$51:$AN$51,MATCH($H175+$AL175,'General Inputs'!$F$50:$AN$50,0))*-$AH175)</f>
        <v>89810.731348768837</v>
      </c>
      <c r="BJ175" s="55"/>
      <c r="BK175" s="59">
        <f ca="1">SUMPRODUCT($CA175:$DI175,'General Inputs'!$F$32:$AN$32,'General Inputs'!$F$53:$AN$53)/(1-Loss_ElectricEnergy)</f>
        <v>52381.925471513234</v>
      </c>
      <c r="BL175" s="59">
        <f ca="1">SUMPRODUCT($DK175:$ES175,'General Inputs'!$F$33:$AN$33,'General Inputs'!$F$53:$AN$53)/(1-Loss_ElectricDemand)</f>
        <v>9989.9451609747157</v>
      </c>
      <c r="BM175" s="59">
        <f ca="1">SUMPRODUCT($EU175:$GC175,'General Inputs'!$F$34:$AN$34,'General Inputs'!$F$53:$AN$53)/(1-Loss_GasEnergy)</f>
        <v>0</v>
      </c>
      <c r="BN175" s="59">
        <f ca="1">INDEX('General Inputs'!$F$53:$AN$53,MATCH($H175,'General Inputs'!$F$50:$AN$50,0))*$AJ175</f>
        <v>0</v>
      </c>
      <c r="BO175" s="59">
        <f ca="1">SUMPRODUCT($CA175:$DI175,'General Inputs'!$F$35:$AN$35,'General Inputs'!$F$53:$AN$53)/(1-Loss_ElectricEnergy)</f>
        <v>20429.71634777209</v>
      </c>
      <c r="BP175" s="59">
        <f ca="1">INDEX('General Inputs'!$F$51:$AN$51,MATCH($H175,'General Inputs'!$F$50:$AN$50,0))*$AM175</f>
        <v>0</v>
      </c>
      <c r="BQ175" s="59">
        <f ca="1">SUM(INDEX('General Inputs'!$F$53:$AN$53,MATCH($H175,'General Inputs'!$F$50:$AN$50,0))*$AG175,INDEX('General Inputs'!$F$53:$AN$53,MATCH($H175+$AL175,'General Inputs'!$F$50:$AN$50,0))*-$AH175)</f>
        <v>89810.731348768837</v>
      </c>
      <c r="BR175" s="55"/>
      <c r="BS175" s="59">
        <f ca="1">SUMPRODUCT($CA175:$DI175,'General Inputs'!$F$32:$AN$32,'General Inputs'!$F$55:$AN$55)/(1-Loss_ElectricEnergy)</f>
        <v>52381.925471513234</v>
      </c>
      <c r="BT175" s="59">
        <f ca="1">SUMPRODUCT($DK175:$ES175,'General Inputs'!$F$33:$AN$33,'General Inputs'!$F$55:$AN$55)/(1-Loss_ElectricDemand)</f>
        <v>9989.9451609747157</v>
      </c>
      <c r="BU175" s="59">
        <f ca="1">SUMPRODUCT($EU175:$GC175,'General Inputs'!$F$34:$AN$34,'General Inputs'!$F$55:$AN$55)/(1-Loss_GasEnergy)</f>
        <v>0</v>
      </c>
      <c r="BV175" s="59">
        <f ca="1">SUMPRODUCT($CA175:$DI175,OFFSET('General Inputs'!$F$40:$AN$40,MATCH($D175&amp;" Electric ($/kWh)",'General Inputs'!$E$40:$E$46,0),),'General Inputs'!$F$55:$AN$55)</f>
        <v>0</v>
      </c>
      <c r="BW175" s="59">
        <f ca="1">SUMPRODUCT($EU175:$GC175,OFFSET('General Inputs'!$F$40:$AN$40,MATCH($D175&amp;" Natural Gas ($/therm)",'General Inputs'!$E$40:$E$46,0),),'General Inputs'!$F$55:$AN$55)</f>
        <v>0</v>
      </c>
      <c r="BX175" s="59">
        <f ca="1">INDEX('General Inputs'!$F$55:$AN$55,MATCH($H175,'General Inputs'!$F$50:$AN$50,0))*$AI175</f>
        <v>32157.295112091142</v>
      </c>
      <c r="BY175" s="59">
        <f ca="1">INDEX('General Inputs'!$F$51:$AN$51,MATCH($H175,'General Inputs'!$F$50:$AN$50,0))*$AM175</f>
        <v>0</v>
      </c>
      <c r="BZ175" s="55"/>
      <c r="CA175" s="88">
        <f t="shared" ca="1" si="387"/>
        <v>0</v>
      </c>
      <c r="CB175" s="88">
        <f t="shared" ca="1" si="387"/>
        <v>306732.6804999999</v>
      </c>
      <c r="CC175" s="88">
        <f t="shared" ca="1" si="387"/>
        <v>306732.6804999999</v>
      </c>
      <c r="CD175" s="88">
        <f t="shared" ca="1" si="387"/>
        <v>306732.6804999999</v>
      </c>
      <c r="CE175" s="88">
        <f t="shared" ca="1" si="387"/>
        <v>306732.6804999999</v>
      </c>
      <c r="CF175" s="88">
        <f t="shared" ca="1" si="387"/>
        <v>306732.6804999999</v>
      </c>
      <c r="CG175" s="88">
        <f t="shared" ca="1" si="387"/>
        <v>306732.6804999999</v>
      </c>
      <c r="CH175" s="88">
        <f t="shared" ca="1" si="387"/>
        <v>306732.6804999999</v>
      </c>
      <c r="CI175" s="88">
        <f t="shared" ca="1" si="387"/>
        <v>306732.6804999999</v>
      </c>
      <c r="CJ175" s="88">
        <f t="shared" ca="1" si="387"/>
        <v>0</v>
      </c>
      <c r="CK175" s="88">
        <f t="shared" ca="1" si="388"/>
        <v>0</v>
      </c>
      <c r="CL175" s="88">
        <f t="shared" ca="1" si="388"/>
        <v>0</v>
      </c>
      <c r="CM175" s="88">
        <f t="shared" ca="1" si="388"/>
        <v>0</v>
      </c>
      <c r="CN175" s="88">
        <f t="shared" ca="1" si="388"/>
        <v>0</v>
      </c>
      <c r="CO175" s="88">
        <f t="shared" ca="1" si="388"/>
        <v>0</v>
      </c>
      <c r="CP175" s="88">
        <f t="shared" ca="1" si="388"/>
        <v>0</v>
      </c>
      <c r="CQ175" s="88">
        <f t="shared" ca="1" si="388"/>
        <v>0</v>
      </c>
      <c r="CR175" s="88">
        <f t="shared" ca="1" si="388"/>
        <v>0</v>
      </c>
      <c r="CS175" s="88">
        <f t="shared" ca="1" si="388"/>
        <v>0</v>
      </c>
      <c r="CT175" s="88">
        <f t="shared" ca="1" si="388"/>
        <v>0</v>
      </c>
      <c r="CU175" s="88">
        <f t="shared" ca="1" si="389"/>
        <v>0</v>
      </c>
      <c r="CV175" s="88">
        <f t="shared" ca="1" si="389"/>
        <v>0</v>
      </c>
      <c r="CW175" s="88">
        <f t="shared" ca="1" si="389"/>
        <v>0</v>
      </c>
      <c r="CX175" s="88">
        <f t="shared" ca="1" si="389"/>
        <v>0</v>
      </c>
      <c r="CY175" s="88">
        <f t="shared" ca="1" si="389"/>
        <v>0</v>
      </c>
      <c r="CZ175" s="88">
        <f t="shared" ca="1" si="389"/>
        <v>0</v>
      </c>
      <c r="DA175" s="88">
        <f t="shared" ca="1" si="389"/>
        <v>0</v>
      </c>
      <c r="DB175" s="88">
        <f t="shared" ca="1" si="389"/>
        <v>0</v>
      </c>
      <c r="DC175" s="88">
        <f t="shared" ca="1" si="389"/>
        <v>0</v>
      </c>
      <c r="DD175" s="88">
        <f t="shared" ca="1" si="389"/>
        <v>0</v>
      </c>
      <c r="DE175" s="88">
        <f t="shared" ca="1" si="389"/>
        <v>0</v>
      </c>
      <c r="DF175" s="88">
        <f t="shared" ca="1" si="389"/>
        <v>0</v>
      </c>
      <c r="DG175" s="88">
        <f t="shared" ca="1" si="389"/>
        <v>0</v>
      </c>
      <c r="DH175" s="88">
        <f t="shared" ca="1" si="389"/>
        <v>0</v>
      </c>
      <c r="DI175" s="88">
        <f t="shared" ca="1" si="389"/>
        <v>0</v>
      </c>
      <c r="DJ175" s="169"/>
      <c r="DK175" s="88">
        <f t="shared" ca="1" si="390"/>
        <v>0</v>
      </c>
      <c r="DL175" s="88">
        <f t="shared" ca="1" si="390"/>
        <v>81.329499999999982</v>
      </c>
      <c r="DM175" s="88">
        <f t="shared" ca="1" si="390"/>
        <v>81.329499999999982</v>
      </c>
      <c r="DN175" s="88">
        <f t="shared" ca="1" si="390"/>
        <v>81.329499999999982</v>
      </c>
      <c r="DO175" s="88">
        <f t="shared" ca="1" si="390"/>
        <v>81.329499999999982</v>
      </c>
      <c r="DP175" s="88">
        <f t="shared" ca="1" si="390"/>
        <v>81.329499999999982</v>
      </c>
      <c r="DQ175" s="88">
        <f t="shared" ca="1" si="390"/>
        <v>81.329499999999982</v>
      </c>
      <c r="DR175" s="88">
        <f t="shared" ca="1" si="390"/>
        <v>81.329499999999982</v>
      </c>
      <c r="DS175" s="88">
        <f t="shared" ca="1" si="390"/>
        <v>81.329499999999982</v>
      </c>
      <c r="DT175" s="88">
        <f t="shared" ca="1" si="390"/>
        <v>0</v>
      </c>
      <c r="DU175" s="88">
        <f t="shared" ca="1" si="391"/>
        <v>0</v>
      </c>
      <c r="DV175" s="88">
        <f t="shared" ca="1" si="391"/>
        <v>0</v>
      </c>
      <c r="DW175" s="88">
        <f t="shared" ca="1" si="391"/>
        <v>0</v>
      </c>
      <c r="DX175" s="88">
        <f t="shared" ca="1" si="391"/>
        <v>0</v>
      </c>
      <c r="DY175" s="88">
        <f t="shared" ca="1" si="391"/>
        <v>0</v>
      </c>
      <c r="DZ175" s="88">
        <f t="shared" ca="1" si="391"/>
        <v>0</v>
      </c>
      <c r="EA175" s="88">
        <f t="shared" ca="1" si="391"/>
        <v>0</v>
      </c>
      <c r="EB175" s="88">
        <f t="shared" ca="1" si="391"/>
        <v>0</v>
      </c>
      <c r="EC175" s="88">
        <f t="shared" ca="1" si="391"/>
        <v>0</v>
      </c>
      <c r="ED175" s="88">
        <f t="shared" ca="1" si="391"/>
        <v>0</v>
      </c>
      <c r="EE175" s="88">
        <f t="shared" ca="1" si="392"/>
        <v>0</v>
      </c>
      <c r="EF175" s="88">
        <f t="shared" ca="1" si="392"/>
        <v>0</v>
      </c>
      <c r="EG175" s="88">
        <f t="shared" ca="1" si="392"/>
        <v>0</v>
      </c>
      <c r="EH175" s="88">
        <f t="shared" ca="1" si="392"/>
        <v>0</v>
      </c>
      <c r="EI175" s="88">
        <f t="shared" ca="1" si="392"/>
        <v>0</v>
      </c>
      <c r="EJ175" s="88">
        <f t="shared" ca="1" si="392"/>
        <v>0</v>
      </c>
      <c r="EK175" s="88">
        <f t="shared" ca="1" si="392"/>
        <v>0</v>
      </c>
      <c r="EL175" s="88">
        <f t="shared" ca="1" si="392"/>
        <v>0</v>
      </c>
      <c r="EM175" s="88">
        <f t="shared" ca="1" si="392"/>
        <v>0</v>
      </c>
      <c r="EN175" s="88">
        <f t="shared" ca="1" si="392"/>
        <v>0</v>
      </c>
      <c r="EO175" s="88">
        <f t="shared" ca="1" si="392"/>
        <v>0</v>
      </c>
      <c r="EP175" s="88">
        <f t="shared" ca="1" si="392"/>
        <v>0</v>
      </c>
      <c r="EQ175" s="88">
        <f t="shared" ca="1" si="392"/>
        <v>0</v>
      </c>
      <c r="ER175" s="88">
        <f t="shared" ca="1" si="392"/>
        <v>0</v>
      </c>
      <c r="ES175" s="88">
        <f t="shared" ca="1" si="392"/>
        <v>0</v>
      </c>
      <c r="ET175" s="169"/>
      <c r="EU175" s="88">
        <f t="shared" ca="1" si="393"/>
        <v>0</v>
      </c>
      <c r="EV175" s="88">
        <f t="shared" ca="1" si="393"/>
        <v>0</v>
      </c>
      <c r="EW175" s="88">
        <f t="shared" ca="1" si="393"/>
        <v>0</v>
      </c>
      <c r="EX175" s="88">
        <f t="shared" ca="1" si="393"/>
        <v>0</v>
      </c>
      <c r="EY175" s="88">
        <f t="shared" ca="1" si="393"/>
        <v>0</v>
      </c>
      <c r="EZ175" s="88">
        <f t="shared" ca="1" si="393"/>
        <v>0</v>
      </c>
      <c r="FA175" s="88">
        <f t="shared" ca="1" si="393"/>
        <v>0</v>
      </c>
      <c r="FB175" s="88">
        <f t="shared" ca="1" si="393"/>
        <v>0</v>
      </c>
      <c r="FC175" s="88">
        <f t="shared" ca="1" si="393"/>
        <v>0</v>
      </c>
      <c r="FD175" s="88">
        <f t="shared" ca="1" si="393"/>
        <v>0</v>
      </c>
      <c r="FE175" s="88">
        <f t="shared" ca="1" si="394"/>
        <v>0</v>
      </c>
      <c r="FF175" s="88">
        <f t="shared" ca="1" si="394"/>
        <v>0</v>
      </c>
      <c r="FG175" s="88">
        <f t="shared" ca="1" si="394"/>
        <v>0</v>
      </c>
      <c r="FH175" s="88">
        <f t="shared" ca="1" si="394"/>
        <v>0</v>
      </c>
      <c r="FI175" s="88">
        <f t="shared" ca="1" si="394"/>
        <v>0</v>
      </c>
      <c r="FJ175" s="88">
        <f t="shared" ca="1" si="394"/>
        <v>0</v>
      </c>
      <c r="FK175" s="88">
        <f t="shared" ca="1" si="394"/>
        <v>0</v>
      </c>
      <c r="FL175" s="88">
        <f t="shared" ca="1" si="394"/>
        <v>0</v>
      </c>
      <c r="FM175" s="88">
        <f t="shared" ca="1" si="394"/>
        <v>0</v>
      </c>
      <c r="FN175" s="88">
        <f t="shared" ca="1" si="394"/>
        <v>0</v>
      </c>
      <c r="FO175" s="88">
        <f t="shared" ca="1" si="395"/>
        <v>0</v>
      </c>
      <c r="FP175" s="88">
        <f t="shared" ca="1" si="395"/>
        <v>0</v>
      </c>
      <c r="FQ175" s="88">
        <f t="shared" ca="1" si="395"/>
        <v>0</v>
      </c>
      <c r="FR175" s="88">
        <f t="shared" ca="1" si="395"/>
        <v>0</v>
      </c>
      <c r="FS175" s="88">
        <f t="shared" ca="1" si="395"/>
        <v>0</v>
      </c>
      <c r="FT175" s="88">
        <f t="shared" ca="1" si="395"/>
        <v>0</v>
      </c>
      <c r="FU175" s="88">
        <f t="shared" ca="1" si="395"/>
        <v>0</v>
      </c>
      <c r="FV175" s="88">
        <f t="shared" ca="1" si="395"/>
        <v>0</v>
      </c>
      <c r="FW175" s="88">
        <f t="shared" ca="1" si="395"/>
        <v>0</v>
      </c>
      <c r="FX175" s="88">
        <f t="shared" ca="1" si="395"/>
        <v>0</v>
      </c>
      <c r="FY175" s="88">
        <f t="shared" ca="1" si="395"/>
        <v>0</v>
      </c>
      <c r="FZ175" s="88">
        <f t="shared" ca="1" si="395"/>
        <v>0</v>
      </c>
      <c r="GA175" s="88">
        <f t="shared" ca="1" si="395"/>
        <v>0</v>
      </c>
      <c r="GB175" s="88">
        <f t="shared" ca="1" si="395"/>
        <v>0</v>
      </c>
      <c r="GC175" s="88">
        <f t="shared" ca="1" si="395"/>
        <v>0</v>
      </c>
      <c r="GD175" s="60"/>
    </row>
    <row r="176" spans="1:186" s="54" customFormat="1" ht="14.45" customHeight="1">
      <c r="A176" s="61"/>
      <c r="B176" s="100" t="str">
        <f t="shared" si="345"/>
        <v>C&amp;I_C&amp;I Prescriptive_0_LED Linear Replacement Lamp (≤4ft)_2018</v>
      </c>
      <c r="C176" s="100">
        <f>INDEX('Measure Inputs'!$D:$D,MATCH($B176,'Measure Inputs'!$B:$B,0))</f>
        <v>128</v>
      </c>
      <c r="D176" s="101" t="s">
        <v>256</v>
      </c>
      <c r="E176" s="101" t="s">
        <v>255</v>
      </c>
      <c r="F176" s="101">
        <v>0</v>
      </c>
      <c r="G176" s="101" t="s">
        <v>299</v>
      </c>
      <c r="H176" s="101">
        <v>2018</v>
      </c>
      <c r="I176" s="55"/>
      <c r="J176" s="58">
        <f t="shared" ca="1" si="229"/>
        <v>0.80927870915884625</v>
      </c>
      <c r="K176" s="58">
        <f t="shared" ca="1" si="246"/>
        <v>3.237114836635385</v>
      </c>
      <c r="L176" s="58">
        <f t="shared" ca="1" si="230"/>
        <v>0.25</v>
      </c>
      <c r="M176" s="58">
        <f t="shared" ca="1" si="231"/>
        <v>1.0713263064453411</v>
      </c>
      <c r="N176" s="58">
        <f t="shared" ca="1" si="232"/>
        <v>3.237114836635385</v>
      </c>
      <c r="O176" s="55"/>
      <c r="P176" s="175">
        <f ca="1">IFERROR(($AW176+AV176)/SUMPRODUCT($CA176:$DI176,'General Inputs'!$F$51:$AN$51),"n/a")</f>
        <v>1.1412263151722066E-2</v>
      </c>
      <c r="Q176" s="175">
        <f t="shared" ca="1" si="386"/>
        <v>8.0278896378716644E-2</v>
      </c>
      <c r="R176" s="56">
        <f t="shared" ca="1" si="364"/>
        <v>2989.5777200000002</v>
      </c>
      <c r="S176" s="55"/>
      <c r="T176" s="56">
        <f ca="1">INDEX(OFFSET('Measure Inputs'!$L$7,,,InputRows),$C176)</f>
        <v>4000</v>
      </c>
      <c r="U176" s="134">
        <f ca="1">INDEX(OFFSET('Measure Inputs'!$T$7,,,InputRows),$C176)</f>
        <v>1</v>
      </c>
      <c r="V176" s="134">
        <f ca="1">INDEX(OFFSET('Measure Inputs'!$U$7,,,InputRows),$C176)</f>
        <v>1</v>
      </c>
      <c r="W176" s="55"/>
      <c r="X176" s="96">
        <f ca="1">INDEX(OFFSET('Measure Inputs'!$V$7,,,InputRows),$C176)*$T176*$V176*$U176</f>
        <v>298957.77200000006</v>
      </c>
      <c r="Y176" s="96">
        <f ca="1">INDEX(OFFSET('Measure Inputs'!$W$7,,,InputRows),$C176)*$T176*$V176*$U176</f>
        <v>79.268000000000015</v>
      </c>
      <c r="Z176" s="96">
        <f ca="1">INDEX(OFFSET('Measure Inputs'!$X$7,,,InputRows),$C176)*$T176*$V176*$U176</f>
        <v>0</v>
      </c>
      <c r="AA176" s="55"/>
      <c r="AB176" s="96">
        <f ca="1">INDEX(OFFSET('Measure Inputs'!$Z$7,,,InputRows),$C176)*$T176*$V176*$U176</f>
        <v>0</v>
      </c>
      <c r="AC176" s="96">
        <f ca="1">INDEX(OFFSET('Measure Inputs'!$AA$7,,,InputRows),$C176)*$T176*$V176*$U176</f>
        <v>0</v>
      </c>
      <c r="AD176" s="96">
        <f ca="1">INDEX(OFFSET('Measure Inputs'!$AB$7,,,InputRows),$C176)*$T176*$V176*$U176</f>
        <v>0</v>
      </c>
      <c r="AE176" s="55"/>
      <c r="AF176" s="57">
        <f ca="1">INDEX(OFFSET('Measure Inputs'!$Q$7,,,InputRows),$C176)*$T176</f>
        <v>0</v>
      </c>
      <c r="AG176" s="57">
        <f ca="1">INDEX(OFFSET('Measure Inputs'!$P$7,,,InputRows),$C176)*$T176*$V176</f>
        <v>96000</v>
      </c>
      <c r="AH176" s="57">
        <f ca="1">INDEX(OFFSET('Measure Inputs'!$R$7,,,InputRows),$C176)*$T176*$V176</f>
        <v>0</v>
      </c>
      <c r="AI176" s="57">
        <f ca="1">INDEX(OFFSET('Measure Inputs'!$O$7,,,InputRows),$C176)*$T176</f>
        <v>24000</v>
      </c>
      <c r="AJ176" s="57">
        <f ca="1">INDEX(OFFSET('Measure Inputs'!$S$7,,,InputRows),$C176)*$T176</f>
        <v>0</v>
      </c>
      <c r="AK176" s="63">
        <f ca="1">INDEX(OFFSET('Measure Inputs'!$M$7,,,InputRows),$C176)</f>
        <v>10</v>
      </c>
      <c r="AL176" s="88">
        <f ca="1">INDEX(OFFSET('Measure Inputs'!$N$7,,,InputRows),$C176)</f>
        <v>0</v>
      </c>
      <c r="AM176" s="57">
        <f ca="1">SUMIFS(OFFSET('Program Inputs'!$N$5,,,TotalPrograms),OFFSET('Program Inputs'!$B$5,,,TotalPrograms),SUBSTITUTE($B176,"All","*"))+AF176</f>
        <v>0</v>
      </c>
      <c r="AN176" s="57">
        <f t="shared" ca="1" si="365"/>
        <v>24000</v>
      </c>
      <c r="AO176" s="55"/>
      <c r="AP176" s="59">
        <f t="shared" ca="1" si="366"/>
        <v>71380.702020625904</v>
      </c>
      <c r="AQ176" s="59">
        <f t="shared" ca="1" si="367"/>
        <v>88202.866593164275</v>
      </c>
      <c r="AR176" s="59">
        <f ca="1">SUMPRODUCT($CA176:$DI176,'General Inputs'!$F$32:$AN$32,'General Inputs'!$F$51:$AN$51)/(1-Loss_ElectricEnergy)</f>
        <v>59947.835064628285</v>
      </c>
      <c r="AS176" s="59">
        <f ca="1">SUMPRODUCT($DK176:$ES176,'General Inputs'!$F$33:$AN$33,'General Inputs'!$F$51:$AN$51)/(1-Loss_ElectricDemand)</f>
        <v>11432.866955997619</v>
      </c>
      <c r="AT176" s="59">
        <f ca="1">SUMPRODUCT($EU176:$GC176,'General Inputs'!$F$34:$AN$34,'General Inputs'!$F$51:$AN$51)/(1-Loss_GasEnergy)</f>
        <v>0</v>
      </c>
      <c r="AU176" s="59">
        <f ca="1">INDEX('General Inputs'!$F$51:$AN$51,MATCH($H176,'General Inputs'!$F$50:$AN$50,0))*$AJ176</f>
        <v>0</v>
      </c>
      <c r="AV176" s="59">
        <f ca="1">INDEX('General Inputs'!$F$51:$AN$51,MATCH($H176,'General Inputs'!$F$50:$AN$50,0))*$AI176</f>
        <v>22050.716648291069</v>
      </c>
      <c r="AW176" s="59">
        <f ca="1">INDEX('General Inputs'!$F$51:$AN$51,MATCH($H176,'General Inputs'!$F$50:$AN$50,0))*$AM176</f>
        <v>0</v>
      </c>
      <c r="AX176" s="59">
        <f ca="1">SUM(INDEX('General Inputs'!$F$51:$AN$51,MATCH($H176,'General Inputs'!$F$50:$AN$50,0))*$AG176,INDEX('General Inputs'!$F$51:$AN$51,MATCH($H176+$AL176,'General Inputs'!$F$50:$AN$50,0))*-$AH176)</f>
        <v>88202.866593164275</v>
      </c>
      <c r="AY176" s="55"/>
      <c r="AZ176" s="59">
        <f ca="1">SUMPRODUCT($CA176:$DI176,'General Inputs'!$F$32:$AN$32,'General Inputs'!$F$52:$AN$52)/(1-Loss_ElectricEnergy)</f>
        <v>59947.835064628285</v>
      </c>
      <c r="BA176" s="59">
        <f ca="1">SUMPRODUCT($DK176:$ES176,'General Inputs'!$F$33:$AN$33,'General Inputs'!$F$52:$AN$52)/(1-Loss_ElectricDemand)</f>
        <v>11432.866955997619</v>
      </c>
      <c r="BB176" s="59">
        <f ca="1">SUMPRODUCT($EU176:$GC176,'General Inputs'!$F$34:$AN$34,'General Inputs'!$F$52:$AN$52)/(1-Loss_GasEnergy)</f>
        <v>0</v>
      </c>
      <c r="BC176" s="59">
        <f ca="1">INDEX('General Inputs'!$F$52:$AN$52,MATCH($H176,'General Inputs'!$F$50:$AN$50,0))*$AI176</f>
        <v>22050.716648291069</v>
      </c>
      <c r="BD176" s="59">
        <f ca="1">INDEX('General Inputs'!$F$52:$AN$52,MATCH($H176,'General Inputs'!$F$50:$AN$50,0))*$AM176</f>
        <v>0</v>
      </c>
      <c r="BE176" s="55"/>
      <c r="BF176" s="59">
        <f ca="1">SUMPRODUCT($CA176:$DI176,OFFSET('General Inputs'!$F$40:$AN$40,MATCH($D176&amp;" Electric ($/kWh)",'General Inputs'!$E$40:$E$46,0),),'General Inputs'!$F$54:$AN$54)</f>
        <v>0</v>
      </c>
      <c r="BG176" s="59">
        <f ca="1">SUMPRODUCT($EU176:$GC176,OFFSET('General Inputs'!$F$40:$AN$40,MATCH($D176&amp;" Natural Gas ($/therm)",'General Inputs'!$E$40:$E$46,0),),'General Inputs'!$F$54:$AN$54)</f>
        <v>0</v>
      </c>
      <c r="BH176" s="59">
        <f ca="1">INDEX('General Inputs'!$F$54:$AN$54,MATCH($H176,'General Inputs'!$F$50:$AN$50,0))*$AI176</f>
        <v>22050.716648291069</v>
      </c>
      <c r="BI176" s="59">
        <f ca="1">SUM(INDEX('General Inputs'!$F$54:$AN$54,MATCH($H176,'General Inputs'!$F$50:$AN$50,0))*$AG176,INDEX('General Inputs'!$F$51:$AN$51,MATCH($H176+$AL176,'General Inputs'!$F$50:$AN$50,0))*-$AH176)</f>
        <v>88202.866593164275</v>
      </c>
      <c r="BJ176" s="55"/>
      <c r="BK176" s="59">
        <f ca="1">SUMPRODUCT($CA176:$DI176,'General Inputs'!$F$32:$AN$32,'General Inputs'!$F$53:$AN$53)/(1-Loss_ElectricEnergy)</f>
        <v>59947.835064628285</v>
      </c>
      <c r="BL176" s="59">
        <f ca="1">SUMPRODUCT($DK176:$ES176,'General Inputs'!$F$33:$AN$33,'General Inputs'!$F$53:$AN$53)/(1-Loss_ElectricDemand)</f>
        <v>11432.866955997619</v>
      </c>
      <c r="BM176" s="59">
        <f ca="1">SUMPRODUCT($EU176:$GC176,'General Inputs'!$F$34:$AN$34,'General Inputs'!$F$53:$AN$53)/(1-Loss_GasEnergy)</f>
        <v>0</v>
      </c>
      <c r="BN176" s="59">
        <f ca="1">INDEX('General Inputs'!$F$53:$AN$53,MATCH($H176,'General Inputs'!$F$50:$AN$50,0))*$AJ176</f>
        <v>0</v>
      </c>
      <c r="BO176" s="59">
        <f ca="1">SUMPRODUCT($CA176:$DI176,'General Inputs'!$F$35:$AN$35,'General Inputs'!$F$53:$AN$53)/(1-Loss_ElectricEnergy)</f>
        <v>23113.34926451994</v>
      </c>
      <c r="BP176" s="59">
        <f ca="1">INDEX('General Inputs'!$F$51:$AN$51,MATCH($H176,'General Inputs'!$F$50:$AN$50,0))*$AM176</f>
        <v>0</v>
      </c>
      <c r="BQ176" s="59">
        <f ca="1">SUM(INDEX('General Inputs'!$F$53:$AN$53,MATCH($H176,'General Inputs'!$F$50:$AN$50,0))*$AG176,INDEX('General Inputs'!$F$53:$AN$53,MATCH($H176+$AL176,'General Inputs'!$F$50:$AN$50,0))*-$AH176)</f>
        <v>88202.866593164275</v>
      </c>
      <c r="BR176" s="55"/>
      <c r="BS176" s="59">
        <f ca="1">SUMPRODUCT($CA176:$DI176,'General Inputs'!$F$32:$AN$32,'General Inputs'!$F$55:$AN$55)/(1-Loss_ElectricEnergy)</f>
        <v>59947.835064628285</v>
      </c>
      <c r="BT176" s="59">
        <f ca="1">SUMPRODUCT($DK176:$ES176,'General Inputs'!$F$33:$AN$33,'General Inputs'!$F$55:$AN$55)/(1-Loss_ElectricDemand)</f>
        <v>11432.866955997619</v>
      </c>
      <c r="BU176" s="59">
        <f ca="1">SUMPRODUCT($EU176:$GC176,'General Inputs'!$F$34:$AN$34,'General Inputs'!$F$55:$AN$55)/(1-Loss_GasEnergy)</f>
        <v>0</v>
      </c>
      <c r="BV176" s="59">
        <f ca="1">SUMPRODUCT($CA176:$DI176,OFFSET('General Inputs'!$F$40:$AN$40,MATCH($D176&amp;" Electric ($/kWh)",'General Inputs'!$E$40:$E$46,0),),'General Inputs'!$F$55:$AN$55)</f>
        <v>0</v>
      </c>
      <c r="BW176" s="59">
        <f ca="1">SUMPRODUCT($EU176:$GC176,OFFSET('General Inputs'!$F$40:$AN$40,MATCH($D176&amp;" Natural Gas ($/therm)",'General Inputs'!$E$40:$E$46,0),),'General Inputs'!$F$55:$AN$55)</f>
        <v>0</v>
      </c>
      <c r="BX176" s="59">
        <f ca="1">INDEX('General Inputs'!$F$55:$AN$55,MATCH($H176,'General Inputs'!$F$50:$AN$50,0))*$AI176</f>
        <v>22050.716648291069</v>
      </c>
      <c r="BY176" s="59">
        <f ca="1">INDEX('General Inputs'!$F$51:$AN$51,MATCH($H176,'General Inputs'!$F$50:$AN$50,0))*$AM176</f>
        <v>0</v>
      </c>
      <c r="BZ176" s="55"/>
      <c r="CA176" s="88">
        <f t="shared" ca="1" si="387"/>
        <v>0</v>
      </c>
      <c r="CB176" s="88">
        <f t="shared" ca="1" si="387"/>
        <v>298957.77200000006</v>
      </c>
      <c r="CC176" s="88">
        <f t="shared" ca="1" si="387"/>
        <v>298957.77200000006</v>
      </c>
      <c r="CD176" s="88">
        <f t="shared" ca="1" si="387"/>
        <v>298957.77200000006</v>
      </c>
      <c r="CE176" s="88">
        <f t="shared" ca="1" si="387"/>
        <v>298957.77200000006</v>
      </c>
      <c r="CF176" s="88">
        <f t="shared" ca="1" si="387"/>
        <v>298957.77200000006</v>
      </c>
      <c r="CG176" s="88">
        <f t="shared" ca="1" si="387"/>
        <v>298957.77200000006</v>
      </c>
      <c r="CH176" s="88">
        <f t="shared" ca="1" si="387"/>
        <v>298957.77200000006</v>
      </c>
      <c r="CI176" s="88">
        <f t="shared" ca="1" si="387"/>
        <v>298957.77200000006</v>
      </c>
      <c r="CJ176" s="88">
        <f t="shared" ca="1" si="387"/>
        <v>298957.77200000006</v>
      </c>
      <c r="CK176" s="88">
        <f t="shared" ca="1" si="388"/>
        <v>298957.77200000006</v>
      </c>
      <c r="CL176" s="88">
        <f t="shared" ca="1" si="388"/>
        <v>0</v>
      </c>
      <c r="CM176" s="88">
        <f t="shared" ca="1" si="388"/>
        <v>0</v>
      </c>
      <c r="CN176" s="88">
        <f t="shared" ca="1" si="388"/>
        <v>0</v>
      </c>
      <c r="CO176" s="88">
        <f t="shared" ca="1" si="388"/>
        <v>0</v>
      </c>
      <c r="CP176" s="88">
        <f t="shared" ca="1" si="388"/>
        <v>0</v>
      </c>
      <c r="CQ176" s="88">
        <f t="shared" ca="1" si="388"/>
        <v>0</v>
      </c>
      <c r="CR176" s="88">
        <f t="shared" ca="1" si="388"/>
        <v>0</v>
      </c>
      <c r="CS176" s="88">
        <f t="shared" ca="1" si="388"/>
        <v>0</v>
      </c>
      <c r="CT176" s="88">
        <f t="shared" ca="1" si="388"/>
        <v>0</v>
      </c>
      <c r="CU176" s="88">
        <f t="shared" ca="1" si="389"/>
        <v>0</v>
      </c>
      <c r="CV176" s="88">
        <f t="shared" ca="1" si="389"/>
        <v>0</v>
      </c>
      <c r="CW176" s="88">
        <f t="shared" ca="1" si="389"/>
        <v>0</v>
      </c>
      <c r="CX176" s="88">
        <f t="shared" ca="1" si="389"/>
        <v>0</v>
      </c>
      <c r="CY176" s="88">
        <f t="shared" ca="1" si="389"/>
        <v>0</v>
      </c>
      <c r="CZ176" s="88">
        <f t="shared" ca="1" si="389"/>
        <v>0</v>
      </c>
      <c r="DA176" s="88">
        <f t="shared" ca="1" si="389"/>
        <v>0</v>
      </c>
      <c r="DB176" s="88">
        <f t="shared" ca="1" si="389"/>
        <v>0</v>
      </c>
      <c r="DC176" s="88">
        <f t="shared" ca="1" si="389"/>
        <v>0</v>
      </c>
      <c r="DD176" s="88">
        <f t="shared" ca="1" si="389"/>
        <v>0</v>
      </c>
      <c r="DE176" s="88">
        <f t="shared" ca="1" si="389"/>
        <v>0</v>
      </c>
      <c r="DF176" s="88">
        <f t="shared" ca="1" si="389"/>
        <v>0</v>
      </c>
      <c r="DG176" s="88">
        <f t="shared" ca="1" si="389"/>
        <v>0</v>
      </c>
      <c r="DH176" s="88">
        <f t="shared" ca="1" si="389"/>
        <v>0</v>
      </c>
      <c r="DI176" s="88">
        <f t="shared" ca="1" si="389"/>
        <v>0</v>
      </c>
      <c r="DJ176" s="169"/>
      <c r="DK176" s="88">
        <f t="shared" ca="1" si="390"/>
        <v>0</v>
      </c>
      <c r="DL176" s="88">
        <f t="shared" ca="1" si="390"/>
        <v>79.268000000000015</v>
      </c>
      <c r="DM176" s="88">
        <f t="shared" ca="1" si="390"/>
        <v>79.268000000000015</v>
      </c>
      <c r="DN176" s="88">
        <f t="shared" ca="1" si="390"/>
        <v>79.268000000000015</v>
      </c>
      <c r="DO176" s="88">
        <f t="shared" ca="1" si="390"/>
        <v>79.268000000000015</v>
      </c>
      <c r="DP176" s="88">
        <f t="shared" ca="1" si="390"/>
        <v>79.268000000000015</v>
      </c>
      <c r="DQ176" s="88">
        <f t="shared" ca="1" si="390"/>
        <v>79.268000000000015</v>
      </c>
      <c r="DR176" s="88">
        <f t="shared" ca="1" si="390"/>
        <v>79.268000000000015</v>
      </c>
      <c r="DS176" s="88">
        <f t="shared" ca="1" si="390"/>
        <v>79.268000000000015</v>
      </c>
      <c r="DT176" s="88">
        <f t="shared" ca="1" si="390"/>
        <v>79.268000000000015</v>
      </c>
      <c r="DU176" s="88">
        <f t="shared" ca="1" si="391"/>
        <v>79.268000000000015</v>
      </c>
      <c r="DV176" s="88">
        <f t="shared" ca="1" si="391"/>
        <v>0</v>
      </c>
      <c r="DW176" s="88">
        <f t="shared" ca="1" si="391"/>
        <v>0</v>
      </c>
      <c r="DX176" s="88">
        <f t="shared" ca="1" si="391"/>
        <v>0</v>
      </c>
      <c r="DY176" s="88">
        <f t="shared" ca="1" si="391"/>
        <v>0</v>
      </c>
      <c r="DZ176" s="88">
        <f t="shared" ca="1" si="391"/>
        <v>0</v>
      </c>
      <c r="EA176" s="88">
        <f t="shared" ca="1" si="391"/>
        <v>0</v>
      </c>
      <c r="EB176" s="88">
        <f t="shared" ca="1" si="391"/>
        <v>0</v>
      </c>
      <c r="EC176" s="88">
        <f t="shared" ca="1" si="391"/>
        <v>0</v>
      </c>
      <c r="ED176" s="88">
        <f t="shared" ca="1" si="391"/>
        <v>0</v>
      </c>
      <c r="EE176" s="88">
        <f t="shared" ca="1" si="392"/>
        <v>0</v>
      </c>
      <c r="EF176" s="88">
        <f t="shared" ca="1" si="392"/>
        <v>0</v>
      </c>
      <c r="EG176" s="88">
        <f t="shared" ca="1" si="392"/>
        <v>0</v>
      </c>
      <c r="EH176" s="88">
        <f t="shared" ca="1" si="392"/>
        <v>0</v>
      </c>
      <c r="EI176" s="88">
        <f t="shared" ca="1" si="392"/>
        <v>0</v>
      </c>
      <c r="EJ176" s="88">
        <f t="shared" ca="1" si="392"/>
        <v>0</v>
      </c>
      <c r="EK176" s="88">
        <f t="shared" ca="1" si="392"/>
        <v>0</v>
      </c>
      <c r="EL176" s="88">
        <f t="shared" ca="1" si="392"/>
        <v>0</v>
      </c>
      <c r="EM176" s="88">
        <f t="shared" ca="1" si="392"/>
        <v>0</v>
      </c>
      <c r="EN176" s="88">
        <f t="shared" ca="1" si="392"/>
        <v>0</v>
      </c>
      <c r="EO176" s="88">
        <f t="shared" ca="1" si="392"/>
        <v>0</v>
      </c>
      <c r="EP176" s="88">
        <f t="shared" ca="1" si="392"/>
        <v>0</v>
      </c>
      <c r="EQ176" s="88">
        <f t="shared" ca="1" si="392"/>
        <v>0</v>
      </c>
      <c r="ER176" s="88">
        <f t="shared" ca="1" si="392"/>
        <v>0</v>
      </c>
      <c r="ES176" s="88">
        <f t="shared" ca="1" si="392"/>
        <v>0</v>
      </c>
      <c r="ET176" s="169"/>
      <c r="EU176" s="88">
        <f t="shared" ca="1" si="393"/>
        <v>0</v>
      </c>
      <c r="EV176" s="88">
        <f t="shared" ca="1" si="393"/>
        <v>0</v>
      </c>
      <c r="EW176" s="88">
        <f t="shared" ca="1" si="393"/>
        <v>0</v>
      </c>
      <c r="EX176" s="88">
        <f t="shared" ca="1" si="393"/>
        <v>0</v>
      </c>
      <c r="EY176" s="88">
        <f t="shared" ca="1" si="393"/>
        <v>0</v>
      </c>
      <c r="EZ176" s="88">
        <f t="shared" ca="1" si="393"/>
        <v>0</v>
      </c>
      <c r="FA176" s="88">
        <f t="shared" ca="1" si="393"/>
        <v>0</v>
      </c>
      <c r="FB176" s="88">
        <f t="shared" ca="1" si="393"/>
        <v>0</v>
      </c>
      <c r="FC176" s="88">
        <f t="shared" ca="1" si="393"/>
        <v>0</v>
      </c>
      <c r="FD176" s="88">
        <f t="shared" ca="1" si="393"/>
        <v>0</v>
      </c>
      <c r="FE176" s="88">
        <f t="shared" ca="1" si="394"/>
        <v>0</v>
      </c>
      <c r="FF176" s="88">
        <f t="shared" ca="1" si="394"/>
        <v>0</v>
      </c>
      <c r="FG176" s="88">
        <f t="shared" ca="1" si="394"/>
        <v>0</v>
      </c>
      <c r="FH176" s="88">
        <f t="shared" ca="1" si="394"/>
        <v>0</v>
      </c>
      <c r="FI176" s="88">
        <f t="shared" ca="1" si="394"/>
        <v>0</v>
      </c>
      <c r="FJ176" s="88">
        <f t="shared" ca="1" si="394"/>
        <v>0</v>
      </c>
      <c r="FK176" s="88">
        <f t="shared" ca="1" si="394"/>
        <v>0</v>
      </c>
      <c r="FL176" s="88">
        <f t="shared" ca="1" si="394"/>
        <v>0</v>
      </c>
      <c r="FM176" s="88">
        <f t="shared" ca="1" si="394"/>
        <v>0</v>
      </c>
      <c r="FN176" s="88">
        <f t="shared" ca="1" si="394"/>
        <v>0</v>
      </c>
      <c r="FO176" s="88">
        <f t="shared" ca="1" si="395"/>
        <v>0</v>
      </c>
      <c r="FP176" s="88">
        <f t="shared" ca="1" si="395"/>
        <v>0</v>
      </c>
      <c r="FQ176" s="88">
        <f t="shared" ca="1" si="395"/>
        <v>0</v>
      </c>
      <c r="FR176" s="88">
        <f t="shared" ca="1" si="395"/>
        <v>0</v>
      </c>
      <c r="FS176" s="88">
        <f t="shared" ca="1" si="395"/>
        <v>0</v>
      </c>
      <c r="FT176" s="88">
        <f t="shared" ca="1" si="395"/>
        <v>0</v>
      </c>
      <c r="FU176" s="88">
        <f t="shared" ca="1" si="395"/>
        <v>0</v>
      </c>
      <c r="FV176" s="88">
        <f t="shared" ca="1" si="395"/>
        <v>0</v>
      </c>
      <c r="FW176" s="88">
        <f t="shared" ca="1" si="395"/>
        <v>0</v>
      </c>
      <c r="FX176" s="88">
        <f t="shared" ca="1" si="395"/>
        <v>0</v>
      </c>
      <c r="FY176" s="88">
        <f t="shared" ca="1" si="395"/>
        <v>0</v>
      </c>
      <c r="FZ176" s="88">
        <f t="shared" ca="1" si="395"/>
        <v>0</v>
      </c>
      <c r="GA176" s="88">
        <f t="shared" ca="1" si="395"/>
        <v>0</v>
      </c>
      <c r="GB176" s="88">
        <f t="shared" ca="1" si="395"/>
        <v>0</v>
      </c>
      <c r="GC176" s="88">
        <f t="shared" ca="1" si="395"/>
        <v>0</v>
      </c>
      <c r="GD176" s="60"/>
    </row>
    <row r="177" spans="1:186" s="54" customFormat="1" ht="14.45" customHeight="1">
      <c r="A177" s="61"/>
      <c r="B177" s="100" t="str">
        <f t="shared" si="345"/>
        <v>C&amp;I_C&amp;I Prescriptive_0_LED Linear Replacement Lamp (5-8ft)_2018</v>
      </c>
      <c r="C177" s="100">
        <f>INDEX('Measure Inputs'!$D:$D,MATCH($B177,'Measure Inputs'!$B:$B,0))</f>
        <v>129</v>
      </c>
      <c r="D177" s="101" t="s">
        <v>256</v>
      </c>
      <c r="E177" s="101" t="s">
        <v>255</v>
      </c>
      <c r="F177" s="101">
        <v>0</v>
      </c>
      <c r="G177" s="101" t="s">
        <v>300</v>
      </c>
      <c r="H177" s="101">
        <v>2018</v>
      </c>
      <c r="I177" s="55"/>
      <c r="J177" s="58">
        <f t="shared" ca="1" si="229"/>
        <v>1.1949081611741348</v>
      </c>
      <c r="K177" s="58">
        <f t="shared" ca="1" si="246"/>
        <v>2.8677795868179237</v>
      </c>
      <c r="L177" s="58">
        <f t="shared" ca="1" si="230"/>
        <v>0.41666666666666669</v>
      </c>
      <c r="M177" s="58">
        <f t="shared" ca="1" si="231"/>
        <v>1.5818240766307043</v>
      </c>
      <c r="N177" s="58">
        <f t="shared" ca="1" si="232"/>
        <v>2.8677795868179237</v>
      </c>
      <c r="O177" s="55"/>
      <c r="P177" s="175">
        <f ca="1">IFERROR(($AW177+AV177)/SUMPRODUCT($CA177:$DI177,'General Inputs'!$F$51:$AN$51),"n/a")</f>
        <v>1.2882024315201428E-2</v>
      </c>
      <c r="Q177" s="175">
        <f t="shared" ca="1" si="386"/>
        <v>9.061784515476351E-2</v>
      </c>
      <c r="R177" s="56">
        <f t="shared" ca="1" si="364"/>
        <v>579.35608499999989</v>
      </c>
      <c r="S177" s="55"/>
      <c r="T177" s="56">
        <f ca="1">INDEX(OFFSET('Measure Inputs'!$L$7,,,InputRows),$C177)</f>
        <v>350</v>
      </c>
      <c r="U177" s="134">
        <f ca="1">INDEX(OFFSET('Measure Inputs'!$T$7,,,InputRows),$C177)</f>
        <v>1</v>
      </c>
      <c r="V177" s="134">
        <f ca="1">INDEX(OFFSET('Measure Inputs'!$U$7,,,InputRows),$C177)</f>
        <v>1</v>
      </c>
      <c r="W177" s="55"/>
      <c r="X177" s="96">
        <f ca="1">INDEX(OFFSET('Measure Inputs'!$V$7,,,InputRows),$C177)*$T177*$V177*$U177</f>
        <v>57935.608499999995</v>
      </c>
      <c r="Y177" s="96">
        <f ca="1">INDEX(OFFSET('Measure Inputs'!$W$7,,,InputRows),$C177)*$T177*$V177*$U177</f>
        <v>15.361500000000001</v>
      </c>
      <c r="Z177" s="96">
        <f ca="1">INDEX(OFFSET('Measure Inputs'!$X$7,,,InputRows),$C177)*$T177*$V177*$U177</f>
        <v>0</v>
      </c>
      <c r="AA177" s="55"/>
      <c r="AB177" s="96">
        <f ca="1">INDEX(OFFSET('Measure Inputs'!$Z$7,,,InputRows),$C177)*$T177*$V177*$U177</f>
        <v>0</v>
      </c>
      <c r="AC177" s="96">
        <f ca="1">INDEX(OFFSET('Measure Inputs'!$AA$7,,,InputRows),$C177)*$T177*$V177*$U177</f>
        <v>0</v>
      </c>
      <c r="AD177" s="96">
        <f ca="1">INDEX(OFFSET('Measure Inputs'!$AB$7,,,InputRows),$C177)*$T177*$V177*$U177</f>
        <v>0</v>
      </c>
      <c r="AE177" s="55"/>
      <c r="AF177" s="57">
        <f ca="1">INDEX(OFFSET('Measure Inputs'!$Q$7,,,InputRows),$C177)*$T177</f>
        <v>0</v>
      </c>
      <c r="AG177" s="57">
        <f ca="1">INDEX(OFFSET('Measure Inputs'!$P$7,,,InputRows),$C177)*$T177*$V177</f>
        <v>12600</v>
      </c>
      <c r="AH177" s="57">
        <f ca="1">INDEX(OFFSET('Measure Inputs'!$R$7,,,InputRows),$C177)*$T177*$V177</f>
        <v>0</v>
      </c>
      <c r="AI177" s="57">
        <f ca="1">INDEX(OFFSET('Measure Inputs'!$O$7,,,InputRows),$C177)*$T177</f>
        <v>5250</v>
      </c>
      <c r="AJ177" s="57">
        <f ca="1">INDEX(OFFSET('Measure Inputs'!$S$7,,,InputRows),$C177)*$T177</f>
        <v>0</v>
      </c>
      <c r="AK177" s="63">
        <f ca="1">INDEX(OFFSET('Measure Inputs'!$M$7,,,InputRows),$C177)</f>
        <v>10</v>
      </c>
      <c r="AL177" s="88">
        <f ca="1">INDEX(OFFSET('Measure Inputs'!$N$7,,,InputRows),$C177)</f>
        <v>0</v>
      </c>
      <c r="AM177" s="57">
        <f ca="1">SUMIFS(OFFSET('Program Inputs'!$N$5,,,TotalPrograms),OFFSET('Program Inputs'!$B$5,,,TotalPrograms),SUBSTITUTE($B177,"All","*"))+AF177</f>
        <v>0</v>
      </c>
      <c r="AN177" s="57">
        <f t="shared" ca="1" si="365"/>
        <v>5250</v>
      </c>
      <c r="AO177" s="55"/>
      <c r="AP177" s="59">
        <f t="shared" ca="1" si="366"/>
        <v>13833.005173460215</v>
      </c>
      <c r="AQ177" s="59">
        <f t="shared" ca="1" si="367"/>
        <v>11576.626240352811</v>
      </c>
      <c r="AR177" s="59">
        <f ca="1">SUMPRODUCT($CA177:$DI177,'General Inputs'!$F$32:$AN$32,'General Inputs'!$F$51:$AN$51)/(1-Loss_ElectricEnergy)</f>
        <v>11617.407634168731</v>
      </c>
      <c r="AS177" s="59">
        <f ca="1">SUMPRODUCT($DK177:$ES177,'General Inputs'!$F$33:$AN$33,'General Inputs'!$F$51:$AN$51)/(1-Loss_ElectricDemand)</f>
        <v>2215.5975392914847</v>
      </c>
      <c r="AT177" s="59">
        <f ca="1">SUMPRODUCT($EU177:$GC177,'General Inputs'!$F$34:$AN$34,'General Inputs'!$F$51:$AN$51)/(1-Loss_GasEnergy)</f>
        <v>0</v>
      </c>
      <c r="AU177" s="59">
        <f ca="1">INDEX('General Inputs'!$F$51:$AN$51,MATCH($H177,'General Inputs'!$F$50:$AN$50,0))*$AJ177</f>
        <v>0</v>
      </c>
      <c r="AV177" s="59">
        <f ca="1">INDEX('General Inputs'!$F$51:$AN$51,MATCH($H177,'General Inputs'!$F$50:$AN$50,0))*$AI177</f>
        <v>4823.5942668136713</v>
      </c>
      <c r="AW177" s="59">
        <f ca="1">INDEX('General Inputs'!$F$51:$AN$51,MATCH($H177,'General Inputs'!$F$50:$AN$50,0))*$AM177</f>
        <v>0</v>
      </c>
      <c r="AX177" s="59">
        <f ca="1">SUM(INDEX('General Inputs'!$F$51:$AN$51,MATCH($H177,'General Inputs'!$F$50:$AN$50,0))*$AG177,INDEX('General Inputs'!$F$51:$AN$51,MATCH($H177+$AL177,'General Inputs'!$F$50:$AN$50,0))*-$AH177)</f>
        <v>11576.626240352811</v>
      </c>
      <c r="AY177" s="55"/>
      <c r="AZ177" s="59">
        <f ca="1">SUMPRODUCT($CA177:$DI177,'General Inputs'!$F$32:$AN$32,'General Inputs'!$F$52:$AN$52)/(1-Loss_ElectricEnergy)</f>
        <v>11617.407634168731</v>
      </c>
      <c r="BA177" s="59">
        <f ca="1">SUMPRODUCT($DK177:$ES177,'General Inputs'!$F$33:$AN$33,'General Inputs'!$F$52:$AN$52)/(1-Loss_ElectricDemand)</f>
        <v>2215.5975392914847</v>
      </c>
      <c r="BB177" s="59">
        <f ca="1">SUMPRODUCT($EU177:$GC177,'General Inputs'!$F$34:$AN$34,'General Inputs'!$F$52:$AN$52)/(1-Loss_GasEnergy)</f>
        <v>0</v>
      </c>
      <c r="BC177" s="59">
        <f ca="1">INDEX('General Inputs'!$F$52:$AN$52,MATCH($H177,'General Inputs'!$F$50:$AN$50,0))*$AI177</f>
        <v>4823.5942668136713</v>
      </c>
      <c r="BD177" s="59">
        <f ca="1">INDEX('General Inputs'!$F$52:$AN$52,MATCH($H177,'General Inputs'!$F$50:$AN$50,0))*$AM177</f>
        <v>0</v>
      </c>
      <c r="BE177" s="55"/>
      <c r="BF177" s="59">
        <f ca="1">SUMPRODUCT($CA177:$DI177,OFFSET('General Inputs'!$F$40:$AN$40,MATCH($D177&amp;" Electric ($/kWh)",'General Inputs'!$E$40:$E$46,0),),'General Inputs'!$F$54:$AN$54)</f>
        <v>0</v>
      </c>
      <c r="BG177" s="59">
        <f ca="1">SUMPRODUCT($EU177:$GC177,OFFSET('General Inputs'!$F$40:$AN$40,MATCH($D177&amp;" Natural Gas ($/therm)",'General Inputs'!$E$40:$E$46,0),),'General Inputs'!$F$54:$AN$54)</f>
        <v>0</v>
      </c>
      <c r="BH177" s="59">
        <f ca="1">INDEX('General Inputs'!$F$54:$AN$54,MATCH($H177,'General Inputs'!$F$50:$AN$50,0))*$AI177</f>
        <v>4823.5942668136713</v>
      </c>
      <c r="BI177" s="59">
        <f ca="1">SUM(INDEX('General Inputs'!$F$54:$AN$54,MATCH($H177,'General Inputs'!$F$50:$AN$50,0))*$AG177,INDEX('General Inputs'!$F$51:$AN$51,MATCH($H177+$AL177,'General Inputs'!$F$50:$AN$50,0))*-$AH177)</f>
        <v>11576.626240352811</v>
      </c>
      <c r="BJ177" s="55"/>
      <c r="BK177" s="59">
        <f ca="1">SUMPRODUCT($CA177:$DI177,'General Inputs'!$F$32:$AN$32,'General Inputs'!$F$53:$AN$53)/(1-Loss_ElectricEnergy)</f>
        <v>11617.407634168731</v>
      </c>
      <c r="BL177" s="59">
        <f ca="1">SUMPRODUCT($DK177:$ES177,'General Inputs'!$F$33:$AN$33,'General Inputs'!$F$53:$AN$53)/(1-Loss_ElectricDemand)</f>
        <v>2215.5975392914847</v>
      </c>
      <c r="BM177" s="59">
        <f ca="1">SUMPRODUCT($EU177:$GC177,'General Inputs'!$F$34:$AN$34,'General Inputs'!$F$53:$AN$53)/(1-Loss_GasEnergy)</f>
        <v>0</v>
      </c>
      <c r="BN177" s="59">
        <f ca="1">INDEX('General Inputs'!$F$53:$AN$53,MATCH($H177,'General Inputs'!$F$50:$AN$50,0))*$AJ177</f>
        <v>0</v>
      </c>
      <c r="BO177" s="59">
        <f ca="1">SUMPRODUCT($CA177:$DI177,'General Inputs'!$F$35:$AN$35,'General Inputs'!$F$53:$AN$53)/(1-Loss_ElectricEnergy)</f>
        <v>4479.1809396846511</v>
      </c>
      <c r="BP177" s="59">
        <f ca="1">INDEX('General Inputs'!$F$51:$AN$51,MATCH($H177,'General Inputs'!$F$50:$AN$50,0))*$AM177</f>
        <v>0</v>
      </c>
      <c r="BQ177" s="59">
        <f ca="1">SUM(INDEX('General Inputs'!$F$53:$AN$53,MATCH($H177,'General Inputs'!$F$50:$AN$50,0))*$AG177,INDEX('General Inputs'!$F$53:$AN$53,MATCH($H177+$AL177,'General Inputs'!$F$50:$AN$50,0))*-$AH177)</f>
        <v>11576.626240352811</v>
      </c>
      <c r="BR177" s="55"/>
      <c r="BS177" s="59">
        <f ca="1">SUMPRODUCT($CA177:$DI177,'General Inputs'!$F$32:$AN$32,'General Inputs'!$F$55:$AN$55)/(1-Loss_ElectricEnergy)</f>
        <v>11617.407634168731</v>
      </c>
      <c r="BT177" s="59">
        <f ca="1">SUMPRODUCT($DK177:$ES177,'General Inputs'!$F$33:$AN$33,'General Inputs'!$F$55:$AN$55)/(1-Loss_ElectricDemand)</f>
        <v>2215.5975392914847</v>
      </c>
      <c r="BU177" s="59">
        <f ca="1">SUMPRODUCT($EU177:$GC177,'General Inputs'!$F$34:$AN$34,'General Inputs'!$F$55:$AN$55)/(1-Loss_GasEnergy)</f>
        <v>0</v>
      </c>
      <c r="BV177" s="59">
        <f ca="1">SUMPRODUCT($CA177:$DI177,OFFSET('General Inputs'!$F$40:$AN$40,MATCH($D177&amp;" Electric ($/kWh)",'General Inputs'!$E$40:$E$46,0),),'General Inputs'!$F$55:$AN$55)</f>
        <v>0</v>
      </c>
      <c r="BW177" s="59">
        <f ca="1">SUMPRODUCT($EU177:$GC177,OFFSET('General Inputs'!$F$40:$AN$40,MATCH($D177&amp;" Natural Gas ($/therm)",'General Inputs'!$E$40:$E$46,0),),'General Inputs'!$F$55:$AN$55)</f>
        <v>0</v>
      </c>
      <c r="BX177" s="59">
        <f ca="1">INDEX('General Inputs'!$F$55:$AN$55,MATCH($H177,'General Inputs'!$F$50:$AN$50,0))*$AI177</f>
        <v>4823.5942668136713</v>
      </c>
      <c r="BY177" s="59">
        <f ca="1">INDEX('General Inputs'!$F$51:$AN$51,MATCH($H177,'General Inputs'!$F$50:$AN$50,0))*$AM177</f>
        <v>0</v>
      </c>
      <c r="BZ177" s="55"/>
      <c r="CA177" s="88">
        <f t="shared" ca="1" si="387"/>
        <v>0</v>
      </c>
      <c r="CB177" s="88">
        <f t="shared" ca="1" si="387"/>
        <v>57935.608499999995</v>
      </c>
      <c r="CC177" s="88">
        <f t="shared" ca="1" si="387"/>
        <v>57935.608499999995</v>
      </c>
      <c r="CD177" s="88">
        <f t="shared" ca="1" si="387"/>
        <v>57935.608499999995</v>
      </c>
      <c r="CE177" s="88">
        <f t="shared" ca="1" si="387"/>
        <v>57935.608499999995</v>
      </c>
      <c r="CF177" s="88">
        <f t="shared" ca="1" si="387"/>
        <v>57935.608499999995</v>
      </c>
      <c r="CG177" s="88">
        <f t="shared" ca="1" si="387"/>
        <v>57935.608499999995</v>
      </c>
      <c r="CH177" s="88">
        <f t="shared" ca="1" si="387"/>
        <v>57935.608499999995</v>
      </c>
      <c r="CI177" s="88">
        <f t="shared" ca="1" si="387"/>
        <v>57935.608499999995</v>
      </c>
      <c r="CJ177" s="88">
        <f t="shared" ca="1" si="387"/>
        <v>57935.608499999995</v>
      </c>
      <c r="CK177" s="88">
        <f t="shared" ca="1" si="388"/>
        <v>57935.608499999995</v>
      </c>
      <c r="CL177" s="88">
        <f t="shared" ca="1" si="388"/>
        <v>0</v>
      </c>
      <c r="CM177" s="88">
        <f t="shared" ca="1" si="388"/>
        <v>0</v>
      </c>
      <c r="CN177" s="88">
        <f t="shared" ca="1" si="388"/>
        <v>0</v>
      </c>
      <c r="CO177" s="88">
        <f t="shared" ca="1" si="388"/>
        <v>0</v>
      </c>
      <c r="CP177" s="88">
        <f t="shared" ca="1" si="388"/>
        <v>0</v>
      </c>
      <c r="CQ177" s="88">
        <f t="shared" ca="1" si="388"/>
        <v>0</v>
      </c>
      <c r="CR177" s="88">
        <f t="shared" ca="1" si="388"/>
        <v>0</v>
      </c>
      <c r="CS177" s="88">
        <f t="shared" ca="1" si="388"/>
        <v>0</v>
      </c>
      <c r="CT177" s="88">
        <f t="shared" ca="1" si="388"/>
        <v>0</v>
      </c>
      <c r="CU177" s="88">
        <f t="shared" ca="1" si="389"/>
        <v>0</v>
      </c>
      <c r="CV177" s="88">
        <f t="shared" ca="1" si="389"/>
        <v>0</v>
      </c>
      <c r="CW177" s="88">
        <f t="shared" ca="1" si="389"/>
        <v>0</v>
      </c>
      <c r="CX177" s="88">
        <f t="shared" ca="1" si="389"/>
        <v>0</v>
      </c>
      <c r="CY177" s="88">
        <f t="shared" ca="1" si="389"/>
        <v>0</v>
      </c>
      <c r="CZ177" s="88">
        <f t="shared" ca="1" si="389"/>
        <v>0</v>
      </c>
      <c r="DA177" s="88">
        <f t="shared" ca="1" si="389"/>
        <v>0</v>
      </c>
      <c r="DB177" s="88">
        <f t="shared" ca="1" si="389"/>
        <v>0</v>
      </c>
      <c r="DC177" s="88">
        <f t="shared" ca="1" si="389"/>
        <v>0</v>
      </c>
      <c r="DD177" s="88">
        <f t="shared" ca="1" si="389"/>
        <v>0</v>
      </c>
      <c r="DE177" s="88">
        <f t="shared" ca="1" si="389"/>
        <v>0</v>
      </c>
      <c r="DF177" s="88">
        <f t="shared" ca="1" si="389"/>
        <v>0</v>
      </c>
      <c r="DG177" s="88">
        <f t="shared" ca="1" si="389"/>
        <v>0</v>
      </c>
      <c r="DH177" s="88">
        <f t="shared" ca="1" si="389"/>
        <v>0</v>
      </c>
      <c r="DI177" s="88">
        <f t="shared" ca="1" si="389"/>
        <v>0</v>
      </c>
      <c r="DJ177" s="169"/>
      <c r="DK177" s="88">
        <f t="shared" ca="1" si="390"/>
        <v>0</v>
      </c>
      <c r="DL177" s="88">
        <f t="shared" ca="1" si="390"/>
        <v>15.361500000000001</v>
      </c>
      <c r="DM177" s="88">
        <f t="shared" ca="1" si="390"/>
        <v>15.361500000000001</v>
      </c>
      <c r="DN177" s="88">
        <f t="shared" ca="1" si="390"/>
        <v>15.361500000000001</v>
      </c>
      <c r="DO177" s="88">
        <f t="shared" ca="1" si="390"/>
        <v>15.361500000000001</v>
      </c>
      <c r="DP177" s="88">
        <f t="shared" ca="1" si="390"/>
        <v>15.361500000000001</v>
      </c>
      <c r="DQ177" s="88">
        <f t="shared" ca="1" si="390"/>
        <v>15.361500000000001</v>
      </c>
      <c r="DR177" s="88">
        <f t="shared" ca="1" si="390"/>
        <v>15.361500000000001</v>
      </c>
      <c r="DS177" s="88">
        <f t="shared" ca="1" si="390"/>
        <v>15.361500000000001</v>
      </c>
      <c r="DT177" s="88">
        <f t="shared" ca="1" si="390"/>
        <v>15.361500000000001</v>
      </c>
      <c r="DU177" s="88">
        <f t="shared" ca="1" si="391"/>
        <v>15.361500000000001</v>
      </c>
      <c r="DV177" s="88">
        <f t="shared" ca="1" si="391"/>
        <v>0</v>
      </c>
      <c r="DW177" s="88">
        <f t="shared" ca="1" si="391"/>
        <v>0</v>
      </c>
      <c r="DX177" s="88">
        <f t="shared" ca="1" si="391"/>
        <v>0</v>
      </c>
      <c r="DY177" s="88">
        <f t="shared" ca="1" si="391"/>
        <v>0</v>
      </c>
      <c r="DZ177" s="88">
        <f t="shared" ca="1" si="391"/>
        <v>0</v>
      </c>
      <c r="EA177" s="88">
        <f t="shared" ca="1" si="391"/>
        <v>0</v>
      </c>
      <c r="EB177" s="88">
        <f t="shared" ca="1" si="391"/>
        <v>0</v>
      </c>
      <c r="EC177" s="88">
        <f t="shared" ca="1" si="391"/>
        <v>0</v>
      </c>
      <c r="ED177" s="88">
        <f t="shared" ca="1" si="391"/>
        <v>0</v>
      </c>
      <c r="EE177" s="88">
        <f t="shared" ca="1" si="392"/>
        <v>0</v>
      </c>
      <c r="EF177" s="88">
        <f t="shared" ca="1" si="392"/>
        <v>0</v>
      </c>
      <c r="EG177" s="88">
        <f t="shared" ca="1" si="392"/>
        <v>0</v>
      </c>
      <c r="EH177" s="88">
        <f t="shared" ca="1" si="392"/>
        <v>0</v>
      </c>
      <c r="EI177" s="88">
        <f t="shared" ca="1" si="392"/>
        <v>0</v>
      </c>
      <c r="EJ177" s="88">
        <f t="shared" ca="1" si="392"/>
        <v>0</v>
      </c>
      <c r="EK177" s="88">
        <f t="shared" ca="1" si="392"/>
        <v>0</v>
      </c>
      <c r="EL177" s="88">
        <f t="shared" ca="1" si="392"/>
        <v>0</v>
      </c>
      <c r="EM177" s="88">
        <f t="shared" ca="1" si="392"/>
        <v>0</v>
      </c>
      <c r="EN177" s="88">
        <f t="shared" ca="1" si="392"/>
        <v>0</v>
      </c>
      <c r="EO177" s="88">
        <f t="shared" ca="1" si="392"/>
        <v>0</v>
      </c>
      <c r="EP177" s="88">
        <f t="shared" ca="1" si="392"/>
        <v>0</v>
      </c>
      <c r="EQ177" s="88">
        <f t="shared" ca="1" si="392"/>
        <v>0</v>
      </c>
      <c r="ER177" s="88">
        <f t="shared" ca="1" si="392"/>
        <v>0</v>
      </c>
      <c r="ES177" s="88">
        <f t="shared" ca="1" si="392"/>
        <v>0</v>
      </c>
      <c r="ET177" s="169"/>
      <c r="EU177" s="88">
        <f t="shared" ca="1" si="393"/>
        <v>0</v>
      </c>
      <c r="EV177" s="88">
        <f t="shared" ca="1" si="393"/>
        <v>0</v>
      </c>
      <c r="EW177" s="88">
        <f t="shared" ca="1" si="393"/>
        <v>0</v>
      </c>
      <c r="EX177" s="88">
        <f t="shared" ca="1" si="393"/>
        <v>0</v>
      </c>
      <c r="EY177" s="88">
        <f t="shared" ca="1" si="393"/>
        <v>0</v>
      </c>
      <c r="EZ177" s="88">
        <f t="shared" ca="1" si="393"/>
        <v>0</v>
      </c>
      <c r="FA177" s="88">
        <f t="shared" ca="1" si="393"/>
        <v>0</v>
      </c>
      <c r="FB177" s="88">
        <f t="shared" ca="1" si="393"/>
        <v>0</v>
      </c>
      <c r="FC177" s="88">
        <f t="shared" ca="1" si="393"/>
        <v>0</v>
      </c>
      <c r="FD177" s="88">
        <f t="shared" ca="1" si="393"/>
        <v>0</v>
      </c>
      <c r="FE177" s="88">
        <f t="shared" ca="1" si="394"/>
        <v>0</v>
      </c>
      <c r="FF177" s="88">
        <f t="shared" ca="1" si="394"/>
        <v>0</v>
      </c>
      <c r="FG177" s="88">
        <f t="shared" ca="1" si="394"/>
        <v>0</v>
      </c>
      <c r="FH177" s="88">
        <f t="shared" ca="1" si="394"/>
        <v>0</v>
      </c>
      <c r="FI177" s="88">
        <f t="shared" ca="1" si="394"/>
        <v>0</v>
      </c>
      <c r="FJ177" s="88">
        <f t="shared" ca="1" si="394"/>
        <v>0</v>
      </c>
      <c r="FK177" s="88">
        <f t="shared" ca="1" si="394"/>
        <v>0</v>
      </c>
      <c r="FL177" s="88">
        <f t="shared" ca="1" si="394"/>
        <v>0</v>
      </c>
      <c r="FM177" s="88">
        <f t="shared" ca="1" si="394"/>
        <v>0</v>
      </c>
      <c r="FN177" s="88">
        <f t="shared" ca="1" si="394"/>
        <v>0</v>
      </c>
      <c r="FO177" s="88">
        <f t="shared" ca="1" si="395"/>
        <v>0</v>
      </c>
      <c r="FP177" s="88">
        <f t="shared" ca="1" si="395"/>
        <v>0</v>
      </c>
      <c r="FQ177" s="88">
        <f t="shared" ca="1" si="395"/>
        <v>0</v>
      </c>
      <c r="FR177" s="88">
        <f t="shared" ca="1" si="395"/>
        <v>0</v>
      </c>
      <c r="FS177" s="88">
        <f t="shared" ca="1" si="395"/>
        <v>0</v>
      </c>
      <c r="FT177" s="88">
        <f t="shared" ca="1" si="395"/>
        <v>0</v>
      </c>
      <c r="FU177" s="88">
        <f t="shared" ca="1" si="395"/>
        <v>0</v>
      </c>
      <c r="FV177" s="88">
        <f t="shared" ca="1" si="395"/>
        <v>0</v>
      </c>
      <c r="FW177" s="88">
        <f t="shared" ca="1" si="395"/>
        <v>0</v>
      </c>
      <c r="FX177" s="88">
        <f t="shared" ca="1" si="395"/>
        <v>0</v>
      </c>
      <c r="FY177" s="88">
        <f t="shared" ca="1" si="395"/>
        <v>0</v>
      </c>
      <c r="FZ177" s="88">
        <f t="shared" ca="1" si="395"/>
        <v>0</v>
      </c>
      <c r="GA177" s="88">
        <f t="shared" ca="1" si="395"/>
        <v>0</v>
      </c>
      <c r="GB177" s="88">
        <f t="shared" ca="1" si="395"/>
        <v>0</v>
      </c>
      <c r="GC177" s="88">
        <f t="shared" ca="1" si="395"/>
        <v>0</v>
      </c>
      <c r="GD177" s="60"/>
    </row>
    <row r="178" spans="1:186" s="54" customFormat="1" ht="14.45" customHeight="1">
      <c r="A178" s="61"/>
      <c r="B178" s="100" t="str">
        <f t="shared" si="345"/>
        <v>C&amp;I_C&amp;I Prescriptive_0_Ceiling Mount Occupancy_2018</v>
      </c>
      <c r="C178" s="100">
        <f>INDEX('Measure Inputs'!$D:$D,MATCH($B178,'Measure Inputs'!$B:$B,0))</f>
        <v>130</v>
      </c>
      <c r="D178" s="101" t="s">
        <v>256</v>
      </c>
      <c r="E178" s="101" t="s">
        <v>255</v>
      </c>
      <c r="F178" s="101">
        <v>0</v>
      </c>
      <c r="G178" s="101" t="s">
        <v>307</v>
      </c>
      <c r="H178" s="101">
        <v>2018</v>
      </c>
      <c r="I178" s="55"/>
      <c r="J178" s="58">
        <f t="shared" ca="1" si="229"/>
        <v>2.0354126922959876</v>
      </c>
      <c r="K178" s="58">
        <f t="shared" ca="1" si="246"/>
        <v>6.9204031538063573</v>
      </c>
      <c r="L178" s="58">
        <f t="shared" ca="1" si="230"/>
        <v>0.29411764705882354</v>
      </c>
      <c r="M178" s="58">
        <f t="shared" ca="1" si="231"/>
        <v>2.4777524967150968</v>
      </c>
      <c r="N178" s="58">
        <f t="shared" ca="1" si="232"/>
        <v>6.9204031538063573</v>
      </c>
      <c r="O178" s="55"/>
      <c r="P178" s="175">
        <f ca="1">IFERROR(($AW178+AV178)/SUMPRODUCT($CA178:$DI178,'General Inputs'!$F$51:$AN$51),"n/a")</f>
        <v>7.9538429602640133E-3</v>
      </c>
      <c r="Q178" s="175">
        <f t="shared" ca="1" si="386"/>
        <v>4.8200981465299747E-2</v>
      </c>
      <c r="R178" s="56">
        <f t="shared" ca="1" si="364"/>
        <v>149.37455174399997</v>
      </c>
      <c r="S178" s="55"/>
      <c r="T178" s="56">
        <f ca="1">INDEX(OFFSET('Measure Inputs'!$L$7,,,InputRows),$C178)</f>
        <v>30</v>
      </c>
      <c r="U178" s="134">
        <f ca="1">INDEX(OFFSET('Measure Inputs'!$T$7,,,InputRows),$C178)</f>
        <v>1</v>
      </c>
      <c r="V178" s="134">
        <f ca="1">INDEX(OFFSET('Measure Inputs'!$U$7,,,InputRows),$C178)</f>
        <v>1</v>
      </c>
      <c r="W178" s="55"/>
      <c r="X178" s="96">
        <f ca="1">INDEX(OFFSET('Measure Inputs'!$V$7,,,InputRows),$C178)*$T178*$V178*$U178</f>
        <v>18671.818967999996</v>
      </c>
      <c r="Y178" s="96">
        <f ca="1">INDEX(OFFSET('Measure Inputs'!$W$7,,,InputRows),$C178)*$T178*$V178*$U178</f>
        <v>20.628300000000003</v>
      </c>
      <c r="Z178" s="96">
        <f ca="1">INDEX(OFFSET('Measure Inputs'!$X$7,,,InputRows),$C178)*$T178*$V178*$U178</f>
        <v>0</v>
      </c>
      <c r="AA178" s="55"/>
      <c r="AB178" s="96">
        <f ca="1">INDEX(OFFSET('Measure Inputs'!$Z$7,,,InputRows),$C178)*$T178*$V178*$U178</f>
        <v>0</v>
      </c>
      <c r="AC178" s="96">
        <f ca="1">INDEX(OFFSET('Measure Inputs'!$AA$7,,,InputRows),$C178)*$T178*$V178*$U178</f>
        <v>0</v>
      </c>
      <c r="AD178" s="96">
        <f ca="1">INDEX(OFFSET('Measure Inputs'!$AB$7,,,InputRows),$C178)*$T178*$V178*$U178</f>
        <v>0</v>
      </c>
      <c r="AE178" s="55"/>
      <c r="AF178" s="57">
        <f ca="1">INDEX(OFFSET('Measure Inputs'!$Q$7,,,InputRows),$C178)*$T178</f>
        <v>0</v>
      </c>
      <c r="AG178" s="57">
        <f ca="1">INDEX(OFFSET('Measure Inputs'!$P$7,,,InputRows),$C178)*$T178*$V178</f>
        <v>3060</v>
      </c>
      <c r="AH178" s="57">
        <f ca="1">INDEX(OFFSET('Measure Inputs'!$R$7,,,InputRows),$C178)*$T178*$V178</f>
        <v>0</v>
      </c>
      <c r="AI178" s="57">
        <f ca="1">INDEX(OFFSET('Measure Inputs'!$O$7,,,InputRows),$C178)*$T178</f>
        <v>900</v>
      </c>
      <c r="AJ178" s="57">
        <f ca="1">INDEX(OFFSET('Measure Inputs'!$S$7,,,InputRows),$C178)*$T178</f>
        <v>0</v>
      </c>
      <c r="AK178" s="63">
        <f ca="1">INDEX(OFFSET('Measure Inputs'!$M$7,,,InputRows),$C178)</f>
        <v>8</v>
      </c>
      <c r="AL178" s="88">
        <f ca="1">INDEX(OFFSET('Measure Inputs'!$N$7,,,InputRows),$C178)</f>
        <v>0</v>
      </c>
      <c r="AM178" s="57">
        <f ca="1">SUMIFS(OFFSET('Program Inputs'!$N$5,,,TotalPrograms),OFFSET('Program Inputs'!$B$5,,,TotalPrograms),SUBSTITUTE($B178,"All","*"))+AF178</f>
        <v>0</v>
      </c>
      <c r="AN178" s="57">
        <f t="shared" ca="1" si="365"/>
        <v>900</v>
      </c>
      <c r="AO178" s="55"/>
      <c r="AP178" s="59">
        <f t="shared" ca="1" si="366"/>
        <v>5722.4943388696447</v>
      </c>
      <c r="AQ178" s="59">
        <f t="shared" ca="1" si="367"/>
        <v>2811.4663726571112</v>
      </c>
      <c r="AR178" s="59">
        <f ca="1">SUMPRODUCT($CA178:$DI178,'General Inputs'!$F$32:$AN$32,'General Inputs'!$F$51:$AN$51)/(1-Loss_ElectricEnergy)</f>
        <v>3188.6586978767109</v>
      </c>
      <c r="AS178" s="59">
        <f ca="1">SUMPRODUCT($DK178:$ES178,'General Inputs'!$F$33:$AN$33,'General Inputs'!$F$51:$AN$51)/(1-Loss_ElectricDemand)</f>
        <v>2533.8356409929343</v>
      </c>
      <c r="AT178" s="59">
        <f ca="1">SUMPRODUCT($EU178:$GC178,'General Inputs'!$F$34:$AN$34,'General Inputs'!$F$51:$AN$51)/(1-Loss_GasEnergy)</f>
        <v>0</v>
      </c>
      <c r="AU178" s="59">
        <f ca="1">INDEX('General Inputs'!$F$51:$AN$51,MATCH($H178,'General Inputs'!$F$50:$AN$50,0))*$AJ178</f>
        <v>0</v>
      </c>
      <c r="AV178" s="59">
        <f ca="1">INDEX('General Inputs'!$F$51:$AN$51,MATCH($H178,'General Inputs'!$F$50:$AN$50,0))*$AI178</f>
        <v>826.9018743109151</v>
      </c>
      <c r="AW178" s="59">
        <f ca="1">INDEX('General Inputs'!$F$51:$AN$51,MATCH($H178,'General Inputs'!$F$50:$AN$50,0))*$AM178</f>
        <v>0</v>
      </c>
      <c r="AX178" s="59">
        <f ca="1">SUM(INDEX('General Inputs'!$F$51:$AN$51,MATCH($H178,'General Inputs'!$F$50:$AN$50,0))*$AG178,INDEX('General Inputs'!$F$51:$AN$51,MATCH($H178+$AL178,'General Inputs'!$F$50:$AN$50,0))*-$AH178)</f>
        <v>2811.4663726571112</v>
      </c>
      <c r="AY178" s="55"/>
      <c r="AZ178" s="59">
        <f ca="1">SUMPRODUCT($CA178:$DI178,'General Inputs'!$F$32:$AN$32,'General Inputs'!$F$52:$AN$52)/(1-Loss_ElectricEnergy)</f>
        <v>3188.6586978767109</v>
      </c>
      <c r="BA178" s="59">
        <f ca="1">SUMPRODUCT($DK178:$ES178,'General Inputs'!$F$33:$AN$33,'General Inputs'!$F$52:$AN$52)/(1-Loss_ElectricDemand)</f>
        <v>2533.8356409929343</v>
      </c>
      <c r="BB178" s="59">
        <f ca="1">SUMPRODUCT($EU178:$GC178,'General Inputs'!$F$34:$AN$34,'General Inputs'!$F$52:$AN$52)/(1-Loss_GasEnergy)</f>
        <v>0</v>
      </c>
      <c r="BC178" s="59">
        <f ca="1">INDEX('General Inputs'!$F$52:$AN$52,MATCH($H178,'General Inputs'!$F$50:$AN$50,0))*$AI178</f>
        <v>826.9018743109151</v>
      </c>
      <c r="BD178" s="59">
        <f ca="1">INDEX('General Inputs'!$F$52:$AN$52,MATCH($H178,'General Inputs'!$F$50:$AN$50,0))*$AM178</f>
        <v>0</v>
      </c>
      <c r="BE178" s="55"/>
      <c r="BF178" s="59">
        <f ca="1">SUMPRODUCT($CA178:$DI178,OFFSET('General Inputs'!$F$40:$AN$40,MATCH($D178&amp;" Electric ($/kWh)",'General Inputs'!$E$40:$E$46,0),),'General Inputs'!$F$54:$AN$54)</f>
        <v>0</v>
      </c>
      <c r="BG178" s="59">
        <f ca="1">SUMPRODUCT($EU178:$GC178,OFFSET('General Inputs'!$F$40:$AN$40,MATCH($D178&amp;" Natural Gas ($/therm)",'General Inputs'!$E$40:$E$46,0),),'General Inputs'!$F$54:$AN$54)</f>
        <v>0</v>
      </c>
      <c r="BH178" s="59">
        <f ca="1">INDEX('General Inputs'!$F$54:$AN$54,MATCH($H178,'General Inputs'!$F$50:$AN$50,0))*$AI178</f>
        <v>826.9018743109151</v>
      </c>
      <c r="BI178" s="59">
        <f ca="1">SUM(INDEX('General Inputs'!$F$54:$AN$54,MATCH($H178,'General Inputs'!$F$50:$AN$50,0))*$AG178,INDEX('General Inputs'!$F$51:$AN$51,MATCH($H178+$AL178,'General Inputs'!$F$50:$AN$50,0))*-$AH178)</f>
        <v>2811.4663726571112</v>
      </c>
      <c r="BJ178" s="55"/>
      <c r="BK178" s="59">
        <f ca="1">SUMPRODUCT($CA178:$DI178,'General Inputs'!$F$32:$AN$32,'General Inputs'!$F$53:$AN$53)/(1-Loss_ElectricEnergy)</f>
        <v>3188.6586978767109</v>
      </c>
      <c r="BL178" s="59">
        <f ca="1">SUMPRODUCT($DK178:$ES178,'General Inputs'!$F$33:$AN$33,'General Inputs'!$F$53:$AN$53)/(1-Loss_ElectricDemand)</f>
        <v>2533.8356409929343</v>
      </c>
      <c r="BM178" s="59">
        <f ca="1">SUMPRODUCT($EU178:$GC178,'General Inputs'!$F$34:$AN$34,'General Inputs'!$F$53:$AN$53)/(1-Loss_GasEnergy)</f>
        <v>0</v>
      </c>
      <c r="BN178" s="59">
        <f ca="1">INDEX('General Inputs'!$F$53:$AN$53,MATCH($H178,'General Inputs'!$F$50:$AN$50,0))*$AJ178</f>
        <v>0</v>
      </c>
      <c r="BO178" s="59">
        <f ca="1">SUMPRODUCT($CA178:$DI178,'General Inputs'!$F$35:$AN$35,'General Inputs'!$F$53:$AN$53)/(1-Loss_ElectricEnergy)</f>
        <v>1243.6234854120494</v>
      </c>
      <c r="BP178" s="59">
        <f ca="1">INDEX('General Inputs'!$F$51:$AN$51,MATCH($H178,'General Inputs'!$F$50:$AN$50,0))*$AM178</f>
        <v>0</v>
      </c>
      <c r="BQ178" s="59">
        <f ca="1">SUM(INDEX('General Inputs'!$F$53:$AN$53,MATCH($H178,'General Inputs'!$F$50:$AN$50,0))*$AG178,INDEX('General Inputs'!$F$53:$AN$53,MATCH($H178+$AL178,'General Inputs'!$F$50:$AN$50,0))*-$AH178)</f>
        <v>2811.4663726571112</v>
      </c>
      <c r="BR178" s="55"/>
      <c r="BS178" s="59">
        <f ca="1">SUMPRODUCT($CA178:$DI178,'General Inputs'!$F$32:$AN$32,'General Inputs'!$F$55:$AN$55)/(1-Loss_ElectricEnergy)</f>
        <v>3188.6586978767109</v>
      </c>
      <c r="BT178" s="59">
        <f ca="1">SUMPRODUCT($DK178:$ES178,'General Inputs'!$F$33:$AN$33,'General Inputs'!$F$55:$AN$55)/(1-Loss_ElectricDemand)</f>
        <v>2533.8356409929343</v>
      </c>
      <c r="BU178" s="59">
        <f ca="1">SUMPRODUCT($EU178:$GC178,'General Inputs'!$F$34:$AN$34,'General Inputs'!$F$55:$AN$55)/(1-Loss_GasEnergy)</f>
        <v>0</v>
      </c>
      <c r="BV178" s="59">
        <f ca="1">SUMPRODUCT($CA178:$DI178,OFFSET('General Inputs'!$F$40:$AN$40,MATCH($D178&amp;" Electric ($/kWh)",'General Inputs'!$E$40:$E$46,0),),'General Inputs'!$F$55:$AN$55)</f>
        <v>0</v>
      </c>
      <c r="BW178" s="59">
        <f ca="1">SUMPRODUCT($EU178:$GC178,OFFSET('General Inputs'!$F$40:$AN$40,MATCH($D178&amp;" Natural Gas ($/therm)",'General Inputs'!$E$40:$E$46,0),),'General Inputs'!$F$55:$AN$55)</f>
        <v>0</v>
      </c>
      <c r="BX178" s="59">
        <f ca="1">INDEX('General Inputs'!$F$55:$AN$55,MATCH($H178,'General Inputs'!$F$50:$AN$50,0))*$AI178</f>
        <v>826.9018743109151</v>
      </c>
      <c r="BY178" s="59">
        <f ca="1">INDEX('General Inputs'!$F$51:$AN$51,MATCH($H178,'General Inputs'!$F$50:$AN$50,0))*$AM178</f>
        <v>0</v>
      </c>
      <c r="BZ178" s="55"/>
      <c r="CA178" s="88">
        <f t="shared" ca="1" si="387"/>
        <v>0</v>
      </c>
      <c r="CB178" s="88">
        <f t="shared" ca="1" si="387"/>
        <v>18671.818967999996</v>
      </c>
      <c r="CC178" s="88">
        <f t="shared" ca="1" si="387"/>
        <v>18671.818967999996</v>
      </c>
      <c r="CD178" s="88">
        <f t="shared" ca="1" si="387"/>
        <v>18671.818967999996</v>
      </c>
      <c r="CE178" s="88">
        <f t="shared" ca="1" si="387"/>
        <v>18671.818967999996</v>
      </c>
      <c r="CF178" s="88">
        <f t="shared" ca="1" si="387"/>
        <v>18671.818967999996</v>
      </c>
      <c r="CG178" s="88">
        <f t="shared" ca="1" si="387"/>
        <v>18671.818967999996</v>
      </c>
      <c r="CH178" s="88">
        <f t="shared" ca="1" si="387"/>
        <v>18671.818967999996</v>
      </c>
      <c r="CI178" s="88">
        <f t="shared" ca="1" si="387"/>
        <v>18671.818967999996</v>
      </c>
      <c r="CJ178" s="88">
        <f t="shared" ca="1" si="387"/>
        <v>0</v>
      </c>
      <c r="CK178" s="88">
        <f t="shared" ca="1" si="388"/>
        <v>0</v>
      </c>
      <c r="CL178" s="88">
        <f t="shared" ca="1" si="388"/>
        <v>0</v>
      </c>
      <c r="CM178" s="88">
        <f t="shared" ca="1" si="388"/>
        <v>0</v>
      </c>
      <c r="CN178" s="88">
        <f t="shared" ca="1" si="388"/>
        <v>0</v>
      </c>
      <c r="CO178" s="88">
        <f t="shared" ca="1" si="388"/>
        <v>0</v>
      </c>
      <c r="CP178" s="88">
        <f t="shared" ca="1" si="388"/>
        <v>0</v>
      </c>
      <c r="CQ178" s="88">
        <f t="shared" ca="1" si="388"/>
        <v>0</v>
      </c>
      <c r="CR178" s="88">
        <f t="shared" ca="1" si="388"/>
        <v>0</v>
      </c>
      <c r="CS178" s="88">
        <f t="shared" ca="1" si="388"/>
        <v>0</v>
      </c>
      <c r="CT178" s="88">
        <f t="shared" ca="1" si="388"/>
        <v>0</v>
      </c>
      <c r="CU178" s="88">
        <f t="shared" ca="1" si="389"/>
        <v>0</v>
      </c>
      <c r="CV178" s="88">
        <f t="shared" ca="1" si="389"/>
        <v>0</v>
      </c>
      <c r="CW178" s="88">
        <f t="shared" ca="1" si="389"/>
        <v>0</v>
      </c>
      <c r="CX178" s="88">
        <f t="shared" ca="1" si="389"/>
        <v>0</v>
      </c>
      <c r="CY178" s="88">
        <f t="shared" ca="1" si="389"/>
        <v>0</v>
      </c>
      <c r="CZ178" s="88">
        <f t="shared" ca="1" si="389"/>
        <v>0</v>
      </c>
      <c r="DA178" s="88">
        <f t="shared" ca="1" si="389"/>
        <v>0</v>
      </c>
      <c r="DB178" s="88">
        <f t="shared" ca="1" si="389"/>
        <v>0</v>
      </c>
      <c r="DC178" s="88">
        <f t="shared" ca="1" si="389"/>
        <v>0</v>
      </c>
      <c r="DD178" s="88">
        <f t="shared" ca="1" si="389"/>
        <v>0</v>
      </c>
      <c r="DE178" s="88">
        <f t="shared" ca="1" si="389"/>
        <v>0</v>
      </c>
      <c r="DF178" s="88">
        <f t="shared" ca="1" si="389"/>
        <v>0</v>
      </c>
      <c r="DG178" s="88">
        <f t="shared" ca="1" si="389"/>
        <v>0</v>
      </c>
      <c r="DH178" s="88">
        <f t="shared" ca="1" si="389"/>
        <v>0</v>
      </c>
      <c r="DI178" s="88">
        <f t="shared" ca="1" si="389"/>
        <v>0</v>
      </c>
      <c r="DJ178" s="169"/>
      <c r="DK178" s="88">
        <f t="shared" ca="1" si="390"/>
        <v>0</v>
      </c>
      <c r="DL178" s="88">
        <f t="shared" ca="1" si="390"/>
        <v>20.628300000000003</v>
      </c>
      <c r="DM178" s="88">
        <f t="shared" ca="1" si="390"/>
        <v>20.628300000000003</v>
      </c>
      <c r="DN178" s="88">
        <f t="shared" ca="1" si="390"/>
        <v>20.628300000000003</v>
      </c>
      <c r="DO178" s="88">
        <f t="shared" ca="1" si="390"/>
        <v>20.628300000000003</v>
      </c>
      <c r="DP178" s="88">
        <f t="shared" ca="1" si="390"/>
        <v>20.628300000000003</v>
      </c>
      <c r="DQ178" s="88">
        <f t="shared" ca="1" si="390"/>
        <v>20.628300000000003</v>
      </c>
      <c r="DR178" s="88">
        <f t="shared" ca="1" si="390"/>
        <v>20.628300000000003</v>
      </c>
      <c r="DS178" s="88">
        <f t="shared" ca="1" si="390"/>
        <v>20.628300000000003</v>
      </c>
      <c r="DT178" s="88">
        <f t="shared" ca="1" si="390"/>
        <v>0</v>
      </c>
      <c r="DU178" s="88">
        <f t="shared" ca="1" si="391"/>
        <v>0</v>
      </c>
      <c r="DV178" s="88">
        <f t="shared" ca="1" si="391"/>
        <v>0</v>
      </c>
      <c r="DW178" s="88">
        <f t="shared" ca="1" si="391"/>
        <v>0</v>
      </c>
      <c r="DX178" s="88">
        <f t="shared" ca="1" si="391"/>
        <v>0</v>
      </c>
      <c r="DY178" s="88">
        <f t="shared" ca="1" si="391"/>
        <v>0</v>
      </c>
      <c r="DZ178" s="88">
        <f t="shared" ca="1" si="391"/>
        <v>0</v>
      </c>
      <c r="EA178" s="88">
        <f t="shared" ca="1" si="391"/>
        <v>0</v>
      </c>
      <c r="EB178" s="88">
        <f t="shared" ca="1" si="391"/>
        <v>0</v>
      </c>
      <c r="EC178" s="88">
        <f t="shared" ca="1" si="391"/>
        <v>0</v>
      </c>
      <c r="ED178" s="88">
        <f t="shared" ca="1" si="391"/>
        <v>0</v>
      </c>
      <c r="EE178" s="88">
        <f t="shared" ca="1" si="392"/>
        <v>0</v>
      </c>
      <c r="EF178" s="88">
        <f t="shared" ca="1" si="392"/>
        <v>0</v>
      </c>
      <c r="EG178" s="88">
        <f t="shared" ca="1" si="392"/>
        <v>0</v>
      </c>
      <c r="EH178" s="88">
        <f t="shared" ca="1" si="392"/>
        <v>0</v>
      </c>
      <c r="EI178" s="88">
        <f t="shared" ca="1" si="392"/>
        <v>0</v>
      </c>
      <c r="EJ178" s="88">
        <f t="shared" ca="1" si="392"/>
        <v>0</v>
      </c>
      <c r="EK178" s="88">
        <f t="shared" ca="1" si="392"/>
        <v>0</v>
      </c>
      <c r="EL178" s="88">
        <f t="shared" ca="1" si="392"/>
        <v>0</v>
      </c>
      <c r="EM178" s="88">
        <f t="shared" ca="1" si="392"/>
        <v>0</v>
      </c>
      <c r="EN178" s="88">
        <f t="shared" ca="1" si="392"/>
        <v>0</v>
      </c>
      <c r="EO178" s="88">
        <f t="shared" ca="1" si="392"/>
        <v>0</v>
      </c>
      <c r="EP178" s="88">
        <f t="shared" ca="1" si="392"/>
        <v>0</v>
      </c>
      <c r="EQ178" s="88">
        <f t="shared" ca="1" si="392"/>
        <v>0</v>
      </c>
      <c r="ER178" s="88">
        <f t="shared" ca="1" si="392"/>
        <v>0</v>
      </c>
      <c r="ES178" s="88">
        <f t="shared" ca="1" si="392"/>
        <v>0</v>
      </c>
      <c r="ET178" s="169"/>
      <c r="EU178" s="88">
        <f t="shared" ca="1" si="393"/>
        <v>0</v>
      </c>
      <c r="EV178" s="88">
        <f t="shared" ca="1" si="393"/>
        <v>0</v>
      </c>
      <c r="EW178" s="88">
        <f t="shared" ca="1" si="393"/>
        <v>0</v>
      </c>
      <c r="EX178" s="88">
        <f t="shared" ca="1" si="393"/>
        <v>0</v>
      </c>
      <c r="EY178" s="88">
        <f t="shared" ca="1" si="393"/>
        <v>0</v>
      </c>
      <c r="EZ178" s="88">
        <f t="shared" ca="1" si="393"/>
        <v>0</v>
      </c>
      <c r="FA178" s="88">
        <f t="shared" ca="1" si="393"/>
        <v>0</v>
      </c>
      <c r="FB178" s="88">
        <f t="shared" ca="1" si="393"/>
        <v>0</v>
      </c>
      <c r="FC178" s="88">
        <f t="shared" ca="1" si="393"/>
        <v>0</v>
      </c>
      <c r="FD178" s="88">
        <f t="shared" ca="1" si="393"/>
        <v>0</v>
      </c>
      <c r="FE178" s="88">
        <f t="shared" ca="1" si="394"/>
        <v>0</v>
      </c>
      <c r="FF178" s="88">
        <f t="shared" ca="1" si="394"/>
        <v>0</v>
      </c>
      <c r="FG178" s="88">
        <f t="shared" ca="1" si="394"/>
        <v>0</v>
      </c>
      <c r="FH178" s="88">
        <f t="shared" ca="1" si="394"/>
        <v>0</v>
      </c>
      <c r="FI178" s="88">
        <f t="shared" ca="1" si="394"/>
        <v>0</v>
      </c>
      <c r="FJ178" s="88">
        <f t="shared" ca="1" si="394"/>
        <v>0</v>
      </c>
      <c r="FK178" s="88">
        <f t="shared" ca="1" si="394"/>
        <v>0</v>
      </c>
      <c r="FL178" s="88">
        <f t="shared" ca="1" si="394"/>
        <v>0</v>
      </c>
      <c r="FM178" s="88">
        <f t="shared" ca="1" si="394"/>
        <v>0</v>
      </c>
      <c r="FN178" s="88">
        <f t="shared" ca="1" si="394"/>
        <v>0</v>
      </c>
      <c r="FO178" s="88">
        <f t="shared" ca="1" si="395"/>
        <v>0</v>
      </c>
      <c r="FP178" s="88">
        <f t="shared" ca="1" si="395"/>
        <v>0</v>
      </c>
      <c r="FQ178" s="88">
        <f t="shared" ca="1" si="395"/>
        <v>0</v>
      </c>
      <c r="FR178" s="88">
        <f t="shared" ca="1" si="395"/>
        <v>0</v>
      </c>
      <c r="FS178" s="88">
        <f t="shared" ca="1" si="395"/>
        <v>0</v>
      </c>
      <c r="FT178" s="88">
        <f t="shared" ca="1" si="395"/>
        <v>0</v>
      </c>
      <c r="FU178" s="88">
        <f t="shared" ca="1" si="395"/>
        <v>0</v>
      </c>
      <c r="FV178" s="88">
        <f t="shared" ca="1" si="395"/>
        <v>0</v>
      </c>
      <c r="FW178" s="88">
        <f t="shared" ca="1" si="395"/>
        <v>0</v>
      </c>
      <c r="FX178" s="88">
        <f t="shared" ca="1" si="395"/>
        <v>0</v>
      </c>
      <c r="FY178" s="88">
        <f t="shared" ca="1" si="395"/>
        <v>0</v>
      </c>
      <c r="FZ178" s="88">
        <f t="shared" ca="1" si="395"/>
        <v>0</v>
      </c>
      <c r="GA178" s="88">
        <f t="shared" ca="1" si="395"/>
        <v>0</v>
      </c>
      <c r="GB178" s="88">
        <f t="shared" ca="1" si="395"/>
        <v>0</v>
      </c>
      <c r="GC178" s="88">
        <f t="shared" ca="1" si="395"/>
        <v>0</v>
      </c>
      <c r="GD178" s="60"/>
    </row>
    <row r="179" spans="1:186" s="54" customFormat="1" ht="14.45" customHeight="1">
      <c r="A179" s="61"/>
      <c r="B179" s="100" t="str">
        <f t="shared" si="345"/>
        <v>C&amp;I_C&amp;I Prescriptive_0_Wall Mount Occupancy_2018</v>
      </c>
      <c r="C179" s="100">
        <f>INDEX('Measure Inputs'!$D:$D,MATCH($B179,'Measure Inputs'!$B:$B,0))</f>
        <v>131</v>
      </c>
      <c r="D179" s="101" t="s">
        <v>256</v>
      </c>
      <c r="E179" s="101" t="s">
        <v>255</v>
      </c>
      <c r="F179" s="101">
        <v>0</v>
      </c>
      <c r="G179" s="101" t="s">
        <v>308</v>
      </c>
      <c r="H179" s="101">
        <v>2018</v>
      </c>
      <c r="I179" s="55"/>
      <c r="J179" s="58">
        <f t="shared" ca="1" si="229"/>
        <v>2.4015507588018421</v>
      </c>
      <c r="K179" s="58">
        <f t="shared" ca="1" si="246"/>
        <v>10.206590724907828</v>
      </c>
      <c r="L179" s="58">
        <f t="shared" ca="1" si="230"/>
        <v>0.23529411764705882</v>
      </c>
      <c r="M179" s="58">
        <f t="shared" ca="1" si="231"/>
        <v>2.9234603926425708</v>
      </c>
      <c r="N179" s="58">
        <f t="shared" ca="1" si="232"/>
        <v>10.206590724907828</v>
      </c>
      <c r="O179" s="55"/>
      <c r="P179" s="175">
        <f ca="1">IFERROR(($AW179+AV179)/SUMPRODUCT($CA179:$DI179,'General Inputs'!$F$51:$AN$51),"n/a")</f>
        <v>5.3929663087954015E-3</v>
      </c>
      <c r="Q179" s="175">
        <f t="shared" ca="1" si="386"/>
        <v>3.2681845793521264E-2</v>
      </c>
      <c r="R179" s="56">
        <f t="shared" ca="1" si="364"/>
        <v>58.748211839999996</v>
      </c>
      <c r="S179" s="55"/>
      <c r="T179" s="56">
        <f ca="1">INDEX(OFFSET('Measure Inputs'!$L$7,,,InputRows),$C179)</f>
        <v>20</v>
      </c>
      <c r="U179" s="134">
        <f ca="1">INDEX(OFFSET('Measure Inputs'!$T$7,,,InputRows),$C179)</f>
        <v>1</v>
      </c>
      <c r="V179" s="134">
        <f ca="1">INDEX(OFFSET('Measure Inputs'!$U$7,,,InputRows),$C179)</f>
        <v>1</v>
      </c>
      <c r="W179" s="55"/>
      <c r="X179" s="96">
        <f ca="1">INDEX(OFFSET('Measure Inputs'!$V$7,,,InputRows),$C179)*$T179*$V179*$U179</f>
        <v>7343.5264799999995</v>
      </c>
      <c r="Y179" s="96">
        <f ca="1">INDEX(OFFSET('Measure Inputs'!$W$7,,,InputRows),$C179)*$T179*$V179*$U179</f>
        <v>8.1129999999999995</v>
      </c>
      <c r="Z179" s="96">
        <f ca="1">INDEX(OFFSET('Measure Inputs'!$X$7,,,InputRows),$C179)*$T179*$V179*$U179</f>
        <v>0</v>
      </c>
      <c r="AA179" s="55"/>
      <c r="AB179" s="96">
        <f ca="1">INDEX(OFFSET('Measure Inputs'!$Z$7,,,InputRows),$C179)*$T179*$V179*$U179</f>
        <v>0</v>
      </c>
      <c r="AC179" s="96">
        <f ca="1">INDEX(OFFSET('Measure Inputs'!$AA$7,,,InputRows),$C179)*$T179*$V179*$U179</f>
        <v>0</v>
      </c>
      <c r="AD179" s="96">
        <f ca="1">INDEX(OFFSET('Measure Inputs'!$AB$7,,,InputRows),$C179)*$T179*$V179*$U179</f>
        <v>0</v>
      </c>
      <c r="AE179" s="55"/>
      <c r="AF179" s="57">
        <f ca="1">INDEX(OFFSET('Measure Inputs'!$Q$7,,,InputRows),$C179)*$T179</f>
        <v>0</v>
      </c>
      <c r="AG179" s="57">
        <f ca="1">INDEX(OFFSET('Measure Inputs'!$P$7,,,InputRows),$C179)*$T179*$V179</f>
        <v>1020</v>
      </c>
      <c r="AH179" s="57">
        <f ca="1">INDEX(OFFSET('Measure Inputs'!$R$7,,,InputRows),$C179)*$T179*$V179</f>
        <v>0</v>
      </c>
      <c r="AI179" s="57">
        <f ca="1">INDEX(OFFSET('Measure Inputs'!$O$7,,,InputRows),$C179)*$T179</f>
        <v>240</v>
      </c>
      <c r="AJ179" s="57">
        <f ca="1">INDEX(OFFSET('Measure Inputs'!$S$7,,,InputRows),$C179)*$T179</f>
        <v>0</v>
      </c>
      <c r="AK179" s="63">
        <f ca="1">INDEX(OFFSET('Measure Inputs'!$M$7,,,InputRows),$C179)</f>
        <v>8</v>
      </c>
      <c r="AL179" s="88">
        <f ca="1">INDEX(OFFSET('Measure Inputs'!$N$7,,,InputRows),$C179)</f>
        <v>0</v>
      </c>
      <c r="AM179" s="57">
        <f ca="1">SUMIFS(OFFSET('Program Inputs'!$N$5,,,TotalPrograms),OFFSET('Program Inputs'!$B$5,,,TotalPrograms),SUBSTITUTE($B179,"All","*"))+AF179</f>
        <v>0</v>
      </c>
      <c r="AN179" s="57">
        <f t="shared" ca="1" si="365"/>
        <v>240</v>
      </c>
      <c r="AO179" s="55"/>
      <c r="AP179" s="59">
        <f t="shared" ca="1" si="366"/>
        <v>2250.6264002001826</v>
      </c>
      <c r="AQ179" s="59">
        <f t="shared" ca="1" si="367"/>
        <v>937.15545755237042</v>
      </c>
      <c r="AR179" s="59">
        <f ca="1">SUMPRODUCT($CA179:$DI179,'General Inputs'!$F$32:$AN$32,'General Inputs'!$F$51:$AN$51)/(1-Loss_ElectricEnergy)</f>
        <v>1254.0824021307506</v>
      </c>
      <c r="AS179" s="59">
        <f ca="1">SUMPRODUCT($DK179:$ES179,'General Inputs'!$F$33:$AN$33,'General Inputs'!$F$51:$AN$51)/(1-Loss_ElectricDemand)</f>
        <v>996.54399806943229</v>
      </c>
      <c r="AT179" s="59">
        <f ca="1">SUMPRODUCT($EU179:$GC179,'General Inputs'!$F$34:$AN$34,'General Inputs'!$F$51:$AN$51)/(1-Loss_GasEnergy)</f>
        <v>0</v>
      </c>
      <c r="AU179" s="59">
        <f ca="1">INDEX('General Inputs'!$F$51:$AN$51,MATCH($H179,'General Inputs'!$F$50:$AN$50,0))*$AJ179</f>
        <v>0</v>
      </c>
      <c r="AV179" s="59">
        <f ca="1">INDEX('General Inputs'!$F$51:$AN$51,MATCH($H179,'General Inputs'!$F$50:$AN$50,0))*$AI179</f>
        <v>220.50716648291069</v>
      </c>
      <c r="AW179" s="59">
        <f ca="1">INDEX('General Inputs'!$F$51:$AN$51,MATCH($H179,'General Inputs'!$F$50:$AN$50,0))*$AM179</f>
        <v>0</v>
      </c>
      <c r="AX179" s="59">
        <f ca="1">SUM(INDEX('General Inputs'!$F$51:$AN$51,MATCH($H179,'General Inputs'!$F$50:$AN$50,0))*$AG179,INDEX('General Inputs'!$F$51:$AN$51,MATCH($H179+$AL179,'General Inputs'!$F$50:$AN$50,0))*-$AH179)</f>
        <v>937.15545755237042</v>
      </c>
      <c r="AY179" s="55"/>
      <c r="AZ179" s="59">
        <f ca="1">SUMPRODUCT($CA179:$DI179,'General Inputs'!$F$32:$AN$32,'General Inputs'!$F$52:$AN$52)/(1-Loss_ElectricEnergy)</f>
        <v>1254.0824021307506</v>
      </c>
      <c r="BA179" s="59">
        <f ca="1">SUMPRODUCT($DK179:$ES179,'General Inputs'!$F$33:$AN$33,'General Inputs'!$F$52:$AN$52)/(1-Loss_ElectricDemand)</f>
        <v>996.54399806943229</v>
      </c>
      <c r="BB179" s="59">
        <f ca="1">SUMPRODUCT($EU179:$GC179,'General Inputs'!$F$34:$AN$34,'General Inputs'!$F$52:$AN$52)/(1-Loss_GasEnergy)</f>
        <v>0</v>
      </c>
      <c r="BC179" s="59">
        <f ca="1">INDEX('General Inputs'!$F$52:$AN$52,MATCH($H179,'General Inputs'!$F$50:$AN$50,0))*$AI179</f>
        <v>220.50716648291069</v>
      </c>
      <c r="BD179" s="59">
        <f ca="1">INDEX('General Inputs'!$F$52:$AN$52,MATCH($H179,'General Inputs'!$F$50:$AN$50,0))*$AM179</f>
        <v>0</v>
      </c>
      <c r="BE179" s="55"/>
      <c r="BF179" s="59">
        <f ca="1">SUMPRODUCT($CA179:$DI179,OFFSET('General Inputs'!$F$40:$AN$40,MATCH($D179&amp;" Electric ($/kWh)",'General Inputs'!$E$40:$E$46,0),),'General Inputs'!$F$54:$AN$54)</f>
        <v>0</v>
      </c>
      <c r="BG179" s="59">
        <f ca="1">SUMPRODUCT($EU179:$GC179,OFFSET('General Inputs'!$F$40:$AN$40,MATCH($D179&amp;" Natural Gas ($/therm)",'General Inputs'!$E$40:$E$46,0),),'General Inputs'!$F$54:$AN$54)</f>
        <v>0</v>
      </c>
      <c r="BH179" s="59">
        <f ca="1">INDEX('General Inputs'!$F$54:$AN$54,MATCH($H179,'General Inputs'!$F$50:$AN$50,0))*$AI179</f>
        <v>220.50716648291069</v>
      </c>
      <c r="BI179" s="59">
        <f ca="1">SUM(INDEX('General Inputs'!$F$54:$AN$54,MATCH($H179,'General Inputs'!$F$50:$AN$50,0))*$AG179,INDEX('General Inputs'!$F$51:$AN$51,MATCH($H179+$AL179,'General Inputs'!$F$50:$AN$50,0))*-$AH179)</f>
        <v>937.15545755237042</v>
      </c>
      <c r="BJ179" s="55"/>
      <c r="BK179" s="59">
        <f ca="1">SUMPRODUCT($CA179:$DI179,'General Inputs'!$F$32:$AN$32,'General Inputs'!$F$53:$AN$53)/(1-Loss_ElectricEnergy)</f>
        <v>1254.0824021307506</v>
      </c>
      <c r="BL179" s="59">
        <f ca="1">SUMPRODUCT($DK179:$ES179,'General Inputs'!$F$33:$AN$33,'General Inputs'!$F$53:$AN$53)/(1-Loss_ElectricDemand)</f>
        <v>996.54399806943229</v>
      </c>
      <c r="BM179" s="59">
        <f ca="1">SUMPRODUCT($EU179:$GC179,'General Inputs'!$F$34:$AN$34,'General Inputs'!$F$53:$AN$53)/(1-Loss_GasEnergy)</f>
        <v>0</v>
      </c>
      <c r="BN179" s="59">
        <f ca="1">INDEX('General Inputs'!$F$53:$AN$53,MATCH($H179,'General Inputs'!$F$50:$AN$50,0))*$AJ179</f>
        <v>0</v>
      </c>
      <c r="BO179" s="59">
        <f ca="1">SUMPRODUCT($CA179:$DI179,'General Inputs'!$F$35:$AN$35,'General Inputs'!$F$53:$AN$53)/(1-Loss_ElectricEnergy)</f>
        <v>489.11046170299812</v>
      </c>
      <c r="BP179" s="59">
        <f ca="1">INDEX('General Inputs'!$F$51:$AN$51,MATCH($H179,'General Inputs'!$F$50:$AN$50,0))*$AM179</f>
        <v>0</v>
      </c>
      <c r="BQ179" s="59">
        <f ca="1">SUM(INDEX('General Inputs'!$F$53:$AN$53,MATCH($H179,'General Inputs'!$F$50:$AN$50,0))*$AG179,INDEX('General Inputs'!$F$53:$AN$53,MATCH($H179+$AL179,'General Inputs'!$F$50:$AN$50,0))*-$AH179)</f>
        <v>937.15545755237042</v>
      </c>
      <c r="BR179" s="55"/>
      <c r="BS179" s="59">
        <f ca="1">SUMPRODUCT($CA179:$DI179,'General Inputs'!$F$32:$AN$32,'General Inputs'!$F$55:$AN$55)/(1-Loss_ElectricEnergy)</f>
        <v>1254.0824021307506</v>
      </c>
      <c r="BT179" s="59">
        <f ca="1">SUMPRODUCT($DK179:$ES179,'General Inputs'!$F$33:$AN$33,'General Inputs'!$F$55:$AN$55)/(1-Loss_ElectricDemand)</f>
        <v>996.54399806943229</v>
      </c>
      <c r="BU179" s="59">
        <f ca="1">SUMPRODUCT($EU179:$GC179,'General Inputs'!$F$34:$AN$34,'General Inputs'!$F$55:$AN$55)/(1-Loss_GasEnergy)</f>
        <v>0</v>
      </c>
      <c r="BV179" s="59">
        <f ca="1">SUMPRODUCT($CA179:$DI179,OFFSET('General Inputs'!$F$40:$AN$40,MATCH($D179&amp;" Electric ($/kWh)",'General Inputs'!$E$40:$E$46,0),),'General Inputs'!$F$55:$AN$55)</f>
        <v>0</v>
      </c>
      <c r="BW179" s="59">
        <f ca="1">SUMPRODUCT($EU179:$GC179,OFFSET('General Inputs'!$F$40:$AN$40,MATCH($D179&amp;" Natural Gas ($/therm)",'General Inputs'!$E$40:$E$46,0),),'General Inputs'!$F$55:$AN$55)</f>
        <v>0</v>
      </c>
      <c r="BX179" s="59">
        <f ca="1">INDEX('General Inputs'!$F$55:$AN$55,MATCH($H179,'General Inputs'!$F$50:$AN$50,0))*$AI179</f>
        <v>220.50716648291069</v>
      </c>
      <c r="BY179" s="59">
        <f ca="1">INDEX('General Inputs'!$F$51:$AN$51,MATCH($H179,'General Inputs'!$F$50:$AN$50,0))*$AM179</f>
        <v>0</v>
      </c>
      <c r="BZ179" s="55"/>
      <c r="CA179" s="88">
        <f t="shared" ca="1" si="387"/>
        <v>0</v>
      </c>
      <c r="CB179" s="88">
        <f t="shared" ca="1" si="387"/>
        <v>7343.5264799999995</v>
      </c>
      <c r="CC179" s="88">
        <f t="shared" ca="1" si="387"/>
        <v>7343.5264799999995</v>
      </c>
      <c r="CD179" s="88">
        <f t="shared" ca="1" si="387"/>
        <v>7343.5264799999995</v>
      </c>
      <c r="CE179" s="88">
        <f t="shared" ca="1" si="387"/>
        <v>7343.5264799999995</v>
      </c>
      <c r="CF179" s="88">
        <f t="shared" ca="1" si="387"/>
        <v>7343.5264799999995</v>
      </c>
      <c r="CG179" s="88">
        <f t="shared" ca="1" si="387"/>
        <v>7343.5264799999995</v>
      </c>
      <c r="CH179" s="88">
        <f t="shared" ca="1" si="387"/>
        <v>7343.5264799999995</v>
      </c>
      <c r="CI179" s="88">
        <f t="shared" ca="1" si="387"/>
        <v>7343.5264799999995</v>
      </c>
      <c r="CJ179" s="88">
        <f t="shared" ca="1" si="387"/>
        <v>0</v>
      </c>
      <c r="CK179" s="88">
        <f t="shared" ca="1" si="388"/>
        <v>0</v>
      </c>
      <c r="CL179" s="88">
        <f t="shared" ca="1" si="388"/>
        <v>0</v>
      </c>
      <c r="CM179" s="88">
        <f t="shared" ca="1" si="388"/>
        <v>0</v>
      </c>
      <c r="CN179" s="88">
        <f t="shared" ca="1" si="388"/>
        <v>0</v>
      </c>
      <c r="CO179" s="88">
        <f t="shared" ca="1" si="388"/>
        <v>0</v>
      </c>
      <c r="CP179" s="88">
        <f t="shared" ca="1" si="388"/>
        <v>0</v>
      </c>
      <c r="CQ179" s="88">
        <f t="shared" ca="1" si="388"/>
        <v>0</v>
      </c>
      <c r="CR179" s="88">
        <f t="shared" ca="1" si="388"/>
        <v>0</v>
      </c>
      <c r="CS179" s="88">
        <f t="shared" ca="1" si="388"/>
        <v>0</v>
      </c>
      <c r="CT179" s="88">
        <f t="shared" ca="1" si="388"/>
        <v>0</v>
      </c>
      <c r="CU179" s="88">
        <f t="shared" ca="1" si="389"/>
        <v>0</v>
      </c>
      <c r="CV179" s="88">
        <f t="shared" ca="1" si="389"/>
        <v>0</v>
      </c>
      <c r="CW179" s="88">
        <f t="shared" ca="1" si="389"/>
        <v>0</v>
      </c>
      <c r="CX179" s="88">
        <f t="shared" ca="1" si="389"/>
        <v>0</v>
      </c>
      <c r="CY179" s="88">
        <f t="shared" ca="1" si="389"/>
        <v>0</v>
      </c>
      <c r="CZ179" s="88">
        <f t="shared" ca="1" si="389"/>
        <v>0</v>
      </c>
      <c r="DA179" s="88">
        <f t="shared" ca="1" si="389"/>
        <v>0</v>
      </c>
      <c r="DB179" s="88">
        <f t="shared" ca="1" si="389"/>
        <v>0</v>
      </c>
      <c r="DC179" s="88">
        <f t="shared" ca="1" si="389"/>
        <v>0</v>
      </c>
      <c r="DD179" s="88">
        <f t="shared" ca="1" si="389"/>
        <v>0</v>
      </c>
      <c r="DE179" s="88">
        <f t="shared" ca="1" si="389"/>
        <v>0</v>
      </c>
      <c r="DF179" s="88">
        <f t="shared" ca="1" si="389"/>
        <v>0</v>
      </c>
      <c r="DG179" s="88">
        <f t="shared" ca="1" si="389"/>
        <v>0</v>
      </c>
      <c r="DH179" s="88">
        <f t="shared" ca="1" si="389"/>
        <v>0</v>
      </c>
      <c r="DI179" s="88">
        <f t="shared" ca="1" si="389"/>
        <v>0</v>
      </c>
      <c r="DJ179" s="169"/>
      <c r="DK179" s="88">
        <f t="shared" ca="1" si="390"/>
        <v>0</v>
      </c>
      <c r="DL179" s="88">
        <f t="shared" ca="1" si="390"/>
        <v>8.1129999999999995</v>
      </c>
      <c r="DM179" s="88">
        <f t="shared" ca="1" si="390"/>
        <v>8.1129999999999995</v>
      </c>
      <c r="DN179" s="88">
        <f t="shared" ca="1" si="390"/>
        <v>8.1129999999999995</v>
      </c>
      <c r="DO179" s="88">
        <f t="shared" ca="1" si="390"/>
        <v>8.1129999999999995</v>
      </c>
      <c r="DP179" s="88">
        <f t="shared" ca="1" si="390"/>
        <v>8.1129999999999995</v>
      </c>
      <c r="DQ179" s="88">
        <f t="shared" ca="1" si="390"/>
        <v>8.1129999999999995</v>
      </c>
      <c r="DR179" s="88">
        <f t="shared" ca="1" si="390"/>
        <v>8.1129999999999995</v>
      </c>
      <c r="DS179" s="88">
        <f t="shared" ca="1" si="390"/>
        <v>8.1129999999999995</v>
      </c>
      <c r="DT179" s="88">
        <f t="shared" ca="1" si="390"/>
        <v>0</v>
      </c>
      <c r="DU179" s="88">
        <f t="shared" ca="1" si="391"/>
        <v>0</v>
      </c>
      <c r="DV179" s="88">
        <f t="shared" ca="1" si="391"/>
        <v>0</v>
      </c>
      <c r="DW179" s="88">
        <f t="shared" ca="1" si="391"/>
        <v>0</v>
      </c>
      <c r="DX179" s="88">
        <f t="shared" ca="1" si="391"/>
        <v>0</v>
      </c>
      <c r="DY179" s="88">
        <f t="shared" ca="1" si="391"/>
        <v>0</v>
      </c>
      <c r="DZ179" s="88">
        <f t="shared" ca="1" si="391"/>
        <v>0</v>
      </c>
      <c r="EA179" s="88">
        <f t="shared" ca="1" si="391"/>
        <v>0</v>
      </c>
      <c r="EB179" s="88">
        <f t="shared" ca="1" si="391"/>
        <v>0</v>
      </c>
      <c r="EC179" s="88">
        <f t="shared" ca="1" si="391"/>
        <v>0</v>
      </c>
      <c r="ED179" s="88">
        <f t="shared" ca="1" si="391"/>
        <v>0</v>
      </c>
      <c r="EE179" s="88">
        <f t="shared" ca="1" si="392"/>
        <v>0</v>
      </c>
      <c r="EF179" s="88">
        <f t="shared" ca="1" si="392"/>
        <v>0</v>
      </c>
      <c r="EG179" s="88">
        <f t="shared" ca="1" si="392"/>
        <v>0</v>
      </c>
      <c r="EH179" s="88">
        <f t="shared" ca="1" si="392"/>
        <v>0</v>
      </c>
      <c r="EI179" s="88">
        <f t="shared" ca="1" si="392"/>
        <v>0</v>
      </c>
      <c r="EJ179" s="88">
        <f t="shared" ca="1" si="392"/>
        <v>0</v>
      </c>
      <c r="EK179" s="88">
        <f t="shared" ca="1" si="392"/>
        <v>0</v>
      </c>
      <c r="EL179" s="88">
        <f t="shared" ca="1" si="392"/>
        <v>0</v>
      </c>
      <c r="EM179" s="88">
        <f t="shared" ca="1" si="392"/>
        <v>0</v>
      </c>
      <c r="EN179" s="88">
        <f t="shared" ca="1" si="392"/>
        <v>0</v>
      </c>
      <c r="EO179" s="88">
        <f t="shared" ca="1" si="392"/>
        <v>0</v>
      </c>
      <c r="EP179" s="88">
        <f t="shared" ca="1" si="392"/>
        <v>0</v>
      </c>
      <c r="EQ179" s="88">
        <f t="shared" ca="1" si="392"/>
        <v>0</v>
      </c>
      <c r="ER179" s="88">
        <f t="shared" ca="1" si="392"/>
        <v>0</v>
      </c>
      <c r="ES179" s="88">
        <f t="shared" ca="1" si="392"/>
        <v>0</v>
      </c>
      <c r="ET179" s="169"/>
      <c r="EU179" s="88">
        <f t="shared" ca="1" si="393"/>
        <v>0</v>
      </c>
      <c r="EV179" s="88">
        <f t="shared" ca="1" si="393"/>
        <v>0</v>
      </c>
      <c r="EW179" s="88">
        <f t="shared" ca="1" si="393"/>
        <v>0</v>
      </c>
      <c r="EX179" s="88">
        <f t="shared" ca="1" si="393"/>
        <v>0</v>
      </c>
      <c r="EY179" s="88">
        <f t="shared" ca="1" si="393"/>
        <v>0</v>
      </c>
      <c r="EZ179" s="88">
        <f t="shared" ca="1" si="393"/>
        <v>0</v>
      </c>
      <c r="FA179" s="88">
        <f t="shared" ca="1" si="393"/>
        <v>0</v>
      </c>
      <c r="FB179" s="88">
        <f t="shared" ca="1" si="393"/>
        <v>0</v>
      </c>
      <c r="FC179" s="88">
        <f t="shared" ca="1" si="393"/>
        <v>0</v>
      </c>
      <c r="FD179" s="88">
        <f t="shared" ca="1" si="393"/>
        <v>0</v>
      </c>
      <c r="FE179" s="88">
        <f t="shared" ca="1" si="394"/>
        <v>0</v>
      </c>
      <c r="FF179" s="88">
        <f t="shared" ca="1" si="394"/>
        <v>0</v>
      </c>
      <c r="FG179" s="88">
        <f t="shared" ca="1" si="394"/>
        <v>0</v>
      </c>
      <c r="FH179" s="88">
        <f t="shared" ca="1" si="394"/>
        <v>0</v>
      </c>
      <c r="FI179" s="88">
        <f t="shared" ca="1" si="394"/>
        <v>0</v>
      </c>
      <c r="FJ179" s="88">
        <f t="shared" ca="1" si="394"/>
        <v>0</v>
      </c>
      <c r="FK179" s="88">
        <f t="shared" ca="1" si="394"/>
        <v>0</v>
      </c>
      <c r="FL179" s="88">
        <f t="shared" ca="1" si="394"/>
        <v>0</v>
      </c>
      <c r="FM179" s="88">
        <f t="shared" ca="1" si="394"/>
        <v>0</v>
      </c>
      <c r="FN179" s="88">
        <f t="shared" ca="1" si="394"/>
        <v>0</v>
      </c>
      <c r="FO179" s="88">
        <f t="shared" ca="1" si="395"/>
        <v>0</v>
      </c>
      <c r="FP179" s="88">
        <f t="shared" ca="1" si="395"/>
        <v>0</v>
      </c>
      <c r="FQ179" s="88">
        <f t="shared" ca="1" si="395"/>
        <v>0</v>
      </c>
      <c r="FR179" s="88">
        <f t="shared" ca="1" si="395"/>
        <v>0</v>
      </c>
      <c r="FS179" s="88">
        <f t="shared" ca="1" si="395"/>
        <v>0</v>
      </c>
      <c r="FT179" s="88">
        <f t="shared" ca="1" si="395"/>
        <v>0</v>
      </c>
      <c r="FU179" s="88">
        <f t="shared" ca="1" si="395"/>
        <v>0</v>
      </c>
      <c r="FV179" s="88">
        <f t="shared" ca="1" si="395"/>
        <v>0</v>
      </c>
      <c r="FW179" s="88">
        <f t="shared" ca="1" si="395"/>
        <v>0</v>
      </c>
      <c r="FX179" s="88">
        <f t="shared" ca="1" si="395"/>
        <v>0</v>
      </c>
      <c r="FY179" s="88">
        <f t="shared" ca="1" si="395"/>
        <v>0</v>
      </c>
      <c r="FZ179" s="88">
        <f t="shared" ca="1" si="395"/>
        <v>0</v>
      </c>
      <c r="GA179" s="88">
        <f t="shared" ca="1" si="395"/>
        <v>0</v>
      </c>
      <c r="GB179" s="88">
        <f t="shared" ca="1" si="395"/>
        <v>0</v>
      </c>
      <c r="GC179" s="88">
        <f t="shared" ca="1" si="395"/>
        <v>0</v>
      </c>
      <c r="GD179" s="60"/>
    </row>
    <row r="180" spans="1:186" s="54" customFormat="1" ht="14.45" customHeight="1">
      <c r="A180" s="61"/>
      <c r="B180" s="100" t="str">
        <f t="shared" si="345"/>
        <v>C&amp;I_C&amp;I Prescriptive_0_Fixture Mount Occupancy_2018</v>
      </c>
      <c r="C180" s="100">
        <f>INDEX('Measure Inputs'!$D:$D,MATCH($B180,'Measure Inputs'!$B:$B,0))</f>
        <v>132</v>
      </c>
      <c r="D180" s="101" t="s">
        <v>256</v>
      </c>
      <c r="E180" s="101" t="s">
        <v>255</v>
      </c>
      <c r="F180" s="101">
        <v>0</v>
      </c>
      <c r="G180" s="101" t="s">
        <v>309</v>
      </c>
      <c r="H180" s="101">
        <v>2018</v>
      </c>
      <c r="I180" s="55"/>
      <c r="J180" s="58">
        <f t="shared" ca="1" si="229"/>
        <v>0.78568196599433016</v>
      </c>
      <c r="K180" s="58">
        <f t="shared" ca="1" si="246"/>
        <v>6.0235617392898648</v>
      </c>
      <c r="L180" s="58">
        <f t="shared" ca="1" si="230"/>
        <v>0.13043478260869565</v>
      </c>
      <c r="M180" s="58">
        <f t="shared" ca="1" si="231"/>
        <v>0.9564278832665285</v>
      </c>
      <c r="N180" s="58">
        <f t="shared" ca="1" si="232"/>
        <v>6.0235617392898648</v>
      </c>
      <c r="O180" s="55"/>
      <c r="P180" s="175">
        <f ca="1">IFERROR(($AW180+AV180)/SUMPRODUCT($CA180:$DI180,'General Inputs'!$F$51:$AN$51),"n/a")</f>
        <v>9.1380818010144329E-3</v>
      </c>
      <c r="Q180" s="175">
        <f t="shared" ca="1" si="386"/>
        <v>5.5377572039022153E-2</v>
      </c>
      <c r="R180" s="56">
        <f t="shared" ca="1" si="364"/>
        <v>34.67107584</v>
      </c>
      <c r="S180" s="55"/>
      <c r="T180" s="56">
        <f ca="1">INDEX(OFFSET('Measure Inputs'!$L$7,,,InputRows),$C180)</f>
        <v>20</v>
      </c>
      <c r="U180" s="134">
        <f ca="1">INDEX(OFFSET('Measure Inputs'!$T$7,,,InputRows),$C180)</f>
        <v>1</v>
      </c>
      <c r="V180" s="134">
        <f ca="1">INDEX(OFFSET('Measure Inputs'!$U$7,,,InputRows),$C180)</f>
        <v>1</v>
      </c>
      <c r="W180" s="55"/>
      <c r="X180" s="96">
        <f ca="1">INDEX(OFFSET('Measure Inputs'!$V$7,,,InputRows),$C180)*$T180*$V180*$U180</f>
        <v>4333.8844799999988</v>
      </c>
      <c r="Y180" s="96">
        <f ca="1">INDEX(OFFSET('Measure Inputs'!$W$7,,,InputRows),$C180)*$T180*$V180*$U180</f>
        <v>4.7880000000000003</v>
      </c>
      <c r="Z180" s="96">
        <f ca="1">INDEX(OFFSET('Measure Inputs'!$X$7,,,InputRows),$C180)*$T180*$V180*$U180</f>
        <v>0</v>
      </c>
      <c r="AA180" s="55"/>
      <c r="AB180" s="96">
        <f ca="1">INDEX(OFFSET('Measure Inputs'!$Z$7,,,InputRows),$C180)*$T180*$V180*$U180</f>
        <v>0</v>
      </c>
      <c r="AC180" s="96">
        <f ca="1">INDEX(OFFSET('Measure Inputs'!$AA$7,,,InputRows),$C180)*$T180*$V180*$U180</f>
        <v>0</v>
      </c>
      <c r="AD180" s="96">
        <f ca="1">INDEX(OFFSET('Measure Inputs'!$AB$7,,,InputRows),$C180)*$T180*$V180*$U180</f>
        <v>0</v>
      </c>
      <c r="AE180" s="55"/>
      <c r="AF180" s="57">
        <f ca="1">INDEX(OFFSET('Measure Inputs'!$Q$7,,,InputRows),$C180)*$T180</f>
        <v>0</v>
      </c>
      <c r="AG180" s="57">
        <f ca="1">INDEX(OFFSET('Measure Inputs'!$P$7,,,InputRows),$C180)*$T180*$V180</f>
        <v>1840</v>
      </c>
      <c r="AH180" s="57">
        <f ca="1">INDEX(OFFSET('Measure Inputs'!$R$7,,,InputRows),$C180)*$T180*$V180</f>
        <v>0</v>
      </c>
      <c r="AI180" s="57">
        <f ca="1">INDEX(OFFSET('Measure Inputs'!$O$7,,,InputRows),$C180)*$T180</f>
        <v>240</v>
      </c>
      <c r="AJ180" s="57">
        <f ca="1">INDEX(OFFSET('Measure Inputs'!$S$7,,,InputRows),$C180)*$T180</f>
        <v>0</v>
      </c>
      <c r="AK180" s="63">
        <f ca="1">INDEX(OFFSET('Measure Inputs'!$M$7,,,InputRows),$C180)</f>
        <v>8</v>
      </c>
      <c r="AL180" s="88">
        <f ca="1">INDEX(OFFSET('Measure Inputs'!$N$7,,,InputRows),$C180)</f>
        <v>0</v>
      </c>
      <c r="AM180" s="57">
        <f ca="1">SUMIFS(OFFSET('Program Inputs'!$N$5,,,TotalPrograms),OFFSET('Program Inputs'!$B$5,,,TotalPrograms),SUBSTITUTE($B180,"All","*"))+AF180</f>
        <v>0</v>
      </c>
      <c r="AN180" s="57">
        <f t="shared" ca="1" si="365"/>
        <v>240</v>
      </c>
      <c r="AO180" s="55"/>
      <c r="AP180" s="59">
        <f t="shared" ca="1" si="366"/>
        <v>1328.2385312656813</v>
      </c>
      <c r="AQ180" s="59">
        <f t="shared" ca="1" si="367"/>
        <v>1690.5549430356486</v>
      </c>
      <c r="AR180" s="59">
        <f ca="1">SUMPRODUCT($CA180:$DI180,'General Inputs'!$F$32:$AN$32,'General Inputs'!$F$51:$AN$51)/(1-Loss_ElectricEnergy)</f>
        <v>740.1142045361803</v>
      </c>
      <c r="AS180" s="59">
        <f ca="1">SUMPRODUCT($DK180:$ES180,'General Inputs'!$F$33:$AN$33,'General Inputs'!$F$51:$AN$51)/(1-Loss_ElectricDemand)</f>
        <v>588.12432672950104</v>
      </c>
      <c r="AT180" s="59">
        <f ca="1">SUMPRODUCT($EU180:$GC180,'General Inputs'!$F$34:$AN$34,'General Inputs'!$F$51:$AN$51)/(1-Loss_GasEnergy)</f>
        <v>0</v>
      </c>
      <c r="AU180" s="59">
        <f ca="1">INDEX('General Inputs'!$F$51:$AN$51,MATCH($H180,'General Inputs'!$F$50:$AN$50,0))*$AJ180</f>
        <v>0</v>
      </c>
      <c r="AV180" s="59">
        <f ca="1">INDEX('General Inputs'!$F$51:$AN$51,MATCH($H180,'General Inputs'!$F$50:$AN$50,0))*$AI180</f>
        <v>220.50716648291069</v>
      </c>
      <c r="AW180" s="59">
        <f ca="1">INDEX('General Inputs'!$F$51:$AN$51,MATCH($H180,'General Inputs'!$F$50:$AN$50,0))*$AM180</f>
        <v>0</v>
      </c>
      <c r="AX180" s="59">
        <f ca="1">SUM(INDEX('General Inputs'!$F$51:$AN$51,MATCH($H180,'General Inputs'!$F$50:$AN$50,0))*$AG180,INDEX('General Inputs'!$F$51:$AN$51,MATCH($H180+$AL180,'General Inputs'!$F$50:$AN$50,0))*-$AH180)</f>
        <v>1690.5549430356486</v>
      </c>
      <c r="AY180" s="55"/>
      <c r="AZ180" s="59">
        <f ca="1">SUMPRODUCT($CA180:$DI180,'General Inputs'!$F$32:$AN$32,'General Inputs'!$F$52:$AN$52)/(1-Loss_ElectricEnergy)</f>
        <v>740.1142045361803</v>
      </c>
      <c r="BA180" s="59">
        <f ca="1">SUMPRODUCT($DK180:$ES180,'General Inputs'!$F$33:$AN$33,'General Inputs'!$F$52:$AN$52)/(1-Loss_ElectricDemand)</f>
        <v>588.12432672950104</v>
      </c>
      <c r="BB180" s="59">
        <f ca="1">SUMPRODUCT($EU180:$GC180,'General Inputs'!$F$34:$AN$34,'General Inputs'!$F$52:$AN$52)/(1-Loss_GasEnergy)</f>
        <v>0</v>
      </c>
      <c r="BC180" s="59">
        <f ca="1">INDEX('General Inputs'!$F$52:$AN$52,MATCH($H180,'General Inputs'!$F$50:$AN$50,0))*$AI180</f>
        <v>220.50716648291069</v>
      </c>
      <c r="BD180" s="59">
        <f ca="1">INDEX('General Inputs'!$F$52:$AN$52,MATCH($H180,'General Inputs'!$F$50:$AN$50,0))*$AM180</f>
        <v>0</v>
      </c>
      <c r="BE180" s="55"/>
      <c r="BF180" s="59">
        <f ca="1">SUMPRODUCT($CA180:$DI180,OFFSET('General Inputs'!$F$40:$AN$40,MATCH($D180&amp;" Electric ($/kWh)",'General Inputs'!$E$40:$E$46,0),),'General Inputs'!$F$54:$AN$54)</f>
        <v>0</v>
      </c>
      <c r="BG180" s="59">
        <f ca="1">SUMPRODUCT($EU180:$GC180,OFFSET('General Inputs'!$F$40:$AN$40,MATCH($D180&amp;" Natural Gas ($/therm)",'General Inputs'!$E$40:$E$46,0),),'General Inputs'!$F$54:$AN$54)</f>
        <v>0</v>
      </c>
      <c r="BH180" s="59">
        <f ca="1">INDEX('General Inputs'!$F$54:$AN$54,MATCH($H180,'General Inputs'!$F$50:$AN$50,0))*$AI180</f>
        <v>220.50716648291069</v>
      </c>
      <c r="BI180" s="59">
        <f ca="1">SUM(INDEX('General Inputs'!$F$54:$AN$54,MATCH($H180,'General Inputs'!$F$50:$AN$50,0))*$AG180,INDEX('General Inputs'!$F$51:$AN$51,MATCH($H180+$AL180,'General Inputs'!$F$50:$AN$50,0))*-$AH180)</f>
        <v>1690.5549430356486</v>
      </c>
      <c r="BJ180" s="55"/>
      <c r="BK180" s="59">
        <f ca="1">SUMPRODUCT($CA180:$DI180,'General Inputs'!$F$32:$AN$32,'General Inputs'!$F$53:$AN$53)/(1-Loss_ElectricEnergy)</f>
        <v>740.1142045361803</v>
      </c>
      <c r="BL180" s="59">
        <f ca="1">SUMPRODUCT($DK180:$ES180,'General Inputs'!$F$33:$AN$33,'General Inputs'!$F$53:$AN$53)/(1-Loss_ElectricDemand)</f>
        <v>588.12432672950104</v>
      </c>
      <c r="BM180" s="59">
        <f ca="1">SUMPRODUCT($EU180:$GC180,'General Inputs'!$F$34:$AN$34,'General Inputs'!$F$53:$AN$53)/(1-Loss_GasEnergy)</f>
        <v>0</v>
      </c>
      <c r="BN180" s="59">
        <f ca="1">INDEX('General Inputs'!$F$53:$AN$53,MATCH($H180,'General Inputs'!$F$50:$AN$50,0))*$AJ180</f>
        <v>0</v>
      </c>
      <c r="BO180" s="59">
        <f ca="1">SUMPRODUCT($CA180:$DI180,'General Inputs'!$F$35:$AN$35,'General Inputs'!$F$53:$AN$53)/(1-Loss_ElectricEnergy)</f>
        <v>288.6553544476709</v>
      </c>
      <c r="BP180" s="59">
        <f ca="1">INDEX('General Inputs'!$F$51:$AN$51,MATCH($H180,'General Inputs'!$F$50:$AN$50,0))*$AM180</f>
        <v>0</v>
      </c>
      <c r="BQ180" s="59">
        <f ca="1">SUM(INDEX('General Inputs'!$F$53:$AN$53,MATCH($H180,'General Inputs'!$F$50:$AN$50,0))*$AG180,INDEX('General Inputs'!$F$53:$AN$53,MATCH($H180+$AL180,'General Inputs'!$F$50:$AN$50,0))*-$AH180)</f>
        <v>1690.5549430356486</v>
      </c>
      <c r="BR180" s="55"/>
      <c r="BS180" s="59">
        <f ca="1">SUMPRODUCT($CA180:$DI180,'General Inputs'!$F$32:$AN$32,'General Inputs'!$F$55:$AN$55)/(1-Loss_ElectricEnergy)</f>
        <v>740.1142045361803</v>
      </c>
      <c r="BT180" s="59">
        <f ca="1">SUMPRODUCT($DK180:$ES180,'General Inputs'!$F$33:$AN$33,'General Inputs'!$F$55:$AN$55)/(1-Loss_ElectricDemand)</f>
        <v>588.12432672950104</v>
      </c>
      <c r="BU180" s="59">
        <f ca="1">SUMPRODUCT($EU180:$GC180,'General Inputs'!$F$34:$AN$34,'General Inputs'!$F$55:$AN$55)/(1-Loss_GasEnergy)</f>
        <v>0</v>
      </c>
      <c r="BV180" s="59">
        <f ca="1">SUMPRODUCT($CA180:$DI180,OFFSET('General Inputs'!$F$40:$AN$40,MATCH($D180&amp;" Electric ($/kWh)",'General Inputs'!$E$40:$E$46,0),),'General Inputs'!$F$55:$AN$55)</f>
        <v>0</v>
      </c>
      <c r="BW180" s="59">
        <f ca="1">SUMPRODUCT($EU180:$GC180,OFFSET('General Inputs'!$F$40:$AN$40,MATCH($D180&amp;" Natural Gas ($/therm)",'General Inputs'!$E$40:$E$46,0),),'General Inputs'!$F$55:$AN$55)</f>
        <v>0</v>
      </c>
      <c r="BX180" s="59">
        <f ca="1">INDEX('General Inputs'!$F$55:$AN$55,MATCH($H180,'General Inputs'!$F$50:$AN$50,0))*$AI180</f>
        <v>220.50716648291069</v>
      </c>
      <c r="BY180" s="59">
        <f ca="1">INDEX('General Inputs'!$F$51:$AN$51,MATCH($H180,'General Inputs'!$F$50:$AN$50,0))*$AM180</f>
        <v>0</v>
      </c>
      <c r="BZ180" s="55"/>
      <c r="CA180" s="88">
        <f t="shared" ca="1" si="387"/>
        <v>0</v>
      </c>
      <c r="CB180" s="88">
        <f t="shared" ca="1" si="387"/>
        <v>4333.8844799999988</v>
      </c>
      <c r="CC180" s="88">
        <f t="shared" ca="1" si="387"/>
        <v>4333.8844799999988</v>
      </c>
      <c r="CD180" s="88">
        <f t="shared" ca="1" si="387"/>
        <v>4333.8844799999988</v>
      </c>
      <c r="CE180" s="88">
        <f t="shared" ca="1" si="387"/>
        <v>4333.8844799999988</v>
      </c>
      <c r="CF180" s="88">
        <f t="shared" ca="1" si="387"/>
        <v>4333.8844799999988</v>
      </c>
      <c r="CG180" s="88">
        <f t="shared" ca="1" si="387"/>
        <v>4333.8844799999988</v>
      </c>
      <c r="CH180" s="88">
        <f t="shared" ca="1" si="387"/>
        <v>4333.8844799999988</v>
      </c>
      <c r="CI180" s="88">
        <f t="shared" ca="1" si="387"/>
        <v>4333.8844799999988</v>
      </c>
      <c r="CJ180" s="88">
        <f t="shared" ca="1" si="387"/>
        <v>0</v>
      </c>
      <c r="CK180" s="88">
        <f t="shared" ca="1" si="388"/>
        <v>0</v>
      </c>
      <c r="CL180" s="88">
        <f t="shared" ca="1" si="388"/>
        <v>0</v>
      </c>
      <c r="CM180" s="88">
        <f t="shared" ca="1" si="388"/>
        <v>0</v>
      </c>
      <c r="CN180" s="88">
        <f t="shared" ca="1" si="388"/>
        <v>0</v>
      </c>
      <c r="CO180" s="88">
        <f t="shared" ca="1" si="388"/>
        <v>0</v>
      </c>
      <c r="CP180" s="88">
        <f t="shared" ca="1" si="388"/>
        <v>0</v>
      </c>
      <c r="CQ180" s="88">
        <f t="shared" ca="1" si="388"/>
        <v>0</v>
      </c>
      <c r="CR180" s="88">
        <f t="shared" ca="1" si="388"/>
        <v>0</v>
      </c>
      <c r="CS180" s="88">
        <f t="shared" ca="1" si="388"/>
        <v>0</v>
      </c>
      <c r="CT180" s="88">
        <f t="shared" ca="1" si="388"/>
        <v>0</v>
      </c>
      <c r="CU180" s="88">
        <f t="shared" ca="1" si="389"/>
        <v>0</v>
      </c>
      <c r="CV180" s="88">
        <f t="shared" ca="1" si="389"/>
        <v>0</v>
      </c>
      <c r="CW180" s="88">
        <f t="shared" ca="1" si="389"/>
        <v>0</v>
      </c>
      <c r="CX180" s="88">
        <f t="shared" ca="1" si="389"/>
        <v>0</v>
      </c>
      <c r="CY180" s="88">
        <f t="shared" ca="1" si="389"/>
        <v>0</v>
      </c>
      <c r="CZ180" s="88">
        <f t="shared" ca="1" si="389"/>
        <v>0</v>
      </c>
      <c r="DA180" s="88">
        <f t="shared" ca="1" si="389"/>
        <v>0</v>
      </c>
      <c r="DB180" s="88">
        <f t="shared" ca="1" si="389"/>
        <v>0</v>
      </c>
      <c r="DC180" s="88">
        <f t="shared" ca="1" si="389"/>
        <v>0</v>
      </c>
      <c r="DD180" s="88">
        <f t="shared" ca="1" si="389"/>
        <v>0</v>
      </c>
      <c r="DE180" s="88">
        <f t="shared" ca="1" si="389"/>
        <v>0</v>
      </c>
      <c r="DF180" s="88">
        <f t="shared" ca="1" si="389"/>
        <v>0</v>
      </c>
      <c r="DG180" s="88">
        <f t="shared" ca="1" si="389"/>
        <v>0</v>
      </c>
      <c r="DH180" s="88">
        <f t="shared" ca="1" si="389"/>
        <v>0</v>
      </c>
      <c r="DI180" s="88">
        <f t="shared" ca="1" si="389"/>
        <v>0</v>
      </c>
      <c r="DJ180" s="169"/>
      <c r="DK180" s="88">
        <f t="shared" ca="1" si="390"/>
        <v>0</v>
      </c>
      <c r="DL180" s="88">
        <f t="shared" ca="1" si="390"/>
        <v>4.7880000000000003</v>
      </c>
      <c r="DM180" s="88">
        <f t="shared" ca="1" si="390"/>
        <v>4.7880000000000003</v>
      </c>
      <c r="DN180" s="88">
        <f t="shared" ca="1" si="390"/>
        <v>4.7880000000000003</v>
      </c>
      <c r="DO180" s="88">
        <f t="shared" ca="1" si="390"/>
        <v>4.7880000000000003</v>
      </c>
      <c r="DP180" s="88">
        <f t="shared" ca="1" si="390"/>
        <v>4.7880000000000003</v>
      </c>
      <c r="DQ180" s="88">
        <f t="shared" ca="1" si="390"/>
        <v>4.7880000000000003</v>
      </c>
      <c r="DR180" s="88">
        <f t="shared" ca="1" si="390"/>
        <v>4.7880000000000003</v>
      </c>
      <c r="DS180" s="88">
        <f t="shared" ca="1" si="390"/>
        <v>4.7880000000000003</v>
      </c>
      <c r="DT180" s="88">
        <f t="shared" ca="1" si="390"/>
        <v>0</v>
      </c>
      <c r="DU180" s="88">
        <f t="shared" ca="1" si="391"/>
        <v>0</v>
      </c>
      <c r="DV180" s="88">
        <f t="shared" ca="1" si="391"/>
        <v>0</v>
      </c>
      <c r="DW180" s="88">
        <f t="shared" ca="1" si="391"/>
        <v>0</v>
      </c>
      <c r="DX180" s="88">
        <f t="shared" ca="1" si="391"/>
        <v>0</v>
      </c>
      <c r="DY180" s="88">
        <f t="shared" ca="1" si="391"/>
        <v>0</v>
      </c>
      <c r="DZ180" s="88">
        <f t="shared" ca="1" si="391"/>
        <v>0</v>
      </c>
      <c r="EA180" s="88">
        <f t="shared" ca="1" si="391"/>
        <v>0</v>
      </c>
      <c r="EB180" s="88">
        <f t="shared" ca="1" si="391"/>
        <v>0</v>
      </c>
      <c r="EC180" s="88">
        <f t="shared" ca="1" si="391"/>
        <v>0</v>
      </c>
      <c r="ED180" s="88">
        <f t="shared" ca="1" si="391"/>
        <v>0</v>
      </c>
      <c r="EE180" s="88">
        <f t="shared" ca="1" si="392"/>
        <v>0</v>
      </c>
      <c r="EF180" s="88">
        <f t="shared" ca="1" si="392"/>
        <v>0</v>
      </c>
      <c r="EG180" s="88">
        <f t="shared" ca="1" si="392"/>
        <v>0</v>
      </c>
      <c r="EH180" s="88">
        <f t="shared" ca="1" si="392"/>
        <v>0</v>
      </c>
      <c r="EI180" s="88">
        <f t="shared" ca="1" si="392"/>
        <v>0</v>
      </c>
      <c r="EJ180" s="88">
        <f t="shared" ca="1" si="392"/>
        <v>0</v>
      </c>
      <c r="EK180" s="88">
        <f t="shared" ca="1" si="392"/>
        <v>0</v>
      </c>
      <c r="EL180" s="88">
        <f t="shared" ca="1" si="392"/>
        <v>0</v>
      </c>
      <c r="EM180" s="88">
        <f t="shared" ca="1" si="392"/>
        <v>0</v>
      </c>
      <c r="EN180" s="88">
        <f t="shared" ca="1" si="392"/>
        <v>0</v>
      </c>
      <c r="EO180" s="88">
        <f t="shared" ca="1" si="392"/>
        <v>0</v>
      </c>
      <c r="EP180" s="88">
        <f t="shared" ca="1" si="392"/>
        <v>0</v>
      </c>
      <c r="EQ180" s="88">
        <f t="shared" ca="1" si="392"/>
        <v>0</v>
      </c>
      <c r="ER180" s="88">
        <f t="shared" ca="1" si="392"/>
        <v>0</v>
      </c>
      <c r="ES180" s="88">
        <f t="shared" ca="1" si="392"/>
        <v>0</v>
      </c>
      <c r="ET180" s="169"/>
      <c r="EU180" s="88">
        <f t="shared" ca="1" si="393"/>
        <v>0</v>
      </c>
      <c r="EV180" s="88">
        <f t="shared" ca="1" si="393"/>
        <v>0</v>
      </c>
      <c r="EW180" s="88">
        <f t="shared" ca="1" si="393"/>
        <v>0</v>
      </c>
      <c r="EX180" s="88">
        <f t="shared" ca="1" si="393"/>
        <v>0</v>
      </c>
      <c r="EY180" s="88">
        <f t="shared" ca="1" si="393"/>
        <v>0</v>
      </c>
      <c r="EZ180" s="88">
        <f t="shared" ca="1" si="393"/>
        <v>0</v>
      </c>
      <c r="FA180" s="88">
        <f t="shared" ca="1" si="393"/>
        <v>0</v>
      </c>
      <c r="FB180" s="88">
        <f t="shared" ca="1" si="393"/>
        <v>0</v>
      </c>
      <c r="FC180" s="88">
        <f t="shared" ca="1" si="393"/>
        <v>0</v>
      </c>
      <c r="FD180" s="88">
        <f t="shared" ca="1" si="393"/>
        <v>0</v>
      </c>
      <c r="FE180" s="88">
        <f t="shared" ca="1" si="394"/>
        <v>0</v>
      </c>
      <c r="FF180" s="88">
        <f t="shared" ca="1" si="394"/>
        <v>0</v>
      </c>
      <c r="FG180" s="88">
        <f t="shared" ca="1" si="394"/>
        <v>0</v>
      </c>
      <c r="FH180" s="88">
        <f t="shared" ca="1" si="394"/>
        <v>0</v>
      </c>
      <c r="FI180" s="88">
        <f t="shared" ca="1" si="394"/>
        <v>0</v>
      </c>
      <c r="FJ180" s="88">
        <f t="shared" ca="1" si="394"/>
        <v>0</v>
      </c>
      <c r="FK180" s="88">
        <f t="shared" ca="1" si="394"/>
        <v>0</v>
      </c>
      <c r="FL180" s="88">
        <f t="shared" ca="1" si="394"/>
        <v>0</v>
      </c>
      <c r="FM180" s="88">
        <f t="shared" ca="1" si="394"/>
        <v>0</v>
      </c>
      <c r="FN180" s="88">
        <f t="shared" ca="1" si="394"/>
        <v>0</v>
      </c>
      <c r="FO180" s="88">
        <f t="shared" ca="1" si="395"/>
        <v>0</v>
      </c>
      <c r="FP180" s="88">
        <f t="shared" ca="1" si="395"/>
        <v>0</v>
      </c>
      <c r="FQ180" s="88">
        <f t="shared" ca="1" si="395"/>
        <v>0</v>
      </c>
      <c r="FR180" s="88">
        <f t="shared" ca="1" si="395"/>
        <v>0</v>
      </c>
      <c r="FS180" s="88">
        <f t="shared" ca="1" si="395"/>
        <v>0</v>
      </c>
      <c r="FT180" s="88">
        <f t="shared" ca="1" si="395"/>
        <v>0</v>
      </c>
      <c r="FU180" s="88">
        <f t="shared" ca="1" si="395"/>
        <v>0</v>
      </c>
      <c r="FV180" s="88">
        <f t="shared" ca="1" si="395"/>
        <v>0</v>
      </c>
      <c r="FW180" s="88">
        <f t="shared" ca="1" si="395"/>
        <v>0</v>
      </c>
      <c r="FX180" s="88">
        <f t="shared" ca="1" si="395"/>
        <v>0</v>
      </c>
      <c r="FY180" s="88">
        <f t="shared" ca="1" si="395"/>
        <v>0</v>
      </c>
      <c r="FZ180" s="88">
        <f t="shared" ca="1" si="395"/>
        <v>0</v>
      </c>
      <c r="GA180" s="88">
        <f t="shared" ca="1" si="395"/>
        <v>0</v>
      </c>
      <c r="GB180" s="88">
        <f t="shared" ca="1" si="395"/>
        <v>0</v>
      </c>
      <c r="GC180" s="88">
        <f t="shared" ca="1" si="395"/>
        <v>0</v>
      </c>
      <c r="GD180" s="60"/>
    </row>
    <row r="181" spans="1:186" s="54" customFormat="1" ht="14.45" customHeight="1">
      <c r="A181" s="61"/>
      <c r="B181" s="100" t="str">
        <f t="shared" si="345"/>
        <v>C&amp;I_C&amp;I Prescriptive_0_Exit Sign_2018</v>
      </c>
      <c r="C181" s="100">
        <f>INDEX('Measure Inputs'!$D:$D,MATCH($B181,'Measure Inputs'!$B:$B,0))</f>
        <v>133</v>
      </c>
      <c r="D181" s="101" t="s">
        <v>256</v>
      </c>
      <c r="E181" s="101" t="s">
        <v>255</v>
      </c>
      <c r="F181" s="101">
        <v>0</v>
      </c>
      <c r="G181" s="101" t="s">
        <v>311</v>
      </c>
      <c r="H181" s="101">
        <v>2018</v>
      </c>
      <c r="I181" s="55"/>
      <c r="J181" s="58">
        <f t="shared" ca="1" si="229"/>
        <v>5.5825296769525927</v>
      </c>
      <c r="K181" s="58">
        <f t="shared" ca="1" si="246"/>
        <v>23.260540320635801</v>
      </c>
      <c r="L181" s="58">
        <f t="shared" ca="1" si="230"/>
        <v>0.24</v>
      </c>
      <c r="M181" s="58">
        <f t="shared" ca="1" si="231"/>
        <v>7.4868037421775648</v>
      </c>
      <c r="N181" s="58">
        <f t="shared" ca="1" si="232"/>
        <v>23.260540320635801</v>
      </c>
      <c r="O181" s="55"/>
      <c r="P181" s="175">
        <f ca="1">IFERROR(($AW181+AV181)/SUMPRODUCT($CA181:$DI181,'General Inputs'!$F$51:$AN$51),"n/a")</f>
        <v>1.5076264206908664E-3</v>
      </c>
      <c r="Q181" s="175">
        <f t="shared" ca="1" si="386"/>
        <v>1.3775774474040934E-2</v>
      </c>
      <c r="R181" s="56">
        <f t="shared" ca="1" si="364"/>
        <v>1115.0008319999999</v>
      </c>
      <c r="S181" s="55"/>
      <c r="T181" s="56">
        <f ca="1">INDEX(OFFSET('Measure Inputs'!$L$7,,,InputRows),$C181)</f>
        <v>160</v>
      </c>
      <c r="U181" s="134">
        <f ca="1">INDEX(OFFSET('Measure Inputs'!$T$7,,,InputRows),$C181)</f>
        <v>1</v>
      </c>
      <c r="V181" s="134">
        <f ca="1">INDEX(OFFSET('Measure Inputs'!$U$7,,,InputRows),$C181)</f>
        <v>1</v>
      </c>
      <c r="W181" s="55"/>
      <c r="X181" s="96">
        <f ca="1">INDEX(OFFSET('Measure Inputs'!$V$7,,,InputRows),$C181)*$T181*$V181*$U181</f>
        <v>69687.551999999981</v>
      </c>
      <c r="Y181" s="96">
        <f ca="1">INDEX(OFFSET('Measure Inputs'!$W$7,,,InputRows),$C181)*$T181*$V181*$U181</f>
        <v>9.3632000000000009</v>
      </c>
      <c r="Z181" s="96">
        <f ca="1">INDEX(OFFSET('Measure Inputs'!$X$7,,,InputRows),$C181)*$T181*$V181*$U181</f>
        <v>0</v>
      </c>
      <c r="AA181" s="55"/>
      <c r="AB181" s="96">
        <f ca="1">INDEX(OFFSET('Measure Inputs'!$Z$7,,,InputRows),$C181)*$T181*$V181*$U181</f>
        <v>0</v>
      </c>
      <c r="AC181" s="96">
        <f ca="1">INDEX(OFFSET('Measure Inputs'!$AA$7,,,InputRows),$C181)*$T181*$V181*$U181</f>
        <v>0</v>
      </c>
      <c r="AD181" s="96">
        <f ca="1">INDEX(OFFSET('Measure Inputs'!$AB$7,,,InputRows),$C181)*$T181*$V181*$U181</f>
        <v>0</v>
      </c>
      <c r="AE181" s="55"/>
      <c r="AF181" s="57">
        <f ca="1">INDEX(OFFSET('Measure Inputs'!$Q$7,,,InputRows),$C181)*$T181</f>
        <v>0</v>
      </c>
      <c r="AG181" s="57">
        <f ca="1">INDEX(OFFSET('Measure Inputs'!$P$7,,,InputRows),$C181)*$T181*$V181</f>
        <v>4000</v>
      </c>
      <c r="AH181" s="57">
        <f ca="1">INDEX(OFFSET('Measure Inputs'!$R$7,,,InputRows),$C181)*$T181*$V181</f>
        <v>0</v>
      </c>
      <c r="AI181" s="57">
        <f ca="1">INDEX(OFFSET('Measure Inputs'!$O$7,,,InputRows),$C181)*$T181</f>
        <v>960</v>
      </c>
      <c r="AJ181" s="57">
        <f ca="1">INDEX(OFFSET('Measure Inputs'!$S$7,,,InputRows),$C181)*$T181</f>
        <v>0</v>
      </c>
      <c r="AK181" s="63">
        <f ca="1">INDEX(OFFSET('Measure Inputs'!$M$7,,,InputRows),$C181)</f>
        <v>16</v>
      </c>
      <c r="AL181" s="88">
        <f ca="1">INDEX(OFFSET('Measure Inputs'!$N$7,,,InputRows),$C181)</f>
        <v>0</v>
      </c>
      <c r="AM181" s="57">
        <f ca="1">SUMIFS(OFFSET('Program Inputs'!$N$5,,,TotalPrograms),OFFSET('Program Inputs'!$B$5,,,TotalPrograms),SUBSTITUTE($B181,"All","*"))+AF181</f>
        <v>0</v>
      </c>
      <c r="AN181" s="57">
        <f t="shared" ca="1" si="365"/>
        <v>960</v>
      </c>
      <c r="AO181" s="55"/>
      <c r="AP181" s="59">
        <f t="shared" ca="1" si="366"/>
        <v>20516.463347859582</v>
      </c>
      <c r="AQ181" s="59">
        <f t="shared" ca="1" si="367"/>
        <v>3675.1194413818448</v>
      </c>
      <c r="AR181" s="59">
        <f ca="1">SUMPRODUCT($CA181:$DI181,'General Inputs'!$F$32:$AN$32,'General Inputs'!$F$51:$AN$51)/(1-Loss_ElectricEnergy)</f>
        <v>18708.454327901811</v>
      </c>
      <c r="AS181" s="59">
        <f ca="1">SUMPRODUCT($DK181:$ES181,'General Inputs'!$F$33:$AN$33,'General Inputs'!$F$51:$AN$51)/(1-Loss_ElectricDemand)</f>
        <v>1808.0090199577701</v>
      </c>
      <c r="AT181" s="59">
        <f ca="1">SUMPRODUCT($EU181:$GC181,'General Inputs'!$F$34:$AN$34,'General Inputs'!$F$51:$AN$51)/(1-Loss_GasEnergy)</f>
        <v>0</v>
      </c>
      <c r="AU181" s="59">
        <f ca="1">INDEX('General Inputs'!$F$51:$AN$51,MATCH($H181,'General Inputs'!$F$50:$AN$50,0))*$AJ181</f>
        <v>0</v>
      </c>
      <c r="AV181" s="59">
        <f ca="1">INDEX('General Inputs'!$F$51:$AN$51,MATCH($H181,'General Inputs'!$F$50:$AN$50,0))*$AI181</f>
        <v>882.02866593164276</v>
      </c>
      <c r="AW181" s="59">
        <f ca="1">INDEX('General Inputs'!$F$51:$AN$51,MATCH($H181,'General Inputs'!$F$50:$AN$50,0))*$AM181</f>
        <v>0</v>
      </c>
      <c r="AX181" s="59">
        <f ca="1">SUM(INDEX('General Inputs'!$F$51:$AN$51,MATCH($H181,'General Inputs'!$F$50:$AN$50,0))*$AG181,INDEX('General Inputs'!$F$51:$AN$51,MATCH($H181+$AL181,'General Inputs'!$F$50:$AN$50,0))*-$AH181)</f>
        <v>3675.1194413818448</v>
      </c>
      <c r="AY181" s="55"/>
      <c r="AZ181" s="59">
        <f ca="1">SUMPRODUCT($CA181:$DI181,'General Inputs'!$F$32:$AN$32,'General Inputs'!$F$52:$AN$52)/(1-Loss_ElectricEnergy)</f>
        <v>18708.454327901811</v>
      </c>
      <c r="BA181" s="59">
        <f ca="1">SUMPRODUCT($DK181:$ES181,'General Inputs'!$F$33:$AN$33,'General Inputs'!$F$52:$AN$52)/(1-Loss_ElectricDemand)</f>
        <v>1808.0090199577701</v>
      </c>
      <c r="BB181" s="59">
        <f ca="1">SUMPRODUCT($EU181:$GC181,'General Inputs'!$F$34:$AN$34,'General Inputs'!$F$52:$AN$52)/(1-Loss_GasEnergy)</f>
        <v>0</v>
      </c>
      <c r="BC181" s="59">
        <f ca="1">INDEX('General Inputs'!$F$52:$AN$52,MATCH($H181,'General Inputs'!$F$50:$AN$50,0))*$AI181</f>
        <v>882.02866593164276</v>
      </c>
      <c r="BD181" s="59">
        <f ca="1">INDEX('General Inputs'!$F$52:$AN$52,MATCH($H181,'General Inputs'!$F$50:$AN$50,0))*$AM181</f>
        <v>0</v>
      </c>
      <c r="BE181" s="55"/>
      <c r="BF181" s="59">
        <f ca="1">SUMPRODUCT($CA181:$DI181,OFFSET('General Inputs'!$F$40:$AN$40,MATCH($D181&amp;" Electric ($/kWh)",'General Inputs'!$E$40:$E$46,0),),'General Inputs'!$F$54:$AN$54)</f>
        <v>0</v>
      </c>
      <c r="BG181" s="59">
        <f ca="1">SUMPRODUCT($EU181:$GC181,OFFSET('General Inputs'!$F$40:$AN$40,MATCH($D181&amp;" Natural Gas ($/therm)",'General Inputs'!$E$40:$E$46,0),),'General Inputs'!$F$54:$AN$54)</f>
        <v>0</v>
      </c>
      <c r="BH181" s="59">
        <f ca="1">INDEX('General Inputs'!$F$54:$AN$54,MATCH($H181,'General Inputs'!$F$50:$AN$50,0))*$AI181</f>
        <v>882.02866593164276</v>
      </c>
      <c r="BI181" s="59">
        <f ca="1">SUM(INDEX('General Inputs'!$F$54:$AN$54,MATCH($H181,'General Inputs'!$F$50:$AN$50,0))*$AG181,INDEX('General Inputs'!$F$51:$AN$51,MATCH($H181+$AL181,'General Inputs'!$F$50:$AN$50,0))*-$AH181)</f>
        <v>3675.1194413818448</v>
      </c>
      <c r="BJ181" s="55"/>
      <c r="BK181" s="59">
        <f ca="1">SUMPRODUCT($CA181:$DI181,'General Inputs'!$F$32:$AN$32,'General Inputs'!$F$53:$AN$53)/(1-Loss_ElectricEnergy)</f>
        <v>18708.454327901811</v>
      </c>
      <c r="BL181" s="59">
        <f ca="1">SUMPRODUCT($DK181:$ES181,'General Inputs'!$F$33:$AN$33,'General Inputs'!$F$53:$AN$53)/(1-Loss_ElectricDemand)</f>
        <v>1808.0090199577701</v>
      </c>
      <c r="BM181" s="59">
        <f ca="1">SUMPRODUCT($EU181:$GC181,'General Inputs'!$F$34:$AN$34,'General Inputs'!$F$53:$AN$53)/(1-Loss_GasEnergy)</f>
        <v>0</v>
      </c>
      <c r="BN181" s="59">
        <f ca="1">INDEX('General Inputs'!$F$53:$AN$53,MATCH($H181,'General Inputs'!$F$50:$AN$50,0))*$AJ181</f>
        <v>0</v>
      </c>
      <c r="BO181" s="59">
        <f ca="1">SUMPRODUCT($CA181:$DI181,'General Inputs'!$F$35:$AN$35,'General Inputs'!$F$53:$AN$53)/(1-Loss_ElectricEnergy)</f>
        <v>6998.4346388275335</v>
      </c>
      <c r="BP181" s="59">
        <f ca="1">INDEX('General Inputs'!$F$51:$AN$51,MATCH($H181,'General Inputs'!$F$50:$AN$50,0))*$AM181</f>
        <v>0</v>
      </c>
      <c r="BQ181" s="59">
        <f ca="1">SUM(INDEX('General Inputs'!$F$53:$AN$53,MATCH($H181,'General Inputs'!$F$50:$AN$50,0))*$AG181,INDEX('General Inputs'!$F$53:$AN$53,MATCH($H181+$AL181,'General Inputs'!$F$50:$AN$50,0))*-$AH181)</f>
        <v>3675.1194413818448</v>
      </c>
      <c r="BR181" s="55"/>
      <c r="BS181" s="59">
        <f ca="1">SUMPRODUCT($CA181:$DI181,'General Inputs'!$F$32:$AN$32,'General Inputs'!$F$55:$AN$55)/(1-Loss_ElectricEnergy)</f>
        <v>18708.454327901811</v>
      </c>
      <c r="BT181" s="59">
        <f ca="1">SUMPRODUCT($DK181:$ES181,'General Inputs'!$F$33:$AN$33,'General Inputs'!$F$55:$AN$55)/(1-Loss_ElectricDemand)</f>
        <v>1808.0090199577701</v>
      </c>
      <c r="BU181" s="59">
        <f ca="1">SUMPRODUCT($EU181:$GC181,'General Inputs'!$F$34:$AN$34,'General Inputs'!$F$55:$AN$55)/(1-Loss_GasEnergy)</f>
        <v>0</v>
      </c>
      <c r="BV181" s="59">
        <f ca="1">SUMPRODUCT($CA181:$DI181,OFFSET('General Inputs'!$F$40:$AN$40,MATCH($D181&amp;" Electric ($/kWh)",'General Inputs'!$E$40:$E$46,0),),'General Inputs'!$F$55:$AN$55)</f>
        <v>0</v>
      </c>
      <c r="BW181" s="59">
        <f ca="1">SUMPRODUCT($EU181:$GC181,OFFSET('General Inputs'!$F$40:$AN$40,MATCH($D181&amp;" Natural Gas ($/therm)",'General Inputs'!$E$40:$E$46,0),),'General Inputs'!$F$55:$AN$55)</f>
        <v>0</v>
      </c>
      <c r="BX181" s="59">
        <f ca="1">INDEX('General Inputs'!$F$55:$AN$55,MATCH($H181,'General Inputs'!$F$50:$AN$50,0))*$AI181</f>
        <v>882.02866593164276</v>
      </c>
      <c r="BY181" s="59">
        <f ca="1">INDEX('General Inputs'!$F$51:$AN$51,MATCH($H181,'General Inputs'!$F$50:$AN$50,0))*$AM181</f>
        <v>0</v>
      </c>
      <c r="BZ181" s="55"/>
      <c r="CA181" s="88">
        <f t="shared" ca="1" si="387"/>
        <v>0</v>
      </c>
      <c r="CB181" s="88">
        <f t="shared" ca="1" si="387"/>
        <v>69687.551999999981</v>
      </c>
      <c r="CC181" s="88">
        <f t="shared" ca="1" si="387"/>
        <v>69687.551999999981</v>
      </c>
      <c r="CD181" s="88">
        <f t="shared" ca="1" si="387"/>
        <v>69687.551999999981</v>
      </c>
      <c r="CE181" s="88">
        <f t="shared" ca="1" si="387"/>
        <v>69687.551999999981</v>
      </c>
      <c r="CF181" s="88">
        <f t="shared" ca="1" si="387"/>
        <v>69687.551999999981</v>
      </c>
      <c r="CG181" s="88">
        <f t="shared" ca="1" si="387"/>
        <v>69687.551999999981</v>
      </c>
      <c r="CH181" s="88">
        <f t="shared" ca="1" si="387"/>
        <v>69687.551999999981</v>
      </c>
      <c r="CI181" s="88">
        <f t="shared" ca="1" si="387"/>
        <v>69687.551999999981</v>
      </c>
      <c r="CJ181" s="88">
        <f t="shared" ca="1" si="387"/>
        <v>69687.551999999981</v>
      </c>
      <c r="CK181" s="88">
        <f t="shared" ca="1" si="388"/>
        <v>69687.551999999981</v>
      </c>
      <c r="CL181" s="88">
        <f t="shared" ca="1" si="388"/>
        <v>69687.551999999981</v>
      </c>
      <c r="CM181" s="88">
        <f t="shared" ca="1" si="388"/>
        <v>69687.551999999981</v>
      </c>
      <c r="CN181" s="88">
        <f t="shared" ca="1" si="388"/>
        <v>69687.551999999981</v>
      </c>
      <c r="CO181" s="88">
        <f t="shared" ca="1" si="388"/>
        <v>69687.551999999981</v>
      </c>
      <c r="CP181" s="88">
        <f t="shared" ca="1" si="388"/>
        <v>69687.551999999981</v>
      </c>
      <c r="CQ181" s="88">
        <f t="shared" ca="1" si="388"/>
        <v>69687.551999999981</v>
      </c>
      <c r="CR181" s="88">
        <f t="shared" ca="1" si="388"/>
        <v>0</v>
      </c>
      <c r="CS181" s="88">
        <f t="shared" ca="1" si="388"/>
        <v>0</v>
      </c>
      <c r="CT181" s="88">
        <f t="shared" ca="1" si="388"/>
        <v>0</v>
      </c>
      <c r="CU181" s="88">
        <f t="shared" ca="1" si="389"/>
        <v>0</v>
      </c>
      <c r="CV181" s="88">
        <f t="shared" ca="1" si="389"/>
        <v>0</v>
      </c>
      <c r="CW181" s="88">
        <f t="shared" ca="1" si="389"/>
        <v>0</v>
      </c>
      <c r="CX181" s="88">
        <f t="shared" ca="1" si="389"/>
        <v>0</v>
      </c>
      <c r="CY181" s="88">
        <f t="shared" ca="1" si="389"/>
        <v>0</v>
      </c>
      <c r="CZ181" s="88">
        <f t="shared" ca="1" si="389"/>
        <v>0</v>
      </c>
      <c r="DA181" s="88">
        <f t="shared" ca="1" si="389"/>
        <v>0</v>
      </c>
      <c r="DB181" s="88">
        <f t="shared" ca="1" si="389"/>
        <v>0</v>
      </c>
      <c r="DC181" s="88">
        <f t="shared" ca="1" si="389"/>
        <v>0</v>
      </c>
      <c r="DD181" s="88">
        <f t="shared" ca="1" si="389"/>
        <v>0</v>
      </c>
      <c r="DE181" s="88">
        <f t="shared" ca="1" si="389"/>
        <v>0</v>
      </c>
      <c r="DF181" s="88">
        <f t="shared" ca="1" si="389"/>
        <v>0</v>
      </c>
      <c r="DG181" s="88">
        <f t="shared" ca="1" si="389"/>
        <v>0</v>
      </c>
      <c r="DH181" s="88">
        <f t="shared" ca="1" si="389"/>
        <v>0</v>
      </c>
      <c r="DI181" s="88">
        <f t="shared" ca="1" si="389"/>
        <v>0</v>
      </c>
      <c r="DJ181" s="169"/>
      <c r="DK181" s="88">
        <f t="shared" ca="1" si="390"/>
        <v>0</v>
      </c>
      <c r="DL181" s="88">
        <f t="shared" ca="1" si="390"/>
        <v>9.3632000000000009</v>
      </c>
      <c r="DM181" s="88">
        <f t="shared" ca="1" si="390"/>
        <v>9.3632000000000009</v>
      </c>
      <c r="DN181" s="88">
        <f t="shared" ca="1" si="390"/>
        <v>9.3632000000000009</v>
      </c>
      <c r="DO181" s="88">
        <f t="shared" ca="1" si="390"/>
        <v>9.3632000000000009</v>
      </c>
      <c r="DP181" s="88">
        <f t="shared" ca="1" si="390"/>
        <v>9.3632000000000009</v>
      </c>
      <c r="DQ181" s="88">
        <f t="shared" ca="1" si="390"/>
        <v>9.3632000000000009</v>
      </c>
      <c r="DR181" s="88">
        <f t="shared" ca="1" si="390"/>
        <v>9.3632000000000009</v>
      </c>
      <c r="DS181" s="88">
        <f t="shared" ca="1" si="390"/>
        <v>9.3632000000000009</v>
      </c>
      <c r="DT181" s="88">
        <f t="shared" ca="1" si="390"/>
        <v>9.3632000000000009</v>
      </c>
      <c r="DU181" s="88">
        <f t="shared" ca="1" si="391"/>
        <v>9.3632000000000009</v>
      </c>
      <c r="DV181" s="88">
        <f t="shared" ca="1" si="391"/>
        <v>9.3632000000000009</v>
      </c>
      <c r="DW181" s="88">
        <f t="shared" ca="1" si="391"/>
        <v>9.3632000000000009</v>
      </c>
      <c r="DX181" s="88">
        <f t="shared" ca="1" si="391"/>
        <v>9.3632000000000009</v>
      </c>
      <c r="DY181" s="88">
        <f t="shared" ca="1" si="391"/>
        <v>9.3632000000000009</v>
      </c>
      <c r="DZ181" s="88">
        <f t="shared" ca="1" si="391"/>
        <v>9.3632000000000009</v>
      </c>
      <c r="EA181" s="88">
        <f t="shared" ca="1" si="391"/>
        <v>9.3632000000000009</v>
      </c>
      <c r="EB181" s="88">
        <f t="shared" ca="1" si="391"/>
        <v>0</v>
      </c>
      <c r="EC181" s="88">
        <f t="shared" ca="1" si="391"/>
        <v>0</v>
      </c>
      <c r="ED181" s="88">
        <f t="shared" ca="1" si="391"/>
        <v>0</v>
      </c>
      <c r="EE181" s="88">
        <f t="shared" ca="1" si="392"/>
        <v>0</v>
      </c>
      <c r="EF181" s="88">
        <f t="shared" ca="1" si="392"/>
        <v>0</v>
      </c>
      <c r="EG181" s="88">
        <f t="shared" ca="1" si="392"/>
        <v>0</v>
      </c>
      <c r="EH181" s="88">
        <f t="shared" ca="1" si="392"/>
        <v>0</v>
      </c>
      <c r="EI181" s="88">
        <f t="shared" ca="1" si="392"/>
        <v>0</v>
      </c>
      <c r="EJ181" s="88">
        <f t="shared" ca="1" si="392"/>
        <v>0</v>
      </c>
      <c r="EK181" s="88">
        <f t="shared" ca="1" si="392"/>
        <v>0</v>
      </c>
      <c r="EL181" s="88">
        <f t="shared" ca="1" si="392"/>
        <v>0</v>
      </c>
      <c r="EM181" s="88">
        <f t="shared" ca="1" si="392"/>
        <v>0</v>
      </c>
      <c r="EN181" s="88">
        <f t="shared" ca="1" si="392"/>
        <v>0</v>
      </c>
      <c r="EO181" s="88">
        <f t="shared" ca="1" si="392"/>
        <v>0</v>
      </c>
      <c r="EP181" s="88">
        <f t="shared" ca="1" si="392"/>
        <v>0</v>
      </c>
      <c r="EQ181" s="88">
        <f t="shared" ca="1" si="392"/>
        <v>0</v>
      </c>
      <c r="ER181" s="88">
        <f t="shared" ca="1" si="392"/>
        <v>0</v>
      </c>
      <c r="ES181" s="88">
        <f t="shared" ca="1" si="392"/>
        <v>0</v>
      </c>
      <c r="ET181" s="169"/>
      <c r="EU181" s="88">
        <f t="shared" ca="1" si="393"/>
        <v>0</v>
      </c>
      <c r="EV181" s="88">
        <f t="shared" ca="1" si="393"/>
        <v>0</v>
      </c>
      <c r="EW181" s="88">
        <f t="shared" ca="1" si="393"/>
        <v>0</v>
      </c>
      <c r="EX181" s="88">
        <f t="shared" ca="1" si="393"/>
        <v>0</v>
      </c>
      <c r="EY181" s="88">
        <f t="shared" ca="1" si="393"/>
        <v>0</v>
      </c>
      <c r="EZ181" s="88">
        <f t="shared" ca="1" si="393"/>
        <v>0</v>
      </c>
      <c r="FA181" s="88">
        <f t="shared" ca="1" si="393"/>
        <v>0</v>
      </c>
      <c r="FB181" s="88">
        <f t="shared" ca="1" si="393"/>
        <v>0</v>
      </c>
      <c r="FC181" s="88">
        <f t="shared" ca="1" si="393"/>
        <v>0</v>
      </c>
      <c r="FD181" s="88">
        <f t="shared" ca="1" si="393"/>
        <v>0</v>
      </c>
      <c r="FE181" s="88">
        <f t="shared" ca="1" si="394"/>
        <v>0</v>
      </c>
      <c r="FF181" s="88">
        <f t="shared" ca="1" si="394"/>
        <v>0</v>
      </c>
      <c r="FG181" s="88">
        <f t="shared" ca="1" si="394"/>
        <v>0</v>
      </c>
      <c r="FH181" s="88">
        <f t="shared" ca="1" si="394"/>
        <v>0</v>
      </c>
      <c r="FI181" s="88">
        <f t="shared" ca="1" si="394"/>
        <v>0</v>
      </c>
      <c r="FJ181" s="88">
        <f t="shared" ca="1" si="394"/>
        <v>0</v>
      </c>
      <c r="FK181" s="88">
        <f t="shared" ca="1" si="394"/>
        <v>0</v>
      </c>
      <c r="FL181" s="88">
        <f t="shared" ca="1" si="394"/>
        <v>0</v>
      </c>
      <c r="FM181" s="88">
        <f t="shared" ca="1" si="394"/>
        <v>0</v>
      </c>
      <c r="FN181" s="88">
        <f t="shared" ca="1" si="394"/>
        <v>0</v>
      </c>
      <c r="FO181" s="88">
        <f t="shared" ca="1" si="395"/>
        <v>0</v>
      </c>
      <c r="FP181" s="88">
        <f t="shared" ca="1" si="395"/>
        <v>0</v>
      </c>
      <c r="FQ181" s="88">
        <f t="shared" ca="1" si="395"/>
        <v>0</v>
      </c>
      <c r="FR181" s="88">
        <f t="shared" ca="1" si="395"/>
        <v>0</v>
      </c>
      <c r="FS181" s="88">
        <f t="shared" ca="1" si="395"/>
        <v>0</v>
      </c>
      <c r="FT181" s="88">
        <f t="shared" ca="1" si="395"/>
        <v>0</v>
      </c>
      <c r="FU181" s="88">
        <f t="shared" ca="1" si="395"/>
        <v>0</v>
      </c>
      <c r="FV181" s="88">
        <f t="shared" ca="1" si="395"/>
        <v>0</v>
      </c>
      <c r="FW181" s="88">
        <f t="shared" ca="1" si="395"/>
        <v>0</v>
      </c>
      <c r="FX181" s="88">
        <f t="shared" ca="1" si="395"/>
        <v>0</v>
      </c>
      <c r="FY181" s="88">
        <f t="shared" ca="1" si="395"/>
        <v>0</v>
      </c>
      <c r="FZ181" s="88">
        <f t="shared" ca="1" si="395"/>
        <v>0</v>
      </c>
      <c r="GA181" s="88">
        <f t="shared" ca="1" si="395"/>
        <v>0</v>
      </c>
      <c r="GB181" s="88">
        <f t="shared" ca="1" si="395"/>
        <v>0</v>
      </c>
      <c r="GC181" s="88">
        <f t="shared" ca="1" si="395"/>
        <v>0</v>
      </c>
      <c r="GD181" s="60"/>
    </row>
    <row r="182" spans="1:186" s="54" customFormat="1" ht="14.45" customHeight="1">
      <c r="A182" s="61"/>
      <c r="B182" s="100" t="str">
        <f t="shared" si="345"/>
        <v>C&amp;I_C&amp;I Prescriptive_0_LED wall mounted area lights (wallpacks) (&lt;30W)_2018</v>
      </c>
      <c r="C182" s="100">
        <f>INDEX('Measure Inputs'!$D:$D,MATCH($B182,'Measure Inputs'!$B:$B,0))</f>
        <v>134</v>
      </c>
      <c r="D182" s="101" t="s">
        <v>256</v>
      </c>
      <c r="E182" s="101" t="s">
        <v>255</v>
      </c>
      <c r="F182" s="101">
        <v>0</v>
      </c>
      <c r="G182" s="101" t="s">
        <v>359</v>
      </c>
      <c r="H182" s="101">
        <v>2018</v>
      </c>
      <c r="I182" s="55"/>
      <c r="J182" s="58">
        <f t="shared" ca="1" si="229"/>
        <v>0.67810944807999007</v>
      </c>
      <c r="K182" s="58">
        <f t="shared" ca="1" si="246"/>
        <v>3.6811655752913746</v>
      </c>
      <c r="L182" s="58">
        <f t="shared" ca="1" si="230"/>
        <v>0.18421052631578946</v>
      </c>
      <c r="M182" s="58">
        <f t="shared" ca="1" si="231"/>
        <v>0.90611171140750102</v>
      </c>
      <c r="N182" s="58">
        <f t="shared" ca="1" si="232"/>
        <v>3.6811655752913746</v>
      </c>
      <c r="O182" s="55"/>
      <c r="P182" s="175">
        <f ca="1">IFERROR(($AW182+AV182)/SUMPRODUCT($CA182:$DI182,'General Inputs'!$F$51:$AN$51),"n/a")</f>
        <v>9.6646745907169318E-3</v>
      </c>
      <c r="Q182" s="175">
        <f t="shared" ca="1" si="386"/>
        <v>6.7985587055544236E-2</v>
      </c>
      <c r="R182" s="56">
        <f t="shared" ref="R182" ca="1" si="396">SUM(CA182:DI182)/1000</f>
        <v>154.44450000000001</v>
      </c>
      <c r="S182" s="55"/>
      <c r="T182" s="56">
        <f ca="1">INDEX(OFFSET('Measure Inputs'!$L$7,,,InputRows),$C182)</f>
        <v>30</v>
      </c>
      <c r="U182" s="134">
        <f ca="1">INDEX(OFFSET('Measure Inputs'!$T$7,,,InputRows),$C182)</f>
        <v>1</v>
      </c>
      <c r="V182" s="134">
        <f ca="1">INDEX(OFFSET('Measure Inputs'!$U$7,,,InputRows),$C182)</f>
        <v>1</v>
      </c>
      <c r="W182" s="55"/>
      <c r="X182" s="96">
        <f ca="1">INDEX(OFFSET('Measure Inputs'!$V$7,,,InputRows),$C182)*$T182*$V182*$U182</f>
        <v>15444.449999999999</v>
      </c>
      <c r="Y182" s="96">
        <f ca="1">INDEX(OFFSET('Measure Inputs'!$W$7,,,InputRows),$C182)*$T182*$V182*$U182</f>
        <v>3.15</v>
      </c>
      <c r="Z182" s="96">
        <f ca="1">INDEX(OFFSET('Measure Inputs'!$X$7,,,InputRows),$C182)*$T182*$V182*$U182</f>
        <v>0</v>
      </c>
      <c r="AA182" s="55"/>
      <c r="AB182" s="96">
        <f ca="1">INDEX(OFFSET('Measure Inputs'!$Z$7,,,InputRows),$C182)*$T182*$V182*$U182</f>
        <v>0</v>
      </c>
      <c r="AC182" s="96">
        <f ca="1">INDEX(OFFSET('Measure Inputs'!$AA$7,,,InputRows),$C182)*$T182*$V182*$U182</f>
        <v>0</v>
      </c>
      <c r="AD182" s="96">
        <f ca="1">INDEX(OFFSET('Measure Inputs'!$AB$7,,,InputRows),$C182)*$T182*$V182*$U182</f>
        <v>0</v>
      </c>
      <c r="AE182" s="55"/>
      <c r="AF182" s="57">
        <f ca="1">INDEX(OFFSET('Measure Inputs'!$Q$7,,,InputRows),$C182)*$T182</f>
        <v>0</v>
      </c>
      <c r="AG182" s="57">
        <f ca="1">INDEX(OFFSET('Measure Inputs'!$P$7,,,InputRows),$C182)*$T182*$V182</f>
        <v>5700</v>
      </c>
      <c r="AH182" s="57">
        <f ca="1">INDEX(OFFSET('Measure Inputs'!$R$7,,,InputRows),$C182)*$T182*$V182</f>
        <v>0</v>
      </c>
      <c r="AI182" s="57">
        <f ca="1">INDEX(OFFSET('Measure Inputs'!$O$7,,,InputRows),$C182)*$T182</f>
        <v>1050</v>
      </c>
      <c r="AJ182" s="57">
        <f ca="1">INDEX(OFFSET('Measure Inputs'!$S$7,,,InputRows),$C182)*$T182</f>
        <v>0</v>
      </c>
      <c r="AK182" s="63">
        <f ca="1">INDEX(OFFSET('Measure Inputs'!$M$7,,,InputRows),$C182)</f>
        <v>10</v>
      </c>
      <c r="AL182" s="88">
        <f ca="1">INDEX(OFFSET('Measure Inputs'!$N$7,,,InputRows),$C182)</f>
        <v>0</v>
      </c>
      <c r="AM182" s="57">
        <f ca="1">SUMIFS(OFFSET('Program Inputs'!$N$5,,,TotalPrograms),OFFSET('Program Inputs'!$B$5,,,TotalPrograms),SUBSTITUTE($B182,"All","*"))+AF182</f>
        <v>0</v>
      </c>
      <c r="AN182" s="57">
        <f t="shared" ref="AN182" ca="1" si="397">AM182+AI182</f>
        <v>1050</v>
      </c>
      <c r="AO182" s="55"/>
      <c r="AP182" s="59">
        <f t="shared" ref="AP182" ca="1" si="398">SUMIFS(AR182:AX182,$AR$7:$AX$7,"BENEFIT")</f>
        <v>3551.289832833465</v>
      </c>
      <c r="AQ182" s="59">
        <f t="shared" ref="AQ182" ca="1" si="399">SUMIFS(AR182:AX182,$AR$7:$AX$7,"COST")</f>
        <v>5237.045203969129</v>
      </c>
      <c r="AR182" s="59">
        <f ca="1">SUMPRODUCT($CA182:$DI182,'General Inputs'!$F$32:$AN$32,'General Inputs'!$F$51:$AN$51)/(1-Loss_ElectricEnergy)</f>
        <v>3096.9636115160038</v>
      </c>
      <c r="AS182" s="59">
        <f ca="1">SUMPRODUCT($DK182:$ES182,'General Inputs'!$F$33:$AN$33,'General Inputs'!$F$51:$AN$51)/(1-Loss_ElectricDemand)</f>
        <v>454.32622131746098</v>
      </c>
      <c r="AT182" s="59">
        <f ca="1">SUMPRODUCT($EU182:$GC182,'General Inputs'!$F$34:$AN$34,'General Inputs'!$F$51:$AN$51)/(1-Loss_GasEnergy)</f>
        <v>0</v>
      </c>
      <c r="AU182" s="59">
        <f ca="1">INDEX('General Inputs'!$F$51:$AN$51,MATCH($H182,'General Inputs'!$F$50:$AN$50,0))*$AJ182</f>
        <v>0</v>
      </c>
      <c r="AV182" s="59">
        <f ca="1">INDEX('General Inputs'!$F$51:$AN$51,MATCH($H182,'General Inputs'!$F$50:$AN$50,0))*$AI182</f>
        <v>964.71885336273431</v>
      </c>
      <c r="AW182" s="59">
        <f ca="1">INDEX('General Inputs'!$F$51:$AN$51,MATCH($H182,'General Inputs'!$F$50:$AN$50,0))*$AM182</f>
        <v>0</v>
      </c>
      <c r="AX182" s="59">
        <f ca="1">SUM(INDEX('General Inputs'!$F$51:$AN$51,MATCH($H182,'General Inputs'!$F$50:$AN$50,0))*$AG182,INDEX('General Inputs'!$F$51:$AN$51,MATCH($H182+$AL182,'General Inputs'!$F$50:$AN$50,0))*-$AH182)</f>
        <v>5237.045203969129</v>
      </c>
      <c r="AY182" s="55"/>
      <c r="AZ182" s="59">
        <f ca="1">SUMPRODUCT($CA182:$DI182,'General Inputs'!$F$32:$AN$32,'General Inputs'!$F$52:$AN$52)/(1-Loss_ElectricEnergy)</f>
        <v>3096.9636115160038</v>
      </c>
      <c r="BA182" s="59">
        <f ca="1">SUMPRODUCT($DK182:$ES182,'General Inputs'!$F$33:$AN$33,'General Inputs'!$F$52:$AN$52)/(1-Loss_ElectricDemand)</f>
        <v>454.32622131746098</v>
      </c>
      <c r="BB182" s="59">
        <f ca="1">SUMPRODUCT($EU182:$GC182,'General Inputs'!$F$34:$AN$34,'General Inputs'!$F$52:$AN$52)/(1-Loss_GasEnergy)</f>
        <v>0</v>
      </c>
      <c r="BC182" s="59">
        <f ca="1">INDEX('General Inputs'!$F$52:$AN$52,MATCH($H182,'General Inputs'!$F$50:$AN$50,0))*$AI182</f>
        <v>964.71885336273431</v>
      </c>
      <c r="BD182" s="59">
        <f ca="1">INDEX('General Inputs'!$F$52:$AN$52,MATCH($H182,'General Inputs'!$F$50:$AN$50,0))*$AM182</f>
        <v>0</v>
      </c>
      <c r="BE182" s="55"/>
      <c r="BF182" s="59">
        <f ca="1">SUMPRODUCT($CA182:$DI182,OFFSET('General Inputs'!$F$40:$AN$40,MATCH($D182&amp;" Electric ($/kWh)",'General Inputs'!$E$40:$E$46,0),),'General Inputs'!$F$54:$AN$54)</f>
        <v>0</v>
      </c>
      <c r="BG182" s="59">
        <f ca="1">SUMPRODUCT($EU182:$GC182,OFFSET('General Inputs'!$F$40:$AN$40,MATCH($D182&amp;" Natural Gas ($/therm)",'General Inputs'!$E$40:$E$46,0),),'General Inputs'!$F$54:$AN$54)</f>
        <v>0</v>
      </c>
      <c r="BH182" s="59">
        <f ca="1">INDEX('General Inputs'!$F$54:$AN$54,MATCH($H182,'General Inputs'!$F$50:$AN$50,0))*$AI182</f>
        <v>964.71885336273431</v>
      </c>
      <c r="BI182" s="59">
        <f ca="1">SUM(INDEX('General Inputs'!$F$54:$AN$54,MATCH($H182,'General Inputs'!$F$50:$AN$50,0))*$AG182,INDEX('General Inputs'!$F$51:$AN$51,MATCH($H182+$AL182,'General Inputs'!$F$50:$AN$50,0))*-$AH182)</f>
        <v>5237.045203969129</v>
      </c>
      <c r="BJ182" s="55"/>
      <c r="BK182" s="59">
        <f ca="1">SUMPRODUCT($CA182:$DI182,'General Inputs'!$F$32:$AN$32,'General Inputs'!$F$53:$AN$53)/(1-Loss_ElectricEnergy)</f>
        <v>3096.9636115160038</v>
      </c>
      <c r="BL182" s="59">
        <f ca="1">SUMPRODUCT($DK182:$ES182,'General Inputs'!$F$33:$AN$33,'General Inputs'!$F$53:$AN$53)/(1-Loss_ElectricDemand)</f>
        <v>454.32622131746098</v>
      </c>
      <c r="BM182" s="59">
        <f ca="1">SUMPRODUCT($EU182:$GC182,'General Inputs'!$F$34:$AN$34,'General Inputs'!$F$53:$AN$53)/(1-Loss_GasEnergy)</f>
        <v>0</v>
      </c>
      <c r="BN182" s="59">
        <f ca="1">INDEX('General Inputs'!$F$53:$AN$53,MATCH($H182,'General Inputs'!$F$50:$AN$50,0))*$AJ182</f>
        <v>0</v>
      </c>
      <c r="BO182" s="59">
        <f ca="1">SUMPRODUCT($CA182:$DI182,'General Inputs'!$F$35:$AN$35,'General Inputs'!$F$53:$AN$53)/(1-Loss_ElectricEnergy)</f>
        <v>1194.0581596534475</v>
      </c>
      <c r="BP182" s="59">
        <f ca="1">INDEX('General Inputs'!$F$51:$AN$51,MATCH($H182,'General Inputs'!$F$50:$AN$50,0))*$AM182</f>
        <v>0</v>
      </c>
      <c r="BQ182" s="59">
        <f ca="1">SUM(INDEX('General Inputs'!$F$53:$AN$53,MATCH($H182,'General Inputs'!$F$50:$AN$50,0))*$AG182,INDEX('General Inputs'!$F$53:$AN$53,MATCH($H182+$AL182,'General Inputs'!$F$50:$AN$50,0))*-$AH182)</f>
        <v>5237.045203969129</v>
      </c>
      <c r="BR182" s="55"/>
      <c r="BS182" s="59">
        <f ca="1">SUMPRODUCT($CA182:$DI182,'General Inputs'!$F$32:$AN$32,'General Inputs'!$F$55:$AN$55)/(1-Loss_ElectricEnergy)</f>
        <v>3096.9636115160038</v>
      </c>
      <c r="BT182" s="59">
        <f ca="1">SUMPRODUCT($DK182:$ES182,'General Inputs'!$F$33:$AN$33,'General Inputs'!$F$55:$AN$55)/(1-Loss_ElectricDemand)</f>
        <v>454.32622131746098</v>
      </c>
      <c r="BU182" s="59">
        <f ca="1">SUMPRODUCT($EU182:$GC182,'General Inputs'!$F$34:$AN$34,'General Inputs'!$F$55:$AN$55)/(1-Loss_GasEnergy)</f>
        <v>0</v>
      </c>
      <c r="BV182" s="59">
        <f ca="1">SUMPRODUCT($CA182:$DI182,OFFSET('General Inputs'!$F$40:$AN$40,MATCH($D182&amp;" Electric ($/kWh)",'General Inputs'!$E$40:$E$46,0),),'General Inputs'!$F$55:$AN$55)</f>
        <v>0</v>
      </c>
      <c r="BW182" s="59">
        <f ca="1">SUMPRODUCT($EU182:$GC182,OFFSET('General Inputs'!$F$40:$AN$40,MATCH($D182&amp;" Natural Gas ($/therm)",'General Inputs'!$E$40:$E$46,0),),'General Inputs'!$F$55:$AN$55)</f>
        <v>0</v>
      </c>
      <c r="BX182" s="59">
        <f ca="1">INDEX('General Inputs'!$F$55:$AN$55,MATCH($H182,'General Inputs'!$F$50:$AN$50,0))*$AI182</f>
        <v>964.71885336273431</v>
      </c>
      <c r="BY182" s="59">
        <f ca="1">INDEX('General Inputs'!$F$51:$AN$51,MATCH($H182,'General Inputs'!$F$50:$AN$50,0))*$AM182</f>
        <v>0</v>
      </c>
      <c r="BZ182" s="55"/>
      <c r="CA182" s="88">
        <f t="shared" ref="CA182:CJ186" ca="1" si="400">IF(AND($H182&lt;=CA$8,$H182+$AK182&gt;CA$8),IF(AND($H182+$AL182&lt;=CA$8,$AL182&gt;0),$AB182,$X182),0)</f>
        <v>0</v>
      </c>
      <c r="CB182" s="88">
        <f t="shared" ca="1" si="400"/>
        <v>15444.449999999999</v>
      </c>
      <c r="CC182" s="88">
        <f t="shared" ca="1" si="400"/>
        <v>15444.449999999999</v>
      </c>
      <c r="CD182" s="88">
        <f t="shared" ca="1" si="400"/>
        <v>15444.449999999999</v>
      </c>
      <c r="CE182" s="88">
        <f t="shared" ca="1" si="400"/>
        <v>15444.449999999999</v>
      </c>
      <c r="CF182" s="88">
        <f t="shared" ca="1" si="400"/>
        <v>15444.449999999999</v>
      </c>
      <c r="CG182" s="88">
        <f t="shared" ca="1" si="400"/>
        <v>15444.449999999999</v>
      </c>
      <c r="CH182" s="88">
        <f t="shared" ca="1" si="400"/>
        <v>15444.449999999999</v>
      </c>
      <c r="CI182" s="88">
        <f t="shared" ca="1" si="400"/>
        <v>15444.449999999999</v>
      </c>
      <c r="CJ182" s="88">
        <f t="shared" ca="1" si="400"/>
        <v>15444.449999999999</v>
      </c>
      <c r="CK182" s="88">
        <f t="shared" ref="CK182:CT186" ca="1" si="401">IF(AND($H182&lt;=CK$8,$H182+$AK182&gt;CK$8),IF(AND($H182+$AL182&lt;=CK$8,$AL182&gt;0),$AB182,$X182),0)</f>
        <v>15444.449999999999</v>
      </c>
      <c r="CL182" s="88">
        <f t="shared" ca="1" si="401"/>
        <v>0</v>
      </c>
      <c r="CM182" s="88">
        <f t="shared" ca="1" si="401"/>
        <v>0</v>
      </c>
      <c r="CN182" s="88">
        <f t="shared" ca="1" si="401"/>
        <v>0</v>
      </c>
      <c r="CO182" s="88">
        <f t="shared" ca="1" si="401"/>
        <v>0</v>
      </c>
      <c r="CP182" s="88">
        <f t="shared" ca="1" si="401"/>
        <v>0</v>
      </c>
      <c r="CQ182" s="88">
        <f t="shared" ca="1" si="401"/>
        <v>0</v>
      </c>
      <c r="CR182" s="88">
        <f t="shared" ca="1" si="401"/>
        <v>0</v>
      </c>
      <c r="CS182" s="88">
        <f t="shared" ca="1" si="401"/>
        <v>0</v>
      </c>
      <c r="CT182" s="88">
        <f t="shared" ca="1" si="401"/>
        <v>0</v>
      </c>
      <c r="CU182" s="88">
        <f t="shared" ref="CU182:DI186" ca="1" si="402">IF(AND($H182&lt;=CU$8,$H182+$AK182&gt;CU$8),IF(AND($H182+$AL182&lt;=CU$8,$AL182&gt;0),$AB182,$X182),0)</f>
        <v>0</v>
      </c>
      <c r="CV182" s="88">
        <f t="shared" ca="1" si="402"/>
        <v>0</v>
      </c>
      <c r="CW182" s="88">
        <f t="shared" ca="1" si="402"/>
        <v>0</v>
      </c>
      <c r="CX182" s="88">
        <f t="shared" ca="1" si="402"/>
        <v>0</v>
      </c>
      <c r="CY182" s="88">
        <f t="shared" ca="1" si="402"/>
        <v>0</v>
      </c>
      <c r="CZ182" s="88">
        <f t="shared" ca="1" si="402"/>
        <v>0</v>
      </c>
      <c r="DA182" s="88">
        <f t="shared" ca="1" si="402"/>
        <v>0</v>
      </c>
      <c r="DB182" s="88">
        <f t="shared" ca="1" si="402"/>
        <v>0</v>
      </c>
      <c r="DC182" s="88">
        <f t="shared" ca="1" si="402"/>
        <v>0</v>
      </c>
      <c r="DD182" s="88">
        <f t="shared" ca="1" si="402"/>
        <v>0</v>
      </c>
      <c r="DE182" s="88">
        <f t="shared" ca="1" si="402"/>
        <v>0</v>
      </c>
      <c r="DF182" s="88">
        <f t="shared" ca="1" si="402"/>
        <v>0</v>
      </c>
      <c r="DG182" s="88">
        <f t="shared" ca="1" si="402"/>
        <v>0</v>
      </c>
      <c r="DH182" s="88">
        <f t="shared" ca="1" si="402"/>
        <v>0</v>
      </c>
      <c r="DI182" s="88">
        <f t="shared" ca="1" si="402"/>
        <v>0</v>
      </c>
      <c r="DJ182" s="169"/>
      <c r="DK182" s="88">
        <f t="shared" ref="DK182:DT186" ca="1" si="403">IF(AND($H182&lt;=DK$8,$H182+$AK182&gt;DK$8),IF(AND($H182+$AL182&lt;=DK$8,$AL182&gt;0),$AC182,$Y182),0)</f>
        <v>0</v>
      </c>
      <c r="DL182" s="88">
        <f t="shared" ca="1" si="403"/>
        <v>3.15</v>
      </c>
      <c r="DM182" s="88">
        <f t="shared" ca="1" si="403"/>
        <v>3.15</v>
      </c>
      <c r="DN182" s="88">
        <f t="shared" ca="1" si="403"/>
        <v>3.15</v>
      </c>
      <c r="DO182" s="88">
        <f t="shared" ca="1" si="403"/>
        <v>3.15</v>
      </c>
      <c r="DP182" s="88">
        <f t="shared" ca="1" si="403"/>
        <v>3.15</v>
      </c>
      <c r="DQ182" s="88">
        <f t="shared" ca="1" si="403"/>
        <v>3.15</v>
      </c>
      <c r="DR182" s="88">
        <f t="shared" ca="1" si="403"/>
        <v>3.15</v>
      </c>
      <c r="DS182" s="88">
        <f t="shared" ca="1" si="403"/>
        <v>3.15</v>
      </c>
      <c r="DT182" s="88">
        <f t="shared" ca="1" si="403"/>
        <v>3.15</v>
      </c>
      <c r="DU182" s="88">
        <f t="shared" ref="DU182:ED186" ca="1" si="404">IF(AND($H182&lt;=DU$8,$H182+$AK182&gt;DU$8),IF(AND($H182+$AL182&lt;=DU$8,$AL182&gt;0),$AC182,$Y182),0)</f>
        <v>3.15</v>
      </c>
      <c r="DV182" s="88">
        <f t="shared" ca="1" si="404"/>
        <v>0</v>
      </c>
      <c r="DW182" s="88">
        <f t="shared" ca="1" si="404"/>
        <v>0</v>
      </c>
      <c r="DX182" s="88">
        <f t="shared" ca="1" si="404"/>
        <v>0</v>
      </c>
      <c r="DY182" s="88">
        <f t="shared" ca="1" si="404"/>
        <v>0</v>
      </c>
      <c r="DZ182" s="88">
        <f t="shared" ca="1" si="404"/>
        <v>0</v>
      </c>
      <c r="EA182" s="88">
        <f t="shared" ca="1" si="404"/>
        <v>0</v>
      </c>
      <c r="EB182" s="88">
        <f t="shared" ca="1" si="404"/>
        <v>0</v>
      </c>
      <c r="EC182" s="88">
        <f t="shared" ca="1" si="404"/>
        <v>0</v>
      </c>
      <c r="ED182" s="88">
        <f t="shared" ca="1" si="404"/>
        <v>0</v>
      </c>
      <c r="EE182" s="88">
        <f t="shared" ref="EE182:ES186" ca="1" si="405">IF(AND($H182&lt;=EE$8,$H182+$AK182&gt;EE$8),IF(AND($H182+$AL182&lt;=EE$8,$AL182&gt;0),$AC182,$Y182),0)</f>
        <v>0</v>
      </c>
      <c r="EF182" s="88">
        <f t="shared" ca="1" si="405"/>
        <v>0</v>
      </c>
      <c r="EG182" s="88">
        <f t="shared" ca="1" si="405"/>
        <v>0</v>
      </c>
      <c r="EH182" s="88">
        <f t="shared" ca="1" si="405"/>
        <v>0</v>
      </c>
      <c r="EI182" s="88">
        <f t="shared" ca="1" si="405"/>
        <v>0</v>
      </c>
      <c r="EJ182" s="88">
        <f t="shared" ca="1" si="405"/>
        <v>0</v>
      </c>
      <c r="EK182" s="88">
        <f t="shared" ca="1" si="405"/>
        <v>0</v>
      </c>
      <c r="EL182" s="88">
        <f t="shared" ca="1" si="405"/>
        <v>0</v>
      </c>
      <c r="EM182" s="88">
        <f t="shared" ca="1" si="405"/>
        <v>0</v>
      </c>
      <c r="EN182" s="88">
        <f t="shared" ca="1" si="405"/>
        <v>0</v>
      </c>
      <c r="EO182" s="88">
        <f t="shared" ca="1" si="405"/>
        <v>0</v>
      </c>
      <c r="EP182" s="88">
        <f t="shared" ca="1" si="405"/>
        <v>0</v>
      </c>
      <c r="EQ182" s="88">
        <f t="shared" ca="1" si="405"/>
        <v>0</v>
      </c>
      <c r="ER182" s="88">
        <f t="shared" ca="1" si="405"/>
        <v>0</v>
      </c>
      <c r="ES182" s="88">
        <f t="shared" ca="1" si="405"/>
        <v>0</v>
      </c>
      <c r="ET182" s="169"/>
      <c r="EU182" s="88">
        <f t="shared" ref="EU182:FD186" ca="1" si="406">IF(AND($H182&lt;=EU$8,$H182+$AK182&gt;EU$8),IF(AND($H182+$AL182&lt;=EU$8,$AL182&gt;0),$AD182,$Z182),0)</f>
        <v>0</v>
      </c>
      <c r="EV182" s="88">
        <f t="shared" ca="1" si="406"/>
        <v>0</v>
      </c>
      <c r="EW182" s="88">
        <f t="shared" ca="1" si="406"/>
        <v>0</v>
      </c>
      <c r="EX182" s="88">
        <f t="shared" ca="1" si="406"/>
        <v>0</v>
      </c>
      <c r="EY182" s="88">
        <f t="shared" ca="1" si="406"/>
        <v>0</v>
      </c>
      <c r="EZ182" s="88">
        <f t="shared" ca="1" si="406"/>
        <v>0</v>
      </c>
      <c r="FA182" s="88">
        <f t="shared" ca="1" si="406"/>
        <v>0</v>
      </c>
      <c r="FB182" s="88">
        <f t="shared" ca="1" si="406"/>
        <v>0</v>
      </c>
      <c r="FC182" s="88">
        <f t="shared" ca="1" si="406"/>
        <v>0</v>
      </c>
      <c r="FD182" s="88">
        <f t="shared" ca="1" si="406"/>
        <v>0</v>
      </c>
      <c r="FE182" s="88">
        <f t="shared" ref="FE182:FN186" ca="1" si="407">IF(AND($H182&lt;=FE$8,$H182+$AK182&gt;FE$8),IF(AND($H182+$AL182&lt;=FE$8,$AL182&gt;0),$AD182,$Z182),0)</f>
        <v>0</v>
      </c>
      <c r="FF182" s="88">
        <f t="shared" ca="1" si="407"/>
        <v>0</v>
      </c>
      <c r="FG182" s="88">
        <f t="shared" ca="1" si="407"/>
        <v>0</v>
      </c>
      <c r="FH182" s="88">
        <f t="shared" ca="1" si="407"/>
        <v>0</v>
      </c>
      <c r="FI182" s="88">
        <f t="shared" ca="1" si="407"/>
        <v>0</v>
      </c>
      <c r="FJ182" s="88">
        <f t="shared" ca="1" si="407"/>
        <v>0</v>
      </c>
      <c r="FK182" s="88">
        <f t="shared" ca="1" si="407"/>
        <v>0</v>
      </c>
      <c r="FL182" s="88">
        <f t="shared" ca="1" si="407"/>
        <v>0</v>
      </c>
      <c r="FM182" s="88">
        <f t="shared" ca="1" si="407"/>
        <v>0</v>
      </c>
      <c r="FN182" s="88">
        <f t="shared" ca="1" si="407"/>
        <v>0</v>
      </c>
      <c r="FO182" s="88">
        <f t="shared" ref="FO182:GC186" ca="1" si="408">IF(AND($H182&lt;=FO$8,$H182+$AK182&gt;FO$8),IF(AND($H182+$AL182&lt;=FO$8,$AL182&gt;0),$AD182,$Z182),0)</f>
        <v>0</v>
      </c>
      <c r="FP182" s="88">
        <f t="shared" ca="1" si="408"/>
        <v>0</v>
      </c>
      <c r="FQ182" s="88">
        <f t="shared" ca="1" si="408"/>
        <v>0</v>
      </c>
      <c r="FR182" s="88">
        <f t="shared" ca="1" si="408"/>
        <v>0</v>
      </c>
      <c r="FS182" s="88">
        <f t="shared" ca="1" si="408"/>
        <v>0</v>
      </c>
      <c r="FT182" s="88">
        <f t="shared" ca="1" si="408"/>
        <v>0</v>
      </c>
      <c r="FU182" s="88">
        <f t="shared" ca="1" si="408"/>
        <v>0</v>
      </c>
      <c r="FV182" s="88">
        <f t="shared" ca="1" si="408"/>
        <v>0</v>
      </c>
      <c r="FW182" s="88">
        <f t="shared" ca="1" si="408"/>
        <v>0</v>
      </c>
      <c r="FX182" s="88">
        <f t="shared" ca="1" si="408"/>
        <v>0</v>
      </c>
      <c r="FY182" s="88">
        <f t="shared" ca="1" si="408"/>
        <v>0</v>
      </c>
      <c r="FZ182" s="88">
        <f t="shared" ca="1" si="408"/>
        <v>0</v>
      </c>
      <c r="GA182" s="88">
        <f t="shared" ca="1" si="408"/>
        <v>0</v>
      </c>
      <c r="GB182" s="88">
        <f t="shared" ca="1" si="408"/>
        <v>0</v>
      </c>
      <c r="GC182" s="88">
        <f t="shared" ca="1" si="408"/>
        <v>0</v>
      </c>
      <c r="GD182" s="60"/>
    </row>
    <row r="183" spans="1:186" s="54" customFormat="1" ht="14.45" customHeight="1">
      <c r="A183" s="61"/>
      <c r="B183" s="100" t="str">
        <f t="shared" si="345"/>
        <v>C&amp;I_C&amp;I Prescriptive_0_LED wall mounted area lights (wallpacks) (30 to 75W)_2018</v>
      </c>
      <c r="C183" s="100">
        <f>INDEX('Measure Inputs'!$D:$D,MATCH($B183,'Measure Inputs'!$B:$B,0))</f>
        <v>135</v>
      </c>
      <c r="D183" s="101" t="s">
        <v>256</v>
      </c>
      <c r="E183" s="101" t="s">
        <v>255</v>
      </c>
      <c r="F183" s="101">
        <v>0</v>
      </c>
      <c r="G183" s="101" t="s">
        <v>360</v>
      </c>
      <c r="H183" s="101">
        <v>2018</v>
      </c>
      <c r="I183" s="55"/>
      <c r="J183" s="58">
        <f t="shared" ca="1" si="229"/>
        <v>1.0688634074597487</v>
      </c>
      <c r="K183" s="58">
        <f t="shared" ca="1" si="246"/>
        <v>4.0901839725459714</v>
      </c>
      <c r="L183" s="58">
        <f t="shared" ca="1" si="230"/>
        <v>0.26132404181184665</v>
      </c>
      <c r="M183" s="58">
        <f t="shared" ca="1" si="231"/>
        <v>1.4282497525089197</v>
      </c>
      <c r="N183" s="58">
        <f t="shared" ca="1" si="232"/>
        <v>4.0901839725459714</v>
      </c>
      <c r="O183" s="55"/>
      <c r="P183" s="175">
        <f ca="1">IFERROR(($AW183+AV183)/SUMPRODUCT($CA183:$DI183,'General Inputs'!$F$51:$AN$51),"n/a")</f>
        <v>8.6982071316452376E-3</v>
      </c>
      <c r="Q183" s="175">
        <f t="shared" ca="1" si="386"/>
        <v>6.1187028349989805E-2</v>
      </c>
      <c r="R183" s="56">
        <f t="shared" ca="1" si="364"/>
        <v>245.15</v>
      </c>
      <c r="S183" s="55"/>
      <c r="T183" s="56">
        <f ca="1">INDEX(OFFSET('Measure Inputs'!$L$7,,,InputRows),$C183)</f>
        <v>20</v>
      </c>
      <c r="U183" s="134">
        <f ca="1">INDEX(OFFSET('Measure Inputs'!$T$7,,,InputRows),$C183)</f>
        <v>1</v>
      </c>
      <c r="V183" s="134">
        <f ca="1">INDEX(OFFSET('Measure Inputs'!$U$7,,,InputRows),$C183)</f>
        <v>1</v>
      </c>
      <c r="W183" s="55"/>
      <c r="X183" s="96">
        <f ca="1">INDEX(OFFSET('Measure Inputs'!$V$7,,,InputRows),$C183)*$T183*$V183*$U183</f>
        <v>24515</v>
      </c>
      <c r="Y183" s="96">
        <f ca="1">INDEX(OFFSET('Measure Inputs'!$W$7,,,InputRows),$C183)*$T183*$V183*$U183</f>
        <v>5</v>
      </c>
      <c r="Z183" s="96">
        <f ca="1">INDEX(OFFSET('Measure Inputs'!$X$7,,,InputRows),$C183)*$T183*$V183*$U183</f>
        <v>0</v>
      </c>
      <c r="AA183" s="55"/>
      <c r="AB183" s="96">
        <f ca="1">INDEX(OFFSET('Measure Inputs'!$Z$7,,,InputRows),$C183)*$T183*$V183*$U183</f>
        <v>0</v>
      </c>
      <c r="AC183" s="96">
        <f ca="1">INDEX(OFFSET('Measure Inputs'!$AA$7,,,InputRows),$C183)*$T183*$V183*$U183</f>
        <v>0</v>
      </c>
      <c r="AD183" s="96">
        <f ca="1">INDEX(OFFSET('Measure Inputs'!$AB$7,,,InputRows),$C183)*$T183*$V183*$U183</f>
        <v>0</v>
      </c>
      <c r="AE183" s="55"/>
      <c r="AF183" s="57">
        <f ca="1">INDEX(OFFSET('Measure Inputs'!$Q$7,,,InputRows),$C183)*$T183</f>
        <v>0</v>
      </c>
      <c r="AG183" s="57">
        <f ca="1">INDEX(OFFSET('Measure Inputs'!$P$7,,,InputRows),$C183)*$T183*$V183</f>
        <v>5740</v>
      </c>
      <c r="AH183" s="57">
        <f ca="1">INDEX(OFFSET('Measure Inputs'!$R$7,,,InputRows),$C183)*$T183*$V183</f>
        <v>0</v>
      </c>
      <c r="AI183" s="57">
        <f ca="1">INDEX(OFFSET('Measure Inputs'!$O$7,,,InputRows),$C183)*$T183</f>
        <v>1500</v>
      </c>
      <c r="AJ183" s="57">
        <f ca="1">INDEX(OFFSET('Measure Inputs'!$S$7,,,InputRows),$C183)*$T183</f>
        <v>0</v>
      </c>
      <c r="AK183" s="63">
        <f ca="1">INDEX(OFFSET('Measure Inputs'!$M$7,,,InputRows),$C183)</f>
        <v>10</v>
      </c>
      <c r="AL183" s="88">
        <f ca="1">INDEX(OFFSET('Measure Inputs'!$N$7,,,InputRows),$C183)</f>
        <v>0</v>
      </c>
      <c r="AM183" s="57">
        <f ca="1">SUMIFS(OFFSET('Program Inputs'!$N$5,,,TotalPrograms),OFFSET('Program Inputs'!$B$5,,,TotalPrograms),SUBSTITUTE($B183,"All","*"))+AF183</f>
        <v>0</v>
      </c>
      <c r="AN183" s="57">
        <f t="shared" ca="1" si="365"/>
        <v>1500</v>
      </c>
      <c r="AO183" s="55"/>
      <c r="AP183" s="59">
        <f t="shared" ca="1" si="366"/>
        <v>5636.9679886245476</v>
      </c>
      <c r="AQ183" s="59">
        <f t="shared" ca="1" si="367"/>
        <v>5273.7963983829477</v>
      </c>
      <c r="AR183" s="59">
        <f ca="1">SUMPRODUCT($CA183:$DI183,'General Inputs'!$F$32:$AN$32,'General Inputs'!$F$51:$AN$51)/(1-Loss_ElectricEnergy)</f>
        <v>4915.8152563746098</v>
      </c>
      <c r="AS183" s="59">
        <f ca="1">SUMPRODUCT($DK183:$ES183,'General Inputs'!$F$33:$AN$33,'General Inputs'!$F$51:$AN$51)/(1-Loss_ElectricDemand)</f>
        <v>721.15273224993791</v>
      </c>
      <c r="AT183" s="59">
        <f ca="1">SUMPRODUCT($EU183:$GC183,'General Inputs'!$F$34:$AN$34,'General Inputs'!$F$51:$AN$51)/(1-Loss_GasEnergy)</f>
        <v>0</v>
      </c>
      <c r="AU183" s="59">
        <f ca="1">INDEX('General Inputs'!$F$51:$AN$51,MATCH($H183,'General Inputs'!$F$50:$AN$50,0))*$AJ183</f>
        <v>0</v>
      </c>
      <c r="AV183" s="59">
        <f ca="1">INDEX('General Inputs'!$F$51:$AN$51,MATCH($H183,'General Inputs'!$F$50:$AN$50,0))*$AI183</f>
        <v>1378.1697905181918</v>
      </c>
      <c r="AW183" s="59">
        <f ca="1">INDEX('General Inputs'!$F$51:$AN$51,MATCH($H183,'General Inputs'!$F$50:$AN$50,0))*$AM183</f>
        <v>0</v>
      </c>
      <c r="AX183" s="59">
        <f ca="1">SUM(INDEX('General Inputs'!$F$51:$AN$51,MATCH($H183,'General Inputs'!$F$50:$AN$50,0))*$AG183,INDEX('General Inputs'!$F$51:$AN$51,MATCH($H183+$AL183,'General Inputs'!$F$50:$AN$50,0))*-$AH183)</f>
        <v>5273.7963983829477</v>
      </c>
      <c r="AY183" s="55"/>
      <c r="AZ183" s="59">
        <f ca="1">SUMPRODUCT($CA183:$DI183,'General Inputs'!$F$32:$AN$32,'General Inputs'!$F$52:$AN$52)/(1-Loss_ElectricEnergy)</f>
        <v>4915.8152563746098</v>
      </c>
      <c r="BA183" s="59">
        <f ca="1">SUMPRODUCT($DK183:$ES183,'General Inputs'!$F$33:$AN$33,'General Inputs'!$F$52:$AN$52)/(1-Loss_ElectricDemand)</f>
        <v>721.15273224993791</v>
      </c>
      <c r="BB183" s="59">
        <f ca="1">SUMPRODUCT($EU183:$GC183,'General Inputs'!$F$34:$AN$34,'General Inputs'!$F$52:$AN$52)/(1-Loss_GasEnergy)</f>
        <v>0</v>
      </c>
      <c r="BC183" s="59">
        <f ca="1">INDEX('General Inputs'!$F$52:$AN$52,MATCH($H183,'General Inputs'!$F$50:$AN$50,0))*$AI183</f>
        <v>1378.1697905181918</v>
      </c>
      <c r="BD183" s="59">
        <f ca="1">INDEX('General Inputs'!$F$52:$AN$52,MATCH($H183,'General Inputs'!$F$50:$AN$50,0))*$AM183</f>
        <v>0</v>
      </c>
      <c r="BE183" s="55"/>
      <c r="BF183" s="59">
        <f ca="1">SUMPRODUCT($CA183:$DI183,OFFSET('General Inputs'!$F$40:$AN$40,MATCH($D183&amp;" Electric ($/kWh)",'General Inputs'!$E$40:$E$46,0),),'General Inputs'!$F$54:$AN$54)</f>
        <v>0</v>
      </c>
      <c r="BG183" s="59">
        <f ca="1">SUMPRODUCT($EU183:$GC183,OFFSET('General Inputs'!$F$40:$AN$40,MATCH($D183&amp;" Natural Gas ($/therm)",'General Inputs'!$E$40:$E$46,0),),'General Inputs'!$F$54:$AN$54)</f>
        <v>0</v>
      </c>
      <c r="BH183" s="59">
        <f ca="1">INDEX('General Inputs'!$F$54:$AN$54,MATCH($H183,'General Inputs'!$F$50:$AN$50,0))*$AI183</f>
        <v>1378.1697905181918</v>
      </c>
      <c r="BI183" s="59">
        <f ca="1">SUM(INDEX('General Inputs'!$F$54:$AN$54,MATCH($H183,'General Inputs'!$F$50:$AN$50,0))*$AG183,INDEX('General Inputs'!$F$51:$AN$51,MATCH($H183+$AL183,'General Inputs'!$F$50:$AN$50,0))*-$AH183)</f>
        <v>5273.7963983829477</v>
      </c>
      <c r="BJ183" s="55"/>
      <c r="BK183" s="59">
        <f ca="1">SUMPRODUCT($CA183:$DI183,'General Inputs'!$F$32:$AN$32,'General Inputs'!$F$53:$AN$53)/(1-Loss_ElectricEnergy)</f>
        <v>4915.8152563746098</v>
      </c>
      <c r="BL183" s="59">
        <f ca="1">SUMPRODUCT($DK183:$ES183,'General Inputs'!$F$33:$AN$33,'General Inputs'!$F$53:$AN$53)/(1-Loss_ElectricDemand)</f>
        <v>721.15273224993791</v>
      </c>
      <c r="BM183" s="59">
        <f ca="1">SUMPRODUCT($EU183:$GC183,'General Inputs'!$F$34:$AN$34,'General Inputs'!$F$53:$AN$53)/(1-Loss_GasEnergy)</f>
        <v>0</v>
      </c>
      <c r="BN183" s="59">
        <f ca="1">INDEX('General Inputs'!$F$53:$AN$53,MATCH($H183,'General Inputs'!$F$50:$AN$50,0))*$AJ183</f>
        <v>0</v>
      </c>
      <c r="BO183" s="59">
        <f ca="1">SUMPRODUCT($CA183:$DI183,'General Inputs'!$F$35:$AN$35,'General Inputs'!$F$53:$AN$53)/(1-Loss_ElectricEnergy)</f>
        <v>1895.3304121483293</v>
      </c>
      <c r="BP183" s="59">
        <f ca="1">INDEX('General Inputs'!$F$51:$AN$51,MATCH($H183,'General Inputs'!$F$50:$AN$50,0))*$AM183</f>
        <v>0</v>
      </c>
      <c r="BQ183" s="59">
        <f ca="1">SUM(INDEX('General Inputs'!$F$53:$AN$53,MATCH($H183,'General Inputs'!$F$50:$AN$50,0))*$AG183,INDEX('General Inputs'!$F$53:$AN$53,MATCH($H183+$AL183,'General Inputs'!$F$50:$AN$50,0))*-$AH183)</f>
        <v>5273.7963983829477</v>
      </c>
      <c r="BR183" s="55"/>
      <c r="BS183" s="59">
        <f ca="1">SUMPRODUCT($CA183:$DI183,'General Inputs'!$F$32:$AN$32,'General Inputs'!$F$55:$AN$55)/(1-Loss_ElectricEnergy)</f>
        <v>4915.8152563746098</v>
      </c>
      <c r="BT183" s="59">
        <f ca="1">SUMPRODUCT($DK183:$ES183,'General Inputs'!$F$33:$AN$33,'General Inputs'!$F$55:$AN$55)/(1-Loss_ElectricDemand)</f>
        <v>721.15273224993791</v>
      </c>
      <c r="BU183" s="59">
        <f ca="1">SUMPRODUCT($EU183:$GC183,'General Inputs'!$F$34:$AN$34,'General Inputs'!$F$55:$AN$55)/(1-Loss_GasEnergy)</f>
        <v>0</v>
      </c>
      <c r="BV183" s="59">
        <f ca="1">SUMPRODUCT($CA183:$DI183,OFFSET('General Inputs'!$F$40:$AN$40,MATCH($D183&amp;" Electric ($/kWh)",'General Inputs'!$E$40:$E$46,0),),'General Inputs'!$F$55:$AN$55)</f>
        <v>0</v>
      </c>
      <c r="BW183" s="59">
        <f ca="1">SUMPRODUCT($EU183:$GC183,OFFSET('General Inputs'!$F$40:$AN$40,MATCH($D183&amp;" Natural Gas ($/therm)",'General Inputs'!$E$40:$E$46,0),),'General Inputs'!$F$55:$AN$55)</f>
        <v>0</v>
      </c>
      <c r="BX183" s="59">
        <f ca="1">INDEX('General Inputs'!$F$55:$AN$55,MATCH($H183,'General Inputs'!$F$50:$AN$50,0))*$AI183</f>
        <v>1378.1697905181918</v>
      </c>
      <c r="BY183" s="59">
        <f ca="1">INDEX('General Inputs'!$F$51:$AN$51,MATCH($H183,'General Inputs'!$F$50:$AN$50,0))*$AM183</f>
        <v>0</v>
      </c>
      <c r="BZ183" s="55"/>
      <c r="CA183" s="88">
        <f t="shared" ca="1" si="400"/>
        <v>0</v>
      </c>
      <c r="CB183" s="88">
        <f t="shared" ca="1" si="400"/>
        <v>24515</v>
      </c>
      <c r="CC183" s="88">
        <f t="shared" ca="1" si="400"/>
        <v>24515</v>
      </c>
      <c r="CD183" s="88">
        <f t="shared" ca="1" si="400"/>
        <v>24515</v>
      </c>
      <c r="CE183" s="88">
        <f t="shared" ca="1" si="400"/>
        <v>24515</v>
      </c>
      <c r="CF183" s="88">
        <f t="shared" ca="1" si="400"/>
        <v>24515</v>
      </c>
      <c r="CG183" s="88">
        <f t="shared" ca="1" si="400"/>
        <v>24515</v>
      </c>
      <c r="CH183" s="88">
        <f t="shared" ca="1" si="400"/>
        <v>24515</v>
      </c>
      <c r="CI183" s="88">
        <f t="shared" ca="1" si="400"/>
        <v>24515</v>
      </c>
      <c r="CJ183" s="88">
        <f t="shared" ca="1" si="400"/>
        <v>24515</v>
      </c>
      <c r="CK183" s="88">
        <f t="shared" ca="1" si="401"/>
        <v>24515</v>
      </c>
      <c r="CL183" s="88">
        <f t="shared" ca="1" si="401"/>
        <v>0</v>
      </c>
      <c r="CM183" s="88">
        <f t="shared" ca="1" si="401"/>
        <v>0</v>
      </c>
      <c r="CN183" s="88">
        <f t="shared" ca="1" si="401"/>
        <v>0</v>
      </c>
      <c r="CO183" s="88">
        <f t="shared" ca="1" si="401"/>
        <v>0</v>
      </c>
      <c r="CP183" s="88">
        <f t="shared" ca="1" si="401"/>
        <v>0</v>
      </c>
      <c r="CQ183" s="88">
        <f t="shared" ca="1" si="401"/>
        <v>0</v>
      </c>
      <c r="CR183" s="88">
        <f t="shared" ca="1" si="401"/>
        <v>0</v>
      </c>
      <c r="CS183" s="88">
        <f t="shared" ca="1" si="401"/>
        <v>0</v>
      </c>
      <c r="CT183" s="88">
        <f t="shared" ca="1" si="401"/>
        <v>0</v>
      </c>
      <c r="CU183" s="88">
        <f t="shared" ca="1" si="402"/>
        <v>0</v>
      </c>
      <c r="CV183" s="88">
        <f t="shared" ca="1" si="402"/>
        <v>0</v>
      </c>
      <c r="CW183" s="88">
        <f t="shared" ca="1" si="402"/>
        <v>0</v>
      </c>
      <c r="CX183" s="88">
        <f t="shared" ca="1" si="402"/>
        <v>0</v>
      </c>
      <c r="CY183" s="88">
        <f t="shared" ca="1" si="402"/>
        <v>0</v>
      </c>
      <c r="CZ183" s="88">
        <f t="shared" ca="1" si="402"/>
        <v>0</v>
      </c>
      <c r="DA183" s="88">
        <f t="shared" ca="1" si="402"/>
        <v>0</v>
      </c>
      <c r="DB183" s="88">
        <f t="shared" ca="1" si="402"/>
        <v>0</v>
      </c>
      <c r="DC183" s="88">
        <f t="shared" ca="1" si="402"/>
        <v>0</v>
      </c>
      <c r="DD183" s="88">
        <f t="shared" ca="1" si="402"/>
        <v>0</v>
      </c>
      <c r="DE183" s="88">
        <f t="shared" ca="1" si="402"/>
        <v>0</v>
      </c>
      <c r="DF183" s="88">
        <f t="shared" ca="1" si="402"/>
        <v>0</v>
      </c>
      <c r="DG183" s="88">
        <f t="shared" ca="1" si="402"/>
        <v>0</v>
      </c>
      <c r="DH183" s="88">
        <f t="shared" ca="1" si="402"/>
        <v>0</v>
      </c>
      <c r="DI183" s="88">
        <f t="shared" ca="1" si="402"/>
        <v>0</v>
      </c>
      <c r="DJ183" s="169"/>
      <c r="DK183" s="88">
        <f t="shared" ca="1" si="403"/>
        <v>0</v>
      </c>
      <c r="DL183" s="88">
        <f t="shared" ca="1" si="403"/>
        <v>5</v>
      </c>
      <c r="DM183" s="88">
        <f t="shared" ca="1" si="403"/>
        <v>5</v>
      </c>
      <c r="DN183" s="88">
        <f t="shared" ca="1" si="403"/>
        <v>5</v>
      </c>
      <c r="DO183" s="88">
        <f t="shared" ca="1" si="403"/>
        <v>5</v>
      </c>
      <c r="DP183" s="88">
        <f t="shared" ca="1" si="403"/>
        <v>5</v>
      </c>
      <c r="DQ183" s="88">
        <f t="shared" ca="1" si="403"/>
        <v>5</v>
      </c>
      <c r="DR183" s="88">
        <f t="shared" ca="1" si="403"/>
        <v>5</v>
      </c>
      <c r="DS183" s="88">
        <f t="shared" ca="1" si="403"/>
        <v>5</v>
      </c>
      <c r="DT183" s="88">
        <f t="shared" ca="1" si="403"/>
        <v>5</v>
      </c>
      <c r="DU183" s="88">
        <f t="shared" ca="1" si="404"/>
        <v>5</v>
      </c>
      <c r="DV183" s="88">
        <f t="shared" ca="1" si="404"/>
        <v>0</v>
      </c>
      <c r="DW183" s="88">
        <f t="shared" ca="1" si="404"/>
        <v>0</v>
      </c>
      <c r="DX183" s="88">
        <f t="shared" ca="1" si="404"/>
        <v>0</v>
      </c>
      <c r="DY183" s="88">
        <f t="shared" ca="1" si="404"/>
        <v>0</v>
      </c>
      <c r="DZ183" s="88">
        <f t="shared" ca="1" si="404"/>
        <v>0</v>
      </c>
      <c r="EA183" s="88">
        <f t="shared" ca="1" si="404"/>
        <v>0</v>
      </c>
      <c r="EB183" s="88">
        <f t="shared" ca="1" si="404"/>
        <v>0</v>
      </c>
      <c r="EC183" s="88">
        <f t="shared" ca="1" si="404"/>
        <v>0</v>
      </c>
      <c r="ED183" s="88">
        <f t="shared" ca="1" si="404"/>
        <v>0</v>
      </c>
      <c r="EE183" s="88">
        <f t="shared" ca="1" si="405"/>
        <v>0</v>
      </c>
      <c r="EF183" s="88">
        <f t="shared" ca="1" si="405"/>
        <v>0</v>
      </c>
      <c r="EG183" s="88">
        <f t="shared" ca="1" si="405"/>
        <v>0</v>
      </c>
      <c r="EH183" s="88">
        <f t="shared" ca="1" si="405"/>
        <v>0</v>
      </c>
      <c r="EI183" s="88">
        <f t="shared" ca="1" si="405"/>
        <v>0</v>
      </c>
      <c r="EJ183" s="88">
        <f t="shared" ca="1" si="405"/>
        <v>0</v>
      </c>
      <c r="EK183" s="88">
        <f t="shared" ca="1" si="405"/>
        <v>0</v>
      </c>
      <c r="EL183" s="88">
        <f t="shared" ca="1" si="405"/>
        <v>0</v>
      </c>
      <c r="EM183" s="88">
        <f t="shared" ca="1" si="405"/>
        <v>0</v>
      </c>
      <c r="EN183" s="88">
        <f t="shared" ca="1" si="405"/>
        <v>0</v>
      </c>
      <c r="EO183" s="88">
        <f t="shared" ca="1" si="405"/>
        <v>0</v>
      </c>
      <c r="EP183" s="88">
        <f t="shared" ca="1" si="405"/>
        <v>0</v>
      </c>
      <c r="EQ183" s="88">
        <f t="shared" ca="1" si="405"/>
        <v>0</v>
      </c>
      <c r="ER183" s="88">
        <f t="shared" ca="1" si="405"/>
        <v>0</v>
      </c>
      <c r="ES183" s="88">
        <f t="shared" ca="1" si="405"/>
        <v>0</v>
      </c>
      <c r="ET183" s="169"/>
      <c r="EU183" s="88">
        <f t="shared" ca="1" si="406"/>
        <v>0</v>
      </c>
      <c r="EV183" s="88">
        <f t="shared" ca="1" si="406"/>
        <v>0</v>
      </c>
      <c r="EW183" s="88">
        <f t="shared" ca="1" si="406"/>
        <v>0</v>
      </c>
      <c r="EX183" s="88">
        <f t="shared" ca="1" si="406"/>
        <v>0</v>
      </c>
      <c r="EY183" s="88">
        <f t="shared" ca="1" si="406"/>
        <v>0</v>
      </c>
      <c r="EZ183" s="88">
        <f t="shared" ca="1" si="406"/>
        <v>0</v>
      </c>
      <c r="FA183" s="88">
        <f t="shared" ca="1" si="406"/>
        <v>0</v>
      </c>
      <c r="FB183" s="88">
        <f t="shared" ca="1" si="406"/>
        <v>0</v>
      </c>
      <c r="FC183" s="88">
        <f t="shared" ca="1" si="406"/>
        <v>0</v>
      </c>
      <c r="FD183" s="88">
        <f t="shared" ca="1" si="406"/>
        <v>0</v>
      </c>
      <c r="FE183" s="88">
        <f t="shared" ca="1" si="407"/>
        <v>0</v>
      </c>
      <c r="FF183" s="88">
        <f t="shared" ca="1" si="407"/>
        <v>0</v>
      </c>
      <c r="FG183" s="88">
        <f t="shared" ca="1" si="407"/>
        <v>0</v>
      </c>
      <c r="FH183" s="88">
        <f t="shared" ca="1" si="407"/>
        <v>0</v>
      </c>
      <c r="FI183" s="88">
        <f t="shared" ca="1" si="407"/>
        <v>0</v>
      </c>
      <c r="FJ183" s="88">
        <f t="shared" ca="1" si="407"/>
        <v>0</v>
      </c>
      <c r="FK183" s="88">
        <f t="shared" ca="1" si="407"/>
        <v>0</v>
      </c>
      <c r="FL183" s="88">
        <f t="shared" ca="1" si="407"/>
        <v>0</v>
      </c>
      <c r="FM183" s="88">
        <f t="shared" ca="1" si="407"/>
        <v>0</v>
      </c>
      <c r="FN183" s="88">
        <f t="shared" ca="1" si="407"/>
        <v>0</v>
      </c>
      <c r="FO183" s="88">
        <f t="shared" ca="1" si="408"/>
        <v>0</v>
      </c>
      <c r="FP183" s="88">
        <f t="shared" ca="1" si="408"/>
        <v>0</v>
      </c>
      <c r="FQ183" s="88">
        <f t="shared" ca="1" si="408"/>
        <v>0</v>
      </c>
      <c r="FR183" s="88">
        <f t="shared" ca="1" si="408"/>
        <v>0</v>
      </c>
      <c r="FS183" s="88">
        <f t="shared" ca="1" si="408"/>
        <v>0</v>
      </c>
      <c r="FT183" s="88">
        <f t="shared" ca="1" si="408"/>
        <v>0</v>
      </c>
      <c r="FU183" s="88">
        <f t="shared" ca="1" si="408"/>
        <v>0</v>
      </c>
      <c r="FV183" s="88">
        <f t="shared" ca="1" si="408"/>
        <v>0</v>
      </c>
      <c r="FW183" s="88">
        <f t="shared" ca="1" si="408"/>
        <v>0</v>
      </c>
      <c r="FX183" s="88">
        <f t="shared" ca="1" si="408"/>
        <v>0</v>
      </c>
      <c r="FY183" s="88">
        <f t="shared" ca="1" si="408"/>
        <v>0</v>
      </c>
      <c r="FZ183" s="88">
        <f t="shared" ca="1" si="408"/>
        <v>0</v>
      </c>
      <c r="GA183" s="88">
        <f t="shared" ca="1" si="408"/>
        <v>0</v>
      </c>
      <c r="GB183" s="88">
        <f t="shared" ca="1" si="408"/>
        <v>0</v>
      </c>
      <c r="GC183" s="88">
        <f t="shared" ca="1" si="408"/>
        <v>0</v>
      </c>
      <c r="GD183" s="60"/>
    </row>
    <row r="184" spans="1:186" s="54" customFormat="1" ht="14.45" customHeight="1">
      <c r="A184" s="61"/>
      <c r="B184" s="100" t="str">
        <f t="shared" si="345"/>
        <v>C&amp;I_C&amp;I Prescriptive_0_LED wall mounted area lights (wallpacks) (≥75W)_2018</v>
      </c>
      <c r="C184" s="100">
        <f>INDEX('Measure Inputs'!$D:$D,MATCH($B184,'Measure Inputs'!$B:$B,0))</f>
        <v>136</v>
      </c>
      <c r="D184" s="101" t="s">
        <v>256</v>
      </c>
      <c r="E184" s="101" t="s">
        <v>255</v>
      </c>
      <c r="F184" s="101">
        <v>0</v>
      </c>
      <c r="G184" s="101" t="s">
        <v>361</v>
      </c>
      <c r="H184" s="101">
        <v>2018</v>
      </c>
      <c r="I184" s="55"/>
      <c r="J184" s="58">
        <f t="shared" ca="1" si="229"/>
        <v>0.7657326516377625</v>
      </c>
      <c r="K184" s="58">
        <f t="shared" ca="1" si="246"/>
        <v>2.9940146679036514</v>
      </c>
      <c r="L184" s="58">
        <f t="shared" ca="1" si="230"/>
        <v>0.25575447570332482</v>
      </c>
      <c r="M184" s="58">
        <f t="shared" ca="1" si="231"/>
        <v>1.0231966615723236</v>
      </c>
      <c r="N184" s="58">
        <f t="shared" ca="1" si="232"/>
        <v>2.9940146679036514</v>
      </c>
      <c r="O184" s="55"/>
      <c r="P184" s="175">
        <f ca="1">IFERROR(($AW184+AV184)/SUMPRODUCT($CA184:$DI184,'General Inputs'!$F$51:$AN$51),"n/a")</f>
        <v>1.1882796627930649E-2</v>
      </c>
      <c r="Q184" s="175">
        <f t="shared" ca="1" si="386"/>
        <v>8.3588836543701917E-2</v>
      </c>
      <c r="R184" s="56">
        <f t="shared" ca="1" si="364"/>
        <v>119.63320000000002</v>
      </c>
      <c r="S184" s="55"/>
      <c r="T184" s="56">
        <f ca="1">INDEX(OFFSET('Measure Inputs'!$L$7,,,InputRows),$C184)</f>
        <v>10</v>
      </c>
      <c r="U184" s="134">
        <f ca="1">INDEX(OFFSET('Measure Inputs'!$T$7,,,InputRows),$C184)</f>
        <v>1</v>
      </c>
      <c r="V184" s="134">
        <f ca="1">INDEX(OFFSET('Measure Inputs'!$U$7,,,InputRows),$C184)</f>
        <v>1</v>
      </c>
      <c r="W184" s="55"/>
      <c r="X184" s="96">
        <f ca="1">INDEX(OFFSET('Measure Inputs'!$V$7,,,InputRows),$C184)*$T184*$V184*$U184</f>
        <v>11963.32</v>
      </c>
      <c r="Y184" s="96">
        <f ca="1">INDEX(OFFSET('Measure Inputs'!$W$7,,,InputRows),$C184)*$T184*$V184*$U184</f>
        <v>2.44</v>
      </c>
      <c r="Z184" s="96">
        <f ca="1">INDEX(OFFSET('Measure Inputs'!$X$7,,,InputRows),$C184)*$T184*$V184*$U184</f>
        <v>0</v>
      </c>
      <c r="AA184" s="55"/>
      <c r="AB184" s="96">
        <f ca="1">INDEX(OFFSET('Measure Inputs'!$Z$7,,,InputRows),$C184)*$T184*$V184*$U184</f>
        <v>0</v>
      </c>
      <c r="AC184" s="96">
        <f ca="1">INDEX(OFFSET('Measure Inputs'!$AA$7,,,InputRows),$C184)*$T184*$V184*$U184</f>
        <v>0</v>
      </c>
      <c r="AD184" s="96">
        <f ca="1">INDEX(OFFSET('Measure Inputs'!$AB$7,,,InputRows),$C184)*$T184*$V184*$U184</f>
        <v>0</v>
      </c>
      <c r="AE184" s="55"/>
      <c r="AF184" s="57">
        <f ca="1">INDEX(OFFSET('Measure Inputs'!$Q$7,,,InputRows),$C184)*$T184</f>
        <v>0</v>
      </c>
      <c r="AG184" s="57">
        <f ca="1">INDEX(OFFSET('Measure Inputs'!$P$7,,,InputRows),$C184)*$T184*$V184</f>
        <v>3910</v>
      </c>
      <c r="AH184" s="57">
        <f ca="1">INDEX(OFFSET('Measure Inputs'!$R$7,,,InputRows),$C184)*$T184*$V184</f>
        <v>0</v>
      </c>
      <c r="AI184" s="57">
        <f ca="1">INDEX(OFFSET('Measure Inputs'!$O$7,,,InputRows),$C184)*$T184</f>
        <v>1000</v>
      </c>
      <c r="AJ184" s="57">
        <f ca="1">INDEX(OFFSET('Measure Inputs'!$S$7,,,InputRows),$C184)*$T184</f>
        <v>0</v>
      </c>
      <c r="AK184" s="63">
        <f ca="1">INDEX(OFFSET('Measure Inputs'!$M$7,,,InputRows),$C184)</f>
        <v>10</v>
      </c>
      <c r="AL184" s="88">
        <f ca="1">INDEX(OFFSET('Measure Inputs'!$N$7,,,InputRows),$C184)</f>
        <v>0</v>
      </c>
      <c r="AM184" s="57">
        <f ca="1">SUMIFS(OFFSET('Program Inputs'!$N$5,,,TotalPrograms),OFFSET('Program Inputs'!$B$5,,,TotalPrograms),SUBSTITUTE($B184,"All","*"))+AF184</f>
        <v>0</v>
      </c>
      <c r="AN184" s="57">
        <f t="shared" ca="1" si="365"/>
        <v>1000</v>
      </c>
      <c r="AO184" s="55"/>
      <c r="AP184" s="59">
        <f t="shared" ca="1" si="366"/>
        <v>2750.8403784487791</v>
      </c>
      <c r="AQ184" s="59">
        <f t="shared" ca="1" si="367"/>
        <v>3592.4292539507533</v>
      </c>
      <c r="AR184" s="59">
        <f ca="1">SUMPRODUCT($CA184:$DI184,'General Inputs'!$F$32:$AN$32,'General Inputs'!$F$51:$AN$51)/(1-Loss_ElectricEnergy)</f>
        <v>2398.9178451108091</v>
      </c>
      <c r="AS184" s="59">
        <f ca="1">SUMPRODUCT($DK184:$ES184,'General Inputs'!$F$33:$AN$33,'General Inputs'!$F$51:$AN$51)/(1-Loss_ElectricDemand)</f>
        <v>351.92253333796975</v>
      </c>
      <c r="AT184" s="59">
        <f ca="1">SUMPRODUCT($EU184:$GC184,'General Inputs'!$F$34:$AN$34,'General Inputs'!$F$51:$AN$51)/(1-Loss_GasEnergy)</f>
        <v>0</v>
      </c>
      <c r="AU184" s="59">
        <f ca="1">INDEX('General Inputs'!$F$51:$AN$51,MATCH($H184,'General Inputs'!$F$50:$AN$50,0))*$AJ184</f>
        <v>0</v>
      </c>
      <c r="AV184" s="59">
        <f ca="1">INDEX('General Inputs'!$F$51:$AN$51,MATCH($H184,'General Inputs'!$F$50:$AN$50,0))*$AI184</f>
        <v>918.7798603454612</v>
      </c>
      <c r="AW184" s="59">
        <f ca="1">INDEX('General Inputs'!$F$51:$AN$51,MATCH($H184,'General Inputs'!$F$50:$AN$50,0))*$AM184</f>
        <v>0</v>
      </c>
      <c r="AX184" s="59">
        <f ca="1">SUM(INDEX('General Inputs'!$F$51:$AN$51,MATCH($H184,'General Inputs'!$F$50:$AN$50,0))*$AG184,INDEX('General Inputs'!$F$51:$AN$51,MATCH($H184+$AL184,'General Inputs'!$F$50:$AN$50,0))*-$AH184)</f>
        <v>3592.4292539507533</v>
      </c>
      <c r="AY184" s="55"/>
      <c r="AZ184" s="59">
        <f ca="1">SUMPRODUCT($CA184:$DI184,'General Inputs'!$F$32:$AN$32,'General Inputs'!$F$52:$AN$52)/(1-Loss_ElectricEnergy)</f>
        <v>2398.9178451108091</v>
      </c>
      <c r="BA184" s="59">
        <f ca="1">SUMPRODUCT($DK184:$ES184,'General Inputs'!$F$33:$AN$33,'General Inputs'!$F$52:$AN$52)/(1-Loss_ElectricDemand)</f>
        <v>351.92253333796975</v>
      </c>
      <c r="BB184" s="59">
        <f ca="1">SUMPRODUCT($EU184:$GC184,'General Inputs'!$F$34:$AN$34,'General Inputs'!$F$52:$AN$52)/(1-Loss_GasEnergy)</f>
        <v>0</v>
      </c>
      <c r="BC184" s="59">
        <f ca="1">INDEX('General Inputs'!$F$52:$AN$52,MATCH($H184,'General Inputs'!$F$50:$AN$50,0))*$AI184</f>
        <v>918.7798603454612</v>
      </c>
      <c r="BD184" s="59">
        <f ca="1">INDEX('General Inputs'!$F$52:$AN$52,MATCH($H184,'General Inputs'!$F$50:$AN$50,0))*$AM184</f>
        <v>0</v>
      </c>
      <c r="BE184" s="55"/>
      <c r="BF184" s="59">
        <f ca="1">SUMPRODUCT($CA184:$DI184,OFFSET('General Inputs'!$F$40:$AN$40,MATCH($D184&amp;" Electric ($/kWh)",'General Inputs'!$E$40:$E$46,0),),'General Inputs'!$F$54:$AN$54)</f>
        <v>0</v>
      </c>
      <c r="BG184" s="59">
        <f ca="1">SUMPRODUCT($EU184:$GC184,OFFSET('General Inputs'!$F$40:$AN$40,MATCH($D184&amp;" Natural Gas ($/therm)",'General Inputs'!$E$40:$E$46,0),),'General Inputs'!$F$54:$AN$54)</f>
        <v>0</v>
      </c>
      <c r="BH184" s="59">
        <f ca="1">INDEX('General Inputs'!$F$54:$AN$54,MATCH($H184,'General Inputs'!$F$50:$AN$50,0))*$AI184</f>
        <v>918.7798603454612</v>
      </c>
      <c r="BI184" s="59">
        <f ca="1">SUM(INDEX('General Inputs'!$F$54:$AN$54,MATCH($H184,'General Inputs'!$F$50:$AN$50,0))*$AG184,INDEX('General Inputs'!$F$51:$AN$51,MATCH($H184+$AL184,'General Inputs'!$F$50:$AN$50,0))*-$AH184)</f>
        <v>3592.4292539507533</v>
      </c>
      <c r="BJ184" s="55"/>
      <c r="BK184" s="59">
        <f ca="1">SUMPRODUCT($CA184:$DI184,'General Inputs'!$F$32:$AN$32,'General Inputs'!$F$53:$AN$53)/(1-Loss_ElectricEnergy)</f>
        <v>2398.9178451108091</v>
      </c>
      <c r="BL184" s="59">
        <f ca="1">SUMPRODUCT($DK184:$ES184,'General Inputs'!$F$33:$AN$33,'General Inputs'!$F$53:$AN$53)/(1-Loss_ElectricDemand)</f>
        <v>351.92253333796975</v>
      </c>
      <c r="BM184" s="59">
        <f ca="1">SUMPRODUCT($EU184:$GC184,'General Inputs'!$F$34:$AN$34,'General Inputs'!$F$53:$AN$53)/(1-Loss_GasEnergy)</f>
        <v>0</v>
      </c>
      <c r="BN184" s="59">
        <f ca="1">INDEX('General Inputs'!$F$53:$AN$53,MATCH($H184,'General Inputs'!$F$50:$AN$50,0))*$AJ184</f>
        <v>0</v>
      </c>
      <c r="BO184" s="59">
        <f ca="1">SUMPRODUCT($CA184:$DI184,'General Inputs'!$F$35:$AN$35,'General Inputs'!$F$53:$AN$53)/(1-Loss_ElectricEnergy)</f>
        <v>924.92124112838462</v>
      </c>
      <c r="BP184" s="59">
        <f ca="1">INDEX('General Inputs'!$F$51:$AN$51,MATCH($H184,'General Inputs'!$F$50:$AN$50,0))*$AM184</f>
        <v>0</v>
      </c>
      <c r="BQ184" s="59">
        <f ca="1">SUM(INDEX('General Inputs'!$F$53:$AN$53,MATCH($H184,'General Inputs'!$F$50:$AN$50,0))*$AG184,INDEX('General Inputs'!$F$53:$AN$53,MATCH($H184+$AL184,'General Inputs'!$F$50:$AN$50,0))*-$AH184)</f>
        <v>3592.4292539507533</v>
      </c>
      <c r="BR184" s="55"/>
      <c r="BS184" s="59">
        <f ca="1">SUMPRODUCT($CA184:$DI184,'General Inputs'!$F$32:$AN$32,'General Inputs'!$F$55:$AN$55)/(1-Loss_ElectricEnergy)</f>
        <v>2398.9178451108091</v>
      </c>
      <c r="BT184" s="59">
        <f ca="1">SUMPRODUCT($DK184:$ES184,'General Inputs'!$F$33:$AN$33,'General Inputs'!$F$55:$AN$55)/(1-Loss_ElectricDemand)</f>
        <v>351.92253333796975</v>
      </c>
      <c r="BU184" s="59">
        <f ca="1">SUMPRODUCT($EU184:$GC184,'General Inputs'!$F$34:$AN$34,'General Inputs'!$F$55:$AN$55)/(1-Loss_GasEnergy)</f>
        <v>0</v>
      </c>
      <c r="BV184" s="59">
        <f ca="1">SUMPRODUCT($CA184:$DI184,OFFSET('General Inputs'!$F$40:$AN$40,MATCH($D184&amp;" Electric ($/kWh)",'General Inputs'!$E$40:$E$46,0),),'General Inputs'!$F$55:$AN$55)</f>
        <v>0</v>
      </c>
      <c r="BW184" s="59">
        <f ca="1">SUMPRODUCT($EU184:$GC184,OFFSET('General Inputs'!$F$40:$AN$40,MATCH($D184&amp;" Natural Gas ($/therm)",'General Inputs'!$E$40:$E$46,0),),'General Inputs'!$F$55:$AN$55)</f>
        <v>0</v>
      </c>
      <c r="BX184" s="59">
        <f ca="1">INDEX('General Inputs'!$F$55:$AN$55,MATCH($H184,'General Inputs'!$F$50:$AN$50,0))*$AI184</f>
        <v>918.7798603454612</v>
      </c>
      <c r="BY184" s="59">
        <f ca="1">INDEX('General Inputs'!$F$51:$AN$51,MATCH($H184,'General Inputs'!$F$50:$AN$50,0))*$AM184</f>
        <v>0</v>
      </c>
      <c r="BZ184" s="55"/>
      <c r="CA184" s="88">
        <f t="shared" ca="1" si="400"/>
        <v>0</v>
      </c>
      <c r="CB184" s="88">
        <f t="shared" ca="1" si="400"/>
        <v>11963.32</v>
      </c>
      <c r="CC184" s="88">
        <f t="shared" ca="1" si="400"/>
        <v>11963.32</v>
      </c>
      <c r="CD184" s="88">
        <f t="shared" ca="1" si="400"/>
        <v>11963.32</v>
      </c>
      <c r="CE184" s="88">
        <f t="shared" ca="1" si="400"/>
        <v>11963.32</v>
      </c>
      <c r="CF184" s="88">
        <f t="shared" ca="1" si="400"/>
        <v>11963.32</v>
      </c>
      <c r="CG184" s="88">
        <f t="shared" ca="1" si="400"/>
        <v>11963.32</v>
      </c>
      <c r="CH184" s="88">
        <f t="shared" ca="1" si="400"/>
        <v>11963.32</v>
      </c>
      <c r="CI184" s="88">
        <f t="shared" ca="1" si="400"/>
        <v>11963.32</v>
      </c>
      <c r="CJ184" s="88">
        <f t="shared" ca="1" si="400"/>
        <v>11963.32</v>
      </c>
      <c r="CK184" s="88">
        <f t="shared" ca="1" si="401"/>
        <v>11963.32</v>
      </c>
      <c r="CL184" s="88">
        <f t="shared" ca="1" si="401"/>
        <v>0</v>
      </c>
      <c r="CM184" s="88">
        <f t="shared" ca="1" si="401"/>
        <v>0</v>
      </c>
      <c r="CN184" s="88">
        <f t="shared" ca="1" si="401"/>
        <v>0</v>
      </c>
      <c r="CO184" s="88">
        <f t="shared" ca="1" si="401"/>
        <v>0</v>
      </c>
      <c r="CP184" s="88">
        <f t="shared" ca="1" si="401"/>
        <v>0</v>
      </c>
      <c r="CQ184" s="88">
        <f t="shared" ca="1" si="401"/>
        <v>0</v>
      </c>
      <c r="CR184" s="88">
        <f t="shared" ca="1" si="401"/>
        <v>0</v>
      </c>
      <c r="CS184" s="88">
        <f t="shared" ca="1" si="401"/>
        <v>0</v>
      </c>
      <c r="CT184" s="88">
        <f t="shared" ca="1" si="401"/>
        <v>0</v>
      </c>
      <c r="CU184" s="88">
        <f t="shared" ca="1" si="402"/>
        <v>0</v>
      </c>
      <c r="CV184" s="88">
        <f t="shared" ca="1" si="402"/>
        <v>0</v>
      </c>
      <c r="CW184" s="88">
        <f t="shared" ca="1" si="402"/>
        <v>0</v>
      </c>
      <c r="CX184" s="88">
        <f t="shared" ca="1" si="402"/>
        <v>0</v>
      </c>
      <c r="CY184" s="88">
        <f t="shared" ca="1" si="402"/>
        <v>0</v>
      </c>
      <c r="CZ184" s="88">
        <f t="shared" ca="1" si="402"/>
        <v>0</v>
      </c>
      <c r="DA184" s="88">
        <f t="shared" ca="1" si="402"/>
        <v>0</v>
      </c>
      <c r="DB184" s="88">
        <f t="shared" ca="1" si="402"/>
        <v>0</v>
      </c>
      <c r="DC184" s="88">
        <f t="shared" ca="1" si="402"/>
        <v>0</v>
      </c>
      <c r="DD184" s="88">
        <f t="shared" ca="1" si="402"/>
        <v>0</v>
      </c>
      <c r="DE184" s="88">
        <f t="shared" ca="1" si="402"/>
        <v>0</v>
      </c>
      <c r="DF184" s="88">
        <f t="shared" ca="1" si="402"/>
        <v>0</v>
      </c>
      <c r="DG184" s="88">
        <f t="shared" ca="1" si="402"/>
        <v>0</v>
      </c>
      <c r="DH184" s="88">
        <f t="shared" ca="1" si="402"/>
        <v>0</v>
      </c>
      <c r="DI184" s="88">
        <f t="shared" ca="1" si="402"/>
        <v>0</v>
      </c>
      <c r="DJ184" s="169"/>
      <c r="DK184" s="88">
        <f t="shared" ca="1" si="403"/>
        <v>0</v>
      </c>
      <c r="DL184" s="88">
        <f t="shared" ca="1" si="403"/>
        <v>2.44</v>
      </c>
      <c r="DM184" s="88">
        <f t="shared" ca="1" si="403"/>
        <v>2.44</v>
      </c>
      <c r="DN184" s="88">
        <f t="shared" ca="1" si="403"/>
        <v>2.44</v>
      </c>
      <c r="DO184" s="88">
        <f t="shared" ca="1" si="403"/>
        <v>2.44</v>
      </c>
      <c r="DP184" s="88">
        <f t="shared" ca="1" si="403"/>
        <v>2.44</v>
      </c>
      <c r="DQ184" s="88">
        <f t="shared" ca="1" si="403"/>
        <v>2.44</v>
      </c>
      <c r="DR184" s="88">
        <f t="shared" ca="1" si="403"/>
        <v>2.44</v>
      </c>
      <c r="DS184" s="88">
        <f t="shared" ca="1" si="403"/>
        <v>2.44</v>
      </c>
      <c r="DT184" s="88">
        <f t="shared" ca="1" si="403"/>
        <v>2.44</v>
      </c>
      <c r="DU184" s="88">
        <f t="shared" ca="1" si="404"/>
        <v>2.44</v>
      </c>
      <c r="DV184" s="88">
        <f t="shared" ca="1" si="404"/>
        <v>0</v>
      </c>
      <c r="DW184" s="88">
        <f t="shared" ca="1" si="404"/>
        <v>0</v>
      </c>
      <c r="DX184" s="88">
        <f t="shared" ca="1" si="404"/>
        <v>0</v>
      </c>
      <c r="DY184" s="88">
        <f t="shared" ca="1" si="404"/>
        <v>0</v>
      </c>
      <c r="DZ184" s="88">
        <f t="shared" ca="1" si="404"/>
        <v>0</v>
      </c>
      <c r="EA184" s="88">
        <f t="shared" ca="1" si="404"/>
        <v>0</v>
      </c>
      <c r="EB184" s="88">
        <f t="shared" ca="1" si="404"/>
        <v>0</v>
      </c>
      <c r="EC184" s="88">
        <f t="shared" ca="1" si="404"/>
        <v>0</v>
      </c>
      <c r="ED184" s="88">
        <f t="shared" ca="1" si="404"/>
        <v>0</v>
      </c>
      <c r="EE184" s="88">
        <f t="shared" ca="1" si="405"/>
        <v>0</v>
      </c>
      <c r="EF184" s="88">
        <f t="shared" ca="1" si="405"/>
        <v>0</v>
      </c>
      <c r="EG184" s="88">
        <f t="shared" ca="1" si="405"/>
        <v>0</v>
      </c>
      <c r="EH184" s="88">
        <f t="shared" ca="1" si="405"/>
        <v>0</v>
      </c>
      <c r="EI184" s="88">
        <f t="shared" ca="1" si="405"/>
        <v>0</v>
      </c>
      <c r="EJ184" s="88">
        <f t="shared" ca="1" si="405"/>
        <v>0</v>
      </c>
      <c r="EK184" s="88">
        <f t="shared" ca="1" si="405"/>
        <v>0</v>
      </c>
      <c r="EL184" s="88">
        <f t="shared" ca="1" si="405"/>
        <v>0</v>
      </c>
      <c r="EM184" s="88">
        <f t="shared" ca="1" si="405"/>
        <v>0</v>
      </c>
      <c r="EN184" s="88">
        <f t="shared" ca="1" si="405"/>
        <v>0</v>
      </c>
      <c r="EO184" s="88">
        <f t="shared" ca="1" si="405"/>
        <v>0</v>
      </c>
      <c r="EP184" s="88">
        <f t="shared" ca="1" si="405"/>
        <v>0</v>
      </c>
      <c r="EQ184" s="88">
        <f t="shared" ca="1" si="405"/>
        <v>0</v>
      </c>
      <c r="ER184" s="88">
        <f t="shared" ca="1" si="405"/>
        <v>0</v>
      </c>
      <c r="ES184" s="88">
        <f t="shared" ca="1" si="405"/>
        <v>0</v>
      </c>
      <c r="ET184" s="169"/>
      <c r="EU184" s="88">
        <f t="shared" ca="1" si="406"/>
        <v>0</v>
      </c>
      <c r="EV184" s="88">
        <f t="shared" ca="1" si="406"/>
        <v>0</v>
      </c>
      <c r="EW184" s="88">
        <f t="shared" ca="1" si="406"/>
        <v>0</v>
      </c>
      <c r="EX184" s="88">
        <f t="shared" ca="1" si="406"/>
        <v>0</v>
      </c>
      <c r="EY184" s="88">
        <f t="shared" ca="1" si="406"/>
        <v>0</v>
      </c>
      <c r="EZ184" s="88">
        <f t="shared" ca="1" si="406"/>
        <v>0</v>
      </c>
      <c r="FA184" s="88">
        <f t="shared" ca="1" si="406"/>
        <v>0</v>
      </c>
      <c r="FB184" s="88">
        <f t="shared" ca="1" si="406"/>
        <v>0</v>
      </c>
      <c r="FC184" s="88">
        <f t="shared" ca="1" si="406"/>
        <v>0</v>
      </c>
      <c r="FD184" s="88">
        <f t="shared" ca="1" si="406"/>
        <v>0</v>
      </c>
      <c r="FE184" s="88">
        <f t="shared" ca="1" si="407"/>
        <v>0</v>
      </c>
      <c r="FF184" s="88">
        <f t="shared" ca="1" si="407"/>
        <v>0</v>
      </c>
      <c r="FG184" s="88">
        <f t="shared" ca="1" si="407"/>
        <v>0</v>
      </c>
      <c r="FH184" s="88">
        <f t="shared" ca="1" si="407"/>
        <v>0</v>
      </c>
      <c r="FI184" s="88">
        <f t="shared" ca="1" si="407"/>
        <v>0</v>
      </c>
      <c r="FJ184" s="88">
        <f t="shared" ca="1" si="407"/>
        <v>0</v>
      </c>
      <c r="FK184" s="88">
        <f t="shared" ca="1" si="407"/>
        <v>0</v>
      </c>
      <c r="FL184" s="88">
        <f t="shared" ca="1" si="407"/>
        <v>0</v>
      </c>
      <c r="FM184" s="88">
        <f t="shared" ca="1" si="407"/>
        <v>0</v>
      </c>
      <c r="FN184" s="88">
        <f t="shared" ca="1" si="407"/>
        <v>0</v>
      </c>
      <c r="FO184" s="88">
        <f t="shared" ca="1" si="408"/>
        <v>0</v>
      </c>
      <c r="FP184" s="88">
        <f t="shared" ca="1" si="408"/>
        <v>0</v>
      </c>
      <c r="FQ184" s="88">
        <f t="shared" ca="1" si="408"/>
        <v>0</v>
      </c>
      <c r="FR184" s="88">
        <f t="shared" ca="1" si="408"/>
        <v>0</v>
      </c>
      <c r="FS184" s="88">
        <f t="shared" ca="1" si="408"/>
        <v>0</v>
      </c>
      <c r="FT184" s="88">
        <f t="shared" ca="1" si="408"/>
        <v>0</v>
      </c>
      <c r="FU184" s="88">
        <f t="shared" ca="1" si="408"/>
        <v>0</v>
      </c>
      <c r="FV184" s="88">
        <f t="shared" ca="1" si="408"/>
        <v>0</v>
      </c>
      <c r="FW184" s="88">
        <f t="shared" ca="1" si="408"/>
        <v>0</v>
      </c>
      <c r="FX184" s="88">
        <f t="shared" ca="1" si="408"/>
        <v>0</v>
      </c>
      <c r="FY184" s="88">
        <f t="shared" ca="1" si="408"/>
        <v>0</v>
      </c>
      <c r="FZ184" s="88">
        <f t="shared" ca="1" si="408"/>
        <v>0</v>
      </c>
      <c r="GA184" s="88">
        <f t="shared" ca="1" si="408"/>
        <v>0</v>
      </c>
      <c r="GB184" s="88">
        <f t="shared" ca="1" si="408"/>
        <v>0</v>
      </c>
      <c r="GC184" s="88">
        <f t="shared" ca="1" si="408"/>
        <v>0</v>
      </c>
      <c r="GD184" s="60"/>
    </row>
    <row r="185" spans="1:186" s="54" customFormat="1" ht="14.45" customHeight="1">
      <c r="A185" s="61"/>
      <c r="B185" s="100" t="str">
        <f t="shared" si="345"/>
        <v>C&amp;I_C&amp;I Prescriptive_0_Energy Star LED downlights (new or retrofit) (50W or less)_2018</v>
      </c>
      <c r="C185" s="100">
        <f>INDEX('Measure Inputs'!$D:$D,MATCH($B185,'Measure Inputs'!$B:$B,0))</f>
        <v>137</v>
      </c>
      <c r="D185" s="101" t="s">
        <v>256</v>
      </c>
      <c r="E185" s="101" t="s">
        <v>255</v>
      </c>
      <c r="F185" s="101">
        <v>0</v>
      </c>
      <c r="G185" s="101" t="s">
        <v>362</v>
      </c>
      <c r="H185" s="101">
        <v>2018</v>
      </c>
      <c r="I185" s="55"/>
      <c r="J185" s="58">
        <f t="shared" ca="1" si="229"/>
        <v>3.3052485968784899</v>
      </c>
      <c r="K185" s="58">
        <f t="shared" ca="1" si="246"/>
        <v>2.5497632033062634</v>
      </c>
      <c r="L185" s="58">
        <f t="shared" ca="1" si="230"/>
        <v>1.2962962962962963</v>
      </c>
      <c r="M185" s="58">
        <f t="shared" ca="1" si="231"/>
        <v>4.3484338678153307</v>
      </c>
      <c r="N185" s="58">
        <f t="shared" ca="1" si="232"/>
        <v>2.5497632033062634</v>
      </c>
      <c r="O185" s="55"/>
      <c r="P185" s="175">
        <f ca="1">IFERROR(($AW185+AV185)/SUMPRODUCT($CA185:$DI185,'General Inputs'!$F$51:$AN$51),"n/a")</f>
        <v>1.486465330452824E-2</v>
      </c>
      <c r="Q185" s="175">
        <f t="shared" ca="1" si="386"/>
        <v>0.1316523410739017</v>
      </c>
      <c r="R185" s="56">
        <f t="shared" ca="1" si="364"/>
        <v>239.26653899999988</v>
      </c>
      <c r="S185" s="55"/>
      <c r="T185" s="56">
        <f ca="1">INDEX(OFFSET('Measure Inputs'!$L$7,,,InputRows),$C185)</f>
        <v>60</v>
      </c>
      <c r="U185" s="134">
        <f ca="1">INDEX(OFFSET('Measure Inputs'!$T$7,,,InputRows),$C185)</f>
        <v>1</v>
      </c>
      <c r="V185" s="134">
        <f ca="1">INDEX(OFFSET('Measure Inputs'!$U$7,,,InputRows),$C185)</f>
        <v>1</v>
      </c>
      <c r="W185" s="55"/>
      <c r="X185" s="96">
        <f ca="1">INDEX(OFFSET('Measure Inputs'!$V$7,,,InputRows),$C185)*$T185*$V185*$U185</f>
        <v>15951.102599999998</v>
      </c>
      <c r="Y185" s="96">
        <f ca="1">INDEX(OFFSET('Measure Inputs'!$W$7,,,InputRows),$C185)*$T185*$V185*$U185</f>
        <v>4.2294</v>
      </c>
      <c r="Z185" s="96">
        <f ca="1">INDEX(OFFSET('Measure Inputs'!$X$7,,,InputRows),$C185)*$T185*$V185*$U185</f>
        <v>0</v>
      </c>
      <c r="AA185" s="55"/>
      <c r="AB185" s="96">
        <f ca="1">INDEX(OFFSET('Measure Inputs'!$Z$7,,,InputRows),$C185)*$T185*$V185*$U185</f>
        <v>0</v>
      </c>
      <c r="AC185" s="96">
        <f ca="1">INDEX(OFFSET('Measure Inputs'!$AA$7,,,InputRows),$C185)*$T185*$V185*$U185</f>
        <v>0</v>
      </c>
      <c r="AD185" s="96">
        <f ca="1">INDEX(OFFSET('Measure Inputs'!$AB$7,,,InputRows),$C185)*$T185*$V185*$U185</f>
        <v>0</v>
      </c>
      <c r="AE185" s="55"/>
      <c r="AF185" s="57">
        <f ca="1">INDEX(OFFSET('Measure Inputs'!$Q$7,,,InputRows),$C185)*$T185</f>
        <v>0</v>
      </c>
      <c r="AG185" s="57">
        <f ca="1">INDEX(OFFSET('Measure Inputs'!$P$7,,,InputRows),$C185)*$T185*$V185</f>
        <v>1620</v>
      </c>
      <c r="AH185" s="57">
        <f ca="1">INDEX(OFFSET('Measure Inputs'!$R$7,,,InputRows),$C185)*$T185*$V185</f>
        <v>0</v>
      </c>
      <c r="AI185" s="57">
        <f ca="1">INDEX(OFFSET('Measure Inputs'!$O$7,,,InputRows),$C185)*$T185</f>
        <v>2100</v>
      </c>
      <c r="AJ185" s="57">
        <f ca="1">INDEX(OFFSET('Measure Inputs'!$S$7,,,InputRows),$C185)*$T185</f>
        <v>0</v>
      </c>
      <c r="AK185" s="63">
        <f ca="1">INDEX(OFFSET('Measure Inputs'!$M$7,,,InputRows),$C185)</f>
        <v>15</v>
      </c>
      <c r="AL185" s="88">
        <f ca="1">INDEX(OFFSET('Measure Inputs'!$N$7,,,InputRows),$C185)</f>
        <v>0</v>
      </c>
      <c r="AM185" s="57">
        <f ca="1">SUMIFS(OFFSET('Program Inputs'!$N$5,,,TotalPrograms),OFFSET('Program Inputs'!$B$5,,,TotalPrograms),SUBSTITUTE($B185,"All","*"))+AF185</f>
        <v>0</v>
      </c>
      <c r="AN185" s="57">
        <f t="shared" ca="1" si="365"/>
        <v>2100</v>
      </c>
      <c r="AO185" s="55"/>
      <c r="AP185" s="59">
        <f t="shared" ca="1" si="366"/>
        <v>4919.6092676802218</v>
      </c>
      <c r="AQ185" s="59">
        <f t="shared" ca="1" si="367"/>
        <v>1488.4233737596471</v>
      </c>
      <c r="AR185" s="59">
        <f ca="1">SUMPRODUCT($CA185:$DI185,'General Inputs'!$F$32:$AN$32,'General Inputs'!$F$51:$AN$51)/(1-Loss_ElectricEnergy)</f>
        <v>4131.6478629769108</v>
      </c>
      <c r="AS185" s="59">
        <f ca="1">SUMPRODUCT($DK185:$ES185,'General Inputs'!$F$33:$AN$33,'General Inputs'!$F$51:$AN$51)/(1-Loss_ElectricDemand)</f>
        <v>787.96140470331147</v>
      </c>
      <c r="AT185" s="59">
        <f ca="1">SUMPRODUCT($EU185:$GC185,'General Inputs'!$F$34:$AN$34,'General Inputs'!$F$51:$AN$51)/(1-Loss_GasEnergy)</f>
        <v>0</v>
      </c>
      <c r="AU185" s="59">
        <f ca="1">INDEX('General Inputs'!$F$51:$AN$51,MATCH($H185,'General Inputs'!$F$50:$AN$50,0))*$AJ185</f>
        <v>0</v>
      </c>
      <c r="AV185" s="59">
        <f ca="1">INDEX('General Inputs'!$F$51:$AN$51,MATCH($H185,'General Inputs'!$F$50:$AN$50,0))*$AI185</f>
        <v>1929.4377067254686</v>
      </c>
      <c r="AW185" s="59">
        <f ca="1">INDEX('General Inputs'!$F$51:$AN$51,MATCH($H185,'General Inputs'!$F$50:$AN$50,0))*$AM185</f>
        <v>0</v>
      </c>
      <c r="AX185" s="59">
        <f ca="1">SUM(INDEX('General Inputs'!$F$51:$AN$51,MATCH($H185,'General Inputs'!$F$50:$AN$50,0))*$AG185,INDEX('General Inputs'!$F$51:$AN$51,MATCH($H185+$AL185,'General Inputs'!$F$50:$AN$50,0))*-$AH185)</f>
        <v>1488.4233737596471</v>
      </c>
      <c r="AY185" s="55"/>
      <c r="AZ185" s="59">
        <f ca="1">SUMPRODUCT($CA185:$DI185,'General Inputs'!$F$32:$AN$32,'General Inputs'!$F$52:$AN$52)/(1-Loss_ElectricEnergy)</f>
        <v>4131.6478629769108</v>
      </c>
      <c r="BA185" s="59">
        <f ca="1">SUMPRODUCT($DK185:$ES185,'General Inputs'!$F$33:$AN$33,'General Inputs'!$F$52:$AN$52)/(1-Loss_ElectricDemand)</f>
        <v>787.96140470331147</v>
      </c>
      <c r="BB185" s="59">
        <f ca="1">SUMPRODUCT($EU185:$GC185,'General Inputs'!$F$34:$AN$34,'General Inputs'!$F$52:$AN$52)/(1-Loss_GasEnergy)</f>
        <v>0</v>
      </c>
      <c r="BC185" s="59">
        <f ca="1">INDEX('General Inputs'!$F$52:$AN$52,MATCH($H185,'General Inputs'!$F$50:$AN$50,0))*$AI185</f>
        <v>1929.4377067254686</v>
      </c>
      <c r="BD185" s="59">
        <f ca="1">INDEX('General Inputs'!$F$52:$AN$52,MATCH($H185,'General Inputs'!$F$50:$AN$50,0))*$AM185</f>
        <v>0</v>
      </c>
      <c r="BE185" s="55"/>
      <c r="BF185" s="59">
        <f ca="1">SUMPRODUCT($CA185:$DI185,OFFSET('General Inputs'!$F$40:$AN$40,MATCH($D185&amp;" Electric ($/kWh)",'General Inputs'!$E$40:$E$46,0),),'General Inputs'!$F$54:$AN$54)</f>
        <v>0</v>
      </c>
      <c r="BG185" s="59">
        <f ca="1">SUMPRODUCT($EU185:$GC185,OFFSET('General Inputs'!$F$40:$AN$40,MATCH($D185&amp;" Natural Gas ($/therm)",'General Inputs'!$E$40:$E$46,0),),'General Inputs'!$F$54:$AN$54)</f>
        <v>0</v>
      </c>
      <c r="BH185" s="59">
        <f ca="1">INDEX('General Inputs'!$F$54:$AN$54,MATCH($H185,'General Inputs'!$F$50:$AN$50,0))*$AI185</f>
        <v>1929.4377067254686</v>
      </c>
      <c r="BI185" s="59">
        <f ca="1">SUM(INDEX('General Inputs'!$F$54:$AN$54,MATCH($H185,'General Inputs'!$F$50:$AN$50,0))*$AG185,INDEX('General Inputs'!$F$51:$AN$51,MATCH($H185+$AL185,'General Inputs'!$F$50:$AN$50,0))*-$AH185)</f>
        <v>1488.4233737596471</v>
      </c>
      <c r="BJ185" s="55"/>
      <c r="BK185" s="59">
        <f ca="1">SUMPRODUCT($CA185:$DI185,'General Inputs'!$F$32:$AN$32,'General Inputs'!$F$53:$AN$53)/(1-Loss_ElectricEnergy)</f>
        <v>4131.6478629769108</v>
      </c>
      <c r="BL185" s="59">
        <f ca="1">SUMPRODUCT($DK185:$ES185,'General Inputs'!$F$33:$AN$33,'General Inputs'!$F$53:$AN$53)/(1-Loss_ElectricDemand)</f>
        <v>787.96140470331147</v>
      </c>
      <c r="BM185" s="59">
        <f ca="1">SUMPRODUCT($EU185:$GC185,'General Inputs'!$F$34:$AN$34,'General Inputs'!$F$53:$AN$53)/(1-Loss_GasEnergy)</f>
        <v>0</v>
      </c>
      <c r="BN185" s="59">
        <f ca="1">INDEX('General Inputs'!$F$53:$AN$53,MATCH($H185,'General Inputs'!$F$50:$AN$50,0))*$AJ185</f>
        <v>0</v>
      </c>
      <c r="BO185" s="59">
        <f ca="1">SUMPRODUCT($CA185:$DI185,'General Inputs'!$F$35:$AN$35,'General Inputs'!$F$53:$AN$53)/(1-Loss_ElectricEnergy)</f>
        <v>1552.7013404241848</v>
      </c>
      <c r="BP185" s="59">
        <f ca="1">INDEX('General Inputs'!$F$51:$AN$51,MATCH($H185,'General Inputs'!$F$50:$AN$50,0))*$AM185</f>
        <v>0</v>
      </c>
      <c r="BQ185" s="59">
        <f ca="1">SUM(INDEX('General Inputs'!$F$53:$AN$53,MATCH($H185,'General Inputs'!$F$50:$AN$50,0))*$AG185,INDEX('General Inputs'!$F$53:$AN$53,MATCH($H185+$AL185,'General Inputs'!$F$50:$AN$50,0))*-$AH185)</f>
        <v>1488.4233737596471</v>
      </c>
      <c r="BR185" s="55"/>
      <c r="BS185" s="59">
        <f ca="1">SUMPRODUCT($CA185:$DI185,'General Inputs'!$F$32:$AN$32,'General Inputs'!$F$55:$AN$55)/(1-Loss_ElectricEnergy)</f>
        <v>4131.6478629769108</v>
      </c>
      <c r="BT185" s="59">
        <f ca="1">SUMPRODUCT($DK185:$ES185,'General Inputs'!$F$33:$AN$33,'General Inputs'!$F$55:$AN$55)/(1-Loss_ElectricDemand)</f>
        <v>787.96140470331147</v>
      </c>
      <c r="BU185" s="59">
        <f ca="1">SUMPRODUCT($EU185:$GC185,'General Inputs'!$F$34:$AN$34,'General Inputs'!$F$55:$AN$55)/(1-Loss_GasEnergy)</f>
        <v>0</v>
      </c>
      <c r="BV185" s="59">
        <f ca="1">SUMPRODUCT($CA185:$DI185,OFFSET('General Inputs'!$F$40:$AN$40,MATCH($D185&amp;" Electric ($/kWh)",'General Inputs'!$E$40:$E$46,0),),'General Inputs'!$F$55:$AN$55)</f>
        <v>0</v>
      </c>
      <c r="BW185" s="59">
        <f ca="1">SUMPRODUCT($EU185:$GC185,OFFSET('General Inputs'!$F$40:$AN$40,MATCH($D185&amp;" Natural Gas ($/therm)",'General Inputs'!$E$40:$E$46,0),),'General Inputs'!$F$55:$AN$55)</f>
        <v>0</v>
      </c>
      <c r="BX185" s="59">
        <f ca="1">INDEX('General Inputs'!$F$55:$AN$55,MATCH($H185,'General Inputs'!$F$50:$AN$50,0))*$AI185</f>
        <v>1929.4377067254686</v>
      </c>
      <c r="BY185" s="59">
        <f ca="1">INDEX('General Inputs'!$F$51:$AN$51,MATCH($H185,'General Inputs'!$F$50:$AN$50,0))*$AM185</f>
        <v>0</v>
      </c>
      <c r="BZ185" s="55"/>
      <c r="CA185" s="88">
        <f t="shared" ca="1" si="400"/>
        <v>0</v>
      </c>
      <c r="CB185" s="88">
        <f t="shared" ca="1" si="400"/>
        <v>15951.102599999998</v>
      </c>
      <c r="CC185" s="88">
        <f t="shared" ca="1" si="400"/>
        <v>15951.102599999998</v>
      </c>
      <c r="CD185" s="88">
        <f t="shared" ca="1" si="400"/>
        <v>15951.102599999998</v>
      </c>
      <c r="CE185" s="88">
        <f t="shared" ca="1" si="400"/>
        <v>15951.102599999998</v>
      </c>
      <c r="CF185" s="88">
        <f t="shared" ca="1" si="400"/>
        <v>15951.102599999998</v>
      </c>
      <c r="CG185" s="88">
        <f t="shared" ca="1" si="400"/>
        <v>15951.102599999998</v>
      </c>
      <c r="CH185" s="88">
        <f t="shared" ca="1" si="400"/>
        <v>15951.102599999998</v>
      </c>
      <c r="CI185" s="88">
        <f t="shared" ca="1" si="400"/>
        <v>15951.102599999998</v>
      </c>
      <c r="CJ185" s="88">
        <f t="shared" ca="1" si="400"/>
        <v>15951.102599999998</v>
      </c>
      <c r="CK185" s="88">
        <f t="shared" ca="1" si="401"/>
        <v>15951.102599999998</v>
      </c>
      <c r="CL185" s="88">
        <f t="shared" ca="1" si="401"/>
        <v>15951.102599999998</v>
      </c>
      <c r="CM185" s="88">
        <f t="shared" ca="1" si="401"/>
        <v>15951.102599999998</v>
      </c>
      <c r="CN185" s="88">
        <f t="shared" ca="1" si="401"/>
        <v>15951.102599999998</v>
      </c>
      <c r="CO185" s="88">
        <f t="shared" ca="1" si="401"/>
        <v>15951.102599999998</v>
      </c>
      <c r="CP185" s="88">
        <f t="shared" ca="1" si="401"/>
        <v>15951.102599999998</v>
      </c>
      <c r="CQ185" s="88">
        <f t="shared" ca="1" si="401"/>
        <v>0</v>
      </c>
      <c r="CR185" s="88">
        <f t="shared" ca="1" si="401"/>
        <v>0</v>
      </c>
      <c r="CS185" s="88">
        <f t="shared" ca="1" si="401"/>
        <v>0</v>
      </c>
      <c r="CT185" s="88">
        <f t="shared" ca="1" si="401"/>
        <v>0</v>
      </c>
      <c r="CU185" s="88">
        <f t="shared" ca="1" si="402"/>
        <v>0</v>
      </c>
      <c r="CV185" s="88">
        <f t="shared" ca="1" si="402"/>
        <v>0</v>
      </c>
      <c r="CW185" s="88">
        <f t="shared" ca="1" si="402"/>
        <v>0</v>
      </c>
      <c r="CX185" s="88">
        <f t="shared" ca="1" si="402"/>
        <v>0</v>
      </c>
      <c r="CY185" s="88">
        <f t="shared" ca="1" si="402"/>
        <v>0</v>
      </c>
      <c r="CZ185" s="88">
        <f t="shared" ca="1" si="402"/>
        <v>0</v>
      </c>
      <c r="DA185" s="88">
        <f t="shared" ca="1" si="402"/>
        <v>0</v>
      </c>
      <c r="DB185" s="88">
        <f t="shared" ca="1" si="402"/>
        <v>0</v>
      </c>
      <c r="DC185" s="88">
        <f t="shared" ca="1" si="402"/>
        <v>0</v>
      </c>
      <c r="DD185" s="88">
        <f t="shared" ca="1" si="402"/>
        <v>0</v>
      </c>
      <c r="DE185" s="88">
        <f t="shared" ca="1" si="402"/>
        <v>0</v>
      </c>
      <c r="DF185" s="88">
        <f t="shared" ca="1" si="402"/>
        <v>0</v>
      </c>
      <c r="DG185" s="88">
        <f t="shared" ca="1" si="402"/>
        <v>0</v>
      </c>
      <c r="DH185" s="88">
        <f t="shared" ca="1" si="402"/>
        <v>0</v>
      </c>
      <c r="DI185" s="88">
        <f t="shared" ca="1" si="402"/>
        <v>0</v>
      </c>
      <c r="DJ185" s="169"/>
      <c r="DK185" s="88">
        <f t="shared" ca="1" si="403"/>
        <v>0</v>
      </c>
      <c r="DL185" s="88">
        <f t="shared" ca="1" si="403"/>
        <v>4.2294</v>
      </c>
      <c r="DM185" s="88">
        <f t="shared" ca="1" si="403"/>
        <v>4.2294</v>
      </c>
      <c r="DN185" s="88">
        <f t="shared" ca="1" si="403"/>
        <v>4.2294</v>
      </c>
      <c r="DO185" s="88">
        <f t="shared" ca="1" si="403"/>
        <v>4.2294</v>
      </c>
      <c r="DP185" s="88">
        <f t="shared" ca="1" si="403"/>
        <v>4.2294</v>
      </c>
      <c r="DQ185" s="88">
        <f t="shared" ca="1" si="403"/>
        <v>4.2294</v>
      </c>
      <c r="DR185" s="88">
        <f t="shared" ca="1" si="403"/>
        <v>4.2294</v>
      </c>
      <c r="DS185" s="88">
        <f t="shared" ca="1" si="403"/>
        <v>4.2294</v>
      </c>
      <c r="DT185" s="88">
        <f t="shared" ca="1" si="403"/>
        <v>4.2294</v>
      </c>
      <c r="DU185" s="88">
        <f t="shared" ca="1" si="404"/>
        <v>4.2294</v>
      </c>
      <c r="DV185" s="88">
        <f t="shared" ca="1" si="404"/>
        <v>4.2294</v>
      </c>
      <c r="DW185" s="88">
        <f t="shared" ca="1" si="404"/>
        <v>4.2294</v>
      </c>
      <c r="DX185" s="88">
        <f t="shared" ca="1" si="404"/>
        <v>4.2294</v>
      </c>
      <c r="DY185" s="88">
        <f t="shared" ca="1" si="404"/>
        <v>4.2294</v>
      </c>
      <c r="DZ185" s="88">
        <f t="shared" ca="1" si="404"/>
        <v>4.2294</v>
      </c>
      <c r="EA185" s="88">
        <f t="shared" ca="1" si="404"/>
        <v>0</v>
      </c>
      <c r="EB185" s="88">
        <f t="shared" ca="1" si="404"/>
        <v>0</v>
      </c>
      <c r="EC185" s="88">
        <f t="shared" ca="1" si="404"/>
        <v>0</v>
      </c>
      <c r="ED185" s="88">
        <f t="shared" ca="1" si="404"/>
        <v>0</v>
      </c>
      <c r="EE185" s="88">
        <f t="shared" ca="1" si="405"/>
        <v>0</v>
      </c>
      <c r="EF185" s="88">
        <f t="shared" ca="1" si="405"/>
        <v>0</v>
      </c>
      <c r="EG185" s="88">
        <f t="shared" ca="1" si="405"/>
        <v>0</v>
      </c>
      <c r="EH185" s="88">
        <f t="shared" ca="1" si="405"/>
        <v>0</v>
      </c>
      <c r="EI185" s="88">
        <f t="shared" ca="1" si="405"/>
        <v>0</v>
      </c>
      <c r="EJ185" s="88">
        <f t="shared" ca="1" si="405"/>
        <v>0</v>
      </c>
      <c r="EK185" s="88">
        <f t="shared" ca="1" si="405"/>
        <v>0</v>
      </c>
      <c r="EL185" s="88">
        <f t="shared" ca="1" si="405"/>
        <v>0</v>
      </c>
      <c r="EM185" s="88">
        <f t="shared" ca="1" si="405"/>
        <v>0</v>
      </c>
      <c r="EN185" s="88">
        <f t="shared" ca="1" si="405"/>
        <v>0</v>
      </c>
      <c r="EO185" s="88">
        <f t="shared" ca="1" si="405"/>
        <v>0</v>
      </c>
      <c r="EP185" s="88">
        <f t="shared" ca="1" si="405"/>
        <v>0</v>
      </c>
      <c r="EQ185" s="88">
        <f t="shared" ca="1" si="405"/>
        <v>0</v>
      </c>
      <c r="ER185" s="88">
        <f t="shared" ca="1" si="405"/>
        <v>0</v>
      </c>
      <c r="ES185" s="88">
        <f t="shared" ca="1" si="405"/>
        <v>0</v>
      </c>
      <c r="ET185" s="169"/>
      <c r="EU185" s="88">
        <f t="shared" ca="1" si="406"/>
        <v>0</v>
      </c>
      <c r="EV185" s="88">
        <f t="shared" ca="1" si="406"/>
        <v>0</v>
      </c>
      <c r="EW185" s="88">
        <f t="shared" ca="1" si="406"/>
        <v>0</v>
      </c>
      <c r="EX185" s="88">
        <f t="shared" ca="1" si="406"/>
        <v>0</v>
      </c>
      <c r="EY185" s="88">
        <f t="shared" ca="1" si="406"/>
        <v>0</v>
      </c>
      <c r="EZ185" s="88">
        <f t="shared" ca="1" si="406"/>
        <v>0</v>
      </c>
      <c r="FA185" s="88">
        <f t="shared" ca="1" si="406"/>
        <v>0</v>
      </c>
      <c r="FB185" s="88">
        <f t="shared" ca="1" si="406"/>
        <v>0</v>
      </c>
      <c r="FC185" s="88">
        <f t="shared" ca="1" si="406"/>
        <v>0</v>
      </c>
      <c r="FD185" s="88">
        <f t="shared" ca="1" si="406"/>
        <v>0</v>
      </c>
      <c r="FE185" s="88">
        <f t="shared" ca="1" si="407"/>
        <v>0</v>
      </c>
      <c r="FF185" s="88">
        <f t="shared" ca="1" si="407"/>
        <v>0</v>
      </c>
      <c r="FG185" s="88">
        <f t="shared" ca="1" si="407"/>
        <v>0</v>
      </c>
      <c r="FH185" s="88">
        <f t="shared" ca="1" si="407"/>
        <v>0</v>
      </c>
      <c r="FI185" s="88">
        <f t="shared" ca="1" si="407"/>
        <v>0</v>
      </c>
      <c r="FJ185" s="88">
        <f t="shared" ca="1" si="407"/>
        <v>0</v>
      </c>
      <c r="FK185" s="88">
        <f t="shared" ca="1" si="407"/>
        <v>0</v>
      </c>
      <c r="FL185" s="88">
        <f t="shared" ca="1" si="407"/>
        <v>0</v>
      </c>
      <c r="FM185" s="88">
        <f t="shared" ca="1" si="407"/>
        <v>0</v>
      </c>
      <c r="FN185" s="88">
        <f t="shared" ca="1" si="407"/>
        <v>0</v>
      </c>
      <c r="FO185" s="88">
        <f t="shared" ca="1" si="408"/>
        <v>0</v>
      </c>
      <c r="FP185" s="88">
        <f t="shared" ca="1" si="408"/>
        <v>0</v>
      </c>
      <c r="FQ185" s="88">
        <f t="shared" ca="1" si="408"/>
        <v>0</v>
      </c>
      <c r="FR185" s="88">
        <f t="shared" ca="1" si="408"/>
        <v>0</v>
      </c>
      <c r="FS185" s="88">
        <f t="shared" ca="1" si="408"/>
        <v>0</v>
      </c>
      <c r="FT185" s="88">
        <f t="shared" ca="1" si="408"/>
        <v>0</v>
      </c>
      <c r="FU185" s="88">
        <f t="shared" ca="1" si="408"/>
        <v>0</v>
      </c>
      <c r="FV185" s="88">
        <f t="shared" ca="1" si="408"/>
        <v>0</v>
      </c>
      <c r="FW185" s="88">
        <f t="shared" ca="1" si="408"/>
        <v>0</v>
      </c>
      <c r="FX185" s="88">
        <f t="shared" ca="1" si="408"/>
        <v>0</v>
      </c>
      <c r="FY185" s="88">
        <f t="shared" ca="1" si="408"/>
        <v>0</v>
      </c>
      <c r="FZ185" s="88">
        <f t="shared" ca="1" si="408"/>
        <v>0</v>
      </c>
      <c r="GA185" s="88">
        <f t="shared" ca="1" si="408"/>
        <v>0</v>
      </c>
      <c r="GB185" s="88">
        <f t="shared" ca="1" si="408"/>
        <v>0</v>
      </c>
      <c r="GC185" s="88">
        <f t="shared" ca="1" si="408"/>
        <v>0</v>
      </c>
      <c r="GD185" s="60"/>
    </row>
    <row r="186" spans="1:186" s="54" customFormat="1" ht="14.45" customHeight="1">
      <c r="A186" s="61"/>
      <c r="B186" s="100" t="str">
        <f t="shared" si="345"/>
        <v>C&amp;I_C&amp;I Prescriptive_0_Refrigerated LED Case Lighting 5- and 6-foot Doors_2018</v>
      </c>
      <c r="C186" s="100">
        <f>INDEX('Measure Inputs'!$D:$D,MATCH($B186,'Measure Inputs'!$B:$B,0))</f>
        <v>138</v>
      </c>
      <c r="D186" s="101" t="s">
        <v>256</v>
      </c>
      <c r="E186" s="101" t="s">
        <v>255</v>
      </c>
      <c r="F186" s="101">
        <v>0</v>
      </c>
      <c r="G186" s="101" t="s">
        <v>363</v>
      </c>
      <c r="H186" s="101">
        <v>2018</v>
      </c>
      <c r="I186" s="55"/>
      <c r="J186" s="58">
        <f t="shared" ca="1" si="229"/>
        <v>1.8870341633964582</v>
      </c>
      <c r="K186" s="58">
        <f t="shared" ca="1" si="246"/>
        <v>2.0757375797361042</v>
      </c>
      <c r="L186" s="58">
        <f t="shared" ca="1" si="230"/>
        <v>0.90909090909090906</v>
      </c>
      <c r="M186" s="58">
        <f t="shared" ca="1" si="231"/>
        <v>2.5593885283611897</v>
      </c>
      <c r="N186" s="58">
        <f t="shared" ca="1" si="232"/>
        <v>2.0757375797361042</v>
      </c>
      <c r="O186" s="55"/>
      <c r="P186" s="175">
        <f ca="1">IFERROR(($AW186+AV186)/SUMPRODUCT($CA186:$DI186,'General Inputs'!$F$51:$AN$51),"n/a")</f>
        <v>1.6174134000233851E-2</v>
      </c>
      <c r="Q186" s="175">
        <f t="shared" ca="1" si="386"/>
        <v>0.11377599781550086</v>
      </c>
      <c r="R186" s="56">
        <f t="shared" ca="1" si="364"/>
        <v>316.41119999999989</v>
      </c>
      <c r="S186" s="55"/>
      <c r="T186" s="56">
        <f ca="1">INDEX(OFFSET('Measure Inputs'!$L$7,,,InputRows),$C186)</f>
        <v>60</v>
      </c>
      <c r="U186" s="134">
        <f ca="1">INDEX(OFFSET('Measure Inputs'!$T$7,,,InputRows),$C186)</f>
        <v>1</v>
      </c>
      <c r="V186" s="134">
        <f ca="1">INDEX(OFFSET('Measure Inputs'!$U$7,,,InputRows),$C186)</f>
        <v>1</v>
      </c>
      <c r="W186" s="55"/>
      <c r="X186" s="96">
        <f ca="1">INDEX(OFFSET('Measure Inputs'!$V$7,,,InputRows),$C186)*$T186*$V186*$U186</f>
        <v>31641.119999999992</v>
      </c>
      <c r="Y186" s="96">
        <f ca="1">INDEX(OFFSET('Measure Inputs'!$W$7,,,InputRows),$C186)*$T186*$V186*$U186</f>
        <v>3.6119999999999992</v>
      </c>
      <c r="Z186" s="96">
        <f ca="1">INDEX(OFFSET('Measure Inputs'!$X$7,,,InputRows),$C186)*$T186*$V186*$U186</f>
        <v>0</v>
      </c>
      <c r="AA186" s="55"/>
      <c r="AB186" s="96">
        <f ca="1">INDEX(OFFSET('Measure Inputs'!$Z$7,,,InputRows),$C186)*$T186*$V186*$U186</f>
        <v>0</v>
      </c>
      <c r="AC186" s="96">
        <f ca="1">INDEX(OFFSET('Measure Inputs'!$AA$7,,,InputRows),$C186)*$T186*$V186*$U186</f>
        <v>0</v>
      </c>
      <c r="AD186" s="96">
        <f ca="1">INDEX(OFFSET('Measure Inputs'!$AB$7,,,InputRows),$C186)*$T186*$V186*$U186</f>
        <v>0</v>
      </c>
      <c r="AE186" s="55"/>
      <c r="AF186" s="57">
        <f ca="1">INDEX(OFFSET('Measure Inputs'!$Q$7,,,InputRows),$C186)*$T186</f>
        <v>0</v>
      </c>
      <c r="AG186" s="57">
        <f ca="1">INDEX(OFFSET('Measure Inputs'!$P$7,,,InputRows),$C186)*$T186*$V186</f>
        <v>3960</v>
      </c>
      <c r="AH186" s="57">
        <f ca="1">INDEX(OFFSET('Measure Inputs'!$R$7,,,InputRows),$C186)*$T186*$V186</f>
        <v>0</v>
      </c>
      <c r="AI186" s="57">
        <f ca="1">INDEX(OFFSET('Measure Inputs'!$O$7,,,InputRows),$C186)*$T186</f>
        <v>3600</v>
      </c>
      <c r="AJ186" s="57">
        <f ca="1">INDEX(OFFSET('Measure Inputs'!$S$7,,,InputRows),$C186)*$T186</f>
        <v>0</v>
      </c>
      <c r="AK186" s="63">
        <f ca="1">INDEX(OFFSET('Measure Inputs'!$M$7,,,InputRows),$C186)</f>
        <v>10</v>
      </c>
      <c r="AL186" s="88">
        <f ca="1">INDEX(OFFSET('Measure Inputs'!$N$7,,,InputRows),$C186)</f>
        <v>0</v>
      </c>
      <c r="AM186" s="57">
        <f ca="1">SUMIFS(OFFSET('Program Inputs'!$N$5,,,TotalPrograms),OFFSET('Program Inputs'!$B$5,,,TotalPrograms),SUBSTITUTE($B186,"All","*"))+AF186</f>
        <v>0</v>
      </c>
      <c r="AN186" s="57">
        <f t="shared" ca="1" si="365"/>
        <v>3600</v>
      </c>
      <c r="AO186" s="55"/>
      <c r="AP186" s="59">
        <f t="shared" ca="1" si="366"/>
        <v>6865.7251810455482</v>
      </c>
      <c r="AQ186" s="59">
        <f t="shared" ca="1" si="367"/>
        <v>3638.3682469680266</v>
      </c>
      <c r="AR186" s="59">
        <f ca="1">SUMPRODUCT($CA186:$DI186,'General Inputs'!$F$32:$AN$32,'General Inputs'!$F$51:$AN$51)/(1-Loss_ElectricEnergy)</f>
        <v>6344.7644472681932</v>
      </c>
      <c r="AS186" s="59">
        <f ca="1">SUMPRODUCT($DK186:$ES186,'General Inputs'!$F$33:$AN$33,'General Inputs'!$F$51:$AN$51)/(1-Loss_ElectricDemand)</f>
        <v>520.96073377735513</v>
      </c>
      <c r="AT186" s="59">
        <f ca="1">SUMPRODUCT($EU186:$GC186,'General Inputs'!$F$34:$AN$34,'General Inputs'!$F$51:$AN$51)/(1-Loss_GasEnergy)</f>
        <v>0</v>
      </c>
      <c r="AU186" s="59">
        <f ca="1">INDEX('General Inputs'!$F$51:$AN$51,MATCH($H186,'General Inputs'!$F$50:$AN$50,0))*$AJ186</f>
        <v>0</v>
      </c>
      <c r="AV186" s="59">
        <f ca="1">INDEX('General Inputs'!$F$51:$AN$51,MATCH($H186,'General Inputs'!$F$50:$AN$50,0))*$AI186</f>
        <v>3307.6074972436604</v>
      </c>
      <c r="AW186" s="59">
        <f ca="1">INDEX('General Inputs'!$F$51:$AN$51,MATCH($H186,'General Inputs'!$F$50:$AN$50,0))*$AM186</f>
        <v>0</v>
      </c>
      <c r="AX186" s="59">
        <f ca="1">SUM(INDEX('General Inputs'!$F$51:$AN$51,MATCH($H186,'General Inputs'!$F$50:$AN$50,0))*$AG186,INDEX('General Inputs'!$F$51:$AN$51,MATCH($H186+$AL186,'General Inputs'!$F$50:$AN$50,0))*-$AH186)</f>
        <v>3638.3682469680266</v>
      </c>
      <c r="AY186" s="55"/>
      <c r="AZ186" s="59">
        <f ca="1">SUMPRODUCT($CA186:$DI186,'General Inputs'!$F$32:$AN$32,'General Inputs'!$F$52:$AN$52)/(1-Loss_ElectricEnergy)</f>
        <v>6344.7644472681932</v>
      </c>
      <c r="BA186" s="59">
        <f ca="1">SUMPRODUCT($DK186:$ES186,'General Inputs'!$F$33:$AN$33,'General Inputs'!$F$52:$AN$52)/(1-Loss_ElectricDemand)</f>
        <v>520.96073377735513</v>
      </c>
      <c r="BB186" s="59">
        <f ca="1">SUMPRODUCT($EU186:$GC186,'General Inputs'!$F$34:$AN$34,'General Inputs'!$F$52:$AN$52)/(1-Loss_GasEnergy)</f>
        <v>0</v>
      </c>
      <c r="BC186" s="59">
        <f ca="1">INDEX('General Inputs'!$F$52:$AN$52,MATCH($H186,'General Inputs'!$F$50:$AN$50,0))*$AI186</f>
        <v>3307.6074972436604</v>
      </c>
      <c r="BD186" s="59">
        <f ca="1">INDEX('General Inputs'!$F$52:$AN$52,MATCH($H186,'General Inputs'!$F$50:$AN$50,0))*$AM186</f>
        <v>0</v>
      </c>
      <c r="BE186" s="55"/>
      <c r="BF186" s="59">
        <f ca="1">SUMPRODUCT($CA186:$DI186,OFFSET('General Inputs'!$F$40:$AN$40,MATCH($D186&amp;" Electric ($/kWh)",'General Inputs'!$E$40:$E$46,0),),'General Inputs'!$F$54:$AN$54)</f>
        <v>0</v>
      </c>
      <c r="BG186" s="59">
        <f ca="1">SUMPRODUCT($EU186:$GC186,OFFSET('General Inputs'!$F$40:$AN$40,MATCH($D186&amp;" Natural Gas ($/therm)",'General Inputs'!$E$40:$E$46,0),),'General Inputs'!$F$54:$AN$54)</f>
        <v>0</v>
      </c>
      <c r="BH186" s="59">
        <f ca="1">INDEX('General Inputs'!$F$54:$AN$54,MATCH($H186,'General Inputs'!$F$50:$AN$50,0))*$AI186</f>
        <v>3307.6074972436604</v>
      </c>
      <c r="BI186" s="59">
        <f ca="1">SUM(INDEX('General Inputs'!$F$54:$AN$54,MATCH($H186,'General Inputs'!$F$50:$AN$50,0))*$AG186,INDEX('General Inputs'!$F$51:$AN$51,MATCH($H186+$AL186,'General Inputs'!$F$50:$AN$50,0))*-$AH186)</f>
        <v>3638.3682469680266</v>
      </c>
      <c r="BJ186" s="55"/>
      <c r="BK186" s="59">
        <f ca="1">SUMPRODUCT($CA186:$DI186,'General Inputs'!$F$32:$AN$32,'General Inputs'!$F$53:$AN$53)/(1-Loss_ElectricEnergy)</f>
        <v>6344.7644472681932</v>
      </c>
      <c r="BL186" s="59">
        <f ca="1">SUMPRODUCT($DK186:$ES186,'General Inputs'!$F$33:$AN$33,'General Inputs'!$F$53:$AN$53)/(1-Loss_ElectricDemand)</f>
        <v>520.96073377735513</v>
      </c>
      <c r="BM186" s="59">
        <f ca="1">SUMPRODUCT($EU186:$GC186,'General Inputs'!$F$34:$AN$34,'General Inputs'!$F$53:$AN$53)/(1-Loss_GasEnergy)</f>
        <v>0</v>
      </c>
      <c r="BN186" s="59">
        <f ca="1">INDEX('General Inputs'!$F$53:$AN$53,MATCH($H186,'General Inputs'!$F$50:$AN$50,0))*$AJ186</f>
        <v>0</v>
      </c>
      <c r="BO186" s="59">
        <f ca="1">SUMPRODUCT($CA186:$DI186,'General Inputs'!$F$35:$AN$35,'General Inputs'!$F$53:$AN$53)/(1-Loss_ElectricEnergy)</f>
        <v>2446.2727721980314</v>
      </c>
      <c r="BP186" s="59">
        <f ca="1">INDEX('General Inputs'!$F$51:$AN$51,MATCH($H186,'General Inputs'!$F$50:$AN$50,0))*$AM186</f>
        <v>0</v>
      </c>
      <c r="BQ186" s="59">
        <f ca="1">SUM(INDEX('General Inputs'!$F$53:$AN$53,MATCH($H186,'General Inputs'!$F$50:$AN$50,0))*$AG186,INDEX('General Inputs'!$F$53:$AN$53,MATCH($H186+$AL186,'General Inputs'!$F$50:$AN$50,0))*-$AH186)</f>
        <v>3638.3682469680266</v>
      </c>
      <c r="BR186" s="55"/>
      <c r="BS186" s="59">
        <f ca="1">SUMPRODUCT($CA186:$DI186,'General Inputs'!$F$32:$AN$32,'General Inputs'!$F$55:$AN$55)/(1-Loss_ElectricEnergy)</f>
        <v>6344.7644472681932</v>
      </c>
      <c r="BT186" s="59">
        <f ca="1">SUMPRODUCT($DK186:$ES186,'General Inputs'!$F$33:$AN$33,'General Inputs'!$F$55:$AN$55)/(1-Loss_ElectricDemand)</f>
        <v>520.96073377735513</v>
      </c>
      <c r="BU186" s="59">
        <f ca="1">SUMPRODUCT($EU186:$GC186,'General Inputs'!$F$34:$AN$34,'General Inputs'!$F$55:$AN$55)/(1-Loss_GasEnergy)</f>
        <v>0</v>
      </c>
      <c r="BV186" s="59">
        <f ca="1">SUMPRODUCT($CA186:$DI186,OFFSET('General Inputs'!$F$40:$AN$40,MATCH($D186&amp;" Electric ($/kWh)",'General Inputs'!$E$40:$E$46,0),),'General Inputs'!$F$55:$AN$55)</f>
        <v>0</v>
      </c>
      <c r="BW186" s="59">
        <f ca="1">SUMPRODUCT($EU186:$GC186,OFFSET('General Inputs'!$F$40:$AN$40,MATCH($D186&amp;" Natural Gas ($/therm)",'General Inputs'!$E$40:$E$46,0),),'General Inputs'!$F$55:$AN$55)</f>
        <v>0</v>
      </c>
      <c r="BX186" s="59">
        <f ca="1">INDEX('General Inputs'!$F$55:$AN$55,MATCH($H186,'General Inputs'!$F$50:$AN$50,0))*$AI186</f>
        <v>3307.6074972436604</v>
      </c>
      <c r="BY186" s="59">
        <f ca="1">INDEX('General Inputs'!$F$51:$AN$51,MATCH($H186,'General Inputs'!$F$50:$AN$50,0))*$AM186</f>
        <v>0</v>
      </c>
      <c r="BZ186" s="55"/>
      <c r="CA186" s="88">
        <f t="shared" ca="1" si="400"/>
        <v>0</v>
      </c>
      <c r="CB186" s="88">
        <f t="shared" ca="1" si="400"/>
        <v>31641.119999999992</v>
      </c>
      <c r="CC186" s="88">
        <f t="shared" ca="1" si="400"/>
        <v>31641.119999999992</v>
      </c>
      <c r="CD186" s="88">
        <f t="shared" ca="1" si="400"/>
        <v>31641.119999999992</v>
      </c>
      <c r="CE186" s="88">
        <f t="shared" ca="1" si="400"/>
        <v>31641.119999999992</v>
      </c>
      <c r="CF186" s="88">
        <f t="shared" ca="1" si="400"/>
        <v>31641.119999999992</v>
      </c>
      <c r="CG186" s="88">
        <f t="shared" ca="1" si="400"/>
        <v>31641.119999999992</v>
      </c>
      <c r="CH186" s="88">
        <f t="shared" ca="1" si="400"/>
        <v>31641.119999999992</v>
      </c>
      <c r="CI186" s="88">
        <f t="shared" ca="1" si="400"/>
        <v>31641.119999999992</v>
      </c>
      <c r="CJ186" s="88">
        <f t="shared" ca="1" si="400"/>
        <v>31641.119999999992</v>
      </c>
      <c r="CK186" s="88">
        <f t="shared" ca="1" si="401"/>
        <v>31641.119999999992</v>
      </c>
      <c r="CL186" s="88">
        <f t="shared" ca="1" si="401"/>
        <v>0</v>
      </c>
      <c r="CM186" s="88">
        <f t="shared" ca="1" si="401"/>
        <v>0</v>
      </c>
      <c r="CN186" s="88">
        <f t="shared" ca="1" si="401"/>
        <v>0</v>
      </c>
      <c r="CO186" s="88">
        <f t="shared" ca="1" si="401"/>
        <v>0</v>
      </c>
      <c r="CP186" s="88">
        <f t="shared" ca="1" si="401"/>
        <v>0</v>
      </c>
      <c r="CQ186" s="88">
        <f t="shared" ca="1" si="401"/>
        <v>0</v>
      </c>
      <c r="CR186" s="88">
        <f t="shared" ca="1" si="401"/>
        <v>0</v>
      </c>
      <c r="CS186" s="88">
        <f t="shared" ca="1" si="401"/>
        <v>0</v>
      </c>
      <c r="CT186" s="88">
        <f t="shared" ca="1" si="401"/>
        <v>0</v>
      </c>
      <c r="CU186" s="88">
        <f t="shared" ca="1" si="402"/>
        <v>0</v>
      </c>
      <c r="CV186" s="88">
        <f t="shared" ca="1" si="402"/>
        <v>0</v>
      </c>
      <c r="CW186" s="88">
        <f t="shared" ca="1" si="402"/>
        <v>0</v>
      </c>
      <c r="CX186" s="88">
        <f t="shared" ca="1" si="402"/>
        <v>0</v>
      </c>
      <c r="CY186" s="88">
        <f t="shared" ca="1" si="402"/>
        <v>0</v>
      </c>
      <c r="CZ186" s="88">
        <f t="shared" ca="1" si="402"/>
        <v>0</v>
      </c>
      <c r="DA186" s="88">
        <f t="shared" ca="1" si="402"/>
        <v>0</v>
      </c>
      <c r="DB186" s="88">
        <f t="shared" ca="1" si="402"/>
        <v>0</v>
      </c>
      <c r="DC186" s="88">
        <f t="shared" ca="1" si="402"/>
        <v>0</v>
      </c>
      <c r="DD186" s="88">
        <f t="shared" ca="1" si="402"/>
        <v>0</v>
      </c>
      <c r="DE186" s="88">
        <f t="shared" ca="1" si="402"/>
        <v>0</v>
      </c>
      <c r="DF186" s="88">
        <f t="shared" ca="1" si="402"/>
        <v>0</v>
      </c>
      <c r="DG186" s="88">
        <f t="shared" ca="1" si="402"/>
        <v>0</v>
      </c>
      <c r="DH186" s="88">
        <f t="shared" ca="1" si="402"/>
        <v>0</v>
      </c>
      <c r="DI186" s="88">
        <f t="shared" ca="1" si="402"/>
        <v>0</v>
      </c>
      <c r="DJ186" s="169"/>
      <c r="DK186" s="88">
        <f t="shared" ca="1" si="403"/>
        <v>0</v>
      </c>
      <c r="DL186" s="88">
        <f t="shared" ca="1" si="403"/>
        <v>3.6119999999999992</v>
      </c>
      <c r="DM186" s="88">
        <f t="shared" ca="1" si="403"/>
        <v>3.6119999999999992</v>
      </c>
      <c r="DN186" s="88">
        <f t="shared" ca="1" si="403"/>
        <v>3.6119999999999992</v>
      </c>
      <c r="DO186" s="88">
        <f t="shared" ca="1" si="403"/>
        <v>3.6119999999999992</v>
      </c>
      <c r="DP186" s="88">
        <f t="shared" ca="1" si="403"/>
        <v>3.6119999999999992</v>
      </c>
      <c r="DQ186" s="88">
        <f t="shared" ca="1" si="403"/>
        <v>3.6119999999999992</v>
      </c>
      <c r="DR186" s="88">
        <f t="shared" ca="1" si="403"/>
        <v>3.6119999999999992</v>
      </c>
      <c r="DS186" s="88">
        <f t="shared" ca="1" si="403"/>
        <v>3.6119999999999992</v>
      </c>
      <c r="DT186" s="88">
        <f t="shared" ca="1" si="403"/>
        <v>3.6119999999999992</v>
      </c>
      <c r="DU186" s="88">
        <f t="shared" ca="1" si="404"/>
        <v>3.6119999999999992</v>
      </c>
      <c r="DV186" s="88">
        <f t="shared" ca="1" si="404"/>
        <v>0</v>
      </c>
      <c r="DW186" s="88">
        <f t="shared" ca="1" si="404"/>
        <v>0</v>
      </c>
      <c r="DX186" s="88">
        <f t="shared" ca="1" si="404"/>
        <v>0</v>
      </c>
      <c r="DY186" s="88">
        <f t="shared" ca="1" si="404"/>
        <v>0</v>
      </c>
      <c r="DZ186" s="88">
        <f t="shared" ca="1" si="404"/>
        <v>0</v>
      </c>
      <c r="EA186" s="88">
        <f t="shared" ca="1" si="404"/>
        <v>0</v>
      </c>
      <c r="EB186" s="88">
        <f t="shared" ca="1" si="404"/>
        <v>0</v>
      </c>
      <c r="EC186" s="88">
        <f t="shared" ca="1" si="404"/>
        <v>0</v>
      </c>
      <c r="ED186" s="88">
        <f t="shared" ca="1" si="404"/>
        <v>0</v>
      </c>
      <c r="EE186" s="88">
        <f t="shared" ca="1" si="405"/>
        <v>0</v>
      </c>
      <c r="EF186" s="88">
        <f t="shared" ca="1" si="405"/>
        <v>0</v>
      </c>
      <c r="EG186" s="88">
        <f t="shared" ca="1" si="405"/>
        <v>0</v>
      </c>
      <c r="EH186" s="88">
        <f t="shared" ca="1" si="405"/>
        <v>0</v>
      </c>
      <c r="EI186" s="88">
        <f t="shared" ca="1" si="405"/>
        <v>0</v>
      </c>
      <c r="EJ186" s="88">
        <f t="shared" ca="1" si="405"/>
        <v>0</v>
      </c>
      <c r="EK186" s="88">
        <f t="shared" ca="1" si="405"/>
        <v>0</v>
      </c>
      <c r="EL186" s="88">
        <f t="shared" ca="1" si="405"/>
        <v>0</v>
      </c>
      <c r="EM186" s="88">
        <f t="shared" ca="1" si="405"/>
        <v>0</v>
      </c>
      <c r="EN186" s="88">
        <f t="shared" ca="1" si="405"/>
        <v>0</v>
      </c>
      <c r="EO186" s="88">
        <f t="shared" ca="1" si="405"/>
        <v>0</v>
      </c>
      <c r="EP186" s="88">
        <f t="shared" ca="1" si="405"/>
        <v>0</v>
      </c>
      <c r="EQ186" s="88">
        <f t="shared" ca="1" si="405"/>
        <v>0</v>
      </c>
      <c r="ER186" s="88">
        <f t="shared" ca="1" si="405"/>
        <v>0</v>
      </c>
      <c r="ES186" s="88">
        <f t="shared" ca="1" si="405"/>
        <v>0</v>
      </c>
      <c r="ET186" s="169"/>
      <c r="EU186" s="88">
        <f t="shared" ca="1" si="406"/>
        <v>0</v>
      </c>
      <c r="EV186" s="88">
        <f t="shared" ca="1" si="406"/>
        <v>0</v>
      </c>
      <c r="EW186" s="88">
        <f t="shared" ca="1" si="406"/>
        <v>0</v>
      </c>
      <c r="EX186" s="88">
        <f t="shared" ca="1" si="406"/>
        <v>0</v>
      </c>
      <c r="EY186" s="88">
        <f t="shared" ca="1" si="406"/>
        <v>0</v>
      </c>
      <c r="EZ186" s="88">
        <f t="shared" ca="1" si="406"/>
        <v>0</v>
      </c>
      <c r="FA186" s="88">
        <f t="shared" ca="1" si="406"/>
        <v>0</v>
      </c>
      <c r="FB186" s="88">
        <f t="shared" ca="1" si="406"/>
        <v>0</v>
      </c>
      <c r="FC186" s="88">
        <f t="shared" ca="1" si="406"/>
        <v>0</v>
      </c>
      <c r="FD186" s="88">
        <f t="shared" ca="1" si="406"/>
        <v>0</v>
      </c>
      <c r="FE186" s="88">
        <f t="shared" ca="1" si="407"/>
        <v>0</v>
      </c>
      <c r="FF186" s="88">
        <f t="shared" ca="1" si="407"/>
        <v>0</v>
      </c>
      <c r="FG186" s="88">
        <f t="shared" ca="1" si="407"/>
        <v>0</v>
      </c>
      <c r="FH186" s="88">
        <f t="shared" ca="1" si="407"/>
        <v>0</v>
      </c>
      <c r="FI186" s="88">
        <f t="shared" ca="1" si="407"/>
        <v>0</v>
      </c>
      <c r="FJ186" s="88">
        <f t="shared" ca="1" si="407"/>
        <v>0</v>
      </c>
      <c r="FK186" s="88">
        <f t="shared" ca="1" si="407"/>
        <v>0</v>
      </c>
      <c r="FL186" s="88">
        <f t="shared" ca="1" si="407"/>
        <v>0</v>
      </c>
      <c r="FM186" s="88">
        <f t="shared" ca="1" si="407"/>
        <v>0</v>
      </c>
      <c r="FN186" s="88">
        <f t="shared" ca="1" si="407"/>
        <v>0</v>
      </c>
      <c r="FO186" s="88">
        <f t="shared" ca="1" si="408"/>
        <v>0</v>
      </c>
      <c r="FP186" s="88">
        <f t="shared" ca="1" si="408"/>
        <v>0</v>
      </c>
      <c r="FQ186" s="88">
        <f t="shared" ca="1" si="408"/>
        <v>0</v>
      </c>
      <c r="FR186" s="88">
        <f t="shared" ca="1" si="408"/>
        <v>0</v>
      </c>
      <c r="FS186" s="88">
        <f t="shared" ca="1" si="408"/>
        <v>0</v>
      </c>
      <c r="FT186" s="88">
        <f t="shared" ca="1" si="408"/>
        <v>0</v>
      </c>
      <c r="FU186" s="88">
        <f t="shared" ca="1" si="408"/>
        <v>0</v>
      </c>
      <c r="FV186" s="88">
        <f t="shared" ca="1" si="408"/>
        <v>0</v>
      </c>
      <c r="FW186" s="88">
        <f t="shared" ca="1" si="408"/>
        <v>0</v>
      </c>
      <c r="FX186" s="88">
        <f t="shared" ca="1" si="408"/>
        <v>0</v>
      </c>
      <c r="FY186" s="88">
        <f t="shared" ca="1" si="408"/>
        <v>0</v>
      </c>
      <c r="FZ186" s="88">
        <f t="shared" ca="1" si="408"/>
        <v>0</v>
      </c>
      <c r="GA186" s="88">
        <f t="shared" ca="1" si="408"/>
        <v>0</v>
      </c>
      <c r="GB186" s="88">
        <f t="shared" ca="1" si="408"/>
        <v>0</v>
      </c>
      <c r="GC186" s="88">
        <f t="shared" ca="1" si="408"/>
        <v>0</v>
      </c>
      <c r="GD186" s="60"/>
    </row>
    <row r="187" spans="1:186" s="54" customFormat="1" ht="14.45" customHeight="1">
      <c r="A187" s="61"/>
      <c r="B187" s="100" t="str">
        <f t="shared" si="345"/>
        <v>C&amp;I_C&amp;I Prescriptive_0_Integral Occupancy Control Stairwell fixtures (2-3 lamp T8)_2018</v>
      </c>
      <c r="C187" s="100">
        <f>INDEX('Measure Inputs'!$D:$D,MATCH($B187,'Measure Inputs'!$B:$B,0))</f>
        <v>139</v>
      </c>
      <c r="D187" s="101" t="s">
        <v>256</v>
      </c>
      <c r="E187" s="101" t="s">
        <v>255</v>
      </c>
      <c r="F187" s="101">
        <v>0</v>
      </c>
      <c r="G187" s="101" t="s">
        <v>364</v>
      </c>
      <c r="H187" s="101">
        <v>2018</v>
      </c>
      <c r="I187" s="55"/>
      <c r="J187" s="58">
        <f t="shared" ca="1" si="229"/>
        <v>0.82402635839724048</v>
      </c>
      <c r="K187" s="58">
        <f t="shared" ca="1" si="246"/>
        <v>4.4305150536491631</v>
      </c>
      <c r="L187" s="58">
        <f t="shared" ca="1" si="230"/>
        <v>0.18598884066955984</v>
      </c>
      <c r="M187" s="58">
        <f t="shared" ca="1" si="231"/>
        <v>1.1115736511653167</v>
      </c>
      <c r="N187" s="58">
        <f t="shared" ca="1" si="232"/>
        <v>4.4305150536491631</v>
      </c>
      <c r="O187" s="55"/>
      <c r="P187" s="175">
        <f ca="1">IFERROR(($AW187+AV187)/SUMPRODUCT($CA187:$DI187,'General Inputs'!$F$51:$AN$51),"n/a")</f>
        <v>7.737302115479427E-3</v>
      </c>
      <c r="Q187" s="175">
        <f t="shared" ca="1" si="386"/>
        <v>6.6163788352203809E-2</v>
      </c>
      <c r="R187" s="56">
        <f t="shared" ca="1" si="364"/>
        <v>126.95766383999998</v>
      </c>
      <c r="S187" s="55"/>
      <c r="T187" s="56">
        <f ca="1">INDEX(OFFSET('Measure Inputs'!$L$7,,,InputRows),$C187)</f>
        <v>20</v>
      </c>
      <c r="U187" s="134">
        <f ca="1">INDEX(OFFSET('Measure Inputs'!$T$7,,,InputRows),$C187)</f>
        <v>1</v>
      </c>
      <c r="V187" s="134">
        <f ca="1">INDEX(OFFSET('Measure Inputs'!$U$7,,,InputRows),$C187)</f>
        <v>1</v>
      </c>
      <c r="W187" s="55"/>
      <c r="X187" s="96">
        <f ca="1">INDEX(OFFSET('Measure Inputs'!$V$7,,,InputRows),$C187)*$T187*$V187*$U187</f>
        <v>9068.4045600000009</v>
      </c>
      <c r="Y187" s="96">
        <f ca="1">INDEX(OFFSET('Measure Inputs'!$W$7,,,InputRows),$C187)*$T187*$V187*$U187</f>
        <v>1.0352060000000001</v>
      </c>
      <c r="Z187" s="96">
        <f ca="1">INDEX(OFFSET('Measure Inputs'!$X$7,,,InputRows),$C187)*$T187*$V187*$U187</f>
        <v>0</v>
      </c>
      <c r="AA187" s="55"/>
      <c r="AB187" s="96">
        <f ca="1">INDEX(OFFSET('Measure Inputs'!$Z$7,,,InputRows),$C187)*$T187*$V187*$U187</f>
        <v>0</v>
      </c>
      <c r="AC187" s="96">
        <f ca="1">INDEX(OFFSET('Measure Inputs'!$AA$7,,,InputRows),$C187)*$T187*$V187*$U187</f>
        <v>0</v>
      </c>
      <c r="AD187" s="96">
        <f ca="1">INDEX(OFFSET('Measure Inputs'!$AB$7,,,InputRows),$C187)*$T187*$V187*$U187</f>
        <v>0</v>
      </c>
      <c r="AE187" s="55"/>
      <c r="AF187" s="57">
        <f ca="1">INDEX(OFFSET('Measure Inputs'!$Q$7,,,InputRows),$C187)*$T187</f>
        <v>0</v>
      </c>
      <c r="AG187" s="57">
        <f ca="1">INDEX(OFFSET('Measure Inputs'!$P$7,,,InputRows),$C187)*$T187*$V187</f>
        <v>3226</v>
      </c>
      <c r="AH187" s="57">
        <f ca="1">INDEX(OFFSET('Measure Inputs'!$R$7,,,InputRows),$C187)*$T187*$V187</f>
        <v>0</v>
      </c>
      <c r="AI187" s="57">
        <f ca="1">INDEX(OFFSET('Measure Inputs'!$O$7,,,InputRows),$C187)*$T187</f>
        <v>600</v>
      </c>
      <c r="AJ187" s="57">
        <f ca="1">INDEX(OFFSET('Measure Inputs'!$S$7,,,InputRows),$C187)*$T187</f>
        <v>0</v>
      </c>
      <c r="AK187" s="63">
        <f ca="1">INDEX(OFFSET('Measure Inputs'!$M$7,,,InputRows),$C187)</f>
        <v>14</v>
      </c>
      <c r="AL187" s="88">
        <f ca="1">INDEX(OFFSET('Measure Inputs'!$N$7,,,InputRows),$C187)</f>
        <v>0</v>
      </c>
      <c r="AM187" s="57">
        <f ca="1">SUMIFS(OFFSET('Program Inputs'!$N$5,,,TotalPrograms),OFFSET('Program Inputs'!$B$5,,,TotalPrograms),SUBSTITUTE($B187,"All","*"))+AF187</f>
        <v>0</v>
      </c>
      <c r="AN187" s="57">
        <f t="shared" ca="1" si="365"/>
        <v>600</v>
      </c>
      <c r="AO187" s="55"/>
      <c r="AP187" s="59">
        <f t="shared" ca="1" si="366"/>
        <v>2442.4008013501448</v>
      </c>
      <c r="AQ187" s="59">
        <f t="shared" ca="1" si="367"/>
        <v>2963.9838294744577</v>
      </c>
      <c r="AR187" s="59">
        <f ca="1">SUMPRODUCT($CA187:$DI187,'General Inputs'!$F$32:$AN$32,'General Inputs'!$F$51:$AN$51)/(1-Loss_ElectricEnergy)</f>
        <v>2257.0751612906624</v>
      </c>
      <c r="AS187" s="59">
        <f ca="1">SUMPRODUCT($DK187:$ES187,'General Inputs'!$F$33:$AN$33,'General Inputs'!$F$51:$AN$51)/(1-Loss_ElectricDemand)</f>
        <v>185.3256400594824</v>
      </c>
      <c r="AT187" s="59">
        <f ca="1">SUMPRODUCT($EU187:$GC187,'General Inputs'!$F$34:$AN$34,'General Inputs'!$F$51:$AN$51)/(1-Loss_GasEnergy)</f>
        <v>0</v>
      </c>
      <c r="AU187" s="59">
        <f ca="1">INDEX('General Inputs'!$F$51:$AN$51,MATCH($H187,'General Inputs'!$F$50:$AN$50,0))*$AJ187</f>
        <v>0</v>
      </c>
      <c r="AV187" s="59">
        <f ca="1">INDEX('General Inputs'!$F$51:$AN$51,MATCH($H187,'General Inputs'!$F$50:$AN$50,0))*$AI187</f>
        <v>551.2679162072767</v>
      </c>
      <c r="AW187" s="59">
        <f ca="1">INDEX('General Inputs'!$F$51:$AN$51,MATCH($H187,'General Inputs'!$F$50:$AN$50,0))*$AM187</f>
        <v>0</v>
      </c>
      <c r="AX187" s="59">
        <f ca="1">SUM(INDEX('General Inputs'!$F$51:$AN$51,MATCH($H187,'General Inputs'!$F$50:$AN$50,0))*$AG187,INDEX('General Inputs'!$F$51:$AN$51,MATCH($H187+$AL187,'General Inputs'!$F$50:$AN$50,0))*-$AH187)</f>
        <v>2963.9838294744577</v>
      </c>
      <c r="AY187" s="55"/>
      <c r="AZ187" s="59">
        <f ca="1">SUMPRODUCT($CA187:$DI187,'General Inputs'!$F$32:$AN$32,'General Inputs'!$F$52:$AN$52)/(1-Loss_ElectricEnergy)</f>
        <v>2257.0751612906624</v>
      </c>
      <c r="BA187" s="59">
        <f ca="1">SUMPRODUCT($DK187:$ES187,'General Inputs'!$F$33:$AN$33,'General Inputs'!$F$52:$AN$52)/(1-Loss_ElectricDemand)</f>
        <v>185.3256400594824</v>
      </c>
      <c r="BB187" s="59">
        <f ca="1">SUMPRODUCT($EU187:$GC187,'General Inputs'!$F$34:$AN$34,'General Inputs'!$F$52:$AN$52)/(1-Loss_GasEnergy)</f>
        <v>0</v>
      </c>
      <c r="BC187" s="59">
        <f ca="1">INDEX('General Inputs'!$F$52:$AN$52,MATCH($H187,'General Inputs'!$F$50:$AN$50,0))*$AI187</f>
        <v>551.2679162072767</v>
      </c>
      <c r="BD187" s="59">
        <f ca="1">INDEX('General Inputs'!$F$52:$AN$52,MATCH($H187,'General Inputs'!$F$50:$AN$50,0))*$AM187</f>
        <v>0</v>
      </c>
      <c r="BE187" s="55"/>
      <c r="BF187" s="59">
        <f ca="1">SUMPRODUCT($CA187:$DI187,OFFSET('General Inputs'!$F$40:$AN$40,MATCH($D187&amp;" Electric ($/kWh)",'General Inputs'!$E$40:$E$46,0),),'General Inputs'!$F$54:$AN$54)</f>
        <v>0</v>
      </c>
      <c r="BG187" s="59">
        <f ca="1">SUMPRODUCT($EU187:$GC187,OFFSET('General Inputs'!$F$40:$AN$40,MATCH($D187&amp;" Natural Gas ($/therm)",'General Inputs'!$E$40:$E$46,0),),'General Inputs'!$F$54:$AN$54)</f>
        <v>0</v>
      </c>
      <c r="BH187" s="59">
        <f ca="1">INDEX('General Inputs'!$F$54:$AN$54,MATCH($H187,'General Inputs'!$F$50:$AN$50,0))*$AI187</f>
        <v>551.2679162072767</v>
      </c>
      <c r="BI187" s="59">
        <f ca="1">SUM(INDEX('General Inputs'!$F$54:$AN$54,MATCH($H187,'General Inputs'!$F$50:$AN$50,0))*$AG187,INDEX('General Inputs'!$F$51:$AN$51,MATCH($H187+$AL187,'General Inputs'!$F$50:$AN$50,0))*-$AH187)</f>
        <v>2963.9838294744577</v>
      </c>
      <c r="BJ187" s="55"/>
      <c r="BK187" s="59">
        <f ca="1">SUMPRODUCT($CA187:$DI187,'General Inputs'!$F$32:$AN$32,'General Inputs'!$F$53:$AN$53)/(1-Loss_ElectricEnergy)</f>
        <v>2257.0751612906624</v>
      </c>
      <c r="BL187" s="59">
        <f ca="1">SUMPRODUCT($DK187:$ES187,'General Inputs'!$F$33:$AN$33,'General Inputs'!$F$53:$AN$53)/(1-Loss_ElectricDemand)</f>
        <v>185.3256400594824</v>
      </c>
      <c r="BM187" s="59">
        <f ca="1">SUMPRODUCT($EU187:$GC187,'General Inputs'!$F$34:$AN$34,'General Inputs'!$F$53:$AN$53)/(1-Loss_GasEnergy)</f>
        <v>0</v>
      </c>
      <c r="BN187" s="59">
        <f ca="1">INDEX('General Inputs'!$F$53:$AN$53,MATCH($H187,'General Inputs'!$F$50:$AN$50,0))*$AJ187</f>
        <v>0</v>
      </c>
      <c r="BO187" s="59">
        <f ca="1">SUMPRODUCT($CA187:$DI187,'General Inputs'!$F$35:$AN$35,'General Inputs'!$F$53:$AN$53)/(1-Loss_ElectricEnergy)</f>
        <v>852.28552597373562</v>
      </c>
      <c r="BP187" s="59">
        <f ca="1">INDEX('General Inputs'!$F$51:$AN$51,MATCH($H187,'General Inputs'!$F$50:$AN$50,0))*$AM187</f>
        <v>0</v>
      </c>
      <c r="BQ187" s="59">
        <f ca="1">SUM(INDEX('General Inputs'!$F$53:$AN$53,MATCH($H187,'General Inputs'!$F$50:$AN$50,0))*$AG187,INDEX('General Inputs'!$F$53:$AN$53,MATCH($H187+$AL187,'General Inputs'!$F$50:$AN$50,0))*-$AH187)</f>
        <v>2963.9838294744577</v>
      </c>
      <c r="BR187" s="55"/>
      <c r="BS187" s="59">
        <f ca="1">SUMPRODUCT($CA187:$DI187,'General Inputs'!$F$32:$AN$32,'General Inputs'!$F$55:$AN$55)/(1-Loss_ElectricEnergy)</f>
        <v>2257.0751612906624</v>
      </c>
      <c r="BT187" s="59">
        <f ca="1">SUMPRODUCT($DK187:$ES187,'General Inputs'!$F$33:$AN$33,'General Inputs'!$F$55:$AN$55)/(1-Loss_ElectricDemand)</f>
        <v>185.3256400594824</v>
      </c>
      <c r="BU187" s="59">
        <f ca="1">SUMPRODUCT($EU187:$GC187,'General Inputs'!$F$34:$AN$34,'General Inputs'!$F$55:$AN$55)/(1-Loss_GasEnergy)</f>
        <v>0</v>
      </c>
      <c r="BV187" s="59">
        <f ca="1">SUMPRODUCT($CA187:$DI187,OFFSET('General Inputs'!$F$40:$AN$40,MATCH($D187&amp;" Electric ($/kWh)",'General Inputs'!$E$40:$E$46,0),),'General Inputs'!$F$55:$AN$55)</f>
        <v>0</v>
      </c>
      <c r="BW187" s="59">
        <f ca="1">SUMPRODUCT($EU187:$GC187,OFFSET('General Inputs'!$F$40:$AN$40,MATCH($D187&amp;" Natural Gas ($/therm)",'General Inputs'!$E$40:$E$46,0),),'General Inputs'!$F$55:$AN$55)</f>
        <v>0</v>
      </c>
      <c r="BX187" s="59">
        <f ca="1">INDEX('General Inputs'!$F$55:$AN$55,MATCH($H187,'General Inputs'!$F$50:$AN$50,0))*$AI187</f>
        <v>551.2679162072767</v>
      </c>
      <c r="BY187" s="59">
        <f ca="1">INDEX('General Inputs'!$F$51:$AN$51,MATCH($H187,'General Inputs'!$F$50:$AN$50,0))*$AM187</f>
        <v>0</v>
      </c>
      <c r="BZ187" s="55"/>
      <c r="CA187" s="88">
        <f t="shared" ref="CA187:CJ196" ca="1" si="409">IF(AND($H187&lt;=CA$8,$H187+$AK187&gt;CA$8),IF(AND($H187+$AL187&lt;=CA$8,$AL187&gt;0),$AB187,$X187),0)</f>
        <v>0</v>
      </c>
      <c r="CB187" s="88">
        <f t="shared" ca="1" si="409"/>
        <v>9068.4045600000009</v>
      </c>
      <c r="CC187" s="88">
        <f t="shared" ca="1" si="409"/>
        <v>9068.4045600000009</v>
      </c>
      <c r="CD187" s="88">
        <f t="shared" ca="1" si="409"/>
        <v>9068.4045600000009</v>
      </c>
      <c r="CE187" s="88">
        <f t="shared" ca="1" si="409"/>
        <v>9068.4045600000009</v>
      </c>
      <c r="CF187" s="88">
        <f t="shared" ca="1" si="409"/>
        <v>9068.4045600000009</v>
      </c>
      <c r="CG187" s="88">
        <f t="shared" ca="1" si="409"/>
        <v>9068.4045600000009</v>
      </c>
      <c r="CH187" s="88">
        <f t="shared" ca="1" si="409"/>
        <v>9068.4045600000009</v>
      </c>
      <c r="CI187" s="88">
        <f t="shared" ca="1" si="409"/>
        <v>9068.4045600000009</v>
      </c>
      <c r="CJ187" s="88">
        <f t="shared" ca="1" si="409"/>
        <v>9068.4045600000009</v>
      </c>
      <c r="CK187" s="88">
        <f t="shared" ref="CK187:CT196" ca="1" si="410">IF(AND($H187&lt;=CK$8,$H187+$AK187&gt;CK$8),IF(AND($H187+$AL187&lt;=CK$8,$AL187&gt;0),$AB187,$X187),0)</f>
        <v>9068.4045600000009</v>
      </c>
      <c r="CL187" s="88">
        <f t="shared" ca="1" si="410"/>
        <v>9068.4045600000009</v>
      </c>
      <c r="CM187" s="88">
        <f t="shared" ca="1" si="410"/>
        <v>9068.4045600000009</v>
      </c>
      <c r="CN187" s="88">
        <f t="shared" ca="1" si="410"/>
        <v>9068.4045600000009</v>
      </c>
      <c r="CO187" s="88">
        <f t="shared" ca="1" si="410"/>
        <v>9068.4045600000009</v>
      </c>
      <c r="CP187" s="88">
        <f t="shared" ca="1" si="410"/>
        <v>0</v>
      </c>
      <c r="CQ187" s="88">
        <f t="shared" ca="1" si="410"/>
        <v>0</v>
      </c>
      <c r="CR187" s="88">
        <f t="shared" ca="1" si="410"/>
        <v>0</v>
      </c>
      <c r="CS187" s="88">
        <f t="shared" ca="1" si="410"/>
        <v>0</v>
      </c>
      <c r="CT187" s="88">
        <f t="shared" ca="1" si="410"/>
        <v>0</v>
      </c>
      <c r="CU187" s="88">
        <f t="shared" ref="CU187:DI196" ca="1" si="411">IF(AND($H187&lt;=CU$8,$H187+$AK187&gt;CU$8),IF(AND($H187+$AL187&lt;=CU$8,$AL187&gt;0),$AB187,$X187),0)</f>
        <v>0</v>
      </c>
      <c r="CV187" s="88">
        <f t="shared" ca="1" si="411"/>
        <v>0</v>
      </c>
      <c r="CW187" s="88">
        <f t="shared" ca="1" si="411"/>
        <v>0</v>
      </c>
      <c r="CX187" s="88">
        <f t="shared" ca="1" si="411"/>
        <v>0</v>
      </c>
      <c r="CY187" s="88">
        <f t="shared" ca="1" si="411"/>
        <v>0</v>
      </c>
      <c r="CZ187" s="88">
        <f t="shared" ca="1" si="411"/>
        <v>0</v>
      </c>
      <c r="DA187" s="88">
        <f t="shared" ca="1" si="411"/>
        <v>0</v>
      </c>
      <c r="DB187" s="88">
        <f t="shared" ca="1" si="411"/>
        <v>0</v>
      </c>
      <c r="DC187" s="88">
        <f t="shared" ca="1" si="411"/>
        <v>0</v>
      </c>
      <c r="DD187" s="88">
        <f t="shared" ca="1" si="411"/>
        <v>0</v>
      </c>
      <c r="DE187" s="88">
        <f t="shared" ca="1" si="411"/>
        <v>0</v>
      </c>
      <c r="DF187" s="88">
        <f t="shared" ca="1" si="411"/>
        <v>0</v>
      </c>
      <c r="DG187" s="88">
        <f t="shared" ca="1" si="411"/>
        <v>0</v>
      </c>
      <c r="DH187" s="88">
        <f t="shared" ca="1" si="411"/>
        <v>0</v>
      </c>
      <c r="DI187" s="88">
        <f t="shared" ca="1" si="411"/>
        <v>0</v>
      </c>
      <c r="DJ187" s="169"/>
      <c r="DK187" s="88">
        <f t="shared" ref="DK187:DT196" ca="1" si="412">IF(AND($H187&lt;=DK$8,$H187+$AK187&gt;DK$8),IF(AND($H187+$AL187&lt;=DK$8,$AL187&gt;0),$AC187,$Y187),0)</f>
        <v>0</v>
      </c>
      <c r="DL187" s="88">
        <f t="shared" ca="1" si="412"/>
        <v>1.0352060000000001</v>
      </c>
      <c r="DM187" s="88">
        <f t="shared" ca="1" si="412"/>
        <v>1.0352060000000001</v>
      </c>
      <c r="DN187" s="88">
        <f t="shared" ca="1" si="412"/>
        <v>1.0352060000000001</v>
      </c>
      <c r="DO187" s="88">
        <f t="shared" ca="1" si="412"/>
        <v>1.0352060000000001</v>
      </c>
      <c r="DP187" s="88">
        <f t="shared" ca="1" si="412"/>
        <v>1.0352060000000001</v>
      </c>
      <c r="DQ187" s="88">
        <f t="shared" ca="1" si="412"/>
        <v>1.0352060000000001</v>
      </c>
      <c r="DR187" s="88">
        <f t="shared" ca="1" si="412"/>
        <v>1.0352060000000001</v>
      </c>
      <c r="DS187" s="88">
        <f t="shared" ca="1" si="412"/>
        <v>1.0352060000000001</v>
      </c>
      <c r="DT187" s="88">
        <f t="shared" ca="1" si="412"/>
        <v>1.0352060000000001</v>
      </c>
      <c r="DU187" s="88">
        <f t="shared" ref="DU187:ED196" ca="1" si="413">IF(AND($H187&lt;=DU$8,$H187+$AK187&gt;DU$8),IF(AND($H187+$AL187&lt;=DU$8,$AL187&gt;0),$AC187,$Y187),0)</f>
        <v>1.0352060000000001</v>
      </c>
      <c r="DV187" s="88">
        <f t="shared" ca="1" si="413"/>
        <v>1.0352060000000001</v>
      </c>
      <c r="DW187" s="88">
        <f t="shared" ca="1" si="413"/>
        <v>1.0352060000000001</v>
      </c>
      <c r="DX187" s="88">
        <f t="shared" ca="1" si="413"/>
        <v>1.0352060000000001</v>
      </c>
      <c r="DY187" s="88">
        <f t="shared" ca="1" si="413"/>
        <v>1.0352060000000001</v>
      </c>
      <c r="DZ187" s="88">
        <f t="shared" ca="1" si="413"/>
        <v>0</v>
      </c>
      <c r="EA187" s="88">
        <f t="shared" ca="1" si="413"/>
        <v>0</v>
      </c>
      <c r="EB187" s="88">
        <f t="shared" ca="1" si="413"/>
        <v>0</v>
      </c>
      <c r="EC187" s="88">
        <f t="shared" ca="1" si="413"/>
        <v>0</v>
      </c>
      <c r="ED187" s="88">
        <f t="shared" ca="1" si="413"/>
        <v>0</v>
      </c>
      <c r="EE187" s="88">
        <f t="shared" ref="EE187:ES196" ca="1" si="414">IF(AND($H187&lt;=EE$8,$H187+$AK187&gt;EE$8),IF(AND($H187+$AL187&lt;=EE$8,$AL187&gt;0),$AC187,$Y187),0)</f>
        <v>0</v>
      </c>
      <c r="EF187" s="88">
        <f t="shared" ca="1" si="414"/>
        <v>0</v>
      </c>
      <c r="EG187" s="88">
        <f t="shared" ca="1" si="414"/>
        <v>0</v>
      </c>
      <c r="EH187" s="88">
        <f t="shared" ca="1" si="414"/>
        <v>0</v>
      </c>
      <c r="EI187" s="88">
        <f t="shared" ca="1" si="414"/>
        <v>0</v>
      </c>
      <c r="EJ187" s="88">
        <f t="shared" ca="1" si="414"/>
        <v>0</v>
      </c>
      <c r="EK187" s="88">
        <f t="shared" ca="1" si="414"/>
        <v>0</v>
      </c>
      <c r="EL187" s="88">
        <f t="shared" ca="1" si="414"/>
        <v>0</v>
      </c>
      <c r="EM187" s="88">
        <f t="shared" ca="1" si="414"/>
        <v>0</v>
      </c>
      <c r="EN187" s="88">
        <f t="shared" ca="1" si="414"/>
        <v>0</v>
      </c>
      <c r="EO187" s="88">
        <f t="shared" ca="1" si="414"/>
        <v>0</v>
      </c>
      <c r="EP187" s="88">
        <f t="shared" ca="1" si="414"/>
        <v>0</v>
      </c>
      <c r="EQ187" s="88">
        <f t="shared" ca="1" si="414"/>
        <v>0</v>
      </c>
      <c r="ER187" s="88">
        <f t="shared" ca="1" si="414"/>
        <v>0</v>
      </c>
      <c r="ES187" s="88">
        <f t="shared" ca="1" si="414"/>
        <v>0</v>
      </c>
      <c r="ET187" s="169"/>
      <c r="EU187" s="88">
        <f t="shared" ref="EU187:FD196" ca="1" si="415">IF(AND($H187&lt;=EU$8,$H187+$AK187&gt;EU$8),IF(AND($H187+$AL187&lt;=EU$8,$AL187&gt;0),$AD187,$Z187),0)</f>
        <v>0</v>
      </c>
      <c r="EV187" s="88">
        <f t="shared" ca="1" si="415"/>
        <v>0</v>
      </c>
      <c r="EW187" s="88">
        <f t="shared" ca="1" si="415"/>
        <v>0</v>
      </c>
      <c r="EX187" s="88">
        <f t="shared" ca="1" si="415"/>
        <v>0</v>
      </c>
      <c r="EY187" s="88">
        <f t="shared" ca="1" si="415"/>
        <v>0</v>
      </c>
      <c r="EZ187" s="88">
        <f t="shared" ca="1" si="415"/>
        <v>0</v>
      </c>
      <c r="FA187" s="88">
        <f t="shared" ca="1" si="415"/>
        <v>0</v>
      </c>
      <c r="FB187" s="88">
        <f t="shared" ca="1" si="415"/>
        <v>0</v>
      </c>
      <c r="FC187" s="88">
        <f t="shared" ca="1" si="415"/>
        <v>0</v>
      </c>
      <c r="FD187" s="88">
        <f t="shared" ca="1" si="415"/>
        <v>0</v>
      </c>
      <c r="FE187" s="88">
        <f t="shared" ref="FE187:FN196" ca="1" si="416">IF(AND($H187&lt;=FE$8,$H187+$AK187&gt;FE$8),IF(AND($H187+$AL187&lt;=FE$8,$AL187&gt;0),$AD187,$Z187),0)</f>
        <v>0</v>
      </c>
      <c r="FF187" s="88">
        <f t="shared" ca="1" si="416"/>
        <v>0</v>
      </c>
      <c r="FG187" s="88">
        <f t="shared" ca="1" si="416"/>
        <v>0</v>
      </c>
      <c r="FH187" s="88">
        <f t="shared" ca="1" si="416"/>
        <v>0</v>
      </c>
      <c r="FI187" s="88">
        <f t="shared" ca="1" si="416"/>
        <v>0</v>
      </c>
      <c r="FJ187" s="88">
        <f t="shared" ca="1" si="416"/>
        <v>0</v>
      </c>
      <c r="FK187" s="88">
        <f t="shared" ca="1" si="416"/>
        <v>0</v>
      </c>
      <c r="FL187" s="88">
        <f t="shared" ca="1" si="416"/>
        <v>0</v>
      </c>
      <c r="FM187" s="88">
        <f t="shared" ca="1" si="416"/>
        <v>0</v>
      </c>
      <c r="FN187" s="88">
        <f t="shared" ca="1" si="416"/>
        <v>0</v>
      </c>
      <c r="FO187" s="88">
        <f t="shared" ref="FO187:GC196" ca="1" si="417">IF(AND($H187&lt;=FO$8,$H187+$AK187&gt;FO$8),IF(AND($H187+$AL187&lt;=FO$8,$AL187&gt;0),$AD187,$Z187),0)</f>
        <v>0</v>
      </c>
      <c r="FP187" s="88">
        <f t="shared" ca="1" si="417"/>
        <v>0</v>
      </c>
      <c r="FQ187" s="88">
        <f t="shared" ca="1" si="417"/>
        <v>0</v>
      </c>
      <c r="FR187" s="88">
        <f t="shared" ca="1" si="417"/>
        <v>0</v>
      </c>
      <c r="FS187" s="88">
        <f t="shared" ca="1" si="417"/>
        <v>0</v>
      </c>
      <c r="FT187" s="88">
        <f t="shared" ca="1" si="417"/>
        <v>0</v>
      </c>
      <c r="FU187" s="88">
        <f t="shared" ca="1" si="417"/>
        <v>0</v>
      </c>
      <c r="FV187" s="88">
        <f t="shared" ca="1" si="417"/>
        <v>0</v>
      </c>
      <c r="FW187" s="88">
        <f t="shared" ca="1" si="417"/>
        <v>0</v>
      </c>
      <c r="FX187" s="88">
        <f t="shared" ca="1" si="417"/>
        <v>0</v>
      </c>
      <c r="FY187" s="88">
        <f t="shared" ca="1" si="417"/>
        <v>0</v>
      </c>
      <c r="FZ187" s="88">
        <f t="shared" ca="1" si="417"/>
        <v>0</v>
      </c>
      <c r="GA187" s="88">
        <f t="shared" ca="1" si="417"/>
        <v>0</v>
      </c>
      <c r="GB187" s="88">
        <f t="shared" ca="1" si="417"/>
        <v>0</v>
      </c>
      <c r="GC187" s="88">
        <f t="shared" ca="1" si="417"/>
        <v>0</v>
      </c>
      <c r="GD187" s="60"/>
    </row>
    <row r="188" spans="1:186" s="54" customFormat="1" ht="14.45" customHeight="1">
      <c r="A188" s="61"/>
      <c r="B188" s="100" t="str">
        <f t="shared" ref="B188:B251" si="418">D188&amp;"_"&amp;E188&amp;"_"&amp;F188&amp;"_"&amp;G188&amp;"_"&amp;H188</f>
        <v>C&amp;I_C&amp;I Prescriptive_0_Integral Occupancy Control Stairwell fixtures (20W-30W LED)_2018</v>
      </c>
      <c r="C188" s="100">
        <f>INDEX('Measure Inputs'!$D:$D,MATCH($B188,'Measure Inputs'!$B:$B,0))</f>
        <v>140</v>
      </c>
      <c r="D188" s="101" t="s">
        <v>256</v>
      </c>
      <c r="E188" s="101" t="s">
        <v>255</v>
      </c>
      <c r="F188" s="101">
        <v>0</v>
      </c>
      <c r="G188" s="101" t="s">
        <v>365</v>
      </c>
      <c r="H188" s="101">
        <v>2018</v>
      </c>
      <c r="I188" s="55"/>
      <c r="J188" s="58">
        <f t="shared" ca="1" si="229"/>
        <v>0.86263247001392951</v>
      </c>
      <c r="K188" s="58">
        <f t="shared" ca="1" si="246"/>
        <v>4.6380872471082277</v>
      </c>
      <c r="L188" s="58">
        <f t="shared" ca="1" si="230"/>
        <v>0.18598884066955984</v>
      </c>
      <c r="M188" s="58">
        <f t="shared" ca="1" si="231"/>
        <v>1.1636515198035566</v>
      </c>
      <c r="N188" s="58">
        <f t="shared" ca="1" si="232"/>
        <v>4.6380872471082277</v>
      </c>
      <c r="O188" s="55"/>
      <c r="P188" s="175">
        <f ca="1">IFERROR(($AW188+AV188)/SUMPRODUCT($CA188:$DI188,'General Inputs'!$F$51:$AN$51),"n/a")</f>
        <v>7.391028169777593E-3</v>
      </c>
      <c r="Q188" s="175">
        <f t="shared" ca="1" si="386"/>
        <v>6.320270505555152E-2</v>
      </c>
      <c r="R188" s="56">
        <f t="shared" ca="1" si="364"/>
        <v>132.90570383999997</v>
      </c>
      <c r="S188" s="55"/>
      <c r="T188" s="56">
        <f ca="1">INDEX(OFFSET('Measure Inputs'!$L$7,,,InputRows),$C188)</f>
        <v>20</v>
      </c>
      <c r="U188" s="134">
        <f ca="1">INDEX(OFFSET('Measure Inputs'!$T$7,,,InputRows),$C188)</f>
        <v>1</v>
      </c>
      <c r="V188" s="134">
        <f ca="1">INDEX(OFFSET('Measure Inputs'!$U$7,,,InputRows),$C188)</f>
        <v>1</v>
      </c>
      <c r="W188" s="55"/>
      <c r="X188" s="96">
        <f ca="1">INDEX(OFFSET('Measure Inputs'!$V$7,,,InputRows),$C188)*$T188*$V188*$U188</f>
        <v>9493.2645599999996</v>
      </c>
      <c r="Y188" s="96">
        <f ca="1">INDEX(OFFSET('Measure Inputs'!$W$7,,,InputRows),$C188)*$T188*$V188*$U188</f>
        <v>1.0837060000000001</v>
      </c>
      <c r="Z188" s="96">
        <f ca="1">INDEX(OFFSET('Measure Inputs'!$X$7,,,InputRows),$C188)*$T188*$V188*$U188</f>
        <v>0</v>
      </c>
      <c r="AA188" s="55"/>
      <c r="AB188" s="96">
        <f ca="1">INDEX(OFFSET('Measure Inputs'!$Z$7,,,InputRows),$C188)*$T188*$V188*$U188</f>
        <v>0</v>
      </c>
      <c r="AC188" s="96">
        <f ca="1">INDEX(OFFSET('Measure Inputs'!$AA$7,,,InputRows),$C188)*$T188*$V188*$U188</f>
        <v>0</v>
      </c>
      <c r="AD188" s="96">
        <f ca="1">INDEX(OFFSET('Measure Inputs'!$AB$7,,,InputRows),$C188)*$T188*$V188*$U188</f>
        <v>0</v>
      </c>
      <c r="AE188" s="55"/>
      <c r="AF188" s="57">
        <f ca="1">INDEX(OFFSET('Measure Inputs'!$Q$7,,,InputRows),$C188)*$T188</f>
        <v>0</v>
      </c>
      <c r="AG188" s="57">
        <f ca="1">INDEX(OFFSET('Measure Inputs'!$P$7,,,InputRows),$C188)*$T188*$V188</f>
        <v>3226</v>
      </c>
      <c r="AH188" s="57">
        <f ca="1">INDEX(OFFSET('Measure Inputs'!$R$7,,,InputRows),$C188)*$T188*$V188</f>
        <v>0</v>
      </c>
      <c r="AI188" s="57">
        <f ca="1">INDEX(OFFSET('Measure Inputs'!$O$7,,,InputRows),$C188)*$T188</f>
        <v>600</v>
      </c>
      <c r="AJ188" s="57">
        <f ca="1">INDEX(OFFSET('Measure Inputs'!$S$7,,,InputRows),$C188)*$T188</f>
        <v>0</v>
      </c>
      <c r="AK188" s="63">
        <f ca="1">INDEX(OFFSET('Measure Inputs'!$M$7,,,InputRows),$C188)</f>
        <v>14</v>
      </c>
      <c r="AL188" s="88">
        <f ca="1">INDEX(OFFSET('Measure Inputs'!$N$7,,,InputRows),$C188)</f>
        <v>0</v>
      </c>
      <c r="AM188" s="57">
        <f ca="1">SUMIFS(OFFSET('Program Inputs'!$N$5,,,TotalPrograms),OFFSET('Program Inputs'!$B$5,,,TotalPrograms),SUBSTITUTE($B188,"All","*"))+AF188</f>
        <v>0</v>
      </c>
      <c r="AN188" s="57">
        <f t="shared" ca="1" si="365"/>
        <v>600</v>
      </c>
      <c r="AO188" s="55"/>
      <c r="AP188" s="59">
        <f t="shared" ca="1" si="366"/>
        <v>2556.828691900897</v>
      </c>
      <c r="AQ188" s="59">
        <f t="shared" ca="1" si="367"/>
        <v>2963.9838294744577</v>
      </c>
      <c r="AR188" s="59">
        <f ca="1">SUMPRODUCT($CA188:$DI188,'General Inputs'!$F$32:$AN$32,'General Inputs'!$F$51:$AN$51)/(1-Loss_ElectricEnergy)</f>
        <v>2362.8204383877783</v>
      </c>
      <c r="AS188" s="59">
        <f ca="1">SUMPRODUCT($DK188:$ES188,'General Inputs'!$F$33:$AN$33,'General Inputs'!$F$51:$AN$51)/(1-Loss_ElectricDemand)</f>
        <v>194.00825351311858</v>
      </c>
      <c r="AT188" s="59">
        <f ca="1">SUMPRODUCT($EU188:$GC188,'General Inputs'!$F$34:$AN$34,'General Inputs'!$F$51:$AN$51)/(1-Loss_GasEnergy)</f>
        <v>0</v>
      </c>
      <c r="AU188" s="59">
        <f ca="1">INDEX('General Inputs'!$F$51:$AN$51,MATCH($H188,'General Inputs'!$F$50:$AN$50,0))*$AJ188</f>
        <v>0</v>
      </c>
      <c r="AV188" s="59">
        <f ca="1">INDEX('General Inputs'!$F$51:$AN$51,MATCH($H188,'General Inputs'!$F$50:$AN$50,0))*$AI188</f>
        <v>551.2679162072767</v>
      </c>
      <c r="AW188" s="59">
        <f ca="1">INDEX('General Inputs'!$F$51:$AN$51,MATCH($H188,'General Inputs'!$F$50:$AN$50,0))*$AM188</f>
        <v>0</v>
      </c>
      <c r="AX188" s="59">
        <f ca="1">SUM(INDEX('General Inputs'!$F$51:$AN$51,MATCH($H188,'General Inputs'!$F$50:$AN$50,0))*$AG188,INDEX('General Inputs'!$F$51:$AN$51,MATCH($H188+$AL188,'General Inputs'!$F$50:$AN$50,0))*-$AH188)</f>
        <v>2963.9838294744577</v>
      </c>
      <c r="AY188" s="55"/>
      <c r="AZ188" s="59">
        <f ca="1">SUMPRODUCT($CA188:$DI188,'General Inputs'!$F$32:$AN$32,'General Inputs'!$F$52:$AN$52)/(1-Loss_ElectricEnergy)</f>
        <v>2362.8204383877783</v>
      </c>
      <c r="BA188" s="59">
        <f ca="1">SUMPRODUCT($DK188:$ES188,'General Inputs'!$F$33:$AN$33,'General Inputs'!$F$52:$AN$52)/(1-Loss_ElectricDemand)</f>
        <v>194.00825351311858</v>
      </c>
      <c r="BB188" s="59">
        <f ca="1">SUMPRODUCT($EU188:$GC188,'General Inputs'!$F$34:$AN$34,'General Inputs'!$F$52:$AN$52)/(1-Loss_GasEnergy)</f>
        <v>0</v>
      </c>
      <c r="BC188" s="59">
        <f ca="1">INDEX('General Inputs'!$F$52:$AN$52,MATCH($H188,'General Inputs'!$F$50:$AN$50,0))*$AI188</f>
        <v>551.2679162072767</v>
      </c>
      <c r="BD188" s="59">
        <f ca="1">INDEX('General Inputs'!$F$52:$AN$52,MATCH($H188,'General Inputs'!$F$50:$AN$50,0))*$AM188</f>
        <v>0</v>
      </c>
      <c r="BE188" s="55"/>
      <c r="BF188" s="59">
        <f ca="1">SUMPRODUCT($CA188:$DI188,OFFSET('General Inputs'!$F$40:$AN$40,MATCH($D188&amp;" Electric ($/kWh)",'General Inputs'!$E$40:$E$46,0),),'General Inputs'!$F$54:$AN$54)</f>
        <v>0</v>
      </c>
      <c r="BG188" s="59">
        <f ca="1">SUMPRODUCT($EU188:$GC188,OFFSET('General Inputs'!$F$40:$AN$40,MATCH($D188&amp;" Natural Gas ($/therm)",'General Inputs'!$E$40:$E$46,0),),'General Inputs'!$F$54:$AN$54)</f>
        <v>0</v>
      </c>
      <c r="BH188" s="59">
        <f ca="1">INDEX('General Inputs'!$F$54:$AN$54,MATCH($H188,'General Inputs'!$F$50:$AN$50,0))*$AI188</f>
        <v>551.2679162072767</v>
      </c>
      <c r="BI188" s="59">
        <f ca="1">SUM(INDEX('General Inputs'!$F$54:$AN$54,MATCH($H188,'General Inputs'!$F$50:$AN$50,0))*$AG188,INDEX('General Inputs'!$F$51:$AN$51,MATCH($H188+$AL188,'General Inputs'!$F$50:$AN$50,0))*-$AH188)</f>
        <v>2963.9838294744577</v>
      </c>
      <c r="BJ188" s="55"/>
      <c r="BK188" s="59">
        <f ca="1">SUMPRODUCT($CA188:$DI188,'General Inputs'!$F$32:$AN$32,'General Inputs'!$F$53:$AN$53)/(1-Loss_ElectricEnergy)</f>
        <v>2362.8204383877783</v>
      </c>
      <c r="BL188" s="59">
        <f ca="1">SUMPRODUCT($DK188:$ES188,'General Inputs'!$F$33:$AN$33,'General Inputs'!$F$53:$AN$53)/(1-Loss_ElectricDemand)</f>
        <v>194.00825351311858</v>
      </c>
      <c r="BM188" s="59">
        <f ca="1">SUMPRODUCT($EU188:$GC188,'General Inputs'!$F$34:$AN$34,'General Inputs'!$F$53:$AN$53)/(1-Loss_GasEnergy)</f>
        <v>0</v>
      </c>
      <c r="BN188" s="59">
        <f ca="1">INDEX('General Inputs'!$F$53:$AN$53,MATCH($H188,'General Inputs'!$F$50:$AN$50,0))*$AJ188</f>
        <v>0</v>
      </c>
      <c r="BO188" s="59">
        <f ca="1">SUMPRODUCT($CA188:$DI188,'General Inputs'!$F$35:$AN$35,'General Inputs'!$F$53:$AN$53)/(1-Loss_ElectricEnergy)</f>
        <v>892.21559594022142</v>
      </c>
      <c r="BP188" s="59">
        <f ca="1">INDEX('General Inputs'!$F$51:$AN$51,MATCH($H188,'General Inputs'!$F$50:$AN$50,0))*$AM188</f>
        <v>0</v>
      </c>
      <c r="BQ188" s="59">
        <f ca="1">SUM(INDEX('General Inputs'!$F$53:$AN$53,MATCH($H188,'General Inputs'!$F$50:$AN$50,0))*$AG188,INDEX('General Inputs'!$F$53:$AN$53,MATCH($H188+$AL188,'General Inputs'!$F$50:$AN$50,0))*-$AH188)</f>
        <v>2963.9838294744577</v>
      </c>
      <c r="BR188" s="55"/>
      <c r="BS188" s="59">
        <f ca="1">SUMPRODUCT($CA188:$DI188,'General Inputs'!$F$32:$AN$32,'General Inputs'!$F$55:$AN$55)/(1-Loss_ElectricEnergy)</f>
        <v>2362.8204383877783</v>
      </c>
      <c r="BT188" s="59">
        <f ca="1">SUMPRODUCT($DK188:$ES188,'General Inputs'!$F$33:$AN$33,'General Inputs'!$F$55:$AN$55)/(1-Loss_ElectricDemand)</f>
        <v>194.00825351311858</v>
      </c>
      <c r="BU188" s="59">
        <f ca="1">SUMPRODUCT($EU188:$GC188,'General Inputs'!$F$34:$AN$34,'General Inputs'!$F$55:$AN$55)/(1-Loss_GasEnergy)</f>
        <v>0</v>
      </c>
      <c r="BV188" s="59">
        <f ca="1">SUMPRODUCT($CA188:$DI188,OFFSET('General Inputs'!$F$40:$AN$40,MATCH($D188&amp;" Electric ($/kWh)",'General Inputs'!$E$40:$E$46,0),),'General Inputs'!$F$55:$AN$55)</f>
        <v>0</v>
      </c>
      <c r="BW188" s="59">
        <f ca="1">SUMPRODUCT($EU188:$GC188,OFFSET('General Inputs'!$F$40:$AN$40,MATCH($D188&amp;" Natural Gas ($/therm)",'General Inputs'!$E$40:$E$46,0),),'General Inputs'!$F$55:$AN$55)</f>
        <v>0</v>
      </c>
      <c r="BX188" s="59">
        <f ca="1">INDEX('General Inputs'!$F$55:$AN$55,MATCH($H188,'General Inputs'!$F$50:$AN$50,0))*$AI188</f>
        <v>551.2679162072767</v>
      </c>
      <c r="BY188" s="59">
        <f ca="1">INDEX('General Inputs'!$F$51:$AN$51,MATCH($H188,'General Inputs'!$F$50:$AN$50,0))*$AM188</f>
        <v>0</v>
      </c>
      <c r="BZ188" s="55"/>
      <c r="CA188" s="88">
        <f t="shared" ca="1" si="409"/>
        <v>0</v>
      </c>
      <c r="CB188" s="88">
        <f t="shared" ca="1" si="409"/>
        <v>9493.2645599999996</v>
      </c>
      <c r="CC188" s="88">
        <f t="shared" ca="1" si="409"/>
        <v>9493.2645599999996</v>
      </c>
      <c r="CD188" s="88">
        <f t="shared" ca="1" si="409"/>
        <v>9493.2645599999996</v>
      </c>
      <c r="CE188" s="88">
        <f t="shared" ca="1" si="409"/>
        <v>9493.2645599999996</v>
      </c>
      <c r="CF188" s="88">
        <f t="shared" ca="1" si="409"/>
        <v>9493.2645599999996</v>
      </c>
      <c r="CG188" s="88">
        <f t="shared" ca="1" si="409"/>
        <v>9493.2645599999996</v>
      </c>
      <c r="CH188" s="88">
        <f t="shared" ca="1" si="409"/>
        <v>9493.2645599999996</v>
      </c>
      <c r="CI188" s="88">
        <f t="shared" ca="1" si="409"/>
        <v>9493.2645599999996</v>
      </c>
      <c r="CJ188" s="88">
        <f t="shared" ca="1" si="409"/>
        <v>9493.2645599999996</v>
      </c>
      <c r="CK188" s="88">
        <f t="shared" ca="1" si="410"/>
        <v>9493.2645599999996</v>
      </c>
      <c r="CL188" s="88">
        <f t="shared" ca="1" si="410"/>
        <v>9493.2645599999996</v>
      </c>
      <c r="CM188" s="88">
        <f t="shared" ca="1" si="410"/>
        <v>9493.2645599999996</v>
      </c>
      <c r="CN188" s="88">
        <f t="shared" ca="1" si="410"/>
        <v>9493.2645599999996</v>
      </c>
      <c r="CO188" s="88">
        <f t="shared" ca="1" si="410"/>
        <v>9493.2645599999996</v>
      </c>
      <c r="CP188" s="88">
        <f t="shared" ca="1" si="410"/>
        <v>0</v>
      </c>
      <c r="CQ188" s="88">
        <f t="shared" ca="1" si="410"/>
        <v>0</v>
      </c>
      <c r="CR188" s="88">
        <f t="shared" ca="1" si="410"/>
        <v>0</v>
      </c>
      <c r="CS188" s="88">
        <f t="shared" ca="1" si="410"/>
        <v>0</v>
      </c>
      <c r="CT188" s="88">
        <f t="shared" ca="1" si="410"/>
        <v>0</v>
      </c>
      <c r="CU188" s="88">
        <f t="shared" ca="1" si="411"/>
        <v>0</v>
      </c>
      <c r="CV188" s="88">
        <f t="shared" ca="1" si="411"/>
        <v>0</v>
      </c>
      <c r="CW188" s="88">
        <f t="shared" ca="1" si="411"/>
        <v>0</v>
      </c>
      <c r="CX188" s="88">
        <f t="shared" ca="1" si="411"/>
        <v>0</v>
      </c>
      <c r="CY188" s="88">
        <f t="shared" ca="1" si="411"/>
        <v>0</v>
      </c>
      <c r="CZ188" s="88">
        <f t="shared" ca="1" si="411"/>
        <v>0</v>
      </c>
      <c r="DA188" s="88">
        <f t="shared" ca="1" si="411"/>
        <v>0</v>
      </c>
      <c r="DB188" s="88">
        <f t="shared" ca="1" si="411"/>
        <v>0</v>
      </c>
      <c r="DC188" s="88">
        <f t="shared" ca="1" si="411"/>
        <v>0</v>
      </c>
      <c r="DD188" s="88">
        <f t="shared" ca="1" si="411"/>
        <v>0</v>
      </c>
      <c r="DE188" s="88">
        <f t="shared" ca="1" si="411"/>
        <v>0</v>
      </c>
      <c r="DF188" s="88">
        <f t="shared" ca="1" si="411"/>
        <v>0</v>
      </c>
      <c r="DG188" s="88">
        <f t="shared" ca="1" si="411"/>
        <v>0</v>
      </c>
      <c r="DH188" s="88">
        <f t="shared" ca="1" si="411"/>
        <v>0</v>
      </c>
      <c r="DI188" s="88">
        <f t="shared" ca="1" si="411"/>
        <v>0</v>
      </c>
      <c r="DJ188" s="169"/>
      <c r="DK188" s="88">
        <f t="shared" ca="1" si="412"/>
        <v>0</v>
      </c>
      <c r="DL188" s="88">
        <f t="shared" ca="1" si="412"/>
        <v>1.0837060000000001</v>
      </c>
      <c r="DM188" s="88">
        <f t="shared" ca="1" si="412"/>
        <v>1.0837060000000001</v>
      </c>
      <c r="DN188" s="88">
        <f t="shared" ca="1" si="412"/>
        <v>1.0837060000000001</v>
      </c>
      <c r="DO188" s="88">
        <f t="shared" ca="1" si="412"/>
        <v>1.0837060000000001</v>
      </c>
      <c r="DP188" s="88">
        <f t="shared" ca="1" si="412"/>
        <v>1.0837060000000001</v>
      </c>
      <c r="DQ188" s="88">
        <f t="shared" ca="1" si="412"/>
        <v>1.0837060000000001</v>
      </c>
      <c r="DR188" s="88">
        <f t="shared" ca="1" si="412"/>
        <v>1.0837060000000001</v>
      </c>
      <c r="DS188" s="88">
        <f t="shared" ca="1" si="412"/>
        <v>1.0837060000000001</v>
      </c>
      <c r="DT188" s="88">
        <f t="shared" ca="1" si="412"/>
        <v>1.0837060000000001</v>
      </c>
      <c r="DU188" s="88">
        <f t="shared" ca="1" si="413"/>
        <v>1.0837060000000001</v>
      </c>
      <c r="DV188" s="88">
        <f t="shared" ca="1" si="413"/>
        <v>1.0837060000000001</v>
      </c>
      <c r="DW188" s="88">
        <f t="shared" ca="1" si="413"/>
        <v>1.0837060000000001</v>
      </c>
      <c r="DX188" s="88">
        <f t="shared" ca="1" si="413"/>
        <v>1.0837060000000001</v>
      </c>
      <c r="DY188" s="88">
        <f t="shared" ca="1" si="413"/>
        <v>1.0837060000000001</v>
      </c>
      <c r="DZ188" s="88">
        <f t="shared" ca="1" si="413"/>
        <v>0</v>
      </c>
      <c r="EA188" s="88">
        <f t="shared" ca="1" si="413"/>
        <v>0</v>
      </c>
      <c r="EB188" s="88">
        <f t="shared" ca="1" si="413"/>
        <v>0</v>
      </c>
      <c r="EC188" s="88">
        <f t="shared" ca="1" si="413"/>
        <v>0</v>
      </c>
      <c r="ED188" s="88">
        <f t="shared" ca="1" si="413"/>
        <v>0</v>
      </c>
      <c r="EE188" s="88">
        <f t="shared" ca="1" si="414"/>
        <v>0</v>
      </c>
      <c r="EF188" s="88">
        <f t="shared" ca="1" si="414"/>
        <v>0</v>
      </c>
      <c r="EG188" s="88">
        <f t="shared" ca="1" si="414"/>
        <v>0</v>
      </c>
      <c r="EH188" s="88">
        <f t="shared" ca="1" si="414"/>
        <v>0</v>
      </c>
      <c r="EI188" s="88">
        <f t="shared" ca="1" si="414"/>
        <v>0</v>
      </c>
      <c r="EJ188" s="88">
        <f t="shared" ca="1" si="414"/>
        <v>0</v>
      </c>
      <c r="EK188" s="88">
        <f t="shared" ca="1" si="414"/>
        <v>0</v>
      </c>
      <c r="EL188" s="88">
        <f t="shared" ca="1" si="414"/>
        <v>0</v>
      </c>
      <c r="EM188" s="88">
        <f t="shared" ca="1" si="414"/>
        <v>0</v>
      </c>
      <c r="EN188" s="88">
        <f t="shared" ca="1" si="414"/>
        <v>0</v>
      </c>
      <c r="EO188" s="88">
        <f t="shared" ca="1" si="414"/>
        <v>0</v>
      </c>
      <c r="EP188" s="88">
        <f t="shared" ca="1" si="414"/>
        <v>0</v>
      </c>
      <c r="EQ188" s="88">
        <f t="shared" ca="1" si="414"/>
        <v>0</v>
      </c>
      <c r="ER188" s="88">
        <f t="shared" ca="1" si="414"/>
        <v>0</v>
      </c>
      <c r="ES188" s="88">
        <f t="shared" ca="1" si="414"/>
        <v>0</v>
      </c>
      <c r="ET188" s="169"/>
      <c r="EU188" s="88">
        <f t="shared" ca="1" si="415"/>
        <v>0</v>
      </c>
      <c r="EV188" s="88">
        <f t="shared" ca="1" si="415"/>
        <v>0</v>
      </c>
      <c r="EW188" s="88">
        <f t="shared" ca="1" si="415"/>
        <v>0</v>
      </c>
      <c r="EX188" s="88">
        <f t="shared" ca="1" si="415"/>
        <v>0</v>
      </c>
      <c r="EY188" s="88">
        <f t="shared" ca="1" si="415"/>
        <v>0</v>
      </c>
      <c r="EZ188" s="88">
        <f t="shared" ca="1" si="415"/>
        <v>0</v>
      </c>
      <c r="FA188" s="88">
        <f t="shared" ca="1" si="415"/>
        <v>0</v>
      </c>
      <c r="FB188" s="88">
        <f t="shared" ca="1" si="415"/>
        <v>0</v>
      </c>
      <c r="FC188" s="88">
        <f t="shared" ca="1" si="415"/>
        <v>0</v>
      </c>
      <c r="FD188" s="88">
        <f t="shared" ca="1" si="415"/>
        <v>0</v>
      </c>
      <c r="FE188" s="88">
        <f t="shared" ca="1" si="416"/>
        <v>0</v>
      </c>
      <c r="FF188" s="88">
        <f t="shared" ca="1" si="416"/>
        <v>0</v>
      </c>
      <c r="FG188" s="88">
        <f t="shared" ca="1" si="416"/>
        <v>0</v>
      </c>
      <c r="FH188" s="88">
        <f t="shared" ca="1" si="416"/>
        <v>0</v>
      </c>
      <c r="FI188" s="88">
        <f t="shared" ca="1" si="416"/>
        <v>0</v>
      </c>
      <c r="FJ188" s="88">
        <f t="shared" ca="1" si="416"/>
        <v>0</v>
      </c>
      <c r="FK188" s="88">
        <f t="shared" ca="1" si="416"/>
        <v>0</v>
      </c>
      <c r="FL188" s="88">
        <f t="shared" ca="1" si="416"/>
        <v>0</v>
      </c>
      <c r="FM188" s="88">
        <f t="shared" ca="1" si="416"/>
        <v>0</v>
      </c>
      <c r="FN188" s="88">
        <f t="shared" ca="1" si="416"/>
        <v>0</v>
      </c>
      <c r="FO188" s="88">
        <f t="shared" ca="1" si="417"/>
        <v>0</v>
      </c>
      <c r="FP188" s="88">
        <f t="shared" ca="1" si="417"/>
        <v>0</v>
      </c>
      <c r="FQ188" s="88">
        <f t="shared" ca="1" si="417"/>
        <v>0</v>
      </c>
      <c r="FR188" s="88">
        <f t="shared" ca="1" si="417"/>
        <v>0</v>
      </c>
      <c r="FS188" s="88">
        <f t="shared" ca="1" si="417"/>
        <v>0</v>
      </c>
      <c r="FT188" s="88">
        <f t="shared" ca="1" si="417"/>
        <v>0</v>
      </c>
      <c r="FU188" s="88">
        <f t="shared" ca="1" si="417"/>
        <v>0</v>
      </c>
      <c r="FV188" s="88">
        <f t="shared" ca="1" si="417"/>
        <v>0</v>
      </c>
      <c r="FW188" s="88">
        <f t="shared" ca="1" si="417"/>
        <v>0</v>
      </c>
      <c r="FX188" s="88">
        <f t="shared" ca="1" si="417"/>
        <v>0</v>
      </c>
      <c r="FY188" s="88">
        <f t="shared" ca="1" si="417"/>
        <v>0</v>
      </c>
      <c r="FZ188" s="88">
        <f t="shared" ca="1" si="417"/>
        <v>0</v>
      </c>
      <c r="GA188" s="88">
        <f t="shared" ca="1" si="417"/>
        <v>0</v>
      </c>
      <c r="GB188" s="88">
        <f t="shared" ca="1" si="417"/>
        <v>0</v>
      </c>
      <c r="GC188" s="88">
        <f t="shared" ca="1" si="417"/>
        <v>0</v>
      </c>
      <c r="GD188" s="60"/>
    </row>
    <row r="189" spans="1:186" s="54" customFormat="1" ht="14.45" customHeight="1">
      <c r="A189" s="61"/>
      <c r="B189" s="100" t="str">
        <f t="shared" si="418"/>
        <v>C&amp;I_C&amp;I Prescriptive_0_LED Exterior Flood Lights (15W or less)_2018</v>
      </c>
      <c r="C189" s="100">
        <f>INDEX('Measure Inputs'!$D:$D,MATCH($B189,'Measure Inputs'!$B:$B,0))</f>
        <v>141</v>
      </c>
      <c r="D189" s="101" t="s">
        <v>256</v>
      </c>
      <c r="E189" s="101" t="s">
        <v>255</v>
      </c>
      <c r="F189" s="101">
        <v>0</v>
      </c>
      <c r="G189" s="101" t="s">
        <v>366</v>
      </c>
      <c r="H189" s="101">
        <v>2018</v>
      </c>
      <c r="I189" s="55"/>
      <c r="J189" s="58">
        <f t="shared" ca="1" si="229"/>
        <v>1.7167552314732768</v>
      </c>
      <c r="K189" s="58">
        <f t="shared" ca="1" si="246"/>
        <v>4.0057622067709797</v>
      </c>
      <c r="L189" s="58">
        <f t="shared" ca="1" si="230"/>
        <v>0.42857142857142855</v>
      </c>
      <c r="M189" s="58">
        <f t="shared" ca="1" si="231"/>
        <v>2.2746192048627187</v>
      </c>
      <c r="N189" s="58">
        <f t="shared" ca="1" si="232"/>
        <v>4.0057622067709797</v>
      </c>
      <c r="O189" s="55"/>
      <c r="P189" s="175">
        <f ca="1">IFERROR(($AW189+AV189)/SUMPRODUCT($CA189:$DI189,'General Inputs'!$F$51:$AN$51),"n/a")</f>
        <v>9.1898167126096015E-3</v>
      </c>
      <c r="Q189" s="175">
        <f t="shared" ca="1" si="386"/>
        <v>7.8584638274910024E-2</v>
      </c>
      <c r="R189" s="56">
        <f t="shared" ca="1" si="364"/>
        <v>320.67335999999995</v>
      </c>
      <c r="S189" s="55"/>
      <c r="T189" s="56">
        <f ca="1">INDEX(OFFSET('Measure Inputs'!$L$7,,,InputRows),$C189)</f>
        <v>120</v>
      </c>
      <c r="U189" s="134">
        <f ca="1">INDEX(OFFSET('Measure Inputs'!$T$7,,,InputRows),$C189)</f>
        <v>1</v>
      </c>
      <c r="V189" s="134">
        <f ca="1">INDEX(OFFSET('Measure Inputs'!$U$7,,,InputRows),$C189)</f>
        <v>1</v>
      </c>
      <c r="W189" s="55"/>
      <c r="X189" s="96">
        <f ca="1">INDEX(OFFSET('Measure Inputs'!$V$7,,,InputRows),$C189)*$T189*$V189*$U189</f>
        <v>22905.239999999998</v>
      </c>
      <c r="Y189" s="96">
        <f ca="1">INDEX(OFFSET('Measure Inputs'!$W$7,,,InputRows),$C189)*$T189*$V189*$U189</f>
        <v>5.1599999999999993</v>
      </c>
      <c r="Z189" s="96">
        <f ca="1">INDEX(OFFSET('Measure Inputs'!$X$7,,,InputRows),$C189)*$T189*$V189*$U189</f>
        <v>0</v>
      </c>
      <c r="AA189" s="55"/>
      <c r="AB189" s="96">
        <f ca="1">INDEX(OFFSET('Measure Inputs'!$Z$7,,,InputRows),$C189)*$T189*$V189*$U189</f>
        <v>0</v>
      </c>
      <c r="AC189" s="96">
        <f ca="1">INDEX(OFFSET('Measure Inputs'!$AA$7,,,InputRows),$C189)*$T189*$V189*$U189</f>
        <v>0</v>
      </c>
      <c r="AD189" s="96">
        <f ca="1">INDEX(OFFSET('Measure Inputs'!$AB$7,,,InputRows),$C189)*$T189*$V189*$U189</f>
        <v>0</v>
      </c>
      <c r="AE189" s="55"/>
      <c r="AF189" s="57">
        <f ca="1">INDEX(OFFSET('Measure Inputs'!$Q$7,,,InputRows),$C189)*$T189</f>
        <v>0</v>
      </c>
      <c r="AG189" s="57">
        <f ca="1">INDEX(OFFSET('Measure Inputs'!$P$7,,,InputRows),$C189)*$T189*$V189</f>
        <v>4200</v>
      </c>
      <c r="AH189" s="57">
        <f ca="1">INDEX(OFFSET('Measure Inputs'!$R$7,,,InputRows),$C189)*$T189*$V189</f>
        <v>0</v>
      </c>
      <c r="AI189" s="57">
        <f ca="1">INDEX(OFFSET('Measure Inputs'!$O$7,,,InputRows),$C189)*$T189</f>
        <v>1800</v>
      </c>
      <c r="AJ189" s="57">
        <f ca="1">INDEX(OFFSET('Measure Inputs'!$S$7,,,InputRows),$C189)*$T189</f>
        <v>0</v>
      </c>
      <c r="AK189" s="63">
        <f ca="1">INDEX(OFFSET('Measure Inputs'!$M$7,,,InputRows),$C189)</f>
        <v>14</v>
      </c>
      <c r="AL189" s="88">
        <f ca="1">INDEX(OFFSET('Measure Inputs'!$N$7,,,InputRows),$C189)</f>
        <v>0</v>
      </c>
      <c r="AM189" s="57">
        <f ca="1">SUMIFS(OFFSET('Program Inputs'!$N$5,,,TotalPrograms),OFFSET('Program Inputs'!$B$5,,,TotalPrograms),SUBSTITUTE($B189,"All","*"))+AF189</f>
        <v>0</v>
      </c>
      <c r="AN189" s="57">
        <f t="shared" ca="1" si="365"/>
        <v>1800</v>
      </c>
      <c r="AO189" s="55"/>
      <c r="AP189" s="59">
        <f t="shared" ca="1" si="366"/>
        <v>6624.7445536455007</v>
      </c>
      <c r="AQ189" s="59">
        <f t="shared" ca="1" si="367"/>
        <v>3858.8754134509372</v>
      </c>
      <c r="AR189" s="59">
        <f ca="1">SUMPRODUCT($CA189:$DI189,'General Inputs'!$F$32:$AN$32,'General Inputs'!$F$51:$AN$51)/(1-Loss_ElectricEnergy)</f>
        <v>5700.986091361734</v>
      </c>
      <c r="AS189" s="59">
        <f ca="1">SUMPRODUCT($DK189:$ES189,'General Inputs'!$F$33:$AN$33,'General Inputs'!$F$51:$AN$51)/(1-Loss_ElectricDemand)</f>
        <v>923.75846228376679</v>
      </c>
      <c r="AT189" s="59">
        <f ca="1">SUMPRODUCT($EU189:$GC189,'General Inputs'!$F$34:$AN$34,'General Inputs'!$F$51:$AN$51)/(1-Loss_GasEnergy)</f>
        <v>0</v>
      </c>
      <c r="AU189" s="59">
        <f ca="1">INDEX('General Inputs'!$F$51:$AN$51,MATCH($H189,'General Inputs'!$F$50:$AN$50,0))*$AJ189</f>
        <v>0</v>
      </c>
      <c r="AV189" s="59">
        <f ca="1">INDEX('General Inputs'!$F$51:$AN$51,MATCH($H189,'General Inputs'!$F$50:$AN$50,0))*$AI189</f>
        <v>1653.8037486218302</v>
      </c>
      <c r="AW189" s="59">
        <f ca="1">INDEX('General Inputs'!$F$51:$AN$51,MATCH($H189,'General Inputs'!$F$50:$AN$50,0))*$AM189</f>
        <v>0</v>
      </c>
      <c r="AX189" s="59">
        <f ca="1">SUM(INDEX('General Inputs'!$F$51:$AN$51,MATCH($H189,'General Inputs'!$F$50:$AN$50,0))*$AG189,INDEX('General Inputs'!$F$51:$AN$51,MATCH($H189+$AL189,'General Inputs'!$F$50:$AN$50,0))*-$AH189)</f>
        <v>3858.8754134509372</v>
      </c>
      <c r="AY189" s="55"/>
      <c r="AZ189" s="59">
        <f ca="1">SUMPRODUCT($CA189:$DI189,'General Inputs'!$F$32:$AN$32,'General Inputs'!$F$52:$AN$52)/(1-Loss_ElectricEnergy)</f>
        <v>5700.986091361734</v>
      </c>
      <c r="BA189" s="59">
        <f ca="1">SUMPRODUCT($DK189:$ES189,'General Inputs'!$F$33:$AN$33,'General Inputs'!$F$52:$AN$52)/(1-Loss_ElectricDemand)</f>
        <v>923.75846228376679</v>
      </c>
      <c r="BB189" s="59">
        <f ca="1">SUMPRODUCT($EU189:$GC189,'General Inputs'!$F$34:$AN$34,'General Inputs'!$F$52:$AN$52)/(1-Loss_GasEnergy)</f>
        <v>0</v>
      </c>
      <c r="BC189" s="59">
        <f ca="1">INDEX('General Inputs'!$F$52:$AN$52,MATCH($H189,'General Inputs'!$F$50:$AN$50,0))*$AI189</f>
        <v>1653.8037486218302</v>
      </c>
      <c r="BD189" s="59">
        <f ca="1">INDEX('General Inputs'!$F$52:$AN$52,MATCH($H189,'General Inputs'!$F$50:$AN$50,0))*$AM189</f>
        <v>0</v>
      </c>
      <c r="BE189" s="55"/>
      <c r="BF189" s="59">
        <f ca="1">SUMPRODUCT($CA189:$DI189,OFFSET('General Inputs'!$F$40:$AN$40,MATCH($D189&amp;" Electric ($/kWh)",'General Inputs'!$E$40:$E$46,0),),'General Inputs'!$F$54:$AN$54)</f>
        <v>0</v>
      </c>
      <c r="BG189" s="59">
        <f ca="1">SUMPRODUCT($EU189:$GC189,OFFSET('General Inputs'!$F$40:$AN$40,MATCH($D189&amp;" Natural Gas ($/therm)",'General Inputs'!$E$40:$E$46,0),),'General Inputs'!$F$54:$AN$54)</f>
        <v>0</v>
      </c>
      <c r="BH189" s="59">
        <f ca="1">INDEX('General Inputs'!$F$54:$AN$54,MATCH($H189,'General Inputs'!$F$50:$AN$50,0))*$AI189</f>
        <v>1653.8037486218302</v>
      </c>
      <c r="BI189" s="59">
        <f ca="1">SUM(INDEX('General Inputs'!$F$54:$AN$54,MATCH($H189,'General Inputs'!$F$50:$AN$50,0))*$AG189,INDEX('General Inputs'!$F$51:$AN$51,MATCH($H189+$AL189,'General Inputs'!$F$50:$AN$50,0))*-$AH189)</f>
        <v>3858.8754134509372</v>
      </c>
      <c r="BJ189" s="55"/>
      <c r="BK189" s="59">
        <f ca="1">SUMPRODUCT($CA189:$DI189,'General Inputs'!$F$32:$AN$32,'General Inputs'!$F$53:$AN$53)/(1-Loss_ElectricEnergy)</f>
        <v>5700.986091361734</v>
      </c>
      <c r="BL189" s="59">
        <f ca="1">SUMPRODUCT($DK189:$ES189,'General Inputs'!$F$33:$AN$33,'General Inputs'!$F$53:$AN$53)/(1-Loss_ElectricDemand)</f>
        <v>923.75846228376679</v>
      </c>
      <c r="BM189" s="59">
        <f ca="1">SUMPRODUCT($EU189:$GC189,'General Inputs'!$F$34:$AN$34,'General Inputs'!$F$53:$AN$53)/(1-Loss_GasEnergy)</f>
        <v>0</v>
      </c>
      <c r="BN189" s="59">
        <f ca="1">INDEX('General Inputs'!$F$53:$AN$53,MATCH($H189,'General Inputs'!$F$50:$AN$50,0))*$AJ189</f>
        <v>0</v>
      </c>
      <c r="BO189" s="59">
        <f ca="1">SUMPRODUCT($CA189:$DI189,'General Inputs'!$F$35:$AN$35,'General Inputs'!$F$53:$AN$53)/(1-Loss_ElectricEnergy)</f>
        <v>2152.7275709625646</v>
      </c>
      <c r="BP189" s="59">
        <f ca="1">INDEX('General Inputs'!$F$51:$AN$51,MATCH($H189,'General Inputs'!$F$50:$AN$50,0))*$AM189</f>
        <v>0</v>
      </c>
      <c r="BQ189" s="59">
        <f ca="1">SUM(INDEX('General Inputs'!$F$53:$AN$53,MATCH($H189,'General Inputs'!$F$50:$AN$50,0))*$AG189,INDEX('General Inputs'!$F$53:$AN$53,MATCH($H189+$AL189,'General Inputs'!$F$50:$AN$50,0))*-$AH189)</f>
        <v>3858.8754134509372</v>
      </c>
      <c r="BR189" s="55"/>
      <c r="BS189" s="59">
        <f ca="1">SUMPRODUCT($CA189:$DI189,'General Inputs'!$F$32:$AN$32,'General Inputs'!$F$55:$AN$55)/(1-Loss_ElectricEnergy)</f>
        <v>5700.986091361734</v>
      </c>
      <c r="BT189" s="59">
        <f ca="1">SUMPRODUCT($DK189:$ES189,'General Inputs'!$F$33:$AN$33,'General Inputs'!$F$55:$AN$55)/(1-Loss_ElectricDemand)</f>
        <v>923.75846228376679</v>
      </c>
      <c r="BU189" s="59">
        <f ca="1">SUMPRODUCT($EU189:$GC189,'General Inputs'!$F$34:$AN$34,'General Inputs'!$F$55:$AN$55)/(1-Loss_GasEnergy)</f>
        <v>0</v>
      </c>
      <c r="BV189" s="59">
        <f ca="1">SUMPRODUCT($CA189:$DI189,OFFSET('General Inputs'!$F$40:$AN$40,MATCH($D189&amp;" Electric ($/kWh)",'General Inputs'!$E$40:$E$46,0),),'General Inputs'!$F$55:$AN$55)</f>
        <v>0</v>
      </c>
      <c r="BW189" s="59">
        <f ca="1">SUMPRODUCT($EU189:$GC189,OFFSET('General Inputs'!$F$40:$AN$40,MATCH($D189&amp;" Natural Gas ($/therm)",'General Inputs'!$E$40:$E$46,0),),'General Inputs'!$F$55:$AN$55)</f>
        <v>0</v>
      </c>
      <c r="BX189" s="59">
        <f ca="1">INDEX('General Inputs'!$F$55:$AN$55,MATCH($H189,'General Inputs'!$F$50:$AN$50,0))*$AI189</f>
        <v>1653.8037486218302</v>
      </c>
      <c r="BY189" s="59">
        <f ca="1">INDEX('General Inputs'!$F$51:$AN$51,MATCH($H189,'General Inputs'!$F$50:$AN$50,0))*$AM189</f>
        <v>0</v>
      </c>
      <c r="BZ189" s="55"/>
      <c r="CA189" s="88">
        <f t="shared" ca="1" si="409"/>
        <v>0</v>
      </c>
      <c r="CB189" s="88">
        <f t="shared" ca="1" si="409"/>
        <v>22905.239999999998</v>
      </c>
      <c r="CC189" s="88">
        <f t="shared" ca="1" si="409"/>
        <v>22905.239999999998</v>
      </c>
      <c r="CD189" s="88">
        <f t="shared" ca="1" si="409"/>
        <v>22905.239999999998</v>
      </c>
      <c r="CE189" s="88">
        <f t="shared" ca="1" si="409"/>
        <v>22905.239999999998</v>
      </c>
      <c r="CF189" s="88">
        <f t="shared" ca="1" si="409"/>
        <v>22905.239999999998</v>
      </c>
      <c r="CG189" s="88">
        <f t="shared" ca="1" si="409"/>
        <v>22905.239999999998</v>
      </c>
      <c r="CH189" s="88">
        <f t="shared" ca="1" si="409"/>
        <v>22905.239999999998</v>
      </c>
      <c r="CI189" s="88">
        <f t="shared" ca="1" si="409"/>
        <v>22905.239999999998</v>
      </c>
      <c r="CJ189" s="88">
        <f t="shared" ca="1" si="409"/>
        <v>22905.239999999998</v>
      </c>
      <c r="CK189" s="88">
        <f t="shared" ca="1" si="410"/>
        <v>22905.239999999998</v>
      </c>
      <c r="CL189" s="88">
        <f t="shared" ca="1" si="410"/>
        <v>22905.239999999998</v>
      </c>
      <c r="CM189" s="88">
        <f t="shared" ca="1" si="410"/>
        <v>22905.239999999998</v>
      </c>
      <c r="CN189" s="88">
        <f t="shared" ca="1" si="410"/>
        <v>22905.239999999998</v>
      </c>
      <c r="CO189" s="88">
        <f t="shared" ca="1" si="410"/>
        <v>22905.239999999998</v>
      </c>
      <c r="CP189" s="88">
        <f t="shared" ca="1" si="410"/>
        <v>0</v>
      </c>
      <c r="CQ189" s="88">
        <f t="shared" ca="1" si="410"/>
        <v>0</v>
      </c>
      <c r="CR189" s="88">
        <f t="shared" ca="1" si="410"/>
        <v>0</v>
      </c>
      <c r="CS189" s="88">
        <f t="shared" ca="1" si="410"/>
        <v>0</v>
      </c>
      <c r="CT189" s="88">
        <f t="shared" ca="1" si="410"/>
        <v>0</v>
      </c>
      <c r="CU189" s="88">
        <f t="shared" ca="1" si="411"/>
        <v>0</v>
      </c>
      <c r="CV189" s="88">
        <f t="shared" ca="1" si="411"/>
        <v>0</v>
      </c>
      <c r="CW189" s="88">
        <f t="shared" ca="1" si="411"/>
        <v>0</v>
      </c>
      <c r="CX189" s="88">
        <f t="shared" ca="1" si="411"/>
        <v>0</v>
      </c>
      <c r="CY189" s="88">
        <f t="shared" ca="1" si="411"/>
        <v>0</v>
      </c>
      <c r="CZ189" s="88">
        <f t="shared" ca="1" si="411"/>
        <v>0</v>
      </c>
      <c r="DA189" s="88">
        <f t="shared" ca="1" si="411"/>
        <v>0</v>
      </c>
      <c r="DB189" s="88">
        <f t="shared" ca="1" si="411"/>
        <v>0</v>
      </c>
      <c r="DC189" s="88">
        <f t="shared" ca="1" si="411"/>
        <v>0</v>
      </c>
      <c r="DD189" s="88">
        <f t="shared" ca="1" si="411"/>
        <v>0</v>
      </c>
      <c r="DE189" s="88">
        <f t="shared" ca="1" si="411"/>
        <v>0</v>
      </c>
      <c r="DF189" s="88">
        <f t="shared" ca="1" si="411"/>
        <v>0</v>
      </c>
      <c r="DG189" s="88">
        <f t="shared" ca="1" si="411"/>
        <v>0</v>
      </c>
      <c r="DH189" s="88">
        <f t="shared" ca="1" si="411"/>
        <v>0</v>
      </c>
      <c r="DI189" s="88">
        <f t="shared" ca="1" si="411"/>
        <v>0</v>
      </c>
      <c r="DJ189" s="169"/>
      <c r="DK189" s="88">
        <f t="shared" ca="1" si="412"/>
        <v>0</v>
      </c>
      <c r="DL189" s="88">
        <f t="shared" ca="1" si="412"/>
        <v>5.1599999999999993</v>
      </c>
      <c r="DM189" s="88">
        <f t="shared" ca="1" si="412"/>
        <v>5.1599999999999993</v>
      </c>
      <c r="DN189" s="88">
        <f t="shared" ca="1" si="412"/>
        <v>5.1599999999999993</v>
      </c>
      <c r="DO189" s="88">
        <f t="shared" ca="1" si="412"/>
        <v>5.1599999999999993</v>
      </c>
      <c r="DP189" s="88">
        <f t="shared" ca="1" si="412"/>
        <v>5.1599999999999993</v>
      </c>
      <c r="DQ189" s="88">
        <f t="shared" ca="1" si="412"/>
        <v>5.1599999999999993</v>
      </c>
      <c r="DR189" s="88">
        <f t="shared" ca="1" si="412"/>
        <v>5.1599999999999993</v>
      </c>
      <c r="DS189" s="88">
        <f t="shared" ca="1" si="412"/>
        <v>5.1599999999999993</v>
      </c>
      <c r="DT189" s="88">
        <f t="shared" ca="1" si="412"/>
        <v>5.1599999999999993</v>
      </c>
      <c r="DU189" s="88">
        <f t="shared" ca="1" si="413"/>
        <v>5.1599999999999993</v>
      </c>
      <c r="DV189" s="88">
        <f t="shared" ca="1" si="413"/>
        <v>5.1599999999999993</v>
      </c>
      <c r="DW189" s="88">
        <f t="shared" ca="1" si="413"/>
        <v>5.1599999999999993</v>
      </c>
      <c r="DX189" s="88">
        <f t="shared" ca="1" si="413"/>
        <v>5.1599999999999993</v>
      </c>
      <c r="DY189" s="88">
        <f t="shared" ca="1" si="413"/>
        <v>5.1599999999999993</v>
      </c>
      <c r="DZ189" s="88">
        <f t="shared" ca="1" si="413"/>
        <v>0</v>
      </c>
      <c r="EA189" s="88">
        <f t="shared" ca="1" si="413"/>
        <v>0</v>
      </c>
      <c r="EB189" s="88">
        <f t="shared" ca="1" si="413"/>
        <v>0</v>
      </c>
      <c r="EC189" s="88">
        <f t="shared" ca="1" si="413"/>
        <v>0</v>
      </c>
      <c r="ED189" s="88">
        <f t="shared" ca="1" si="413"/>
        <v>0</v>
      </c>
      <c r="EE189" s="88">
        <f t="shared" ca="1" si="414"/>
        <v>0</v>
      </c>
      <c r="EF189" s="88">
        <f t="shared" ca="1" si="414"/>
        <v>0</v>
      </c>
      <c r="EG189" s="88">
        <f t="shared" ca="1" si="414"/>
        <v>0</v>
      </c>
      <c r="EH189" s="88">
        <f t="shared" ca="1" si="414"/>
        <v>0</v>
      </c>
      <c r="EI189" s="88">
        <f t="shared" ca="1" si="414"/>
        <v>0</v>
      </c>
      <c r="EJ189" s="88">
        <f t="shared" ca="1" si="414"/>
        <v>0</v>
      </c>
      <c r="EK189" s="88">
        <f t="shared" ca="1" si="414"/>
        <v>0</v>
      </c>
      <c r="EL189" s="88">
        <f t="shared" ca="1" si="414"/>
        <v>0</v>
      </c>
      <c r="EM189" s="88">
        <f t="shared" ca="1" si="414"/>
        <v>0</v>
      </c>
      <c r="EN189" s="88">
        <f t="shared" ca="1" si="414"/>
        <v>0</v>
      </c>
      <c r="EO189" s="88">
        <f t="shared" ca="1" si="414"/>
        <v>0</v>
      </c>
      <c r="EP189" s="88">
        <f t="shared" ca="1" si="414"/>
        <v>0</v>
      </c>
      <c r="EQ189" s="88">
        <f t="shared" ca="1" si="414"/>
        <v>0</v>
      </c>
      <c r="ER189" s="88">
        <f t="shared" ca="1" si="414"/>
        <v>0</v>
      </c>
      <c r="ES189" s="88">
        <f t="shared" ca="1" si="414"/>
        <v>0</v>
      </c>
      <c r="ET189" s="169"/>
      <c r="EU189" s="88">
        <f t="shared" ca="1" si="415"/>
        <v>0</v>
      </c>
      <c r="EV189" s="88">
        <f t="shared" ca="1" si="415"/>
        <v>0</v>
      </c>
      <c r="EW189" s="88">
        <f t="shared" ca="1" si="415"/>
        <v>0</v>
      </c>
      <c r="EX189" s="88">
        <f t="shared" ca="1" si="415"/>
        <v>0</v>
      </c>
      <c r="EY189" s="88">
        <f t="shared" ca="1" si="415"/>
        <v>0</v>
      </c>
      <c r="EZ189" s="88">
        <f t="shared" ca="1" si="415"/>
        <v>0</v>
      </c>
      <c r="FA189" s="88">
        <f t="shared" ca="1" si="415"/>
        <v>0</v>
      </c>
      <c r="FB189" s="88">
        <f t="shared" ca="1" si="415"/>
        <v>0</v>
      </c>
      <c r="FC189" s="88">
        <f t="shared" ca="1" si="415"/>
        <v>0</v>
      </c>
      <c r="FD189" s="88">
        <f t="shared" ca="1" si="415"/>
        <v>0</v>
      </c>
      <c r="FE189" s="88">
        <f t="shared" ca="1" si="416"/>
        <v>0</v>
      </c>
      <c r="FF189" s="88">
        <f t="shared" ca="1" si="416"/>
        <v>0</v>
      </c>
      <c r="FG189" s="88">
        <f t="shared" ca="1" si="416"/>
        <v>0</v>
      </c>
      <c r="FH189" s="88">
        <f t="shared" ca="1" si="416"/>
        <v>0</v>
      </c>
      <c r="FI189" s="88">
        <f t="shared" ca="1" si="416"/>
        <v>0</v>
      </c>
      <c r="FJ189" s="88">
        <f t="shared" ca="1" si="416"/>
        <v>0</v>
      </c>
      <c r="FK189" s="88">
        <f t="shared" ca="1" si="416"/>
        <v>0</v>
      </c>
      <c r="FL189" s="88">
        <f t="shared" ca="1" si="416"/>
        <v>0</v>
      </c>
      <c r="FM189" s="88">
        <f t="shared" ca="1" si="416"/>
        <v>0</v>
      </c>
      <c r="FN189" s="88">
        <f t="shared" ca="1" si="416"/>
        <v>0</v>
      </c>
      <c r="FO189" s="88">
        <f t="shared" ca="1" si="417"/>
        <v>0</v>
      </c>
      <c r="FP189" s="88">
        <f t="shared" ca="1" si="417"/>
        <v>0</v>
      </c>
      <c r="FQ189" s="88">
        <f t="shared" ca="1" si="417"/>
        <v>0</v>
      </c>
      <c r="FR189" s="88">
        <f t="shared" ca="1" si="417"/>
        <v>0</v>
      </c>
      <c r="FS189" s="88">
        <f t="shared" ca="1" si="417"/>
        <v>0</v>
      </c>
      <c r="FT189" s="88">
        <f t="shared" ca="1" si="417"/>
        <v>0</v>
      </c>
      <c r="FU189" s="88">
        <f t="shared" ca="1" si="417"/>
        <v>0</v>
      </c>
      <c r="FV189" s="88">
        <f t="shared" ca="1" si="417"/>
        <v>0</v>
      </c>
      <c r="FW189" s="88">
        <f t="shared" ca="1" si="417"/>
        <v>0</v>
      </c>
      <c r="FX189" s="88">
        <f t="shared" ca="1" si="417"/>
        <v>0</v>
      </c>
      <c r="FY189" s="88">
        <f t="shared" ca="1" si="417"/>
        <v>0</v>
      </c>
      <c r="FZ189" s="88">
        <f t="shared" ca="1" si="417"/>
        <v>0</v>
      </c>
      <c r="GA189" s="88">
        <f t="shared" ca="1" si="417"/>
        <v>0</v>
      </c>
      <c r="GB189" s="88">
        <f t="shared" ca="1" si="417"/>
        <v>0</v>
      </c>
      <c r="GC189" s="88">
        <f t="shared" ca="1" si="417"/>
        <v>0</v>
      </c>
      <c r="GD189" s="60"/>
    </row>
    <row r="190" spans="1:186" s="54" customFormat="1" ht="14.45" customHeight="1">
      <c r="A190" s="61"/>
      <c r="B190" s="100" t="str">
        <f t="shared" si="418"/>
        <v>C&amp;I_C&amp;I Prescriptive_0_LED Exterior Flood Lights (16W to 35W)_2018</v>
      </c>
      <c r="C190" s="100">
        <f>INDEX('Measure Inputs'!$D:$D,MATCH($B190,'Measure Inputs'!$B:$B,0))</f>
        <v>142</v>
      </c>
      <c r="D190" s="101" t="s">
        <v>256</v>
      </c>
      <c r="E190" s="101" t="s">
        <v>255</v>
      </c>
      <c r="F190" s="101">
        <v>0</v>
      </c>
      <c r="G190" s="101" t="s">
        <v>367</v>
      </c>
      <c r="H190" s="101">
        <v>2018</v>
      </c>
      <c r="I190" s="55"/>
      <c r="J190" s="58">
        <f t="shared" ca="1" si="229"/>
        <v>2.3210368324609152</v>
      </c>
      <c r="K190" s="58">
        <f t="shared" ca="1" si="246"/>
        <v>5.4776469246077601</v>
      </c>
      <c r="L190" s="58">
        <f t="shared" ca="1" si="230"/>
        <v>0.42372881355932202</v>
      </c>
      <c r="M190" s="58">
        <f t="shared" ca="1" si="231"/>
        <v>3.0752636470946495</v>
      </c>
      <c r="N190" s="58">
        <f t="shared" ca="1" si="232"/>
        <v>5.4776469246077601</v>
      </c>
      <c r="O190" s="55"/>
      <c r="P190" s="175">
        <f ca="1">IFERROR(($AW190+AV190)/SUMPRODUCT($CA190:$DI190,'General Inputs'!$F$51:$AN$51),"n/a")</f>
        <v>6.7204441945954542E-3</v>
      </c>
      <c r="Q190" s="175">
        <f t="shared" ca="1" si="386"/>
        <v>5.746835792212808E-2</v>
      </c>
      <c r="R190" s="56">
        <f t="shared" ca="1" si="364"/>
        <v>730.83696000000009</v>
      </c>
      <c r="S190" s="55"/>
      <c r="T190" s="56">
        <f ca="1">INDEX(OFFSET('Measure Inputs'!$L$7,,,InputRows),$C190)</f>
        <v>120</v>
      </c>
      <c r="U190" s="134">
        <f ca="1">INDEX(OFFSET('Measure Inputs'!$T$7,,,InputRows),$C190)</f>
        <v>1</v>
      </c>
      <c r="V190" s="134">
        <f ca="1">INDEX(OFFSET('Measure Inputs'!$U$7,,,InputRows),$C190)</f>
        <v>1</v>
      </c>
      <c r="W190" s="55"/>
      <c r="X190" s="96">
        <f ca="1">INDEX(OFFSET('Measure Inputs'!$V$7,,,InputRows),$C190)*$T190*$V190*$U190</f>
        <v>52202.64</v>
      </c>
      <c r="Y190" s="96">
        <f ca="1">INDEX(OFFSET('Measure Inputs'!$W$7,,,InputRows),$C190)*$T190*$V190*$U190</f>
        <v>11.76</v>
      </c>
      <c r="Z190" s="96">
        <f ca="1">INDEX(OFFSET('Measure Inputs'!$X$7,,,InputRows),$C190)*$T190*$V190*$U190</f>
        <v>0</v>
      </c>
      <c r="AA190" s="55"/>
      <c r="AB190" s="96">
        <f ca="1">INDEX(OFFSET('Measure Inputs'!$Z$7,,,InputRows),$C190)*$T190*$V190*$U190</f>
        <v>0</v>
      </c>
      <c r="AC190" s="96">
        <f ca="1">INDEX(OFFSET('Measure Inputs'!$AA$7,,,InputRows),$C190)*$T190*$V190*$U190</f>
        <v>0</v>
      </c>
      <c r="AD190" s="96">
        <f ca="1">INDEX(OFFSET('Measure Inputs'!$AB$7,,,InputRows),$C190)*$T190*$V190*$U190</f>
        <v>0</v>
      </c>
      <c r="AE190" s="55"/>
      <c r="AF190" s="57">
        <f ca="1">INDEX(OFFSET('Measure Inputs'!$Q$7,,,InputRows),$C190)*$T190</f>
        <v>0</v>
      </c>
      <c r="AG190" s="57">
        <f ca="1">INDEX(OFFSET('Measure Inputs'!$P$7,,,InputRows),$C190)*$T190*$V190</f>
        <v>7080</v>
      </c>
      <c r="AH190" s="57">
        <f ca="1">INDEX(OFFSET('Measure Inputs'!$R$7,,,InputRows),$C190)*$T190*$V190</f>
        <v>0</v>
      </c>
      <c r="AI190" s="57">
        <f ca="1">INDEX(OFFSET('Measure Inputs'!$O$7,,,InputRows),$C190)*$T190</f>
        <v>3000</v>
      </c>
      <c r="AJ190" s="57">
        <f ca="1">INDEX(OFFSET('Measure Inputs'!$S$7,,,InputRows),$C190)*$T190</f>
        <v>0</v>
      </c>
      <c r="AK190" s="63">
        <f ca="1">INDEX(OFFSET('Measure Inputs'!$M$7,,,InputRows),$C190)</f>
        <v>14</v>
      </c>
      <c r="AL190" s="88">
        <f ca="1">INDEX(OFFSET('Measure Inputs'!$N$7,,,InputRows),$C190)</f>
        <v>0</v>
      </c>
      <c r="AM190" s="57">
        <f ca="1">SUMIFS(OFFSET('Program Inputs'!$N$5,,,TotalPrograms),OFFSET('Program Inputs'!$B$5,,,TotalPrograms),SUBSTITUTE($B190,"All","*"))+AF190</f>
        <v>0</v>
      </c>
      <c r="AN190" s="57">
        <f t="shared" ca="1" si="365"/>
        <v>3000</v>
      </c>
      <c r="AO190" s="55"/>
      <c r="AP190" s="59">
        <f t="shared" ca="1" si="366"/>
        <v>15098.255029238588</v>
      </c>
      <c r="AQ190" s="59">
        <f t="shared" ca="1" si="367"/>
        <v>6504.9614112458657</v>
      </c>
      <c r="AR190" s="59">
        <f ca="1">SUMPRODUCT($CA190:$DI190,'General Inputs'!$F$32:$AN$32,'General Inputs'!$F$51:$AN$51)/(1-Loss_ElectricEnergy)</f>
        <v>12992.945045429073</v>
      </c>
      <c r="AS190" s="59">
        <f ca="1">SUMPRODUCT($DK190:$ES190,'General Inputs'!$F$33:$AN$33,'General Inputs'!$F$51:$AN$51)/(1-Loss_ElectricDemand)</f>
        <v>2105.309983809515</v>
      </c>
      <c r="AT190" s="59">
        <f ca="1">SUMPRODUCT($EU190:$GC190,'General Inputs'!$F$34:$AN$34,'General Inputs'!$F$51:$AN$51)/(1-Loss_GasEnergy)</f>
        <v>0</v>
      </c>
      <c r="AU190" s="59">
        <f ca="1">INDEX('General Inputs'!$F$51:$AN$51,MATCH($H190,'General Inputs'!$F$50:$AN$50,0))*$AJ190</f>
        <v>0</v>
      </c>
      <c r="AV190" s="59">
        <f ca="1">INDEX('General Inputs'!$F$51:$AN$51,MATCH($H190,'General Inputs'!$F$50:$AN$50,0))*$AI190</f>
        <v>2756.3395810363836</v>
      </c>
      <c r="AW190" s="59">
        <f ca="1">INDEX('General Inputs'!$F$51:$AN$51,MATCH($H190,'General Inputs'!$F$50:$AN$50,0))*$AM190</f>
        <v>0</v>
      </c>
      <c r="AX190" s="59">
        <f ca="1">SUM(INDEX('General Inputs'!$F$51:$AN$51,MATCH($H190,'General Inputs'!$F$50:$AN$50,0))*$AG190,INDEX('General Inputs'!$F$51:$AN$51,MATCH($H190+$AL190,'General Inputs'!$F$50:$AN$50,0))*-$AH190)</f>
        <v>6504.9614112458657</v>
      </c>
      <c r="AY190" s="55"/>
      <c r="AZ190" s="59">
        <f ca="1">SUMPRODUCT($CA190:$DI190,'General Inputs'!$F$32:$AN$32,'General Inputs'!$F$52:$AN$52)/(1-Loss_ElectricEnergy)</f>
        <v>12992.945045429073</v>
      </c>
      <c r="BA190" s="59">
        <f ca="1">SUMPRODUCT($DK190:$ES190,'General Inputs'!$F$33:$AN$33,'General Inputs'!$F$52:$AN$52)/(1-Loss_ElectricDemand)</f>
        <v>2105.309983809515</v>
      </c>
      <c r="BB190" s="59">
        <f ca="1">SUMPRODUCT($EU190:$GC190,'General Inputs'!$F$34:$AN$34,'General Inputs'!$F$52:$AN$52)/(1-Loss_GasEnergy)</f>
        <v>0</v>
      </c>
      <c r="BC190" s="59">
        <f ca="1">INDEX('General Inputs'!$F$52:$AN$52,MATCH($H190,'General Inputs'!$F$50:$AN$50,0))*$AI190</f>
        <v>2756.3395810363836</v>
      </c>
      <c r="BD190" s="59">
        <f ca="1">INDEX('General Inputs'!$F$52:$AN$52,MATCH($H190,'General Inputs'!$F$50:$AN$50,0))*$AM190</f>
        <v>0</v>
      </c>
      <c r="BE190" s="55"/>
      <c r="BF190" s="59">
        <f ca="1">SUMPRODUCT($CA190:$DI190,OFFSET('General Inputs'!$F$40:$AN$40,MATCH($D190&amp;" Electric ($/kWh)",'General Inputs'!$E$40:$E$46,0),),'General Inputs'!$F$54:$AN$54)</f>
        <v>0</v>
      </c>
      <c r="BG190" s="59">
        <f ca="1">SUMPRODUCT($EU190:$GC190,OFFSET('General Inputs'!$F$40:$AN$40,MATCH($D190&amp;" Natural Gas ($/therm)",'General Inputs'!$E$40:$E$46,0),),'General Inputs'!$F$54:$AN$54)</f>
        <v>0</v>
      </c>
      <c r="BH190" s="59">
        <f ca="1">INDEX('General Inputs'!$F$54:$AN$54,MATCH($H190,'General Inputs'!$F$50:$AN$50,0))*$AI190</f>
        <v>2756.3395810363836</v>
      </c>
      <c r="BI190" s="59">
        <f ca="1">SUM(INDEX('General Inputs'!$F$54:$AN$54,MATCH($H190,'General Inputs'!$F$50:$AN$50,0))*$AG190,INDEX('General Inputs'!$F$51:$AN$51,MATCH($H190+$AL190,'General Inputs'!$F$50:$AN$50,0))*-$AH190)</f>
        <v>6504.9614112458657</v>
      </c>
      <c r="BJ190" s="55"/>
      <c r="BK190" s="59">
        <f ca="1">SUMPRODUCT($CA190:$DI190,'General Inputs'!$F$32:$AN$32,'General Inputs'!$F$53:$AN$53)/(1-Loss_ElectricEnergy)</f>
        <v>12992.945045429073</v>
      </c>
      <c r="BL190" s="59">
        <f ca="1">SUMPRODUCT($DK190:$ES190,'General Inputs'!$F$33:$AN$33,'General Inputs'!$F$53:$AN$53)/(1-Loss_ElectricDemand)</f>
        <v>2105.309983809515</v>
      </c>
      <c r="BM190" s="59">
        <f ca="1">SUMPRODUCT($EU190:$GC190,'General Inputs'!$F$34:$AN$34,'General Inputs'!$F$53:$AN$53)/(1-Loss_GasEnergy)</f>
        <v>0</v>
      </c>
      <c r="BN190" s="59">
        <f ca="1">INDEX('General Inputs'!$F$53:$AN$53,MATCH($H190,'General Inputs'!$F$50:$AN$50,0))*$AJ190</f>
        <v>0</v>
      </c>
      <c r="BO190" s="59">
        <f ca="1">SUMPRODUCT($CA190:$DI190,'General Inputs'!$F$35:$AN$35,'General Inputs'!$F$53:$AN$53)/(1-Loss_ElectricEnergy)</f>
        <v>4906.2163245193324</v>
      </c>
      <c r="BP190" s="59">
        <f ca="1">INDEX('General Inputs'!$F$51:$AN$51,MATCH($H190,'General Inputs'!$F$50:$AN$50,0))*$AM190</f>
        <v>0</v>
      </c>
      <c r="BQ190" s="59">
        <f ca="1">SUM(INDEX('General Inputs'!$F$53:$AN$53,MATCH($H190,'General Inputs'!$F$50:$AN$50,0))*$AG190,INDEX('General Inputs'!$F$53:$AN$53,MATCH($H190+$AL190,'General Inputs'!$F$50:$AN$50,0))*-$AH190)</f>
        <v>6504.9614112458657</v>
      </c>
      <c r="BR190" s="55"/>
      <c r="BS190" s="59">
        <f ca="1">SUMPRODUCT($CA190:$DI190,'General Inputs'!$F$32:$AN$32,'General Inputs'!$F$55:$AN$55)/(1-Loss_ElectricEnergy)</f>
        <v>12992.945045429073</v>
      </c>
      <c r="BT190" s="59">
        <f ca="1">SUMPRODUCT($DK190:$ES190,'General Inputs'!$F$33:$AN$33,'General Inputs'!$F$55:$AN$55)/(1-Loss_ElectricDemand)</f>
        <v>2105.309983809515</v>
      </c>
      <c r="BU190" s="59">
        <f ca="1">SUMPRODUCT($EU190:$GC190,'General Inputs'!$F$34:$AN$34,'General Inputs'!$F$55:$AN$55)/(1-Loss_GasEnergy)</f>
        <v>0</v>
      </c>
      <c r="BV190" s="59">
        <f ca="1">SUMPRODUCT($CA190:$DI190,OFFSET('General Inputs'!$F$40:$AN$40,MATCH($D190&amp;" Electric ($/kWh)",'General Inputs'!$E$40:$E$46,0),),'General Inputs'!$F$55:$AN$55)</f>
        <v>0</v>
      </c>
      <c r="BW190" s="59">
        <f ca="1">SUMPRODUCT($EU190:$GC190,OFFSET('General Inputs'!$F$40:$AN$40,MATCH($D190&amp;" Natural Gas ($/therm)",'General Inputs'!$E$40:$E$46,0),),'General Inputs'!$F$55:$AN$55)</f>
        <v>0</v>
      </c>
      <c r="BX190" s="59">
        <f ca="1">INDEX('General Inputs'!$F$55:$AN$55,MATCH($H190,'General Inputs'!$F$50:$AN$50,0))*$AI190</f>
        <v>2756.3395810363836</v>
      </c>
      <c r="BY190" s="59">
        <f ca="1">INDEX('General Inputs'!$F$51:$AN$51,MATCH($H190,'General Inputs'!$F$50:$AN$50,0))*$AM190</f>
        <v>0</v>
      </c>
      <c r="BZ190" s="55"/>
      <c r="CA190" s="88">
        <f t="shared" ca="1" si="409"/>
        <v>0</v>
      </c>
      <c r="CB190" s="88">
        <f t="shared" ca="1" si="409"/>
        <v>52202.64</v>
      </c>
      <c r="CC190" s="88">
        <f t="shared" ca="1" si="409"/>
        <v>52202.64</v>
      </c>
      <c r="CD190" s="88">
        <f t="shared" ca="1" si="409"/>
        <v>52202.64</v>
      </c>
      <c r="CE190" s="88">
        <f t="shared" ca="1" si="409"/>
        <v>52202.64</v>
      </c>
      <c r="CF190" s="88">
        <f t="shared" ca="1" si="409"/>
        <v>52202.64</v>
      </c>
      <c r="CG190" s="88">
        <f t="shared" ca="1" si="409"/>
        <v>52202.64</v>
      </c>
      <c r="CH190" s="88">
        <f t="shared" ca="1" si="409"/>
        <v>52202.64</v>
      </c>
      <c r="CI190" s="88">
        <f t="shared" ca="1" si="409"/>
        <v>52202.64</v>
      </c>
      <c r="CJ190" s="88">
        <f t="shared" ca="1" si="409"/>
        <v>52202.64</v>
      </c>
      <c r="CK190" s="88">
        <f t="shared" ca="1" si="410"/>
        <v>52202.64</v>
      </c>
      <c r="CL190" s="88">
        <f t="shared" ca="1" si="410"/>
        <v>52202.64</v>
      </c>
      <c r="CM190" s="88">
        <f t="shared" ca="1" si="410"/>
        <v>52202.64</v>
      </c>
      <c r="CN190" s="88">
        <f t="shared" ca="1" si="410"/>
        <v>52202.64</v>
      </c>
      <c r="CO190" s="88">
        <f t="shared" ca="1" si="410"/>
        <v>52202.64</v>
      </c>
      <c r="CP190" s="88">
        <f t="shared" ca="1" si="410"/>
        <v>0</v>
      </c>
      <c r="CQ190" s="88">
        <f t="shared" ca="1" si="410"/>
        <v>0</v>
      </c>
      <c r="CR190" s="88">
        <f t="shared" ca="1" si="410"/>
        <v>0</v>
      </c>
      <c r="CS190" s="88">
        <f t="shared" ca="1" si="410"/>
        <v>0</v>
      </c>
      <c r="CT190" s="88">
        <f t="shared" ca="1" si="410"/>
        <v>0</v>
      </c>
      <c r="CU190" s="88">
        <f t="shared" ca="1" si="411"/>
        <v>0</v>
      </c>
      <c r="CV190" s="88">
        <f t="shared" ca="1" si="411"/>
        <v>0</v>
      </c>
      <c r="CW190" s="88">
        <f t="shared" ca="1" si="411"/>
        <v>0</v>
      </c>
      <c r="CX190" s="88">
        <f t="shared" ca="1" si="411"/>
        <v>0</v>
      </c>
      <c r="CY190" s="88">
        <f t="shared" ca="1" si="411"/>
        <v>0</v>
      </c>
      <c r="CZ190" s="88">
        <f t="shared" ca="1" si="411"/>
        <v>0</v>
      </c>
      <c r="DA190" s="88">
        <f t="shared" ca="1" si="411"/>
        <v>0</v>
      </c>
      <c r="DB190" s="88">
        <f t="shared" ca="1" si="411"/>
        <v>0</v>
      </c>
      <c r="DC190" s="88">
        <f t="shared" ca="1" si="411"/>
        <v>0</v>
      </c>
      <c r="DD190" s="88">
        <f t="shared" ca="1" si="411"/>
        <v>0</v>
      </c>
      <c r="DE190" s="88">
        <f t="shared" ca="1" si="411"/>
        <v>0</v>
      </c>
      <c r="DF190" s="88">
        <f t="shared" ca="1" si="411"/>
        <v>0</v>
      </c>
      <c r="DG190" s="88">
        <f t="shared" ca="1" si="411"/>
        <v>0</v>
      </c>
      <c r="DH190" s="88">
        <f t="shared" ca="1" si="411"/>
        <v>0</v>
      </c>
      <c r="DI190" s="88">
        <f t="shared" ca="1" si="411"/>
        <v>0</v>
      </c>
      <c r="DJ190" s="169"/>
      <c r="DK190" s="88">
        <f t="shared" ca="1" si="412"/>
        <v>0</v>
      </c>
      <c r="DL190" s="88">
        <f t="shared" ca="1" si="412"/>
        <v>11.76</v>
      </c>
      <c r="DM190" s="88">
        <f t="shared" ca="1" si="412"/>
        <v>11.76</v>
      </c>
      <c r="DN190" s="88">
        <f t="shared" ca="1" si="412"/>
        <v>11.76</v>
      </c>
      <c r="DO190" s="88">
        <f t="shared" ca="1" si="412"/>
        <v>11.76</v>
      </c>
      <c r="DP190" s="88">
        <f t="shared" ca="1" si="412"/>
        <v>11.76</v>
      </c>
      <c r="DQ190" s="88">
        <f t="shared" ca="1" si="412"/>
        <v>11.76</v>
      </c>
      <c r="DR190" s="88">
        <f t="shared" ca="1" si="412"/>
        <v>11.76</v>
      </c>
      <c r="DS190" s="88">
        <f t="shared" ca="1" si="412"/>
        <v>11.76</v>
      </c>
      <c r="DT190" s="88">
        <f t="shared" ca="1" si="412"/>
        <v>11.76</v>
      </c>
      <c r="DU190" s="88">
        <f t="shared" ca="1" si="413"/>
        <v>11.76</v>
      </c>
      <c r="DV190" s="88">
        <f t="shared" ca="1" si="413"/>
        <v>11.76</v>
      </c>
      <c r="DW190" s="88">
        <f t="shared" ca="1" si="413"/>
        <v>11.76</v>
      </c>
      <c r="DX190" s="88">
        <f t="shared" ca="1" si="413"/>
        <v>11.76</v>
      </c>
      <c r="DY190" s="88">
        <f t="shared" ca="1" si="413"/>
        <v>11.76</v>
      </c>
      <c r="DZ190" s="88">
        <f t="shared" ca="1" si="413"/>
        <v>0</v>
      </c>
      <c r="EA190" s="88">
        <f t="shared" ca="1" si="413"/>
        <v>0</v>
      </c>
      <c r="EB190" s="88">
        <f t="shared" ca="1" si="413"/>
        <v>0</v>
      </c>
      <c r="EC190" s="88">
        <f t="shared" ca="1" si="413"/>
        <v>0</v>
      </c>
      <c r="ED190" s="88">
        <f t="shared" ca="1" si="413"/>
        <v>0</v>
      </c>
      <c r="EE190" s="88">
        <f t="shared" ca="1" si="414"/>
        <v>0</v>
      </c>
      <c r="EF190" s="88">
        <f t="shared" ca="1" si="414"/>
        <v>0</v>
      </c>
      <c r="EG190" s="88">
        <f t="shared" ca="1" si="414"/>
        <v>0</v>
      </c>
      <c r="EH190" s="88">
        <f t="shared" ca="1" si="414"/>
        <v>0</v>
      </c>
      <c r="EI190" s="88">
        <f t="shared" ca="1" si="414"/>
        <v>0</v>
      </c>
      <c r="EJ190" s="88">
        <f t="shared" ca="1" si="414"/>
        <v>0</v>
      </c>
      <c r="EK190" s="88">
        <f t="shared" ca="1" si="414"/>
        <v>0</v>
      </c>
      <c r="EL190" s="88">
        <f t="shared" ca="1" si="414"/>
        <v>0</v>
      </c>
      <c r="EM190" s="88">
        <f t="shared" ca="1" si="414"/>
        <v>0</v>
      </c>
      <c r="EN190" s="88">
        <f t="shared" ca="1" si="414"/>
        <v>0</v>
      </c>
      <c r="EO190" s="88">
        <f t="shared" ca="1" si="414"/>
        <v>0</v>
      </c>
      <c r="EP190" s="88">
        <f t="shared" ca="1" si="414"/>
        <v>0</v>
      </c>
      <c r="EQ190" s="88">
        <f t="shared" ca="1" si="414"/>
        <v>0</v>
      </c>
      <c r="ER190" s="88">
        <f t="shared" ca="1" si="414"/>
        <v>0</v>
      </c>
      <c r="ES190" s="88">
        <f t="shared" ca="1" si="414"/>
        <v>0</v>
      </c>
      <c r="ET190" s="169"/>
      <c r="EU190" s="88">
        <f t="shared" ca="1" si="415"/>
        <v>0</v>
      </c>
      <c r="EV190" s="88">
        <f t="shared" ca="1" si="415"/>
        <v>0</v>
      </c>
      <c r="EW190" s="88">
        <f t="shared" ca="1" si="415"/>
        <v>0</v>
      </c>
      <c r="EX190" s="88">
        <f t="shared" ca="1" si="415"/>
        <v>0</v>
      </c>
      <c r="EY190" s="88">
        <f t="shared" ca="1" si="415"/>
        <v>0</v>
      </c>
      <c r="EZ190" s="88">
        <f t="shared" ca="1" si="415"/>
        <v>0</v>
      </c>
      <c r="FA190" s="88">
        <f t="shared" ca="1" si="415"/>
        <v>0</v>
      </c>
      <c r="FB190" s="88">
        <f t="shared" ca="1" si="415"/>
        <v>0</v>
      </c>
      <c r="FC190" s="88">
        <f t="shared" ca="1" si="415"/>
        <v>0</v>
      </c>
      <c r="FD190" s="88">
        <f t="shared" ca="1" si="415"/>
        <v>0</v>
      </c>
      <c r="FE190" s="88">
        <f t="shared" ca="1" si="416"/>
        <v>0</v>
      </c>
      <c r="FF190" s="88">
        <f t="shared" ca="1" si="416"/>
        <v>0</v>
      </c>
      <c r="FG190" s="88">
        <f t="shared" ca="1" si="416"/>
        <v>0</v>
      </c>
      <c r="FH190" s="88">
        <f t="shared" ca="1" si="416"/>
        <v>0</v>
      </c>
      <c r="FI190" s="88">
        <f t="shared" ca="1" si="416"/>
        <v>0</v>
      </c>
      <c r="FJ190" s="88">
        <f t="shared" ca="1" si="416"/>
        <v>0</v>
      </c>
      <c r="FK190" s="88">
        <f t="shared" ca="1" si="416"/>
        <v>0</v>
      </c>
      <c r="FL190" s="88">
        <f t="shared" ca="1" si="416"/>
        <v>0</v>
      </c>
      <c r="FM190" s="88">
        <f t="shared" ca="1" si="416"/>
        <v>0</v>
      </c>
      <c r="FN190" s="88">
        <f t="shared" ca="1" si="416"/>
        <v>0</v>
      </c>
      <c r="FO190" s="88">
        <f t="shared" ca="1" si="417"/>
        <v>0</v>
      </c>
      <c r="FP190" s="88">
        <f t="shared" ca="1" si="417"/>
        <v>0</v>
      </c>
      <c r="FQ190" s="88">
        <f t="shared" ca="1" si="417"/>
        <v>0</v>
      </c>
      <c r="FR190" s="88">
        <f t="shared" ca="1" si="417"/>
        <v>0</v>
      </c>
      <c r="FS190" s="88">
        <f t="shared" ca="1" si="417"/>
        <v>0</v>
      </c>
      <c r="FT190" s="88">
        <f t="shared" ca="1" si="417"/>
        <v>0</v>
      </c>
      <c r="FU190" s="88">
        <f t="shared" ca="1" si="417"/>
        <v>0</v>
      </c>
      <c r="FV190" s="88">
        <f t="shared" ca="1" si="417"/>
        <v>0</v>
      </c>
      <c r="FW190" s="88">
        <f t="shared" ca="1" si="417"/>
        <v>0</v>
      </c>
      <c r="FX190" s="88">
        <f t="shared" ca="1" si="417"/>
        <v>0</v>
      </c>
      <c r="FY190" s="88">
        <f t="shared" ca="1" si="417"/>
        <v>0</v>
      </c>
      <c r="FZ190" s="88">
        <f t="shared" ca="1" si="417"/>
        <v>0</v>
      </c>
      <c r="GA190" s="88">
        <f t="shared" ca="1" si="417"/>
        <v>0</v>
      </c>
      <c r="GB190" s="88">
        <f t="shared" ca="1" si="417"/>
        <v>0</v>
      </c>
      <c r="GC190" s="88">
        <f t="shared" ca="1" si="417"/>
        <v>0</v>
      </c>
      <c r="GD190" s="60"/>
    </row>
    <row r="191" spans="1:186" s="54" customFormat="1" ht="14.45" customHeight="1">
      <c r="A191" s="61"/>
      <c r="B191" s="100" t="str">
        <f t="shared" si="418"/>
        <v>C&amp;I_C&amp;I Prescriptive_0_LED Exterior Flood Lights (36W to 75W)_2018</v>
      </c>
      <c r="C191" s="100">
        <f>INDEX('Measure Inputs'!$D:$D,MATCH($B191,'Measure Inputs'!$B:$B,0))</f>
        <v>143</v>
      </c>
      <c r="D191" s="101" t="s">
        <v>256</v>
      </c>
      <c r="E191" s="101" t="s">
        <v>255</v>
      </c>
      <c r="F191" s="101">
        <v>0</v>
      </c>
      <c r="G191" s="101" t="s">
        <v>368</v>
      </c>
      <c r="H191" s="101">
        <v>2018</v>
      </c>
      <c r="I191" s="55"/>
      <c r="J191" s="58">
        <f t="shared" ca="1" si="229"/>
        <v>2.13713715545921</v>
      </c>
      <c r="K191" s="58">
        <f t="shared" ca="1" si="246"/>
        <v>4.036814626978507</v>
      </c>
      <c r="L191" s="58">
        <f t="shared" ca="1" si="230"/>
        <v>0.52941176470588247</v>
      </c>
      <c r="M191" s="58">
        <f t="shared" ca="1" si="231"/>
        <v>2.8316053029070787</v>
      </c>
      <c r="N191" s="58">
        <f t="shared" ca="1" si="232"/>
        <v>4.036814626978507</v>
      </c>
      <c r="O191" s="55"/>
      <c r="P191" s="175">
        <f ca="1">IFERROR(($AW191+AV191)/SUMPRODUCT($CA191:$DI191,'General Inputs'!$F$51:$AN$51),"n/a")</f>
        <v>9.1191258148202933E-3</v>
      </c>
      <c r="Q191" s="175">
        <f t="shared" ca="1" si="386"/>
        <v>7.7980141057410704E-2</v>
      </c>
      <c r="R191" s="56">
        <f t="shared" ca="1" si="364"/>
        <v>969.47760000000017</v>
      </c>
      <c r="S191" s="55"/>
      <c r="T191" s="56">
        <f ca="1">INDEX(OFFSET('Measure Inputs'!$L$7,,,InputRows),$C191)</f>
        <v>120</v>
      </c>
      <c r="U191" s="134">
        <f ca="1">INDEX(OFFSET('Measure Inputs'!$T$7,,,InputRows),$C191)</f>
        <v>1</v>
      </c>
      <c r="V191" s="134">
        <f ca="1">INDEX(OFFSET('Measure Inputs'!$U$7,,,InputRows),$C191)</f>
        <v>1</v>
      </c>
      <c r="W191" s="55"/>
      <c r="X191" s="96">
        <f ca="1">INDEX(OFFSET('Measure Inputs'!$V$7,,,InputRows),$C191)*$T191*$V191*$U191</f>
        <v>69248.400000000009</v>
      </c>
      <c r="Y191" s="96">
        <f ca="1">INDEX(OFFSET('Measure Inputs'!$W$7,,,InputRows),$C191)*$T191*$V191*$U191</f>
        <v>15.600000000000001</v>
      </c>
      <c r="Z191" s="96">
        <f ca="1">INDEX(OFFSET('Measure Inputs'!$X$7,,,InputRows),$C191)*$T191*$V191*$U191</f>
        <v>0</v>
      </c>
      <c r="AA191" s="55"/>
      <c r="AB191" s="96">
        <f ca="1">INDEX(OFFSET('Measure Inputs'!$Z$7,,,InputRows),$C191)*$T191*$V191*$U191</f>
        <v>0</v>
      </c>
      <c r="AC191" s="96">
        <f ca="1">INDEX(OFFSET('Measure Inputs'!$AA$7,,,InputRows),$C191)*$T191*$V191*$U191</f>
        <v>0</v>
      </c>
      <c r="AD191" s="96">
        <f ca="1">INDEX(OFFSET('Measure Inputs'!$AB$7,,,InputRows),$C191)*$T191*$V191*$U191</f>
        <v>0</v>
      </c>
      <c r="AE191" s="55"/>
      <c r="AF191" s="57">
        <f ca="1">INDEX(OFFSET('Measure Inputs'!$Q$7,,,InputRows),$C191)*$T191</f>
        <v>0</v>
      </c>
      <c r="AG191" s="57">
        <f ca="1">INDEX(OFFSET('Measure Inputs'!$P$7,,,InputRows),$C191)*$T191*$V191</f>
        <v>10200</v>
      </c>
      <c r="AH191" s="57">
        <f ca="1">INDEX(OFFSET('Measure Inputs'!$R$7,,,InputRows),$C191)*$T191*$V191</f>
        <v>0</v>
      </c>
      <c r="AI191" s="57">
        <f ca="1">INDEX(OFFSET('Measure Inputs'!$O$7,,,InputRows),$C191)*$T191</f>
        <v>5400</v>
      </c>
      <c r="AJ191" s="57">
        <f ca="1">INDEX(OFFSET('Measure Inputs'!$S$7,,,InputRows),$C191)*$T191</f>
        <v>0</v>
      </c>
      <c r="AK191" s="63">
        <f ca="1">INDEX(OFFSET('Measure Inputs'!$M$7,,,InputRows),$C191)</f>
        <v>14</v>
      </c>
      <c r="AL191" s="88">
        <f ca="1">INDEX(OFFSET('Measure Inputs'!$N$7,,,InputRows),$C191)</f>
        <v>0</v>
      </c>
      <c r="AM191" s="57">
        <f ca="1">SUMIFS(OFFSET('Program Inputs'!$N$5,,,TotalPrograms),OFFSET('Program Inputs'!$B$5,,,TotalPrograms),SUBSTITUTE($B191,"All","*"))+AF191</f>
        <v>0</v>
      </c>
      <c r="AN191" s="57">
        <f t="shared" ca="1" si="365"/>
        <v>5400</v>
      </c>
      <c r="AO191" s="55"/>
      <c r="AP191" s="59">
        <f t="shared" ca="1" si="366"/>
        <v>20028.297487765471</v>
      </c>
      <c r="AQ191" s="59">
        <f t="shared" ca="1" si="367"/>
        <v>9371.5545755237035</v>
      </c>
      <c r="AR191" s="59">
        <f ca="1">SUMPRODUCT($CA191:$DI191,'General Inputs'!$F$32:$AN$32,'General Inputs'!$F$51:$AN$51)/(1-Loss_ElectricEnergy)</f>
        <v>17235.53934597734</v>
      </c>
      <c r="AS191" s="59">
        <f ca="1">SUMPRODUCT($DK191:$ES191,'General Inputs'!$F$33:$AN$33,'General Inputs'!$F$51:$AN$51)/(1-Loss_ElectricDemand)</f>
        <v>2792.758141788132</v>
      </c>
      <c r="AT191" s="59">
        <f ca="1">SUMPRODUCT($EU191:$GC191,'General Inputs'!$F$34:$AN$34,'General Inputs'!$F$51:$AN$51)/(1-Loss_GasEnergy)</f>
        <v>0</v>
      </c>
      <c r="AU191" s="59">
        <f ca="1">INDEX('General Inputs'!$F$51:$AN$51,MATCH($H191,'General Inputs'!$F$50:$AN$50,0))*$AJ191</f>
        <v>0</v>
      </c>
      <c r="AV191" s="59">
        <f ca="1">INDEX('General Inputs'!$F$51:$AN$51,MATCH($H191,'General Inputs'!$F$50:$AN$50,0))*$AI191</f>
        <v>4961.4112458654909</v>
      </c>
      <c r="AW191" s="59">
        <f ca="1">INDEX('General Inputs'!$F$51:$AN$51,MATCH($H191,'General Inputs'!$F$50:$AN$50,0))*$AM191</f>
        <v>0</v>
      </c>
      <c r="AX191" s="59">
        <f ca="1">SUM(INDEX('General Inputs'!$F$51:$AN$51,MATCH($H191,'General Inputs'!$F$50:$AN$50,0))*$AG191,INDEX('General Inputs'!$F$51:$AN$51,MATCH($H191+$AL191,'General Inputs'!$F$50:$AN$50,0))*-$AH191)</f>
        <v>9371.5545755237035</v>
      </c>
      <c r="AY191" s="55"/>
      <c r="AZ191" s="59">
        <f ca="1">SUMPRODUCT($CA191:$DI191,'General Inputs'!$F$32:$AN$32,'General Inputs'!$F$52:$AN$52)/(1-Loss_ElectricEnergy)</f>
        <v>17235.53934597734</v>
      </c>
      <c r="BA191" s="59">
        <f ca="1">SUMPRODUCT($DK191:$ES191,'General Inputs'!$F$33:$AN$33,'General Inputs'!$F$52:$AN$52)/(1-Loss_ElectricDemand)</f>
        <v>2792.758141788132</v>
      </c>
      <c r="BB191" s="59">
        <f ca="1">SUMPRODUCT($EU191:$GC191,'General Inputs'!$F$34:$AN$34,'General Inputs'!$F$52:$AN$52)/(1-Loss_GasEnergy)</f>
        <v>0</v>
      </c>
      <c r="BC191" s="59">
        <f ca="1">INDEX('General Inputs'!$F$52:$AN$52,MATCH($H191,'General Inputs'!$F$50:$AN$50,0))*$AI191</f>
        <v>4961.4112458654909</v>
      </c>
      <c r="BD191" s="59">
        <f ca="1">INDEX('General Inputs'!$F$52:$AN$52,MATCH($H191,'General Inputs'!$F$50:$AN$50,0))*$AM191</f>
        <v>0</v>
      </c>
      <c r="BE191" s="55"/>
      <c r="BF191" s="59">
        <f ca="1">SUMPRODUCT($CA191:$DI191,OFFSET('General Inputs'!$F$40:$AN$40,MATCH($D191&amp;" Electric ($/kWh)",'General Inputs'!$E$40:$E$46,0),),'General Inputs'!$F$54:$AN$54)</f>
        <v>0</v>
      </c>
      <c r="BG191" s="59">
        <f ca="1">SUMPRODUCT($EU191:$GC191,OFFSET('General Inputs'!$F$40:$AN$40,MATCH($D191&amp;" Natural Gas ($/therm)",'General Inputs'!$E$40:$E$46,0),),'General Inputs'!$F$54:$AN$54)</f>
        <v>0</v>
      </c>
      <c r="BH191" s="59">
        <f ca="1">INDEX('General Inputs'!$F$54:$AN$54,MATCH($H191,'General Inputs'!$F$50:$AN$50,0))*$AI191</f>
        <v>4961.4112458654909</v>
      </c>
      <c r="BI191" s="59">
        <f ca="1">SUM(INDEX('General Inputs'!$F$54:$AN$54,MATCH($H191,'General Inputs'!$F$50:$AN$50,0))*$AG191,INDEX('General Inputs'!$F$51:$AN$51,MATCH($H191+$AL191,'General Inputs'!$F$50:$AN$50,0))*-$AH191)</f>
        <v>9371.5545755237035</v>
      </c>
      <c r="BJ191" s="55"/>
      <c r="BK191" s="59">
        <f ca="1">SUMPRODUCT($CA191:$DI191,'General Inputs'!$F$32:$AN$32,'General Inputs'!$F$53:$AN$53)/(1-Loss_ElectricEnergy)</f>
        <v>17235.53934597734</v>
      </c>
      <c r="BL191" s="59">
        <f ca="1">SUMPRODUCT($DK191:$ES191,'General Inputs'!$F$33:$AN$33,'General Inputs'!$F$53:$AN$53)/(1-Loss_ElectricDemand)</f>
        <v>2792.758141788132</v>
      </c>
      <c r="BM191" s="59">
        <f ca="1">SUMPRODUCT($EU191:$GC191,'General Inputs'!$F$34:$AN$34,'General Inputs'!$F$53:$AN$53)/(1-Loss_GasEnergy)</f>
        <v>0</v>
      </c>
      <c r="BN191" s="59">
        <f ca="1">INDEX('General Inputs'!$F$53:$AN$53,MATCH($H191,'General Inputs'!$F$50:$AN$50,0))*$AJ191</f>
        <v>0</v>
      </c>
      <c r="BO191" s="59">
        <f ca="1">SUMPRODUCT($CA191:$DI191,'General Inputs'!$F$35:$AN$35,'General Inputs'!$F$53:$AN$53)/(1-Loss_ElectricEnergy)</f>
        <v>6508.2461447705455</v>
      </c>
      <c r="BP191" s="59">
        <f ca="1">INDEX('General Inputs'!$F$51:$AN$51,MATCH($H191,'General Inputs'!$F$50:$AN$50,0))*$AM191</f>
        <v>0</v>
      </c>
      <c r="BQ191" s="59">
        <f ca="1">SUM(INDEX('General Inputs'!$F$53:$AN$53,MATCH($H191,'General Inputs'!$F$50:$AN$50,0))*$AG191,INDEX('General Inputs'!$F$53:$AN$53,MATCH($H191+$AL191,'General Inputs'!$F$50:$AN$50,0))*-$AH191)</f>
        <v>9371.5545755237035</v>
      </c>
      <c r="BR191" s="55"/>
      <c r="BS191" s="59">
        <f ca="1">SUMPRODUCT($CA191:$DI191,'General Inputs'!$F$32:$AN$32,'General Inputs'!$F$55:$AN$55)/(1-Loss_ElectricEnergy)</f>
        <v>17235.53934597734</v>
      </c>
      <c r="BT191" s="59">
        <f ca="1">SUMPRODUCT($DK191:$ES191,'General Inputs'!$F$33:$AN$33,'General Inputs'!$F$55:$AN$55)/(1-Loss_ElectricDemand)</f>
        <v>2792.758141788132</v>
      </c>
      <c r="BU191" s="59">
        <f ca="1">SUMPRODUCT($EU191:$GC191,'General Inputs'!$F$34:$AN$34,'General Inputs'!$F$55:$AN$55)/(1-Loss_GasEnergy)</f>
        <v>0</v>
      </c>
      <c r="BV191" s="59">
        <f ca="1">SUMPRODUCT($CA191:$DI191,OFFSET('General Inputs'!$F$40:$AN$40,MATCH($D191&amp;" Electric ($/kWh)",'General Inputs'!$E$40:$E$46,0),),'General Inputs'!$F$55:$AN$55)</f>
        <v>0</v>
      </c>
      <c r="BW191" s="59">
        <f ca="1">SUMPRODUCT($EU191:$GC191,OFFSET('General Inputs'!$F$40:$AN$40,MATCH($D191&amp;" Natural Gas ($/therm)",'General Inputs'!$E$40:$E$46,0),),'General Inputs'!$F$55:$AN$55)</f>
        <v>0</v>
      </c>
      <c r="BX191" s="59">
        <f ca="1">INDEX('General Inputs'!$F$55:$AN$55,MATCH($H191,'General Inputs'!$F$50:$AN$50,0))*$AI191</f>
        <v>4961.4112458654909</v>
      </c>
      <c r="BY191" s="59">
        <f ca="1">INDEX('General Inputs'!$F$51:$AN$51,MATCH($H191,'General Inputs'!$F$50:$AN$50,0))*$AM191</f>
        <v>0</v>
      </c>
      <c r="BZ191" s="55"/>
      <c r="CA191" s="88">
        <f t="shared" ca="1" si="409"/>
        <v>0</v>
      </c>
      <c r="CB191" s="88">
        <f t="shared" ca="1" si="409"/>
        <v>69248.400000000009</v>
      </c>
      <c r="CC191" s="88">
        <f t="shared" ca="1" si="409"/>
        <v>69248.400000000009</v>
      </c>
      <c r="CD191" s="88">
        <f t="shared" ca="1" si="409"/>
        <v>69248.400000000009</v>
      </c>
      <c r="CE191" s="88">
        <f t="shared" ca="1" si="409"/>
        <v>69248.400000000009</v>
      </c>
      <c r="CF191" s="88">
        <f t="shared" ca="1" si="409"/>
        <v>69248.400000000009</v>
      </c>
      <c r="CG191" s="88">
        <f t="shared" ca="1" si="409"/>
        <v>69248.400000000009</v>
      </c>
      <c r="CH191" s="88">
        <f t="shared" ca="1" si="409"/>
        <v>69248.400000000009</v>
      </c>
      <c r="CI191" s="88">
        <f t="shared" ca="1" si="409"/>
        <v>69248.400000000009</v>
      </c>
      <c r="CJ191" s="88">
        <f t="shared" ca="1" si="409"/>
        <v>69248.400000000009</v>
      </c>
      <c r="CK191" s="88">
        <f t="shared" ca="1" si="410"/>
        <v>69248.400000000009</v>
      </c>
      <c r="CL191" s="88">
        <f t="shared" ca="1" si="410"/>
        <v>69248.400000000009</v>
      </c>
      <c r="CM191" s="88">
        <f t="shared" ca="1" si="410"/>
        <v>69248.400000000009</v>
      </c>
      <c r="CN191" s="88">
        <f t="shared" ca="1" si="410"/>
        <v>69248.400000000009</v>
      </c>
      <c r="CO191" s="88">
        <f t="shared" ca="1" si="410"/>
        <v>69248.400000000009</v>
      </c>
      <c r="CP191" s="88">
        <f t="shared" ca="1" si="410"/>
        <v>0</v>
      </c>
      <c r="CQ191" s="88">
        <f t="shared" ca="1" si="410"/>
        <v>0</v>
      </c>
      <c r="CR191" s="88">
        <f t="shared" ca="1" si="410"/>
        <v>0</v>
      </c>
      <c r="CS191" s="88">
        <f t="shared" ca="1" si="410"/>
        <v>0</v>
      </c>
      <c r="CT191" s="88">
        <f t="shared" ca="1" si="410"/>
        <v>0</v>
      </c>
      <c r="CU191" s="88">
        <f t="shared" ca="1" si="411"/>
        <v>0</v>
      </c>
      <c r="CV191" s="88">
        <f t="shared" ca="1" si="411"/>
        <v>0</v>
      </c>
      <c r="CW191" s="88">
        <f t="shared" ca="1" si="411"/>
        <v>0</v>
      </c>
      <c r="CX191" s="88">
        <f t="shared" ca="1" si="411"/>
        <v>0</v>
      </c>
      <c r="CY191" s="88">
        <f t="shared" ca="1" si="411"/>
        <v>0</v>
      </c>
      <c r="CZ191" s="88">
        <f t="shared" ca="1" si="411"/>
        <v>0</v>
      </c>
      <c r="DA191" s="88">
        <f t="shared" ca="1" si="411"/>
        <v>0</v>
      </c>
      <c r="DB191" s="88">
        <f t="shared" ca="1" si="411"/>
        <v>0</v>
      </c>
      <c r="DC191" s="88">
        <f t="shared" ca="1" si="411"/>
        <v>0</v>
      </c>
      <c r="DD191" s="88">
        <f t="shared" ca="1" si="411"/>
        <v>0</v>
      </c>
      <c r="DE191" s="88">
        <f t="shared" ca="1" si="411"/>
        <v>0</v>
      </c>
      <c r="DF191" s="88">
        <f t="shared" ca="1" si="411"/>
        <v>0</v>
      </c>
      <c r="DG191" s="88">
        <f t="shared" ca="1" si="411"/>
        <v>0</v>
      </c>
      <c r="DH191" s="88">
        <f t="shared" ca="1" si="411"/>
        <v>0</v>
      </c>
      <c r="DI191" s="88">
        <f t="shared" ca="1" si="411"/>
        <v>0</v>
      </c>
      <c r="DJ191" s="169"/>
      <c r="DK191" s="88">
        <f t="shared" ca="1" si="412"/>
        <v>0</v>
      </c>
      <c r="DL191" s="88">
        <f t="shared" ca="1" si="412"/>
        <v>15.600000000000001</v>
      </c>
      <c r="DM191" s="88">
        <f t="shared" ca="1" si="412"/>
        <v>15.600000000000001</v>
      </c>
      <c r="DN191" s="88">
        <f t="shared" ca="1" si="412"/>
        <v>15.600000000000001</v>
      </c>
      <c r="DO191" s="88">
        <f t="shared" ca="1" si="412"/>
        <v>15.600000000000001</v>
      </c>
      <c r="DP191" s="88">
        <f t="shared" ca="1" si="412"/>
        <v>15.600000000000001</v>
      </c>
      <c r="DQ191" s="88">
        <f t="shared" ca="1" si="412"/>
        <v>15.600000000000001</v>
      </c>
      <c r="DR191" s="88">
        <f t="shared" ca="1" si="412"/>
        <v>15.600000000000001</v>
      </c>
      <c r="DS191" s="88">
        <f t="shared" ca="1" si="412"/>
        <v>15.600000000000001</v>
      </c>
      <c r="DT191" s="88">
        <f t="shared" ca="1" si="412"/>
        <v>15.600000000000001</v>
      </c>
      <c r="DU191" s="88">
        <f t="shared" ca="1" si="413"/>
        <v>15.600000000000001</v>
      </c>
      <c r="DV191" s="88">
        <f t="shared" ca="1" si="413"/>
        <v>15.600000000000001</v>
      </c>
      <c r="DW191" s="88">
        <f t="shared" ca="1" si="413"/>
        <v>15.600000000000001</v>
      </c>
      <c r="DX191" s="88">
        <f t="shared" ca="1" si="413"/>
        <v>15.600000000000001</v>
      </c>
      <c r="DY191" s="88">
        <f t="shared" ca="1" si="413"/>
        <v>15.600000000000001</v>
      </c>
      <c r="DZ191" s="88">
        <f t="shared" ca="1" si="413"/>
        <v>0</v>
      </c>
      <c r="EA191" s="88">
        <f t="shared" ca="1" si="413"/>
        <v>0</v>
      </c>
      <c r="EB191" s="88">
        <f t="shared" ca="1" si="413"/>
        <v>0</v>
      </c>
      <c r="EC191" s="88">
        <f t="shared" ca="1" si="413"/>
        <v>0</v>
      </c>
      <c r="ED191" s="88">
        <f t="shared" ca="1" si="413"/>
        <v>0</v>
      </c>
      <c r="EE191" s="88">
        <f t="shared" ca="1" si="414"/>
        <v>0</v>
      </c>
      <c r="EF191" s="88">
        <f t="shared" ca="1" si="414"/>
        <v>0</v>
      </c>
      <c r="EG191" s="88">
        <f t="shared" ca="1" si="414"/>
        <v>0</v>
      </c>
      <c r="EH191" s="88">
        <f t="shared" ca="1" si="414"/>
        <v>0</v>
      </c>
      <c r="EI191" s="88">
        <f t="shared" ca="1" si="414"/>
        <v>0</v>
      </c>
      <c r="EJ191" s="88">
        <f t="shared" ca="1" si="414"/>
        <v>0</v>
      </c>
      <c r="EK191" s="88">
        <f t="shared" ca="1" si="414"/>
        <v>0</v>
      </c>
      <c r="EL191" s="88">
        <f t="shared" ca="1" si="414"/>
        <v>0</v>
      </c>
      <c r="EM191" s="88">
        <f t="shared" ca="1" si="414"/>
        <v>0</v>
      </c>
      <c r="EN191" s="88">
        <f t="shared" ca="1" si="414"/>
        <v>0</v>
      </c>
      <c r="EO191" s="88">
        <f t="shared" ca="1" si="414"/>
        <v>0</v>
      </c>
      <c r="EP191" s="88">
        <f t="shared" ca="1" si="414"/>
        <v>0</v>
      </c>
      <c r="EQ191" s="88">
        <f t="shared" ca="1" si="414"/>
        <v>0</v>
      </c>
      <c r="ER191" s="88">
        <f t="shared" ca="1" si="414"/>
        <v>0</v>
      </c>
      <c r="ES191" s="88">
        <f t="shared" ca="1" si="414"/>
        <v>0</v>
      </c>
      <c r="ET191" s="169"/>
      <c r="EU191" s="88">
        <f t="shared" ca="1" si="415"/>
        <v>0</v>
      </c>
      <c r="EV191" s="88">
        <f t="shared" ca="1" si="415"/>
        <v>0</v>
      </c>
      <c r="EW191" s="88">
        <f t="shared" ca="1" si="415"/>
        <v>0</v>
      </c>
      <c r="EX191" s="88">
        <f t="shared" ca="1" si="415"/>
        <v>0</v>
      </c>
      <c r="EY191" s="88">
        <f t="shared" ca="1" si="415"/>
        <v>0</v>
      </c>
      <c r="EZ191" s="88">
        <f t="shared" ca="1" si="415"/>
        <v>0</v>
      </c>
      <c r="FA191" s="88">
        <f t="shared" ca="1" si="415"/>
        <v>0</v>
      </c>
      <c r="FB191" s="88">
        <f t="shared" ca="1" si="415"/>
        <v>0</v>
      </c>
      <c r="FC191" s="88">
        <f t="shared" ca="1" si="415"/>
        <v>0</v>
      </c>
      <c r="FD191" s="88">
        <f t="shared" ca="1" si="415"/>
        <v>0</v>
      </c>
      <c r="FE191" s="88">
        <f t="shared" ca="1" si="416"/>
        <v>0</v>
      </c>
      <c r="FF191" s="88">
        <f t="shared" ca="1" si="416"/>
        <v>0</v>
      </c>
      <c r="FG191" s="88">
        <f t="shared" ca="1" si="416"/>
        <v>0</v>
      </c>
      <c r="FH191" s="88">
        <f t="shared" ca="1" si="416"/>
        <v>0</v>
      </c>
      <c r="FI191" s="88">
        <f t="shared" ca="1" si="416"/>
        <v>0</v>
      </c>
      <c r="FJ191" s="88">
        <f t="shared" ca="1" si="416"/>
        <v>0</v>
      </c>
      <c r="FK191" s="88">
        <f t="shared" ca="1" si="416"/>
        <v>0</v>
      </c>
      <c r="FL191" s="88">
        <f t="shared" ca="1" si="416"/>
        <v>0</v>
      </c>
      <c r="FM191" s="88">
        <f t="shared" ca="1" si="416"/>
        <v>0</v>
      </c>
      <c r="FN191" s="88">
        <f t="shared" ca="1" si="416"/>
        <v>0</v>
      </c>
      <c r="FO191" s="88">
        <f t="shared" ca="1" si="417"/>
        <v>0</v>
      </c>
      <c r="FP191" s="88">
        <f t="shared" ca="1" si="417"/>
        <v>0</v>
      </c>
      <c r="FQ191" s="88">
        <f t="shared" ca="1" si="417"/>
        <v>0</v>
      </c>
      <c r="FR191" s="88">
        <f t="shared" ca="1" si="417"/>
        <v>0</v>
      </c>
      <c r="FS191" s="88">
        <f t="shared" ca="1" si="417"/>
        <v>0</v>
      </c>
      <c r="FT191" s="88">
        <f t="shared" ca="1" si="417"/>
        <v>0</v>
      </c>
      <c r="FU191" s="88">
        <f t="shared" ca="1" si="417"/>
        <v>0</v>
      </c>
      <c r="FV191" s="88">
        <f t="shared" ca="1" si="417"/>
        <v>0</v>
      </c>
      <c r="FW191" s="88">
        <f t="shared" ca="1" si="417"/>
        <v>0</v>
      </c>
      <c r="FX191" s="88">
        <f t="shared" ca="1" si="417"/>
        <v>0</v>
      </c>
      <c r="FY191" s="88">
        <f t="shared" ca="1" si="417"/>
        <v>0</v>
      </c>
      <c r="FZ191" s="88">
        <f t="shared" ca="1" si="417"/>
        <v>0</v>
      </c>
      <c r="GA191" s="88">
        <f t="shared" ca="1" si="417"/>
        <v>0</v>
      </c>
      <c r="GB191" s="88">
        <f t="shared" ca="1" si="417"/>
        <v>0</v>
      </c>
      <c r="GC191" s="88">
        <f t="shared" ca="1" si="417"/>
        <v>0</v>
      </c>
      <c r="GD191" s="60"/>
    </row>
    <row r="192" spans="1:186" s="54" customFormat="1" ht="14.45" customHeight="1">
      <c r="A192" s="61"/>
      <c r="B192" s="100" t="str">
        <f t="shared" si="418"/>
        <v>C&amp;I_C&amp;I Prescriptive_0_LED Outdoor Pole/Arm Mounted Parking Roadway (&lt;30W)_2018</v>
      </c>
      <c r="C192" s="100">
        <f>INDEX('Measure Inputs'!$D:$D,MATCH($B192,'Measure Inputs'!$B:$B,0))</f>
        <v>144</v>
      </c>
      <c r="D192" s="101" t="s">
        <v>256</v>
      </c>
      <c r="E192" s="101" t="s">
        <v>255</v>
      </c>
      <c r="F192" s="101">
        <v>0</v>
      </c>
      <c r="G192" s="101" t="s">
        <v>369</v>
      </c>
      <c r="H192" s="101">
        <v>2018</v>
      </c>
      <c r="I192" s="55"/>
      <c r="J192" s="58">
        <f t="shared" ca="1" si="229"/>
        <v>0.84729952505977535</v>
      </c>
      <c r="K192" s="58">
        <f t="shared" ca="1" si="246"/>
        <v>2.6831151626892886</v>
      </c>
      <c r="L192" s="58">
        <f t="shared" ca="1" si="230"/>
        <v>0.31578947368421051</v>
      </c>
      <c r="M192" s="58">
        <f t="shared" ca="1" si="231"/>
        <v>1.1263135532207715</v>
      </c>
      <c r="N192" s="58">
        <f t="shared" ca="1" si="232"/>
        <v>2.6831151626892886</v>
      </c>
      <c r="O192" s="55"/>
      <c r="P192" s="175">
        <f ca="1">IFERROR(($AW192+AV192)/SUMPRODUCT($CA192:$DI192,'General Inputs'!$F$51:$AN$51),"n/a")</f>
        <v>1.3538905627472168E-2</v>
      </c>
      <c r="Q192" s="175">
        <f t="shared" ca="1" si="386"/>
        <v>0.11577488807945091</v>
      </c>
      <c r="R192" s="56">
        <f t="shared" ca="1" si="364"/>
        <v>72.55459399999998</v>
      </c>
      <c r="S192" s="55"/>
      <c r="T192" s="56">
        <f ca="1">INDEX(OFFSET('Measure Inputs'!$L$7,,,InputRows),$C192)</f>
        <v>10</v>
      </c>
      <c r="U192" s="134">
        <f ca="1">INDEX(OFFSET('Measure Inputs'!$T$7,,,InputRows),$C192)</f>
        <v>1</v>
      </c>
      <c r="V192" s="134">
        <f ca="1">INDEX(OFFSET('Measure Inputs'!$U$7,,,InputRows),$C192)</f>
        <v>1</v>
      </c>
      <c r="W192" s="55"/>
      <c r="X192" s="96">
        <f ca="1">INDEX(OFFSET('Measure Inputs'!$V$7,,,InputRows),$C192)*$T192*$V192*$U192</f>
        <v>5182.4709999999995</v>
      </c>
      <c r="Y192" s="96">
        <f ca="1">INDEX(OFFSET('Measure Inputs'!$W$7,,,InputRows),$C192)*$T192*$V192*$U192</f>
        <v>1.0569999999999999</v>
      </c>
      <c r="Z192" s="96">
        <f ca="1">INDEX(OFFSET('Measure Inputs'!$X$7,,,InputRows),$C192)*$T192*$V192*$U192</f>
        <v>0</v>
      </c>
      <c r="AA192" s="55"/>
      <c r="AB192" s="96">
        <f ca="1">INDEX(OFFSET('Measure Inputs'!$Z$7,,,InputRows),$C192)*$T192*$V192*$U192</f>
        <v>0</v>
      </c>
      <c r="AC192" s="96">
        <f ca="1">INDEX(OFFSET('Measure Inputs'!$AA$7,,,InputRows),$C192)*$T192*$V192*$U192</f>
        <v>0</v>
      </c>
      <c r="AD192" s="96">
        <f ca="1">INDEX(OFFSET('Measure Inputs'!$AB$7,,,InputRows),$C192)*$T192*$V192*$U192</f>
        <v>0</v>
      </c>
      <c r="AE192" s="55"/>
      <c r="AF192" s="57">
        <f ca="1">INDEX(OFFSET('Measure Inputs'!$Q$7,,,InputRows),$C192)*$T192</f>
        <v>0</v>
      </c>
      <c r="AG192" s="57">
        <f ca="1">INDEX(OFFSET('Measure Inputs'!$P$7,,,InputRows),$C192)*$T192*$V192</f>
        <v>1900</v>
      </c>
      <c r="AH192" s="57">
        <f ca="1">INDEX(OFFSET('Measure Inputs'!$R$7,,,InputRows),$C192)*$T192*$V192</f>
        <v>0</v>
      </c>
      <c r="AI192" s="57">
        <f ca="1">INDEX(OFFSET('Measure Inputs'!$O$7,,,InputRows),$C192)*$T192</f>
        <v>600</v>
      </c>
      <c r="AJ192" s="57">
        <f ca="1">INDEX(OFFSET('Measure Inputs'!$S$7,,,InputRows),$C192)*$T192</f>
        <v>0</v>
      </c>
      <c r="AK192" s="63">
        <f ca="1">INDEX(OFFSET('Measure Inputs'!$M$7,,,InputRows),$C192)</f>
        <v>14</v>
      </c>
      <c r="AL192" s="88">
        <f ca="1">INDEX(OFFSET('Measure Inputs'!$N$7,,,InputRows),$C192)</f>
        <v>0</v>
      </c>
      <c r="AM192" s="57">
        <f ca="1">SUMIFS(OFFSET('Program Inputs'!$N$5,,,TotalPrograms),OFFSET('Program Inputs'!$B$5,,,TotalPrograms),SUBSTITUTE($B192,"All","*"))+AF192</f>
        <v>0</v>
      </c>
      <c r="AN192" s="57">
        <f t="shared" ca="1" si="365"/>
        <v>600</v>
      </c>
      <c r="AO192" s="55"/>
      <c r="AP192" s="59">
        <f t="shared" ca="1" si="366"/>
        <v>1479.1153046798725</v>
      </c>
      <c r="AQ192" s="59">
        <f t="shared" ca="1" si="367"/>
        <v>1745.6817346563764</v>
      </c>
      <c r="AR192" s="59">
        <f ca="1">SUMPRODUCT($CA192:$DI192,'General Inputs'!$F$32:$AN$32,'General Inputs'!$F$51:$AN$51)/(1-Loss_ElectricEnergy)</f>
        <v>1289.8880382779457</v>
      </c>
      <c r="AS192" s="59">
        <f ca="1">SUMPRODUCT($DK192:$ES192,'General Inputs'!$F$33:$AN$33,'General Inputs'!$F$51:$AN$51)/(1-Loss_ElectricDemand)</f>
        <v>189.22726640192664</v>
      </c>
      <c r="AT192" s="59">
        <f ca="1">SUMPRODUCT($EU192:$GC192,'General Inputs'!$F$34:$AN$34,'General Inputs'!$F$51:$AN$51)/(1-Loss_GasEnergy)</f>
        <v>0</v>
      </c>
      <c r="AU192" s="59">
        <f ca="1">INDEX('General Inputs'!$F$51:$AN$51,MATCH($H192,'General Inputs'!$F$50:$AN$50,0))*$AJ192</f>
        <v>0</v>
      </c>
      <c r="AV192" s="59">
        <f ca="1">INDEX('General Inputs'!$F$51:$AN$51,MATCH($H192,'General Inputs'!$F$50:$AN$50,0))*$AI192</f>
        <v>551.2679162072767</v>
      </c>
      <c r="AW192" s="59">
        <f ca="1">INDEX('General Inputs'!$F$51:$AN$51,MATCH($H192,'General Inputs'!$F$50:$AN$50,0))*$AM192</f>
        <v>0</v>
      </c>
      <c r="AX192" s="59">
        <f ca="1">SUM(INDEX('General Inputs'!$F$51:$AN$51,MATCH($H192,'General Inputs'!$F$50:$AN$50,0))*$AG192,INDEX('General Inputs'!$F$51:$AN$51,MATCH($H192+$AL192,'General Inputs'!$F$50:$AN$50,0))*-$AH192)</f>
        <v>1745.6817346563764</v>
      </c>
      <c r="AY192" s="55"/>
      <c r="AZ192" s="59">
        <f ca="1">SUMPRODUCT($CA192:$DI192,'General Inputs'!$F$32:$AN$32,'General Inputs'!$F$52:$AN$52)/(1-Loss_ElectricEnergy)</f>
        <v>1289.8880382779457</v>
      </c>
      <c r="BA192" s="59">
        <f ca="1">SUMPRODUCT($DK192:$ES192,'General Inputs'!$F$33:$AN$33,'General Inputs'!$F$52:$AN$52)/(1-Loss_ElectricDemand)</f>
        <v>189.22726640192664</v>
      </c>
      <c r="BB192" s="59">
        <f ca="1">SUMPRODUCT($EU192:$GC192,'General Inputs'!$F$34:$AN$34,'General Inputs'!$F$52:$AN$52)/(1-Loss_GasEnergy)</f>
        <v>0</v>
      </c>
      <c r="BC192" s="59">
        <f ca="1">INDEX('General Inputs'!$F$52:$AN$52,MATCH($H192,'General Inputs'!$F$50:$AN$50,0))*$AI192</f>
        <v>551.2679162072767</v>
      </c>
      <c r="BD192" s="59">
        <f ca="1">INDEX('General Inputs'!$F$52:$AN$52,MATCH($H192,'General Inputs'!$F$50:$AN$50,0))*$AM192</f>
        <v>0</v>
      </c>
      <c r="BE192" s="55"/>
      <c r="BF192" s="59">
        <f ca="1">SUMPRODUCT($CA192:$DI192,OFFSET('General Inputs'!$F$40:$AN$40,MATCH($D192&amp;" Electric ($/kWh)",'General Inputs'!$E$40:$E$46,0),),'General Inputs'!$F$54:$AN$54)</f>
        <v>0</v>
      </c>
      <c r="BG192" s="59">
        <f ca="1">SUMPRODUCT($EU192:$GC192,OFFSET('General Inputs'!$F$40:$AN$40,MATCH($D192&amp;" Natural Gas ($/therm)",'General Inputs'!$E$40:$E$46,0),),'General Inputs'!$F$54:$AN$54)</f>
        <v>0</v>
      </c>
      <c r="BH192" s="59">
        <f ca="1">INDEX('General Inputs'!$F$54:$AN$54,MATCH($H192,'General Inputs'!$F$50:$AN$50,0))*$AI192</f>
        <v>551.2679162072767</v>
      </c>
      <c r="BI192" s="59">
        <f ca="1">SUM(INDEX('General Inputs'!$F$54:$AN$54,MATCH($H192,'General Inputs'!$F$50:$AN$50,0))*$AG192,INDEX('General Inputs'!$F$51:$AN$51,MATCH($H192+$AL192,'General Inputs'!$F$50:$AN$50,0))*-$AH192)</f>
        <v>1745.6817346563764</v>
      </c>
      <c r="BJ192" s="55"/>
      <c r="BK192" s="59">
        <f ca="1">SUMPRODUCT($CA192:$DI192,'General Inputs'!$F$32:$AN$32,'General Inputs'!$F$53:$AN$53)/(1-Loss_ElectricEnergy)</f>
        <v>1289.8880382779457</v>
      </c>
      <c r="BL192" s="59">
        <f ca="1">SUMPRODUCT($DK192:$ES192,'General Inputs'!$F$33:$AN$33,'General Inputs'!$F$53:$AN$53)/(1-Loss_ElectricDemand)</f>
        <v>189.22726640192664</v>
      </c>
      <c r="BM192" s="59">
        <f ca="1">SUMPRODUCT($EU192:$GC192,'General Inputs'!$F$34:$AN$34,'General Inputs'!$F$53:$AN$53)/(1-Loss_GasEnergy)</f>
        <v>0</v>
      </c>
      <c r="BN192" s="59">
        <f ca="1">INDEX('General Inputs'!$F$53:$AN$53,MATCH($H192,'General Inputs'!$F$50:$AN$50,0))*$AJ192</f>
        <v>0</v>
      </c>
      <c r="BO192" s="59">
        <f ca="1">SUMPRODUCT($CA192:$DI192,'General Inputs'!$F$35:$AN$35,'General Inputs'!$F$53:$AN$53)/(1-Loss_ElectricEnergy)</f>
        <v>487.06969267355117</v>
      </c>
      <c r="BP192" s="59">
        <f ca="1">INDEX('General Inputs'!$F$51:$AN$51,MATCH($H192,'General Inputs'!$F$50:$AN$50,0))*$AM192</f>
        <v>0</v>
      </c>
      <c r="BQ192" s="59">
        <f ca="1">SUM(INDEX('General Inputs'!$F$53:$AN$53,MATCH($H192,'General Inputs'!$F$50:$AN$50,0))*$AG192,INDEX('General Inputs'!$F$53:$AN$53,MATCH($H192+$AL192,'General Inputs'!$F$50:$AN$50,0))*-$AH192)</f>
        <v>1745.6817346563764</v>
      </c>
      <c r="BR192" s="55"/>
      <c r="BS192" s="59">
        <f ca="1">SUMPRODUCT($CA192:$DI192,'General Inputs'!$F$32:$AN$32,'General Inputs'!$F$55:$AN$55)/(1-Loss_ElectricEnergy)</f>
        <v>1289.8880382779457</v>
      </c>
      <c r="BT192" s="59">
        <f ca="1">SUMPRODUCT($DK192:$ES192,'General Inputs'!$F$33:$AN$33,'General Inputs'!$F$55:$AN$55)/(1-Loss_ElectricDemand)</f>
        <v>189.22726640192664</v>
      </c>
      <c r="BU192" s="59">
        <f ca="1">SUMPRODUCT($EU192:$GC192,'General Inputs'!$F$34:$AN$34,'General Inputs'!$F$55:$AN$55)/(1-Loss_GasEnergy)</f>
        <v>0</v>
      </c>
      <c r="BV192" s="59">
        <f ca="1">SUMPRODUCT($CA192:$DI192,OFFSET('General Inputs'!$F$40:$AN$40,MATCH($D192&amp;" Electric ($/kWh)",'General Inputs'!$E$40:$E$46,0),),'General Inputs'!$F$55:$AN$55)</f>
        <v>0</v>
      </c>
      <c r="BW192" s="59">
        <f ca="1">SUMPRODUCT($EU192:$GC192,OFFSET('General Inputs'!$F$40:$AN$40,MATCH($D192&amp;" Natural Gas ($/therm)",'General Inputs'!$E$40:$E$46,0),),'General Inputs'!$F$55:$AN$55)</f>
        <v>0</v>
      </c>
      <c r="BX192" s="59">
        <f ca="1">INDEX('General Inputs'!$F$55:$AN$55,MATCH($H192,'General Inputs'!$F$50:$AN$50,0))*$AI192</f>
        <v>551.2679162072767</v>
      </c>
      <c r="BY192" s="59">
        <f ca="1">INDEX('General Inputs'!$F$51:$AN$51,MATCH($H192,'General Inputs'!$F$50:$AN$50,0))*$AM192</f>
        <v>0</v>
      </c>
      <c r="BZ192" s="55"/>
      <c r="CA192" s="88">
        <f t="shared" ca="1" si="409"/>
        <v>0</v>
      </c>
      <c r="CB192" s="88">
        <f t="shared" ca="1" si="409"/>
        <v>5182.4709999999995</v>
      </c>
      <c r="CC192" s="88">
        <f t="shared" ca="1" si="409"/>
        <v>5182.4709999999995</v>
      </c>
      <c r="CD192" s="88">
        <f t="shared" ca="1" si="409"/>
        <v>5182.4709999999995</v>
      </c>
      <c r="CE192" s="88">
        <f t="shared" ca="1" si="409"/>
        <v>5182.4709999999995</v>
      </c>
      <c r="CF192" s="88">
        <f t="shared" ca="1" si="409"/>
        <v>5182.4709999999995</v>
      </c>
      <c r="CG192" s="88">
        <f t="shared" ca="1" si="409"/>
        <v>5182.4709999999995</v>
      </c>
      <c r="CH192" s="88">
        <f t="shared" ca="1" si="409"/>
        <v>5182.4709999999995</v>
      </c>
      <c r="CI192" s="88">
        <f t="shared" ca="1" si="409"/>
        <v>5182.4709999999995</v>
      </c>
      <c r="CJ192" s="88">
        <f t="shared" ca="1" si="409"/>
        <v>5182.4709999999995</v>
      </c>
      <c r="CK192" s="88">
        <f t="shared" ca="1" si="410"/>
        <v>5182.4709999999995</v>
      </c>
      <c r="CL192" s="88">
        <f t="shared" ca="1" si="410"/>
        <v>5182.4709999999995</v>
      </c>
      <c r="CM192" s="88">
        <f t="shared" ca="1" si="410"/>
        <v>5182.4709999999995</v>
      </c>
      <c r="CN192" s="88">
        <f t="shared" ca="1" si="410"/>
        <v>5182.4709999999995</v>
      </c>
      <c r="CO192" s="88">
        <f t="shared" ca="1" si="410"/>
        <v>5182.4709999999995</v>
      </c>
      <c r="CP192" s="88">
        <f t="shared" ca="1" si="410"/>
        <v>0</v>
      </c>
      <c r="CQ192" s="88">
        <f t="shared" ca="1" si="410"/>
        <v>0</v>
      </c>
      <c r="CR192" s="88">
        <f t="shared" ca="1" si="410"/>
        <v>0</v>
      </c>
      <c r="CS192" s="88">
        <f t="shared" ca="1" si="410"/>
        <v>0</v>
      </c>
      <c r="CT192" s="88">
        <f t="shared" ca="1" si="410"/>
        <v>0</v>
      </c>
      <c r="CU192" s="88">
        <f t="shared" ca="1" si="411"/>
        <v>0</v>
      </c>
      <c r="CV192" s="88">
        <f t="shared" ca="1" si="411"/>
        <v>0</v>
      </c>
      <c r="CW192" s="88">
        <f t="shared" ca="1" si="411"/>
        <v>0</v>
      </c>
      <c r="CX192" s="88">
        <f t="shared" ca="1" si="411"/>
        <v>0</v>
      </c>
      <c r="CY192" s="88">
        <f t="shared" ca="1" si="411"/>
        <v>0</v>
      </c>
      <c r="CZ192" s="88">
        <f t="shared" ca="1" si="411"/>
        <v>0</v>
      </c>
      <c r="DA192" s="88">
        <f t="shared" ca="1" si="411"/>
        <v>0</v>
      </c>
      <c r="DB192" s="88">
        <f t="shared" ca="1" si="411"/>
        <v>0</v>
      </c>
      <c r="DC192" s="88">
        <f t="shared" ca="1" si="411"/>
        <v>0</v>
      </c>
      <c r="DD192" s="88">
        <f t="shared" ca="1" si="411"/>
        <v>0</v>
      </c>
      <c r="DE192" s="88">
        <f t="shared" ca="1" si="411"/>
        <v>0</v>
      </c>
      <c r="DF192" s="88">
        <f t="shared" ca="1" si="411"/>
        <v>0</v>
      </c>
      <c r="DG192" s="88">
        <f t="shared" ca="1" si="411"/>
        <v>0</v>
      </c>
      <c r="DH192" s="88">
        <f t="shared" ca="1" si="411"/>
        <v>0</v>
      </c>
      <c r="DI192" s="88">
        <f t="shared" ca="1" si="411"/>
        <v>0</v>
      </c>
      <c r="DJ192" s="169"/>
      <c r="DK192" s="88">
        <f t="shared" ca="1" si="412"/>
        <v>0</v>
      </c>
      <c r="DL192" s="88">
        <f t="shared" ca="1" si="412"/>
        <v>1.0569999999999999</v>
      </c>
      <c r="DM192" s="88">
        <f t="shared" ca="1" si="412"/>
        <v>1.0569999999999999</v>
      </c>
      <c r="DN192" s="88">
        <f t="shared" ca="1" si="412"/>
        <v>1.0569999999999999</v>
      </c>
      <c r="DO192" s="88">
        <f t="shared" ca="1" si="412"/>
        <v>1.0569999999999999</v>
      </c>
      <c r="DP192" s="88">
        <f t="shared" ca="1" si="412"/>
        <v>1.0569999999999999</v>
      </c>
      <c r="DQ192" s="88">
        <f t="shared" ca="1" si="412"/>
        <v>1.0569999999999999</v>
      </c>
      <c r="DR192" s="88">
        <f t="shared" ca="1" si="412"/>
        <v>1.0569999999999999</v>
      </c>
      <c r="DS192" s="88">
        <f t="shared" ca="1" si="412"/>
        <v>1.0569999999999999</v>
      </c>
      <c r="DT192" s="88">
        <f t="shared" ca="1" si="412"/>
        <v>1.0569999999999999</v>
      </c>
      <c r="DU192" s="88">
        <f t="shared" ca="1" si="413"/>
        <v>1.0569999999999999</v>
      </c>
      <c r="DV192" s="88">
        <f t="shared" ca="1" si="413"/>
        <v>1.0569999999999999</v>
      </c>
      <c r="DW192" s="88">
        <f t="shared" ca="1" si="413"/>
        <v>1.0569999999999999</v>
      </c>
      <c r="DX192" s="88">
        <f t="shared" ca="1" si="413"/>
        <v>1.0569999999999999</v>
      </c>
      <c r="DY192" s="88">
        <f t="shared" ca="1" si="413"/>
        <v>1.0569999999999999</v>
      </c>
      <c r="DZ192" s="88">
        <f t="shared" ca="1" si="413"/>
        <v>0</v>
      </c>
      <c r="EA192" s="88">
        <f t="shared" ca="1" si="413"/>
        <v>0</v>
      </c>
      <c r="EB192" s="88">
        <f t="shared" ca="1" si="413"/>
        <v>0</v>
      </c>
      <c r="EC192" s="88">
        <f t="shared" ca="1" si="413"/>
        <v>0</v>
      </c>
      <c r="ED192" s="88">
        <f t="shared" ca="1" si="413"/>
        <v>0</v>
      </c>
      <c r="EE192" s="88">
        <f t="shared" ca="1" si="414"/>
        <v>0</v>
      </c>
      <c r="EF192" s="88">
        <f t="shared" ca="1" si="414"/>
        <v>0</v>
      </c>
      <c r="EG192" s="88">
        <f t="shared" ca="1" si="414"/>
        <v>0</v>
      </c>
      <c r="EH192" s="88">
        <f t="shared" ca="1" si="414"/>
        <v>0</v>
      </c>
      <c r="EI192" s="88">
        <f t="shared" ca="1" si="414"/>
        <v>0</v>
      </c>
      <c r="EJ192" s="88">
        <f t="shared" ca="1" si="414"/>
        <v>0</v>
      </c>
      <c r="EK192" s="88">
        <f t="shared" ca="1" si="414"/>
        <v>0</v>
      </c>
      <c r="EL192" s="88">
        <f t="shared" ca="1" si="414"/>
        <v>0</v>
      </c>
      <c r="EM192" s="88">
        <f t="shared" ca="1" si="414"/>
        <v>0</v>
      </c>
      <c r="EN192" s="88">
        <f t="shared" ca="1" si="414"/>
        <v>0</v>
      </c>
      <c r="EO192" s="88">
        <f t="shared" ca="1" si="414"/>
        <v>0</v>
      </c>
      <c r="EP192" s="88">
        <f t="shared" ca="1" si="414"/>
        <v>0</v>
      </c>
      <c r="EQ192" s="88">
        <f t="shared" ca="1" si="414"/>
        <v>0</v>
      </c>
      <c r="ER192" s="88">
        <f t="shared" ca="1" si="414"/>
        <v>0</v>
      </c>
      <c r="ES192" s="88">
        <f t="shared" ca="1" si="414"/>
        <v>0</v>
      </c>
      <c r="ET192" s="169"/>
      <c r="EU192" s="88">
        <f t="shared" ca="1" si="415"/>
        <v>0</v>
      </c>
      <c r="EV192" s="88">
        <f t="shared" ca="1" si="415"/>
        <v>0</v>
      </c>
      <c r="EW192" s="88">
        <f t="shared" ca="1" si="415"/>
        <v>0</v>
      </c>
      <c r="EX192" s="88">
        <f t="shared" ca="1" si="415"/>
        <v>0</v>
      </c>
      <c r="EY192" s="88">
        <f t="shared" ca="1" si="415"/>
        <v>0</v>
      </c>
      <c r="EZ192" s="88">
        <f t="shared" ca="1" si="415"/>
        <v>0</v>
      </c>
      <c r="FA192" s="88">
        <f t="shared" ca="1" si="415"/>
        <v>0</v>
      </c>
      <c r="FB192" s="88">
        <f t="shared" ca="1" si="415"/>
        <v>0</v>
      </c>
      <c r="FC192" s="88">
        <f t="shared" ca="1" si="415"/>
        <v>0</v>
      </c>
      <c r="FD192" s="88">
        <f t="shared" ca="1" si="415"/>
        <v>0</v>
      </c>
      <c r="FE192" s="88">
        <f t="shared" ca="1" si="416"/>
        <v>0</v>
      </c>
      <c r="FF192" s="88">
        <f t="shared" ca="1" si="416"/>
        <v>0</v>
      </c>
      <c r="FG192" s="88">
        <f t="shared" ca="1" si="416"/>
        <v>0</v>
      </c>
      <c r="FH192" s="88">
        <f t="shared" ca="1" si="416"/>
        <v>0</v>
      </c>
      <c r="FI192" s="88">
        <f t="shared" ca="1" si="416"/>
        <v>0</v>
      </c>
      <c r="FJ192" s="88">
        <f t="shared" ca="1" si="416"/>
        <v>0</v>
      </c>
      <c r="FK192" s="88">
        <f t="shared" ca="1" si="416"/>
        <v>0</v>
      </c>
      <c r="FL192" s="88">
        <f t="shared" ca="1" si="416"/>
        <v>0</v>
      </c>
      <c r="FM192" s="88">
        <f t="shared" ca="1" si="416"/>
        <v>0</v>
      </c>
      <c r="FN192" s="88">
        <f t="shared" ca="1" si="416"/>
        <v>0</v>
      </c>
      <c r="FO192" s="88">
        <f t="shared" ca="1" si="417"/>
        <v>0</v>
      </c>
      <c r="FP192" s="88">
        <f t="shared" ca="1" si="417"/>
        <v>0</v>
      </c>
      <c r="FQ192" s="88">
        <f t="shared" ca="1" si="417"/>
        <v>0</v>
      </c>
      <c r="FR192" s="88">
        <f t="shared" ca="1" si="417"/>
        <v>0</v>
      </c>
      <c r="FS192" s="88">
        <f t="shared" ca="1" si="417"/>
        <v>0</v>
      </c>
      <c r="FT192" s="88">
        <f t="shared" ca="1" si="417"/>
        <v>0</v>
      </c>
      <c r="FU192" s="88">
        <f t="shared" ca="1" si="417"/>
        <v>0</v>
      </c>
      <c r="FV192" s="88">
        <f t="shared" ca="1" si="417"/>
        <v>0</v>
      </c>
      <c r="FW192" s="88">
        <f t="shared" ca="1" si="417"/>
        <v>0</v>
      </c>
      <c r="FX192" s="88">
        <f t="shared" ca="1" si="417"/>
        <v>0</v>
      </c>
      <c r="FY192" s="88">
        <f t="shared" ca="1" si="417"/>
        <v>0</v>
      </c>
      <c r="FZ192" s="88">
        <f t="shared" ca="1" si="417"/>
        <v>0</v>
      </c>
      <c r="GA192" s="88">
        <f t="shared" ca="1" si="417"/>
        <v>0</v>
      </c>
      <c r="GB192" s="88">
        <f t="shared" ca="1" si="417"/>
        <v>0</v>
      </c>
      <c r="GC192" s="88">
        <f t="shared" ca="1" si="417"/>
        <v>0</v>
      </c>
      <c r="GD192" s="60"/>
    </row>
    <row r="193" spans="1:186" s="54" customFormat="1" ht="14.45" customHeight="1">
      <c r="A193" s="61"/>
      <c r="B193" s="100" t="str">
        <f t="shared" si="418"/>
        <v>C&amp;I_C&amp;I Prescriptive_0_LED Outdoor Pole/Arm Mounted Parking Roadway (30W to 75W)_2018</v>
      </c>
      <c r="C193" s="100">
        <f>INDEX('Measure Inputs'!$D:$D,MATCH($B193,'Measure Inputs'!$B:$B,0))</f>
        <v>145</v>
      </c>
      <c r="D193" s="101" t="s">
        <v>256</v>
      </c>
      <c r="E193" s="101" t="s">
        <v>255</v>
      </c>
      <c r="F193" s="101">
        <v>0</v>
      </c>
      <c r="G193" s="101" t="s">
        <v>370</v>
      </c>
      <c r="H193" s="101">
        <v>2018</v>
      </c>
      <c r="I193" s="55"/>
      <c r="J193" s="58">
        <f t="shared" ca="1" si="229"/>
        <v>0.6920082487376672</v>
      </c>
      <c r="K193" s="58">
        <f t="shared" ca="1" si="246"/>
        <v>1.9860636738771049</v>
      </c>
      <c r="L193" s="58">
        <f t="shared" ca="1" si="230"/>
        <v>0.34843205574912889</v>
      </c>
      <c r="M193" s="58">
        <f t="shared" ca="1" si="231"/>
        <v>0.91988517217547017</v>
      </c>
      <c r="N193" s="58">
        <f t="shared" ca="1" si="232"/>
        <v>1.9860636738771049</v>
      </c>
      <c r="O193" s="55"/>
      <c r="P193" s="175">
        <f ca="1">IFERROR(($AW193+AV193)/SUMPRODUCT($CA193:$DI193,'General Inputs'!$F$51:$AN$51),"n/a")</f>
        <v>1.8290673885784859E-2</v>
      </c>
      <c r="Q193" s="175">
        <f t="shared" ca="1" si="386"/>
        <v>0.15640855917686552</v>
      </c>
      <c r="R193" s="56">
        <f t="shared" ca="1" si="364"/>
        <v>89.509168000000017</v>
      </c>
      <c r="S193" s="55"/>
      <c r="T193" s="56">
        <f ca="1">INDEX(OFFSET('Measure Inputs'!$L$7,,,InputRows),$C193)</f>
        <v>10</v>
      </c>
      <c r="U193" s="134">
        <f ca="1">INDEX(OFFSET('Measure Inputs'!$T$7,,,InputRows),$C193)</f>
        <v>1</v>
      </c>
      <c r="V193" s="134">
        <f ca="1">INDEX(OFFSET('Measure Inputs'!$U$7,,,InputRows),$C193)</f>
        <v>1</v>
      </c>
      <c r="W193" s="55"/>
      <c r="X193" s="96">
        <f ca="1">INDEX(OFFSET('Measure Inputs'!$V$7,,,InputRows),$C193)*$T193*$V193*$U193</f>
        <v>6393.5120000000006</v>
      </c>
      <c r="Y193" s="96">
        <f ca="1">INDEX(OFFSET('Measure Inputs'!$W$7,,,InputRows),$C193)*$T193*$V193*$U193</f>
        <v>1.3040000000000003</v>
      </c>
      <c r="Z193" s="96">
        <f ca="1">INDEX(OFFSET('Measure Inputs'!$X$7,,,InputRows),$C193)*$T193*$V193*$U193</f>
        <v>0</v>
      </c>
      <c r="AA193" s="55"/>
      <c r="AB193" s="96">
        <f ca="1">INDEX(OFFSET('Measure Inputs'!$Z$7,,,InputRows),$C193)*$T193*$V193*$U193</f>
        <v>0</v>
      </c>
      <c r="AC193" s="96">
        <f ca="1">INDEX(OFFSET('Measure Inputs'!$AA$7,,,InputRows),$C193)*$T193*$V193*$U193</f>
        <v>0</v>
      </c>
      <c r="AD193" s="96">
        <f ca="1">INDEX(OFFSET('Measure Inputs'!$AB$7,,,InputRows),$C193)*$T193*$V193*$U193</f>
        <v>0</v>
      </c>
      <c r="AE193" s="55"/>
      <c r="AF193" s="57">
        <f ca="1">INDEX(OFFSET('Measure Inputs'!$Q$7,,,InputRows),$C193)*$T193</f>
        <v>0</v>
      </c>
      <c r="AG193" s="57">
        <f ca="1">INDEX(OFFSET('Measure Inputs'!$P$7,,,InputRows),$C193)*$T193*$V193</f>
        <v>2870</v>
      </c>
      <c r="AH193" s="57">
        <f ca="1">INDEX(OFFSET('Measure Inputs'!$R$7,,,InputRows),$C193)*$T193*$V193</f>
        <v>0</v>
      </c>
      <c r="AI193" s="57">
        <f ca="1">INDEX(OFFSET('Measure Inputs'!$O$7,,,InputRows),$C193)*$T193</f>
        <v>1000</v>
      </c>
      <c r="AJ193" s="57">
        <f ca="1">INDEX(OFFSET('Measure Inputs'!$S$7,,,InputRows),$C193)*$T193</f>
        <v>0</v>
      </c>
      <c r="AK193" s="63">
        <f ca="1">INDEX(OFFSET('Measure Inputs'!$M$7,,,InputRows),$C193)</f>
        <v>14</v>
      </c>
      <c r="AL193" s="88">
        <f ca="1">INDEX(OFFSET('Measure Inputs'!$N$7,,,InputRows),$C193)</f>
        <v>0</v>
      </c>
      <c r="AM193" s="57">
        <f ca="1">SUMIFS(OFFSET('Program Inputs'!$N$5,,,TotalPrograms),OFFSET('Program Inputs'!$B$5,,,TotalPrograms),SUBSTITUTE($B193,"All","*"))+AF193</f>
        <v>0</v>
      </c>
      <c r="AN193" s="57">
        <f t="shared" ca="1" si="365"/>
        <v>1000</v>
      </c>
      <c r="AO193" s="55"/>
      <c r="AP193" s="59">
        <f t="shared" ca="1" si="366"/>
        <v>1824.7553049220001</v>
      </c>
      <c r="AQ193" s="59">
        <f t="shared" ca="1" si="367"/>
        <v>2636.8981991914739</v>
      </c>
      <c r="AR193" s="59">
        <f ca="1">SUMPRODUCT($CA193:$DI193,'General Inputs'!$F$32:$AN$32,'General Inputs'!$F$51:$AN$51)/(1-Loss_ElectricEnergy)</f>
        <v>1591.3093679417614</v>
      </c>
      <c r="AS193" s="59">
        <f ca="1">SUMPRODUCT($DK193:$ES193,'General Inputs'!$F$33:$AN$33,'General Inputs'!$F$51:$AN$51)/(1-Loss_ElectricDemand)</f>
        <v>233.44593698023877</v>
      </c>
      <c r="AT193" s="59">
        <f ca="1">SUMPRODUCT($EU193:$GC193,'General Inputs'!$F$34:$AN$34,'General Inputs'!$F$51:$AN$51)/(1-Loss_GasEnergy)</f>
        <v>0</v>
      </c>
      <c r="AU193" s="59">
        <f ca="1">INDEX('General Inputs'!$F$51:$AN$51,MATCH($H193,'General Inputs'!$F$50:$AN$50,0))*$AJ193</f>
        <v>0</v>
      </c>
      <c r="AV193" s="59">
        <f ca="1">INDEX('General Inputs'!$F$51:$AN$51,MATCH($H193,'General Inputs'!$F$50:$AN$50,0))*$AI193</f>
        <v>918.7798603454612</v>
      </c>
      <c r="AW193" s="59">
        <f ca="1">INDEX('General Inputs'!$F$51:$AN$51,MATCH($H193,'General Inputs'!$F$50:$AN$50,0))*$AM193</f>
        <v>0</v>
      </c>
      <c r="AX193" s="59">
        <f ca="1">SUM(INDEX('General Inputs'!$F$51:$AN$51,MATCH($H193,'General Inputs'!$F$50:$AN$50,0))*$AG193,INDEX('General Inputs'!$F$51:$AN$51,MATCH($H193+$AL193,'General Inputs'!$F$50:$AN$50,0))*-$AH193)</f>
        <v>2636.8981991914739</v>
      </c>
      <c r="AY193" s="55"/>
      <c r="AZ193" s="59">
        <f ca="1">SUMPRODUCT($CA193:$DI193,'General Inputs'!$F$32:$AN$32,'General Inputs'!$F$52:$AN$52)/(1-Loss_ElectricEnergy)</f>
        <v>1591.3093679417614</v>
      </c>
      <c r="BA193" s="59">
        <f ca="1">SUMPRODUCT($DK193:$ES193,'General Inputs'!$F$33:$AN$33,'General Inputs'!$F$52:$AN$52)/(1-Loss_ElectricDemand)</f>
        <v>233.44593698023877</v>
      </c>
      <c r="BB193" s="59">
        <f ca="1">SUMPRODUCT($EU193:$GC193,'General Inputs'!$F$34:$AN$34,'General Inputs'!$F$52:$AN$52)/(1-Loss_GasEnergy)</f>
        <v>0</v>
      </c>
      <c r="BC193" s="59">
        <f ca="1">INDEX('General Inputs'!$F$52:$AN$52,MATCH($H193,'General Inputs'!$F$50:$AN$50,0))*$AI193</f>
        <v>918.7798603454612</v>
      </c>
      <c r="BD193" s="59">
        <f ca="1">INDEX('General Inputs'!$F$52:$AN$52,MATCH($H193,'General Inputs'!$F$50:$AN$50,0))*$AM193</f>
        <v>0</v>
      </c>
      <c r="BE193" s="55"/>
      <c r="BF193" s="59">
        <f ca="1">SUMPRODUCT($CA193:$DI193,OFFSET('General Inputs'!$F$40:$AN$40,MATCH($D193&amp;" Electric ($/kWh)",'General Inputs'!$E$40:$E$46,0),),'General Inputs'!$F$54:$AN$54)</f>
        <v>0</v>
      </c>
      <c r="BG193" s="59">
        <f ca="1">SUMPRODUCT($EU193:$GC193,OFFSET('General Inputs'!$F$40:$AN$40,MATCH($D193&amp;" Natural Gas ($/therm)",'General Inputs'!$E$40:$E$46,0),),'General Inputs'!$F$54:$AN$54)</f>
        <v>0</v>
      </c>
      <c r="BH193" s="59">
        <f ca="1">INDEX('General Inputs'!$F$54:$AN$54,MATCH($H193,'General Inputs'!$F$50:$AN$50,0))*$AI193</f>
        <v>918.7798603454612</v>
      </c>
      <c r="BI193" s="59">
        <f ca="1">SUM(INDEX('General Inputs'!$F$54:$AN$54,MATCH($H193,'General Inputs'!$F$50:$AN$50,0))*$AG193,INDEX('General Inputs'!$F$51:$AN$51,MATCH($H193+$AL193,'General Inputs'!$F$50:$AN$50,0))*-$AH193)</f>
        <v>2636.8981991914739</v>
      </c>
      <c r="BJ193" s="55"/>
      <c r="BK193" s="59">
        <f ca="1">SUMPRODUCT($CA193:$DI193,'General Inputs'!$F$32:$AN$32,'General Inputs'!$F$53:$AN$53)/(1-Loss_ElectricEnergy)</f>
        <v>1591.3093679417614</v>
      </c>
      <c r="BL193" s="59">
        <f ca="1">SUMPRODUCT($DK193:$ES193,'General Inputs'!$F$33:$AN$33,'General Inputs'!$F$53:$AN$53)/(1-Loss_ElectricDemand)</f>
        <v>233.44593698023877</v>
      </c>
      <c r="BM193" s="59">
        <f ca="1">SUMPRODUCT($EU193:$GC193,'General Inputs'!$F$34:$AN$34,'General Inputs'!$F$53:$AN$53)/(1-Loss_GasEnergy)</f>
        <v>0</v>
      </c>
      <c r="BN193" s="59">
        <f ca="1">INDEX('General Inputs'!$F$53:$AN$53,MATCH($H193,'General Inputs'!$F$50:$AN$50,0))*$AJ193</f>
        <v>0</v>
      </c>
      <c r="BO193" s="59">
        <f ca="1">SUMPRODUCT($CA193:$DI193,'General Inputs'!$F$35:$AN$35,'General Inputs'!$F$53:$AN$53)/(1-Loss_ElectricEnergy)</f>
        <v>600.88824905043612</v>
      </c>
      <c r="BP193" s="59">
        <f ca="1">INDEX('General Inputs'!$F$51:$AN$51,MATCH($H193,'General Inputs'!$F$50:$AN$50,0))*$AM193</f>
        <v>0</v>
      </c>
      <c r="BQ193" s="59">
        <f ca="1">SUM(INDEX('General Inputs'!$F$53:$AN$53,MATCH($H193,'General Inputs'!$F$50:$AN$50,0))*$AG193,INDEX('General Inputs'!$F$53:$AN$53,MATCH($H193+$AL193,'General Inputs'!$F$50:$AN$50,0))*-$AH193)</f>
        <v>2636.8981991914739</v>
      </c>
      <c r="BR193" s="55"/>
      <c r="BS193" s="59">
        <f ca="1">SUMPRODUCT($CA193:$DI193,'General Inputs'!$F$32:$AN$32,'General Inputs'!$F$55:$AN$55)/(1-Loss_ElectricEnergy)</f>
        <v>1591.3093679417614</v>
      </c>
      <c r="BT193" s="59">
        <f ca="1">SUMPRODUCT($DK193:$ES193,'General Inputs'!$F$33:$AN$33,'General Inputs'!$F$55:$AN$55)/(1-Loss_ElectricDemand)</f>
        <v>233.44593698023877</v>
      </c>
      <c r="BU193" s="59">
        <f ca="1">SUMPRODUCT($EU193:$GC193,'General Inputs'!$F$34:$AN$34,'General Inputs'!$F$55:$AN$55)/(1-Loss_GasEnergy)</f>
        <v>0</v>
      </c>
      <c r="BV193" s="59">
        <f ca="1">SUMPRODUCT($CA193:$DI193,OFFSET('General Inputs'!$F$40:$AN$40,MATCH($D193&amp;" Electric ($/kWh)",'General Inputs'!$E$40:$E$46,0),),'General Inputs'!$F$55:$AN$55)</f>
        <v>0</v>
      </c>
      <c r="BW193" s="59">
        <f ca="1">SUMPRODUCT($EU193:$GC193,OFFSET('General Inputs'!$F$40:$AN$40,MATCH($D193&amp;" Natural Gas ($/therm)",'General Inputs'!$E$40:$E$46,0),),'General Inputs'!$F$55:$AN$55)</f>
        <v>0</v>
      </c>
      <c r="BX193" s="59">
        <f ca="1">INDEX('General Inputs'!$F$55:$AN$55,MATCH($H193,'General Inputs'!$F$50:$AN$50,0))*$AI193</f>
        <v>918.7798603454612</v>
      </c>
      <c r="BY193" s="59">
        <f ca="1">INDEX('General Inputs'!$F$51:$AN$51,MATCH($H193,'General Inputs'!$F$50:$AN$50,0))*$AM193</f>
        <v>0</v>
      </c>
      <c r="BZ193" s="55"/>
      <c r="CA193" s="88">
        <f t="shared" ca="1" si="409"/>
        <v>0</v>
      </c>
      <c r="CB193" s="88">
        <f t="shared" ca="1" si="409"/>
        <v>6393.5120000000006</v>
      </c>
      <c r="CC193" s="88">
        <f t="shared" ca="1" si="409"/>
        <v>6393.5120000000006</v>
      </c>
      <c r="CD193" s="88">
        <f t="shared" ca="1" si="409"/>
        <v>6393.5120000000006</v>
      </c>
      <c r="CE193" s="88">
        <f t="shared" ca="1" si="409"/>
        <v>6393.5120000000006</v>
      </c>
      <c r="CF193" s="88">
        <f t="shared" ca="1" si="409"/>
        <v>6393.5120000000006</v>
      </c>
      <c r="CG193" s="88">
        <f t="shared" ca="1" si="409"/>
        <v>6393.5120000000006</v>
      </c>
      <c r="CH193" s="88">
        <f t="shared" ca="1" si="409"/>
        <v>6393.5120000000006</v>
      </c>
      <c r="CI193" s="88">
        <f t="shared" ca="1" si="409"/>
        <v>6393.5120000000006</v>
      </c>
      <c r="CJ193" s="88">
        <f t="shared" ca="1" si="409"/>
        <v>6393.5120000000006</v>
      </c>
      <c r="CK193" s="88">
        <f t="shared" ca="1" si="410"/>
        <v>6393.5120000000006</v>
      </c>
      <c r="CL193" s="88">
        <f t="shared" ca="1" si="410"/>
        <v>6393.5120000000006</v>
      </c>
      <c r="CM193" s="88">
        <f t="shared" ca="1" si="410"/>
        <v>6393.5120000000006</v>
      </c>
      <c r="CN193" s="88">
        <f t="shared" ca="1" si="410"/>
        <v>6393.5120000000006</v>
      </c>
      <c r="CO193" s="88">
        <f t="shared" ca="1" si="410"/>
        <v>6393.5120000000006</v>
      </c>
      <c r="CP193" s="88">
        <f t="shared" ca="1" si="410"/>
        <v>0</v>
      </c>
      <c r="CQ193" s="88">
        <f t="shared" ca="1" si="410"/>
        <v>0</v>
      </c>
      <c r="CR193" s="88">
        <f t="shared" ca="1" si="410"/>
        <v>0</v>
      </c>
      <c r="CS193" s="88">
        <f t="shared" ca="1" si="410"/>
        <v>0</v>
      </c>
      <c r="CT193" s="88">
        <f t="shared" ca="1" si="410"/>
        <v>0</v>
      </c>
      <c r="CU193" s="88">
        <f t="shared" ca="1" si="411"/>
        <v>0</v>
      </c>
      <c r="CV193" s="88">
        <f t="shared" ca="1" si="411"/>
        <v>0</v>
      </c>
      <c r="CW193" s="88">
        <f t="shared" ca="1" si="411"/>
        <v>0</v>
      </c>
      <c r="CX193" s="88">
        <f t="shared" ca="1" si="411"/>
        <v>0</v>
      </c>
      <c r="CY193" s="88">
        <f t="shared" ca="1" si="411"/>
        <v>0</v>
      </c>
      <c r="CZ193" s="88">
        <f t="shared" ca="1" si="411"/>
        <v>0</v>
      </c>
      <c r="DA193" s="88">
        <f t="shared" ca="1" si="411"/>
        <v>0</v>
      </c>
      <c r="DB193" s="88">
        <f t="shared" ca="1" si="411"/>
        <v>0</v>
      </c>
      <c r="DC193" s="88">
        <f t="shared" ca="1" si="411"/>
        <v>0</v>
      </c>
      <c r="DD193" s="88">
        <f t="shared" ca="1" si="411"/>
        <v>0</v>
      </c>
      <c r="DE193" s="88">
        <f t="shared" ca="1" si="411"/>
        <v>0</v>
      </c>
      <c r="DF193" s="88">
        <f t="shared" ca="1" si="411"/>
        <v>0</v>
      </c>
      <c r="DG193" s="88">
        <f t="shared" ca="1" si="411"/>
        <v>0</v>
      </c>
      <c r="DH193" s="88">
        <f t="shared" ca="1" si="411"/>
        <v>0</v>
      </c>
      <c r="DI193" s="88">
        <f t="shared" ca="1" si="411"/>
        <v>0</v>
      </c>
      <c r="DJ193" s="169"/>
      <c r="DK193" s="88">
        <f t="shared" ca="1" si="412"/>
        <v>0</v>
      </c>
      <c r="DL193" s="88">
        <f t="shared" ca="1" si="412"/>
        <v>1.3040000000000003</v>
      </c>
      <c r="DM193" s="88">
        <f t="shared" ca="1" si="412"/>
        <v>1.3040000000000003</v>
      </c>
      <c r="DN193" s="88">
        <f t="shared" ca="1" si="412"/>
        <v>1.3040000000000003</v>
      </c>
      <c r="DO193" s="88">
        <f t="shared" ca="1" si="412"/>
        <v>1.3040000000000003</v>
      </c>
      <c r="DP193" s="88">
        <f t="shared" ca="1" si="412"/>
        <v>1.3040000000000003</v>
      </c>
      <c r="DQ193" s="88">
        <f t="shared" ca="1" si="412"/>
        <v>1.3040000000000003</v>
      </c>
      <c r="DR193" s="88">
        <f t="shared" ca="1" si="412"/>
        <v>1.3040000000000003</v>
      </c>
      <c r="DS193" s="88">
        <f t="shared" ca="1" si="412"/>
        <v>1.3040000000000003</v>
      </c>
      <c r="DT193" s="88">
        <f t="shared" ca="1" si="412"/>
        <v>1.3040000000000003</v>
      </c>
      <c r="DU193" s="88">
        <f t="shared" ca="1" si="413"/>
        <v>1.3040000000000003</v>
      </c>
      <c r="DV193" s="88">
        <f t="shared" ca="1" si="413"/>
        <v>1.3040000000000003</v>
      </c>
      <c r="DW193" s="88">
        <f t="shared" ca="1" si="413"/>
        <v>1.3040000000000003</v>
      </c>
      <c r="DX193" s="88">
        <f t="shared" ca="1" si="413"/>
        <v>1.3040000000000003</v>
      </c>
      <c r="DY193" s="88">
        <f t="shared" ca="1" si="413"/>
        <v>1.3040000000000003</v>
      </c>
      <c r="DZ193" s="88">
        <f t="shared" ca="1" si="413"/>
        <v>0</v>
      </c>
      <c r="EA193" s="88">
        <f t="shared" ca="1" si="413"/>
        <v>0</v>
      </c>
      <c r="EB193" s="88">
        <f t="shared" ca="1" si="413"/>
        <v>0</v>
      </c>
      <c r="EC193" s="88">
        <f t="shared" ca="1" si="413"/>
        <v>0</v>
      </c>
      <c r="ED193" s="88">
        <f t="shared" ca="1" si="413"/>
        <v>0</v>
      </c>
      <c r="EE193" s="88">
        <f t="shared" ca="1" si="414"/>
        <v>0</v>
      </c>
      <c r="EF193" s="88">
        <f t="shared" ca="1" si="414"/>
        <v>0</v>
      </c>
      <c r="EG193" s="88">
        <f t="shared" ca="1" si="414"/>
        <v>0</v>
      </c>
      <c r="EH193" s="88">
        <f t="shared" ca="1" si="414"/>
        <v>0</v>
      </c>
      <c r="EI193" s="88">
        <f t="shared" ca="1" si="414"/>
        <v>0</v>
      </c>
      <c r="EJ193" s="88">
        <f t="shared" ca="1" si="414"/>
        <v>0</v>
      </c>
      <c r="EK193" s="88">
        <f t="shared" ca="1" si="414"/>
        <v>0</v>
      </c>
      <c r="EL193" s="88">
        <f t="shared" ca="1" si="414"/>
        <v>0</v>
      </c>
      <c r="EM193" s="88">
        <f t="shared" ca="1" si="414"/>
        <v>0</v>
      </c>
      <c r="EN193" s="88">
        <f t="shared" ca="1" si="414"/>
        <v>0</v>
      </c>
      <c r="EO193" s="88">
        <f t="shared" ca="1" si="414"/>
        <v>0</v>
      </c>
      <c r="EP193" s="88">
        <f t="shared" ca="1" si="414"/>
        <v>0</v>
      </c>
      <c r="EQ193" s="88">
        <f t="shared" ca="1" si="414"/>
        <v>0</v>
      </c>
      <c r="ER193" s="88">
        <f t="shared" ca="1" si="414"/>
        <v>0</v>
      </c>
      <c r="ES193" s="88">
        <f t="shared" ca="1" si="414"/>
        <v>0</v>
      </c>
      <c r="ET193" s="169"/>
      <c r="EU193" s="88">
        <f t="shared" ca="1" si="415"/>
        <v>0</v>
      </c>
      <c r="EV193" s="88">
        <f t="shared" ca="1" si="415"/>
        <v>0</v>
      </c>
      <c r="EW193" s="88">
        <f t="shared" ca="1" si="415"/>
        <v>0</v>
      </c>
      <c r="EX193" s="88">
        <f t="shared" ca="1" si="415"/>
        <v>0</v>
      </c>
      <c r="EY193" s="88">
        <f t="shared" ca="1" si="415"/>
        <v>0</v>
      </c>
      <c r="EZ193" s="88">
        <f t="shared" ca="1" si="415"/>
        <v>0</v>
      </c>
      <c r="FA193" s="88">
        <f t="shared" ca="1" si="415"/>
        <v>0</v>
      </c>
      <c r="FB193" s="88">
        <f t="shared" ca="1" si="415"/>
        <v>0</v>
      </c>
      <c r="FC193" s="88">
        <f t="shared" ca="1" si="415"/>
        <v>0</v>
      </c>
      <c r="FD193" s="88">
        <f t="shared" ca="1" si="415"/>
        <v>0</v>
      </c>
      <c r="FE193" s="88">
        <f t="shared" ca="1" si="416"/>
        <v>0</v>
      </c>
      <c r="FF193" s="88">
        <f t="shared" ca="1" si="416"/>
        <v>0</v>
      </c>
      <c r="FG193" s="88">
        <f t="shared" ca="1" si="416"/>
        <v>0</v>
      </c>
      <c r="FH193" s="88">
        <f t="shared" ca="1" si="416"/>
        <v>0</v>
      </c>
      <c r="FI193" s="88">
        <f t="shared" ca="1" si="416"/>
        <v>0</v>
      </c>
      <c r="FJ193" s="88">
        <f t="shared" ca="1" si="416"/>
        <v>0</v>
      </c>
      <c r="FK193" s="88">
        <f t="shared" ca="1" si="416"/>
        <v>0</v>
      </c>
      <c r="FL193" s="88">
        <f t="shared" ca="1" si="416"/>
        <v>0</v>
      </c>
      <c r="FM193" s="88">
        <f t="shared" ca="1" si="416"/>
        <v>0</v>
      </c>
      <c r="FN193" s="88">
        <f t="shared" ca="1" si="416"/>
        <v>0</v>
      </c>
      <c r="FO193" s="88">
        <f t="shared" ca="1" si="417"/>
        <v>0</v>
      </c>
      <c r="FP193" s="88">
        <f t="shared" ca="1" si="417"/>
        <v>0</v>
      </c>
      <c r="FQ193" s="88">
        <f t="shared" ca="1" si="417"/>
        <v>0</v>
      </c>
      <c r="FR193" s="88">
        <f t="shared" ca="1" si="417"/>
        <v>0</v>
      </c>
      <c r="FS193" s="88">
        <f t="shared" ca="1" si="417"/>
        <v>0</v>
      </c>
      <c r="FT193" s="88">
        <f t="shared" ca="1" si="417"/>
        <v>0</v>
      </c>
      <c r="FU193" s="88">
        <f t="shared" ca="1" si="417"/>
        <v>0</v>
      </c>
      <c r="FV193" s="88">
        <f t="shared" ca="1" si="417"/>
        <v>0</v>
      </c>
      <c r="FW193" s="88">
        <f t="shared" ca="1" si="417"/>
        <v>0</v>
      </c>
      <c r="FX193" s="88">
        <f t="shared" ca="1" si="417"/>
        <v>0</v>
      </c>
      <c r="FY193" s="88">
        <f t="shared" ca="1" si="417"/>
        <v>0</v>
      </c>
      <c r="FZ193" s="88">
        <f t="shared" ca="1" si="417"/>
        <v>0</v>
      </c>
      <c r="GA193" s="88">
        <f t="shared" ca="1" si="417"/>
        <v>0</v>
      </c>
      <c r="GB193" s="88">
        <f t="shared" ca="1" si="417"/>
        <v>0</v>
      </c>
      <c r="GC193" s="88">
        <f t="shared" ca="1" si="417"/>
        <v>0</v>
      </c>
      <c r="GD193" s="60"/>
    </row>
    <row r="194" spans="1:186" s="54" customFormat="1" ht="14.45" customHeight="1">
      <c r="A194" s="61"/>
      <c r="B194" s="100" t="str">
        <f t="shared" si="418"/>
        <v>C&amp;I_C&amp;I Prescriptive_0_LED Outdoor Pole/Arm Mounted Parking Roadway (&gt;75W to 150W)_2018</v>
      </c>
      <c r="C194" s="100">
        <f>INDEX('Measure Inputs'!$D:$D,MATCH($B194,'Measure Inputs'!$B:$B,0))</f>
        <v>146</v>
      </c>
      <c r="D194" s="101" t="s">
        <v>256</v>
      </c>
      <c r="E194" s="101" t="s">
        <v>255</v>
      </c>
      <c r="F194" s="101">
        <v>0</v>
      </c>
      <c r="G194" s="101" t="s">
        <v>371</v>
      </c>
      <c r="H194" s="101">
        <v>2018</v>
      </c>
      <c r="I194" s="55"/>
      <c r="J194" s="58">
        <f t="shared" ca="1" si="229"/>
        <v>0.95278579117242979</v>
      </c>
      <c r="K194" s="58">
        <f t="shared" ca="1" si="246"/>
        <v>2.6609946024887141</v>
      </c>
      <c r="L194" s="58">
        <f t="shared" ca="1" si="230"/>
        <v>0.35805626598465479</v>
      </c>
      <c r="M194" s="58">
        <f t="shared" ca="1" si="231"/>
        <v>1.2665362344419773</v>
      </c>
      <c r="N194" s="58">
        <f t="shared" ca="1" si="232"/>
        <v>2.6609946024887141</v>
      </c>
      <c r="O194" s="55"/>
      <c r="P194" s="175">
        <f ca="1">IFERROR(($AW194+AV194)/SUMPRODUCT($CA194:$DI194,'General Inputs'!$F$51:$AN$51),"n/a")</f>
        <v>1.3651453084991357E-2</v>
      </c>
      <c r="Q194" s="175">
        <f t="shared" ca="1" si="386"/>
        <v>0.11673731219676443</v>
      </c>
      <c r="R194" s="56">
        <f t="shared" ca="1" si="364"/>
        <v>167.89833199999998</v>
      </c>
      <c r="S194" s="55"/>
      <c r="T194" s="56">
        <f ca="1">INDEX(OFFSET('Measure Inputs'!$L$7,,,InputRows),$C194)</f>
        <v>10</v>
      </c>
      <c r="U194" s="134">
        <f ca="1">INDEX(OFFSET('Measure Inputs'!$T$7,,,InputRows),$C194)</f>
        <v>1</v>
      </c>
      <c r="V194" s="134">
        <f ca="1">INDEX(OFFSET('Measure Inputs'!$U$7,,,InputRows),$C194)</f>
        <v>1</v>
      </c>
      <c r="W194" s="55"/>
      <c r="X194" s="96">
        <f ca="1">INDEX(OFFSET('Measure Inputs'!$V$7,,,InputRows),$C194)*$T194*$V194*$U194</f>
        <v>11992.737999999998</v>
      </c>
      <c r="Y194" s="96">
        <f ca="1">INDEX(OFFSET('Measure Inputs'!$W$7,,,InputRows),$C194)*$T194*$V194*$U194</f>
        <v>2.4459999999999997</v>
      </c>
      <c r="Z194" s="96">
        <f ca="1">INDEX(OFFSET('Measure Inputs'!$X$7,,,InputRows),$C194)*$T194*$V194*$U194</f>
        <v>0</v>
      </c>
      <c r="AA194" s="55"/>
      <c r="AB194" s="96">
        <f ca="1">INDEX(OFFSET('Measure Inputs'!$Z$7,,,InputRows),$C194)*$T194*$V194*$U194</f>
        <v>0</v>
      </c>
      <c r="AC194" s="96">
        <f ca="1">INDEX(OFFSET('Measure Inputs'!$AA$7,,,InputRows),$C194)*$T194*$V194*$U194</f>
        <v>0</v>
      </c>
      <c r="AD194" s="96">
        <f ca="1">INDEX(OFFSET('Measure Inputs'!$AB$7,,,InputRows),$C194)*$T194*$V194*$U194</f>
        <v>0</v>
      </c>
      <c r="AE194" s="55"/>
      <c r="AF194" s="57">
        <f ca="1">INDEX(OFFSET('Measure Inputs'!$Q$7,,,InputRows),$C194)*$T194</f>
        <v>0</v>
      </c>
      <c r="AG194" s="57">
        <f ca="1">INDEX(OFFSET('Measure Inputs'!$P$7,,,InputRows),$C194)*$T194*$V194</f>
        <v>3910</v>
      </c>
      <c r="AH194" s="57">
        <f ca="1">INDEX(OFFSET('Measure Inputs'!$R$7,,,InputRows),$C194)*$T194*$V194</f>
        <v>0</v>
      </c>
      <c r="AI194" s="57">
        <f ca="1">INDEX(OFFSET('Measure Inputs'!$O$7,,,InputRows),$C194)*$T194</f>
        <v>1400</v>
      </c>
      <c r="AJ194" s="57">
        <f ca="1">INDEX(OFFSET('Measure Inputs'!$S$7,,,InputRows),$C194)*$T194</f>
        <v>0</v>
      </c>
      <c r="AK194" s="63">
        <f ca="1">INDEX(OFFSET('Measure Inputs'!$M$7,,,InputRows),$C194)</f>
        <v>14</v>
      </c>
      <c r="AL194" s="88">
        <f ca="1">INDEX(OFFSET('Measure Inputs'!$N$7,,,InputRows),$C194)</f>
        <v>0</v>
      </c>
      <c r="AM194" s="57">
        <f ca="1">SUMIFS(OFFSET('Program Inputs'!$N$5,,,TotalPrograms),OFFSET('Program Inputs'!$B$5,,,TotalPrograms),SUBSTITUTE($B194,"All","*"))+AF194</f>
        <v>0</v>
      </c>
      <c r="AN194" s="57">
        <f t="shared" ca="1" si="365"/>
        <v>1400</v>
      </c>
      <c r="AO194" s="55"/>
      <c r="AP194" s="59">
        <f t="shared" ca="1" si="366"/>
        <v>3422.8155489564501</v>
      </c>
      <c r="AQ194" s="59">
        <f t="shared" ca="1" si="367"/>
        <v>3592.4292539507533</v>
      </c>
      <c r="AR194" s="59">
        <f ca="1">SUMPRODUCT($CA194:$DI194,'General Inputs'!$F$32:$AN$32,'General Inputs'!$F$51:$AN$51)/(1-Loss_ElectricEnergy)</f>
        <v>2984.9253941606958</v>
      </c>
      <c r="AS194" s="59">
        <f ca="1">SUMPRODUCT($DK194:$ES194,'General Inputs'!$F$33:$AN$33,'General Inputs'!$F$51:$AN$51)/(1-Loss_ElectricDemand)</f>
        <v>437.89015479575454</v>
      </c>
      <c r="AT194" s="59">
        <f ca="1">SUMPRODUCT($EU194:$GC194,'General Inputs'!$F$34:$AN$34,'General Inputs'!$F$51:$AN$51)/(1-Loss_GasEnergy)</f>
        <v>0</v>
      </c>
      <c r="AU194" s="59">
        <f ca="1">INDEX('General Inputs'!$F$51:$AN$51,MATCH($H194,'General Inputs'!$F$50:$AN$50,0))*$AJ194</f>
        <v>0</v>
      </c>
      <c r="AV194" s="59">
        <f ca="1">INDEX('General Inputs'!$F$51:$AN$51,MATCH($H194,'General Inputs'!$F$50:$AN$50,0))*$AI194</f>
        <v>1286.2918044836458</v>
      </c>
      <c r="AW194" s="59">
        <f ca="1">INDEX('General Inputs'!$F$51:$AN$51,MATCH($H194,'General Inputs'!$F$50:$AN$50,0))*$AM194</f>
        <v>0</v>
      </c>
      <c r="AX194" s="59">
        <f ca="1">SUM(INDEX('General Inputs'!$F$51:$AN$51,MATCH($H194,'General Inputs'!$F$50:$AN$50,0))*$AG194,INDEX('General Inputs'!$F$51:$AN$51,MATCH($H194+$AL194,'General Inputs'!$F$50:$AN$50,0))*-$AH194)</f>
        <v>3592.4292539507533</v>
      </c>
      <c r="AY194" s="55"/>
      <c r="AZ194" s="59">
        <f ca="1">SUMPRODUCT($CA194:$DI194,'General Inputs'!$F$32:$AN$32,'General Inputs'!$F$52:$AN$52)/(1-Loss_ElectricEnergy)</f>
        <v>2984.9253941606958</v>
      </c>
      <c r="BA194" s="59">
        <f ca="1">SUMPRODUCT($DK194:$ES194,'General Inputs'!$F$33:$AN$33,'General Inputs'!$F$52:$AN$52)/(1-Loss_ElectricDemand)</f>
        <v>437.89015479575454</v>
      </c>
      <c r="BB194" s="59">
        <f ca="1">SUMPRODUCT($EU194:$GC194,'General Inputs'!$F$34:$AN$34,'General Inputs'!$F$52:$AN$52)/(1-Loss_GasEnergy)</f>
        <v>0</v>
      </c>
      <c r="BC194" s="59">
        <f ca="1">INDEX('General Inputs'!$F$52:$AN$52,MATCH($H194,'General Inputs'!$F$50:$AN$50,0))*$AI194</f>
        <v>1286.2918044836458</v>
      </c>
      <c r="BD194" s="59">
        <f ca="1">INDEX('General Inputs'!$F$52:$AN$52,MATCH($H194,'General Inputs'!$F$50:$AN$50,0))*$AM194</f>
        <v>0</v>
      </c>
      <c r="BE194" s="55"/>
      <c r="BF194" s="59">
        <f ca="1">SUMPRODUCT($CA194:$DI194,OFFSET('General Inputs'!$F$40:$AN$40,MATCH($D194&amp;" Electric ($/kWh)",'General Inputs'!$E$40:$E$46,0),),'General Inputs'!$F$54:$AN$54)</f>
        <v>0</v>
      </c>
      <c r="BG194" s="59">
        <f ca="1">SUMPRODUCT($EU194:$GC194,OFFSET('General Inputs'!$F$40:$AN$40,MATCH($D194&amp;" Natural Gas ($/therm)",'General Inputs'!$E$40:$E$46,0),),'General Inputs'!$F$54:$AN$54)</f>
        <v>0</v>
      </c>
      <c r="BH194" s="59">
        <f ca="1">INDEX('General Inputs'!$F$54:$AN$54,MATCH($H194,'General Inputs'!$F$50:$AN$50,0))*$AI194</f>
        <v>1286.2918044836458</v>
      </c>
      <c r="BI194" s="59">
        <f ca="1">SUM(INDEX('General Inputs'!$F$54:$AN$54,MATCH($H194,'General Inputs'!$F$50:$AN$50,0))*$AG194,INDEX('General Inputs'!$F$51:$AN$51,MATCH($H194+$AL194,'General Inputs'!$F$50:$AN$50,0))*-$AH194)</f>
        <v>3592.4292539507533</v>
      </c>
      <c r="BJ194" s="55"/>
      <c r="BK194" s="59">
        <f ca="1">SUMPRODUCT($CA194:$DI194,'General Inputs'!$F$32:$AN$32,'General Inputs'!$F$53:$AN$53)/(1-Loss_ElectricEnergy)</f>
        <v>2984.9253941606958</v>
      </c>
      <c r="BL194" s="59">
        <f ca="1">SUMPRODUCT($DK194:$ES194,'General Inputs'!$F$33:$AN$33,'General Inputs'!$F$53:$AN$53)/(1-Loss_ElectricDemand)</f>
        <v>437.89015479575454</v>
      </c>
      <c r="BM194" s="59">
        <f ca="1">SUMPRODUCT($EU194:$GC194,'General Inputs'!$F$34:$AN$34,'General Inputs'!$F$53:$AN$53)/(1-Loss_GasEnergy)</f>
        <v>0</v>
      </c>
      <c r="BN194" s="59">
        <f ca="1">INDEX('General Inputs'!$F$53:$AN$53,MATCH($H194,'General Inputs'!$F$50:$AN$50,0))*$AJ194</f>
        <v>0</v>
      </c>
      <c r="BO194" s="59">
        <f ca="1">SUMPRODUCT($CA194:$DI194,'General Inputs'!$F$35:$AN$35,'General Inputs'!$F$53:$AN$53)/(1-Loss_ElectricEnergy)</f>
        <v>1127.1262708415386</v>
      </c>
      <c r="BP194" s="59">
        <f ca="1">INDEX('General Inputs'!$F$51:$AN$51,MATCH($H194,'General Inputs'!$F$50:$AN$50,0))*$AM194</f>
        <v>0</v>
      </c>
      <c r="BQ194" s="59">
        <f ca="1">SUM(INDEX('General Inputs'!$F$53:$AN$53,MATCH($H194,'General Inputs'!$F$50:$AN$50,0))*$AG194,INDEX('General Inputs'!$F$53:$AN$53,MATCH($H194+$AL194,'General Inputs'!$F$50:$AN$50,0))*-$AH194)</f>
        <v>3592.4292539507533</v>
      </c>
      <c r="BR194" s="55"/>
      <c r="BS194" s="59">
        <f ca="1">SUMPRODUCT($CA194:$DI194,'General Inputs'!$F$32:$AN$32,'General Inputs'!$F$55:$AN$55)/(1-Loss_ElectricEnergy)</f>
        <v>2984.9253941606958</v>
      </c>
      <c r="BT194" s="59">
        <f ca="1">SUMPRODUCT($DK194:$ES194,'General Inputs'!$F$33:$AN$33,'General Inputs'!$F$55:$AN$55)/(1-Loss_ElectricDemand)</f>
        <v>437.89015479575454</v>
      </c>
      <c r="BU194" s="59">
        <f ca="1">SUMPRODUCT($EU194:$GC194,'General Inputs'!$F$34:$AN$34,'General Inputs'!$F$55:$AN$55)/(1-Loss_GasEnergy)</f>
        <v>0</v>
      </c>
      <c r="BV194" s="59">
        <f ca="1">SUMPRODUCT($CA194:$DI194,OFFSET('General Inputs'!$F$40:$AN$40,MATCH($D194&amp;" Electric ($/kWh)",'General Inputs'!$E$40:$E$46,0),),'General Inputs'!$F$55:$AN$55)</f>
        <v>0</v>
      </c>
      <c r="BW194" s="59">
        <f ca="1">SUMPRODUCT($EU194:$GC194,OFFSET('General Inputs'!$F$40:$AN$40,MATCH($D194&amp;" Natural Gas ($/therm)",'General Inputs'!$E$40:$E$46,0),),'General Inputs'!$F$55:$AN$55)</f>
        <v>0</v>
      </c>
      <c r="BX194" s="59">
        <f ca="1">INDEX('General Inputs'!$F$55:$AN$55,MATCH($H194,'General Inputs'!$F$50:$AN$50,0))*$AI194</f>
        <v>1286.2918044836458</v>
      </c>
      <c r="BY194" s="59">
        <f ca="1">INDEX('General Inputs'!$F$51:$AN$51,MATCH($H194,'General Inputs'!$F$50:$AN$50,0))*$AM194</f>
        <v>0</v>
      </c>
      <c r="BZ194" s="55"/>
      <c r="CA194" s="88">
        <f t="shared" ca="1" si="409"/>
        <v>0</v>
      </c>
      <c r="CB194" s="88">
        <f t="shared" ca="1" si="409"/>
        <v>11992.737999999998</v>
      </c>
      <c r="CC194" s="88">
        <f t="shared" ca="1" si="409"/>
        <v>11992.737999999998</v>
      </c>
      <c r="CD194" s="88">
        <f t="shared" ca="1" si="409"/>
        <v>11992.737999999998</v>
      </c>
      <c r="CE194" s="88">
        <f t="shared" ca="1" si="409"/>
        <v>11992.737999999998</v>
      </c>
      <c r="CF194" s="88">
        <f t="shared" ca="1" si="409"/>
        <v>11992.737999999998</v>
      </c>
      <c r="CG194" s="88">
        <f t="shared" ca="1" si="409"/>
        <v>11992.737999999998</v>
      </c>
      <c r="CH194" s="88">
        <f t="shared" ca="1" si="409"/>
        <v>11992.737999999998</v>
      </c>
      <c r="CI194" s="88">
        <f t="shared" ca="1" si="409"/>
        <v>11992.737999999998</v>
      </c>
      <c r="CJ194" s="88">
        <f t="shared" ca="1" si="409"/>
        <v>11992.737999999998</v>
      </c>
      <c r="CK194" s="88">
        <f t="shared" ca="1" si="410"/>
        <v>11992.737999999998</v>
      </c>
      <c r="CL194" s="88">
        <f t="shared" ca="1" si="410"/>
        <v>11992.737999999998</v>
      </c>
      <c r="CM194" s="88">
        <f t="shared" ca="1" si="410"/>
        <v>11992.737999999998</v>
      </c>
      <c r="CN194" s="88">
        <f t="shared" ca="1" si="410"/>
        <v>11992.737999999998</v>
      </c>
      <c r="CO194" s="88">
        <f t="shared" ca="1" si="410"/>
        <v>11992.737999999998</v>
      </c>
      <c r="CP194" s="88">
        <f t="shared" ca="1" si="410"/>
        <v>0</v>
      </c>
      <c r="CQ194" s="88">
        <f t="shared" ca="1" si="410"/>
        <v>0</v>
      </c>
      <c r="CR194" s="88">
        <f t="shared" ca="1" si="410"/>
        <v>0</v>
      </c>
      <c r="CS194" s="88">
        <f t="shared" ca="1" si="410"/>
        <v>0</v>
      </c>
      <c r="CT194" s="88">
        <f t="shared" ca="1" si="410"/>
        <v>0</v>
      </c>
      <c r="CU194" s="88">
        <f t="shared" ca="1" si="411"/>
        <v>0</v>
      </c>
      <c r="CV194" s="88">
        <f t="shared" ca="1" si="411"/>
        <v>0</v>
      </c>
      <c r="CW194" s="88">
        <f t="shared" ca="1" si="411"/>
        <v>0</v>
      </c>
      <c r="CX194" s="88">
        <f t="shared" ca="1" si="411"/>
        <v>0</v>
      </c>
      <c r="CY194" s="88">
        <f t="shared" ca="1" si="411"/>
        <v>0</v>
      </c>
      <c r="CZ194" s="88">
        <f t="shared" ca="1" si="411"/>
        <v>0</v>
      </c>
      <c r="DA194" s="88">
        <f t="shared" ca="1" si="411"/>
        <v>0</v>
      </c>
      <c r="DB194" s="88">
        <f t="shared" ca="1" si="411"/>
        <v>0</v>
      </c>
      <c r="DC194" s="88">
        <f t="shared" ca="1" si="411"/>
        <v>0</v>
      </c>
      <c r="DD194" s="88">
        <f t="shared" ca="1" si="411"/>
        <v>0</v>
      </c>
      <c r="DE194" s="88">
        <f t="shared" ca="1" si="411"/>
        <v>0</v>
      </c>
      <c r="DF194" s="88">
        <f t="shared" ca="1" si="411"/>
        <v>0</v>
      </c>
      <c r="DG194" s="88">
        <f t="shared" ca="1" si="411"/>
        <v>0</v>
      </c>
      <c r="DH194" s="88">
        <f t="shared" ca="1" si="411"/>
        <v>0</v>
      </c>
      <c r="DI194" s="88">
        <f t="shared" ca="1" si="411"/>
        <v>0</v>
      </c>
      <c r="DJ194" s="169"/>
      <c r="DK194" s="88">
        <f t="shared" ca="1" si="412"/>
        <v>0</v>
      </c>
      <c r="DL194" s="88">
        <f t="shared" ca="1" si="412"/>
        <v>2.4459999999999997</v>
      </c>
      <c r="DM194" s="88">
        <f t="shared" ca="1" si="412"/>
        <v>2.4459999999999997</v>
      </c>
      <c r="DN194" s="88">
        <f t="shared" ca="1" si="412"/>
        <v>2.4459999999999997</v>
      </c>
      <c r="DO194" s="88">
        <f t="shared" ca="1" si="412"/>
        <v>2.4459999999999997</v>
      </c>
      <c r="DP194" s="88">
        <f t="shared" ca="1" si="412"/>
        <v>2.4459999999999997</v>
      </c>
      <c r="DQ194" s="88">
        <f t="shared" ca="1" si="412"/>
        <v>2.4459999999999997</v>
      </c>
      <c r="DR194" s="88">
        <f t="shared" ca="1" si="412"/>
        <v>2.4459999999999997</v>
      </c>
      <c r="DS194" s="88">
        <f t="shared" ca="1" si="412"/>
        <v>2.4459999999999997</v>
      </c>
      <c r="DT194" s="88">
        <f t="shared" ca="1" si="412"/>
        <v>2.4459999999999997</v>
      </c>
      <c r="DU194" s="88">
        <f t="shared" ca="1" si="413"/>
        <v>2.4459999999999997</v>
      </c>
      <c r="DV194" s="88">
        <f t="shared" ca="1" si="413"/>
        <v>2.4459999999999997</v>
      </c>
      <c r="DW194" s="88">
        <f t="shared" ca="1" si="413"/>
        <v>2.4459999999999997</v>
      </c>
      <c r="DX194" s="88">
        <f t="shared" ca="1" si="413"/>
        <v>2.4459999999999997</v>
      </c>
      <c r="DY194" s="88">
        <f t="shared" ca="1" si="413"/>
        <v>2.4459999999999997</v>
      </c>
      <c r="DZ194" s="88">
        <f t="shared" ca="1" si="413"/>
        <v>0</v>
      </c>
      <c r="EA194" s="88">
        <f t="shared" ca="1" si="413"/>
        <v>0</v>
      </c>
      <c r="EB194" s="88">
        <f t="shared" ca="1" si="413"/>
        <v>0</v>
      </c>
      <c r="EC194" s="88">
        <f t="shared" ca="1" si="413"/>
        <v>0</v>
      </c>
      <c r="ED194" s="88">
        <f t="shared" ca="1" si="413"/>
        <v>0</v>
      </c>
      <c r="EE194" s="88">
        <f t="shared" ca="1" si="414"/>
        <v>0</v>
      </c>
      <c r="EF194" s="88">
        <f t="shared" ca="1" si="414"/>
        <v>0</v>
      </c>
      <c r="EG194" s="88">
        <f t="shared" ca="1" si="414"/>
        <v>0</v>
      </c>
      <c r="EH194" s="88">
        <f t="shared" ca="1" si="414"/>
        <v>0</v>
      </c>
      <c r="EI194" s="88">
        <f t="shared" ca="1" si="414"/>
        <v>0</v>
      </c>
      <c r="EJ194" s="88">
        <f t="shared" ca="1" si="414"/>
        <v>0</v>
      </c>
      <c r="EK194" s="88">
        <f t="shared" ca="1" si="414"/>
        <v>0</v>
      </c>
      <c r="EL194" s="88">
        <f t="shared" ca="1" si="414"/>
        <v>0</v>
      </c>
      <c r="EM194" s="88">
        <f t="shared" ca="1" si="414"/>
        <v>0</v>
      </c>
      <c r="EN194" s="88">
        <f t="shared" ca="1" si="414"/>
        <v>0</v>
      </c>
      <c r="EO194" s="88">
        <f t="shared" ca="1" si="414"/>
        <v>0</v>
      </c>
      <c r="EP194" s="88">
        <f t="shared" ca="1" si="414"/>
        <v>0</v>
      </c>
      <c r="EQ194" s="88">
        <f t="shared" ca="1" si="414"/>
        <v>0</v>
      </c>
      <c r="ER194" s="88">
        <f t="shared" ca="1" si="414"/>
        <v>0</v>
      </c>
      <c r="ES194" s="88">
        <f t="shared" ca="1" si="414"/>
        <v>0</v>
      </c>
      <c r="ET194" s="169"/>
      <c r="EU194" s="88">
        <f t="shared" ca="1" si="415"/>
        <v>0</v>
      </c>
      <c r="EV194" s="88">
        <f t="shared" ca="1" si="415"/>
        <v>0</v>
      </c>
      <c r="EW194" s="88">
        <f t="shared" ca="1" si="415"/>
        <v>0</v>
      </c>
      <c r="EX194" s="88">
        <f t="shared" ca="1" si="415"/>
        <v>0</v>
      </c>
      <c r="EY194" s="88">
        <f t="shared" ca="1" si="415"/>
        <v>0</v>
      </c>
      <c r="EZ194" s="88">
        <f t="shared" ca="1" si="415"/>
        <v>0</v>
      </c>
      <c r="FA194" s="88">
        <f t="shared" ca="1" si="415"/>
        <v>0</v>
      </c>
      <c r="FB194" s="88">
        <f t="shared" ca="1" si="415"/>
        <v>0</v>
      </c>
      <c r="FC194" s="88">
        <f t="shared" ca="1" si="415"/>
        <v>0</v>
      </c>
      <c r="FD194" s="88">
        <f t="shared" ca="1" si="415"/>
        <v>0</v>
      </c>
      <c r="FE194" s="88">
        <f t="shared" ca="1" si="416"/>
        <v>0</v>
      </c>
      <c r="FF194" s="88">
        <f t="shared" ca="1" si="416"/>
        <v>0</v>
      </c>
      <c r="FG194" s="88">
        <f t="shared" ca="1" si="416"/>
        <v>0</v>
      </c>
      <c r="FH194" s="88">
        <f t="shared" ca="1" si="416"/>
        <v>0</v>
      </c>
      <c r="FI194" s="88">
        <f t="shared" ca="1" si="416"/>
        <v>0</v>
      </c>
      <c r="FJ194" s="88">
        <f t="shared" ca="1" si="416"/>
        <v>0</v>
      </c>
      <c r="FK194" s="88">
        <f t="shared" ca="1" si="416"/>
        <v>0</v>
      </c>
      <c r="FL194" s="88">
        <f t="shared" ca="1" si="416"/>
        <v>0</v>
      </c>
      <c r="FM194" s="88">
        <f t="shared" ca="1" si="416"/>
        <v>0</v>
      </c>
      <c r="FN194" s="88">
        <f t="shared" ca="1" si="416"/>
        <v>0</v>
      </c>
      <c r="FO194" s="88">
        <f t="shared" ca="1" si="417"/>
        <v>0</v>
      </c>
      <c r="FP194" s="88">
        <f t="shared" ca="1" si="417"/>
        <v>0</v>
      </c>
      <c r="FQ194" s="88">
        <f t="shared" ca="1" si="417"/>
        <v>0</v>
      </c>
      <c r="FR194" s="88">
        <f t="shared" ca="1" si="417"/>
        <v>0</v>
      </c>
      <c r="FS194" s="88">
        <f t="shared" ca="1" si="417"/>
        <v>0</v>
      </c>
      <c r="FT194" s="88">
        <f t="shared" ca="1" si="417"/>
        <v>0</v>
      </c>
      <c r="FU194" s="88">
        <f t="shared" ca="1" si="417"/>
        <v>0</v>
      </c>
      <c r="FV194" s="88">
        <f t="shared" ca="1" si="417"/>
        <v>0</v>
      </c>
      <c r="FW194" s="88">
        <f t="shared" ca="1" si="417"/>
        <v>0</v>
      </c>
      <c r="FX194" s="88">
        <f t="shared" ca="1" si="417"/>
        <v>0</v>
      </c>
      <c r="FY194" s="88">
        <f t="shared" ca="1" si="417"/>
        <v>0</v>
      </c>
      <c r="FZ194" s="88">
        <f t="shared" ca="1" si="417"/>
        <v>0</v>
      </c>
      <c r="GA194" s="88">
        <f t="shared" ca="1" si="417"/>
        <v>0</v>
      </c>
      <c r="GB194" s="88">
        <f t="shared" ca="1" si="417"/>
        <v>0</v>
      </c>
      <c r="GC194" s="88">
        <f t="shared" ca="1" si="417"/>
        <v>0</v>
      </c>
      <c r="GD194" s="60"/>
    </row>
    <row r="195" spans="1:186" s="54" customFormat="1" ht="14.45" customHeight="1">
      <c r="A195" s="61"/>
      <c r="B195" s="100" t="str">
        <f t="shared" si="418"/>
        <v>C&amp;I_C&amp;I Prescriptive_0_Split Package Heat Pump_2018</v>
      </c>
      <c r="C195" s="100">
        <f>INDEX('Measure Inputs'!$D:$D,MATCH($B195,'Measure Inputs'!$B:$B,0))</f>
        <v>147</v>
      </c>
      <c r="D195" s="101" t="s">
        <v>256</v>
      </c>
      <c r="E195" s="101" t="s">
        <v>255</v>
      </c>
      <c r="F195" s="101">
        <v>0</v>
      </c>
      <c r="G195" s="101" t="s">
        <v>312</v>
      </c>
      <c r="H195" s="101">
        <v>2018</v>
      </c>
      <c r="I195" s="55"/>
      <c r="J195" s="58">
        <f t="shared" ca="1" si="229"/>
        <v>1.674011165139687</v>
      </c>
      <c r="K195" s="58">
        <f t="shared" ca="1" si="246"/>
        <v>2.4775365244067369</v>
      </c>
      <c r="L195" s="58">
        <f t="shared" ca="1" si="230"/>
        <v>0.67567567567567566</v>
      </c>
      <c r="M195" s="58">
        <f t="shared" ca="1" si="231"/>
        <v>2.2411249897771781</v>
      </c>
      <c r="N195" s="58">
        <f t="shared" ca="1" si="232"/>
        <v>2.4775365244067369</v>
      </c>
      <c r="O195" s="55"/>
      <c r="P195" s="175">
        <f ca="1">IFERROR(($AW195+AV195)/SUMPRODUCT($CA195:$DI195,'General Inputs'!$F$51:$AN$51),"n/a")</f>
        <v>1.4252137414039547E-2</v>
      </c>
      <c r="Q195" s="175">
        <f t="shared" ca="1" si="386"/>
        <v>0.12622744825765034</v>
      </c>
      <c r="R195" s="56">
        <f t="shared" ca="1" si="364"/>
        <v>118.83310806840208</v>
      </c>
      <c r="S195" s="55"/>
      <c r="T195" s="56">
        <f ca="1">INDEX(OFFSET('Measure Inputs'!$L$7,,,InputRows),$C195)</f>
        <v>4</v>
      </c>
      <c r="U195" s="134">
        <f ca="1">INDEX(OFFSET('Measure Inputs'!$T$7,,,InputRows),$C195)</f>
        <v>1</v>
      </c>
      <c r="V195" s="134">
        <f ca="1">INDEX(OFFSET('Measure Inputs'!$U$7,,,InputRows),$C195)</f>
        <v>1</v>
      </c>
      <c r="W195" s="55"/>
      <c r="X195" s="96">
        <f ca="1">INDEX(OFFSET('Measure Inputs'!$V$7,,,InputRows),$C195)*$T195*$V195*$U195</f>
        <v>7922.2072045601408</v>
      </c>
      <c r="Y195" s="96">
        <f ca="1">INDEX(OFFSET('Measure Inputs'!$W$7,,,InputRows),$C195)*$T195*$V195*$U195</f>
        <v>1.2039560439560457</v>
      </c>
      <c r="Z195" s="96">
        <f ca="1">INDEX(OFFSET('Measure Inputs'!$X$7,,,InputRows),$C195)*$T195*$V195*$U195</f>
        <v>0</v>
      </c>
      <c r="AA195" s="55"/>
      <c r="AB195" s="96">
        <f ca="1">INDEX(OFFSET('Measure Inputs'!$Z$7,,,InputRows),$C195)*$T195*$V195*$U195</f>
        <v>0</v>
      </c>
      <c r="AC195" s="96">
        <f ca="1">INDEX(OFFSET('Measure Inputs'!$AA$7,,,InputRows),$C195)*$T195*$V195*$U195</f>
        <v>0</v>
      </c>
      <c r="AD195" s="96">
        <f ca="1">INDEX(OFFSET('Measure Inputs'!$AB$7,,,InputRows),$C195)*$T195*$V195*$U195</f>
        <v>0</v>
      </c>
      <c r="AE195" s="55"/>
      <c r="AF195" s="57">
        <f ca="1">INDEX(OFFSET('Measure Inputs'!$Q$7,,,InputRows),$C195)*$T195</f>
        <v>0</v>
      </c>
      <c r="AG195" s="57">
        <f ca="1">INDEX(OFFSET('Measure Inputs'!$P$7,,,InputRows),$C195)*$T195*$V195</f>
        <v>1480</v>
      </c>
      <c r="AH195" s="57">
        <f ca="1">INDEX(OFFSET('Measure Inputs'!$R$7,,,InputRows),$C195)*$T195*$V195</f>
        <v>0</v>
      </c>
      <c r="AI195" s="57">
        <f ca="1">INDEX(OFFSET('Measure Inputs'!$O$7,,,InputRows),$C195)*$T195</f>
        <v>1000</v>
      </c>
      <c r="AJ195" s="57">
        <f ca="1">INDEX(OFFSET('Measure Inputs'!$S$7,,,InputRows),$C195)*$T195</f>
        <v>0</v>
      </c>
      <c r="AK195" s="63">
        <f ca="1">INDEX(OFFSET('Measure Inputs'!$M$7,,,InputRows),$C195)</f>
        <v>15</v>
      </c>
      <c r="AL195" s="88">
        <f ca="1">INDEX(OFFSET('Measure Inputs'!$N$7,,,InputRows),$C195)</f>
        <v>0</v>
      </c>
      <c r="AM195" s="57">
        <f ca="1">SUMIFS(OFFSET('Program Inputs'!$N$5,,,TotalPrograms),OFFSET('Program Inputs'!$B$5,,,TotalPrograms),SUBSTITUTE($B195,"All","*"))+AF195</f>
        <v>0</v>
      </c>
      <c r="AN195" s="57">
        <f t="shared" ca="1" si="365"/>
        <v>1000</v>
      </c>
      <c r="AO195" s="55"/>
      <c r="AP195" s="59">
        <f t="shared" ca="1" si="366"/>
        <v>2276.3106618952011</v>
      </c>
      <c r="AQ195" s="59">
        <f t="shared" ca="1" si="367"/>
        <v>1359.7941933112827</v>
      </c>
      <c r="AR195" s="59">
        <f ca="1">SUMPRODUCT($CA195:$DI195,'General Inputs'!$F$32:$AN$32,'General Inputs'!$F$51:$AN$51)/(1-Loss_ElectricEnergy)</f>
        <v>2052.0067664025432</v>
      </c>
      <c r="AS195" s="59">
        <f ca="1">SUMPRODUCT($DK195:$ES195,'General Inputs'!$F$33:$AN$33,'General Inputs'!$F$51:$AN$51)/(1-Loss_ElectricDemand)</f>
        <v>224.30389549265789</v>
      </c>
      <c r="AT195" s="59">
        <f ca="1">SUMPRODUCT($EU195:$GC195,'General Inputs'!$F$34:$AN$34,'General Inputs'!$F$51:$AN$51)/(1-Loss_GasEnergy)</f>
        <v>0</v>
      </c>
      <c r="AU195" s="59">
        <f ca="1">INDEX('General Inputs'!$F$51:$AN$51,MATCH($H195,'General Inputs'!$F$50:$AN$50,0))*$AJ195</f>
        <v>0</v>
      </c>
      <c r="AV195" s="59">
        <f ca="1">INDEX('General Inputs'!$F$51:$AN$51,MATCH($H195,'General Inputs'!$F$50:$AN$50,0))*$AI195</f>
        <v>918.7798603454612</v>
      </c>
      <c r="AW195" s="59">
        <f ca="1">INDEX('General Inputs'!$F$51:$AN$51,MATCH($H195,'General Inputs'!$F$50:$AN$50,0))*$AM195</f>
        <v>0</v>
      </c>
      <c r="AX195" s="59">
        <f ca="1">SUM(INDEX('General Inputs'!$F$51:$AN$51,MATCH($H195,'General Inputs'!$F$50:$AN$50,0))*$AG195,INDEX('General Inputs'!$F$51:$AN$51,MATCH($H195+$AL195,'General Inputs'!$F$50:$AN$50,0))*-$AH195)</f>
        <v>1359.7941933112827</v>
      </c>
      <c r="AY195" s="55"/>
      <c r="AZ195" s="59">
        <f ca="1">SUMPRODUCT($CA195:$DI195,'General Inputs'!$F$32:$AN$32,'General Inputs'!$F$52:$AN$52)/(1-Loss_ElectricEnergy)</f>
        <v>2052.0067664025432</v>
      </c>
      <c r="BA195" s="59">
        <f ca="1">SUMPRODUCT($DK195:$ES195,'General Inputs'!$F$33:$AN$33,'General Inputs'!$F$52:$AN$52)/(1-Loss_ElectricDemand)</f>
        <v>224.30389549265789</v>
      </c>
      <c r="BB195" s="59">
        <f ca="1">SUMPRODUCT($EU195:$GC195,'General Inputs'!$F$34:$AN$34,'General Inputs'!$F$52:$AN$52)/(1-Loss_GasEnergy)</f>
        <v>0</v>
      </c>
      <c r="BC195" s="59">
        <f ca="1">INDEX('General Inputs'!$F$52:$AN$52,MATCH($H195,'General Inputs'!$F$50:$AN$50,0))*$AI195</f>
        <v>918.7798603454612</v>
      </c>
      <c r="BD195" s="59">
        <f ca="1">INDEX('General Inputs'!$F$52:$AN$52,MATCH($H195,'General Inputs'!$F$50:$AN$50,0))*$AM195</f>
        <v>0</v>
      </c>
      <c r="BE195" s="55"/>
      <c r="BF195" s="59">
        <f ca="1">SUMPRODUCT($CA195:$DI195,OFFSET('General Inputs'!$F$40:$AN$40,MATCH($D195&amp;" Electric ($/kWh)",'General Inputs'!$E$40:$E$46,0),),'General Inputs'!$F$54:$AN$54)</f>
        <v>0</v>
      </c>
      <c r="BG195" s="59">
        <f ca="1">SUMPRODUCT($EU195:$GC195,OFFSET('General Inputs'!$F$40:$AN$40,MATCH($D195&amp;" Natural Gas ($/therm)",'General Inputs'!$E$40:$E$46,0),),'General Inputs'!$F$54:$AN$54)</f>
        <v>0</v>
      </c>
      <c r="BH195" s="59">
        <f ca="1">INDEX('General Inputs'!$F$54:$AN$54,MATCH($H195,'General Inputs'!$F$50:$AN$50,0))*$AI195</f>
        <v>918.7798603454612</v>
      </c>
      <c r="BI195" s="59">
        <f ca="1">SUM(INDEX('General Inputs'!$F$54:$AN$54,MATCH($H195,'General Inputs'!$F$50:$AN$50,0))*$AG195,INDEX('General Inputs'!$F$51:$AN$51,MATCH($H195+$AL195,'General Inputs'!$F$50:$AN$50,0))*-$AH195)</f>
        <v>1359.7941933112827</v>
      </c>
      <c r="BJ195" s="55"/>
      <c r="BK195" s="59">
        <f ca="1">SUMPRODUCT($CA195:$DI195,'General Inputs'!$F$32:$AN$32,'General Inputs'!$F$53:$AN$53)/(1-Loss_ElectricEnergy)</f>
        <v>2052.0067664025432</v>
      </c>
      <c r="BL195" s="59">
        <f ca="1">SUMPRODUCT($DK195:$ES195,'General Inputs'!$F$33:$AN$33,'General Inputs'!$F$53:$AN$53)/(1-Loss_ElectricDemand)</f>
        <v>224.30389549265789</v>
      </c>
      <c r="BM195" s="59">
        <f ca="1">SUMPRODUCT($EU195:$GC195,'General Inputs'!$F$34:$AN$34,'General Inputs'!$F$53:$AN$53)/(1-Loss_GasEnergy)</f>
        <v>0</v>
      </c>
      <c r="BN195" s="59">
        <f ca="1">INDEX('General Inputs'!$F$53:$AN$53,MATCH($H195,'General Inputs'!$F$50:$AN$50,0))*$AJ195</f>
        <v>0</v>
      </c>
      <c r="BO195" s="59">
        <f ca="1">SUMPRODUCT($CA195:$DI195,'General Inputs'!$F$35:$AN$35,'General Inputs'!$F$53:$AN$53)/(1-Loss_ElectricEnergy)</f>
        <v>771.15808568861326</v>
      </c>
      <c r="BP195" s="59">
        <f ca="1">INDEX('General Inputs'!$F$51:$AN$51,MATCH($H195,'General Inputs'!$F$50:$AN$50,0))*$AM195</f>
        <v>0</v>
      </c>
      <c r="BQ195" s="59">
        <f ca="1">SUM(INDEX('General Inputs'!$F$53:$AN$53,MATCH($H195,'General Inputs'!$F$50:$AN$50,0))*$AG195,INDEX('General Inputs'!$F$53:$AN$53,MATCH($H195+$AL195,'General Inputs'!$F$50:$AN$50,0))*-$AH195)</f>
        <v>1359.7941933112827</v>
      </c>
      <c r="BR195" s="55"/>
      <c r="BS195" s="59">
        <f ca="1">SUMPRODUCT($CA195:$DI195,'General Inputs'!$F$32:$AN$32,'General Inputs'!$F$55:$AN$55)/(1-Loss_ElectricEnergy)</f>
        <v>2052.0067664025432</v>
      </c>
      <c r="BT195" s="59">
        <f ca="1">SUMPRODUCT($DK195:$ES195,'General Inputs'!$F$33:$AN$33,'General Inputs'!$F$55:$AN$55)/(1-Loss_ElectricDemand)</f>
        <v>224.30389549265789</v>
      </c>
      <c r="BU195" s="59">
        <f ca="1">SUMPRODUCT($EU195:$GC195,'General Inputs'!$F$34:$AN$34,'General Inputs'!$F$55:$AN$55)/(1-Loss_GasEnergy)</f>
        <v>0</v>
      </c>
      <c r="BV195" s="59">
        <f ca="1">SUMPRODUCT($CA195:$DI195,OFFSET('General Inputs'!$F$40:$AN$40,MATCH($D195&amp;" Electric ($/kWh)",'General Inputs'!$E$40:$E$46,0),),'General Inputs'!$F$55:$AN$55)</f>
        <v>0</v>
      </c>
      <c r="BW195" s="59">
        <f ca="1">SUMPRODUCT($EU195:$GC195,OFFSET('General Inputs'!$F$40:$AN$40,MATCH($D195&amp;" Natural Gas ($/therm)",'General Inputs'!$E$40:$E$46,0),),'General Inputs'!$F$55:$AN$55)</f>
        <v>0</v>
      </c>
      <c r="BX195" s="59">
        <f ca="1">INDEX('General Inputs'!$F$55:$AN$55,MATCH($H195,'General Inputs'!$F$50:$AN$50,0))*$AI195</f>
        <v>918.7798603454612</v>
      </c>
      <c r="BY195" s="59">
        <f ca="1">INDEX('General Inputs'!$F$51:$AN$51,MATCH($H195,'General Inputs'!$F$50:$AN$50,0))*$AM195</f>
        <v>0</v>
      </c>
      <c r="BZ195" s="55"/>
      <c r="CA195" s="88">
        <f t="shared" ca="1" si="409"/>
        <v>0</v>
      </c>
      <c r="CB195" s="88">
        <f t="shared" ca="1" si="409"/>
        <v>7922.2072045601408</v>
      </c>
      <c r="CC195" s="88">
        <f t="shared" ca="1" si="409"/>
        <v>7922.2072045601408</v>
      </c>
      <c r="CD195" s="88">
        <f t="shared" ca="1" si="409"/>
        <v>7922.2072045601408</v>
      </c>
      <c r="CE195" s="88">
        <f t="shared" ca="1" si="409"/>
        <v>7922.2072045601408</v>
      </c>
      <c r="CF195" s="88">
        <f t="shared" ca="1" si="409"/>
        <v>7922.2072045601408</v>
      </c>
      <c r="CG195" s="88">
        <f t="shared" ca="1" si="409"/>
        <v>7922.2072045601408</v>
      </c>
      <c r="CH195" s="88">
        <f t="shared" ca="1" si="409"/>
        <v>7922.2072045601408</v>
      </c>
      <c r="CI195" s="88">
        <f t="shared" ca="1" si="409"/>
        <v>7922.2072045601408</v>
      </c>
      <c r="CJ195" s="88">
        <f t="shared" ca="1" si="409"/>
        <v>7922.2072045601408</v>
      </c>
      <c r="CK195" s="88">
        <f t="shared" ca="1" si="410"/>
        <v>7922.2072045601408</v>
      </c>
      <c r="CL195" s="88">
        <f t="shared" ca="1" si="410"/>
        <v>7922.2072045601408</v>
      </c>
      <c r="CM195" s="88">
        <f t="shared" ca="1" si="410"/>
        <v>7922.2072045601408</v>
      </c>
      <c r="CN195" s="88">
        <f t="shared" ca="1" si="410"/>
        <v>7922.2072045601408</v>
      </c>
      <c r="CO195" s="88">
        <f t="shared" ca="1" si="410"/>
        <v>7922.2072045601408</v>
      </c>
      <c r="CP195" s="88">
        <f t="shared" ca="1" si="410"/>
        <v>7922.2072045601408</v>
      </c>
      <c r="CQ195" s="88">
        <f t="shared" ca="1" si="410"/>
        <v>0</v>
      </c>
      <c r="CR195" s="88">
        <f t="shared" ca="1" si="410"/>
        <v>0</v>
      </c>
      <c r="CS195" s="88">
        <f t="shared" ca="1" si="410"/>
        <v>0</v>
      </c>
      <c r="CT195" s="88">
        <f t="shared" ca="1" si="410"/>
        <v>0</v>
      </c>
      <c r="CU195" s="88">
        <f t="shared" ca="1" si="411"/>
        <v>0</v>
      </c>
      <c r="CV195" s="88">
        <f t="shared" ca="1" si="411"/>
        <v>0</v>
      </c>
      <c r="CW195" s="88">
        <f t="shared" ca="1" si="411"/>
        <v>0</v>
      </c>
      <c r="CX195" s="88">
        <f t="shared" ca="1" si="411"/>
        <v>0</v>
      </c>
      <c r="CY195" s="88">
        <f t="shared" ca="1" si="411"/>
        <v>0</v>
      </c>
      <c r="CZ195" s="88">
        <f t="shared" ca="1" si="411"/>
        <v>0</v>
      </c>
      <c r="DA195" s="88">
        <f t="shared" ca="1" si="411"/>
        <v>0</v>
      </c>
      <c r="DB195" s="88">
        <f t="shared" ca="1" si="411"/>
        <v>0</v>
      </c>
      <c r="DC195" s="88">
        <f t="shared" ca="1" si="411"/>
        <v>0</v>
      </c>
      <c r="DD195" s="88">
        <f t="shared" ca="1" si="411"/>
        <v>0</v>
      </c>
      <c r="DE195" s="88">
        <f t="shared" ca="1" si="411"/>
        <v>0</v>
      </c>
      <c r="DF195" s="88">
        <f t="shared" ca="1" si="411"/>
        <v>0</v>
      </c>
      <c r="DG195" s="88">
        <f t="shared" ca="1" si="411"/>
        <v>0</v>
      </c>
      <c r="DH195" s="88">
        <f t="shared" ca="1" si="411"/>
        <v>0</v>
      </c>
      <c r="DI195" s="88">
        <f t="shared" ca="1" si="411"/>
        <v>0</v>
      </c>
      <c r="DJ195" s="169"/>
      <c r="DK195" s="88">
        <f t="shared" ca="1" si="412"/>
        <v>0</v>
      </c>
      <c r="DL195" s="88">
        <f t="shared" ca="1" si="412"/>
        <v>1.2039560439560457</v>
      </c>
      <c r="DM195" s="88">
        <f t="shared" ca="1" si="412"/>
        <v>1.2039560439560457</v>
      </c>
      <c r="DN195" s="88">
        <f t="shared" ca="1" si="412"/>
        <v>1.2039560439560457</v>
      </c>
      <c r="DO195" s="88">
        <f t="shared" ca="1" si="412"/>
        <v>1.2039560439560457</v>
      </c>
      <c r="DP195" s="88">
        <f t="shared" ca="1" si="412"/>
        <v>1.2039560439560457</v>
      </c>
      <c r="DQ195" s="88">
        <f t="shared" ca="1" si="412"/>
        <v>1.2039560439560457</v>
      </c>
      <c r="DR195" s="88">
        <f t="shared" ca="1" si="412"/>
        <v>1.2039560439560457</v>
      </c>
      <c r="DS195" s="88">
        <f t="shared" ca="1" si="412"/>
        <v>1.2039560439560457</v>
      </c>
      <c r="DT195" s="88">
        <f t="shared" ca="1" si="412"/>
        <v>1.2039560439560457</v>
      </c>
      <c r="DU195" s="88">
        <f t="shared" ca="1" si="413"/>
        <v>1.2039560439560457</v>
      </c>
      <c r="DV195" s="88">
        <f t="shared" ca="1" si="413"/>
        <v>1.2039560439560457</v>
      </c>
      <c r="DW195" s="88">
        <f t="shared" ca="1" si="413"/>
        <v>1.2039560439560457</v>
      </c>
      <c r="DX195" s="88">
        <f t="shared" ca="1" si="413"/>
        <v>1.2039560439560457</v>
      </c>
      <c r="DY195" s="88">
        <f t="shared" ca="1" si="413"/>
        <v>1.2039560439560457</v>
      </c>
      <c r="DZ195" s="88">
        <f t="shared" ca="1" si="413"/>
        <v>1.2039560439560457</v>
      </c>
      <c r="EA195" s="88">
        <f t="shared" ca="1" si="413"/>
        <v>0</v>
      </c>
      <c r="EB195" s="88">
        <f t="shared" ca="1" si="413"/>
        <v>0</v>
      </c>
      <c r="EC195" s="88">
        <f t="shared" ca="1" si="413"/>
        <v>0</v>
      </c>
      <c r="ED195" s="88">
        <f t="shared" ca="1" si="413"/>
        <v>0</v>
      </c>
      <c r="EE195" s="88">
        <f t="shared" ca="1" si="414"/>
        <v>0</v>
      </c>
      <c r="EF195" s="88">
        <f t="shared" ca="1" si="414"/>
        <v>0</v>
      </c>
      <c r="EG195" s="88">
        <f t="shared" ca="1" si="414"/>
        <v>0</v>
      </c>
      <c r="EH195" s="88">
        <f t="shared" ca="1" si="414"/>
        <v>0</v>
      </c>
      <c r="EI195" s="88">
        <f t="shared" ca="1" si="414"/>
        <v>0</v>
      </c>
      <c r="EJ195" s="88">
        <f t="shared" ca="1" si="414"/>
        <v>0</v>
      </c>
      <c r="EK195" s="88">
        <f t="shared" ca="1" si="414"/>
        <v>0</v>
      </c>
      <c r="EL195" s="88">
        <f t="shared" ca="1" si="414"/>
        <v>0</v>
      </c>
      <c r="EM195" s="88">
        <f t="shared" ca="1" si="414"/>
        <v>0</v>
      </c>
      <c r="EN195" s="88">
        <f t="shared" ca="1" si="414"/>
        <v>0</v>
      </c>
      <c r="EO195" s="88">
        <f t="shared" ca="1" si="414"/>
        <v>0</v>
      </c>
      <c r="EP195" s="88">
        <f t="shared" ca="1" si="414"/>
        <v>0</v>
      </c>
      <c r="EQ195" s="88">
        <f t="shared" ca="1" si="414"/>
        <v>0</v>
      </c>
      <c r="ER195" s="88">
        <f t="shared" ca="1" si="414"/>
        <v>0</v>
      </c>
      <c r="ES195" s="88">
        <f t="shared" ca="1" si="414"/>
        <v>0</v>
      </c>
      <c r="ET195" s="169"/>
      <c r="EU195" s="88">
        <f t="shared" ca="1" si="415"/>
        <v>0</v>
      </c>
      <c r="EV195" s="88">
        <f t="shared" ca="1" si="415"/>
        <v>0</v>
      </c>
      <c r="EW195" s="88">
        <f t="shared" ca="1" si="415"/>
        <v>0</v>
      </c>
      <c r="EX195" s="88">
        <f t="shared" ca="1" si="415"/>
        <v>0</v>
      </c>
      <c r="EY195" s="88">
        <f t="shared" ca="1" si="415"/>
        <v>0</v>
      </c>
      <c r="EZ195" s="88">
        <f t="shared" ca="1" si="415"/>
        <v>0</v>
      </c>
      <c r="FA195" s="88">
        <f t="shared" ca="1" si="415"/>
        <v>0</v>
      </c>
      <c r="FB195" s="88">
        <f t="shared" ca="1" si="415"/>
        <v>0</v>
      </c>
      <c r="FC195" s="88">
        <f t="shared" ca="1" si="415"/>
        <v>0</v>
      </c>
      <c r="FD195" s="88">
        <f t="shared" ca="1" si="415"/>
        <v>0</v>
      </c>
      <c r="FE195" s="88">
        <f t="shared" ca="1" si="416"/>
        <v>0</v>
      </c>
      <c r="FF195" s="88">
        <f t="shared" ca="1" si="416"/>
        <v>0</v>
      </c>
      <c r="FG195" s="88">
        <f t="shared" ca="1" si="416"/>
        <v>0</v>
      </c>
      <c r="FH195" s="88">
        <f t="shared" ca="1" si="416"/>
        <v>0</v>
      </c>
      <c r="FI195" s="88">
        <f t="shared" ca="1" si="416"/>
        <v>0</v>
      </c>
      <c r="FJ195" s="88">
        <f t="shared" ca="1" si="416"/>
        <v>0</v>
      </c>
      <c r="FK195" s="88">
        <f t="shared" ca="1" si="416"/>
        <v>0</v>
      </c>
      <c r="FL195" s="88">
        <f t="shared" ca="1" si="416"/>
        <v>0</v>
      </c>
      <c r="FM195" s="88">
        <f t="shared" ca="1" si="416"/>
        <v>0</v>
      </c>
      <c r="FN195" s="88">
        <f t="shared" ca="1" si="416"/>
        <v>0</v>
      </c>
      <c r="FO195" s="88">
        <f t="shared" ca="1" si="417"/>
        <v>0</v>
      </c>
      <c r="FP195" s="88">
        <f t="shared" ca="1" si="417"/>
        <v>0</v>
      </c>
      <c r="FQ195" s="88">
        <f t="shared" ca="1" si="417"/>
        <v>0</v>
      </c>
      <c r="FR195" s="88">
        <f t="shared" ca="1" si="417"/>
        <v>0</v>
      </c>
      <c r="FS195" s="88">
        <f t="shared" ca="1" si="417"/>
        <v>0</v>
      </c>
      <c r="FT195" s="88">
        <f t="shared" ca="1" si="417"/>
        <v>0</v>
      </c>
      <c r="FU195" s="88">
        <f t="shared" ca="1" si="417"/>
        <v>0</v>
      </c>
      <c r="FV195" s="88">
        <f t="shared" ca="1" si="417"/>
        <v>0</v>
      </c>
      <c r="FW195" s="88">
        <f t="shared" ca="1" si="417"/>
        <v>0</v>
      </c>
      <c r="FX195" s="88">
        <f t="shared" ca="1" si="417"/>
        <v>0</v>
      </c>
      <c r="FY195" s="88">
        <f t="shared" ca="1" si="417"/>
        <v>0</v>
      </c>
      <c r="FZ195" s="88">
        <f t="shared" ca="1" si="417"/>
        <v>0</v>
      </c>
      <c r="GA195" s="88">
        <f t="shared" ca="1" si="417"/>
        <v>0</v>
      </c>
      <c r="GB195" s="88">
        <f t="shared" ca="1" si="417"/>
        <v>0</v>
      </c>
      <c r="GC195" s="88">
        <f t="shared" ca="1" si="417"/>
        <v>0</v>
      </c>
      <c r="GD195" s="60"/>
    </row>
    <row r="196" spans="1:186" s="54" customFormat="1" ht="14.45" customHeight="1">
      <c r="A196" s="61"/>
      <c r="B196" s="100" t="str">
        <f t="shared" si="418"/>
        <v>C&amp;I_C&amp;I Prescriptive_0_Single System Heat Pump_2018</v>
      </c>
      <c r="C196" s="100">
        <f>INDEX('Measure Inputs'!$D:$D,MATCH($B196,'Measure Inputs'!$B:$B,0))</f>
        <v>148</v>
      </c>
      <c r="D196" s="101" t="s">
        <v>256</v>
      </c>
      <c r="E196" s="101" t="s">
        <v>255</v>
      </c>
      <c r="F196" s="101">
        <v>0</v>
      </c>
      <c r="G196" s="101" t="s">
        <v>313</v>
      </c>
      <c r="H196" s="101">
        <v>2018</v>
      </c>
      <c r="I196" s="55"/>
      <c r="J196" s="58">
        <f t="shared" ca="1" si="229"/>
        <v>0.85582465212720404</v>
      </c>
      <c r="K196" s="58">
        <f t="shared" ca="1" si="246"/>
        <v>1.2666204851482621</v>
      </c>
      <c r="L196" s="58">
        <f t="shared" ca="1" si="230"/>
        <v>0.67567567567567566</v>
      </c>
      <c r="M196" s="58">
        <f t="shared" ca="1" si="231"/>
        <v>1.1154584258011722</v>
      </c>
      <c r="N196" s="58">
        <f t="shared" ca="1" si="232"/>
        <v>1.2666204851482621</v>
      </c>
      <c r="O196" s="55"/>
      <c r="P196" s="175">
        <f ca="1">IFERROR(($AW196+AV196)/SUMPRODUCT($CA196:$DI196,'General Inputs'!$F$51:$AN$51),"n/a")</f>
        <v>3.113071170888829E-2</v>
      </c>
      <c r="Q196" s="175">
        <f t="shared" ca="1" si="386"/>
        <v>0.27571656007095408</v>
      </c>
      <c r="R196" s="56">
        <f t="shared" ca="1" si="364"/>
        <v>108.80739260739246</v>
      </c>
      <c r="S196" s="55"/>
      <c r="T196" s="56">
        <f ca="1">INDEX(OFFSET('Measure Inputs'!$L$7,,,InputRows),$C196)</f>
        <v>8</v>
      </c>
      <c r="U196" s="134">
        <f ca="1">INDEX(OFFSET('Measure Inputs'!$T$7,,,InputRows),$C196)</f>
        <v>1</v>
      </c>
      <c r="V196" s="134">
        <f ca="1">INDEX(OFFSET('Measure Inputs'!$U$7,,,InputRows),$C196)</f>
        <v>1</v>
      </c>
      <c r="W196" s="55"/>
      <c r="X196" s="96">
        <f ca="1">INDEX(OFFSET('Measure Inputs'!$V$7,,,InputRows),$C196)*$T196*$V196*$U196</f>
        <v>7253.8261738261617</v>
      </c>
      <c r="Y196" s="96">
        <f ca="1">INDEX(OFFSET('Measure Inputs'!$W$7,,,InputRows),$C196)*$T196*$V196*$U196</f>
        <v>2.4079120879120914</v>
      </c>
      <c r="Z196" s="96">
        <f ca="1">INDEX(OFFSET('Measure Inputs'!$X$7,,,InputRows),$C196)*$T196*$V196*$U196</f>
        <v>0</v>
      </c>
      <c r="AA196" s="55"/>
      <c r="AB196" s="96">
        <f ca="1">INDEX(OFFSET('Measure Inputs'!$Z$7,,,InputRows),$C196)*$T196*$V196*$U196</f>
        <v>0</v>
      </c>
      <c r="AC196" s="96">
        <f ca="1">INDEX(OFFSET('Measure Inputs'!$AA$7,,,InputRows),$C196)*$T196*$V196*$U196</f>
        <v>0</v>
      </c>
      <c r="AD196" s="96">
        <f ca="1">INDEX(OFFSET('Measure Inputs'!$AB$7,,,InputRows),$C196)*$T196*$V196*$U196</f>
        <v>0</v>
      </c>
      <c r="AE196" s="55"/>
      <c r="AF196" s="57">
        <f ca="1">INDEX(OFFSET('Measure Inputs'!$Q$7,,,InputRows),$C196)*$T196</f>
        <v>0</v>
      </c>
      <c r="AG196" s="57">
        <f ca="1">INDEX(OFFSET('Measure Inputs'!$P$7,,,InputRows),$C196)*$T196*$V196</f>
        <v>2960</v>
      </c>
      <c r="AH196" s="57">
        <f ca="1">INDEX(OFFSET('Measure Inputs'!$R$7,,,InputRows),$C196)*$T196*$V196</f>
        <v>0</v>
      </c>
      <c r="AI196" s="57">
        <f ca="1">INDEX(OFFSET('Measure Inputs'!$O$7,,,InputRows),$C196)*$T196</f>
        <v>2000</v>
      </c>
      <c r="AJ196" s="57">
        <f ca="1">INDEX(OFFSET('Measure Inputs'!$S$7,,,InputRows),$C196)*$T196</f>
        <v>0</v>
      </c>
      <c r="AK196" s="63">
        <f ca="1">INDEX(OFFSET('Measure Inputs'!$M$7,,,InputRows),$C196)</f>
        <v>15</v>
      </c>
      <c r="AL196" s="88">
        <f ca="1">INDEX(OFFSET('Measure Inputs'!$N$7,,,InputRows),$C196)</f>
        <v>0</v>
      </c>
      <c r="AM196" s="57">
        <f ca="1">SUMIFS(OFFSET('Program Inputs'!$N$5,,,TotalPrograms),OFFSET('Program Inputs'!$B$5,,,TotalPrograms),SUBSTITUTE($B196,"All","*"))+AF196</f>
        <v>0</v>
      </c>
      <c r="AN196" s="57">
        <f t="shared" ca="1" si="365"/>
        <v>2000</v>
      </c>
      <c r="AO196" s="55"/>
      <c r="AP196" s="59">
        <f t="shared" ca="1" si="366"/>
        <v>2327.4907849104411</v>
      </c>
      <c r="AQ196" s="59">
        <f t="shared" ca="1" si="367"/>
        <v>2719.5883866225654</v>
      </c>
      <c r="AR196" s="59">
        <f ca="1">SUMPRODUCT($CA196:$DI196,'General Inputs'!$F$32:$AN$32,'General Inputs'!$F$51:$AN$51)/(1-Loss_ElectricEnergy)</f>
        <v>1878.8829939251254</v>
      </c>
      <c r="AS196" s="59">
        <f ca="1">SUMPRODUCT($DK196:$ES196,'General Inputs'!$F$33:$AN$33,'General Inputs'!$F$51:$AN$51)/(1-Loss_ElectricDemand)</f>
        <v>448.60779098531577</v>
      </c>
      <c r="AT196" s="59">
        <f ca="1">SUMPRODUCT($EU196:$GC196,'General Inputs'!$F$34:$AN$34,'General Inputs'!$F$51:$AN$51)/(1-Loss_GasEnergy)</f>
        <v>0</v>
      </c>
      <c r="AU196" s="59">
        <f ca="1">INDEX('General Inputs'!$F$51:$AN$51,MATCH($H196,'General Inputs'!$F$50:$AN$50,0))*$AJ196</f>
        <v>0</v>
      </c>
      <c r="AV196" s="59">
        <f ca="1">INDEX('General Inputs'!$F$51:$AN$51,MATCH($H196,'General Inputs'!$F$50:$AN$50,0))*$AI196</f>
        <v>1837.5597206909224</v>
      </c>
      <c r="AW196" s="59">
        <f ca="1">INDEX('General Inputs'!$F$51:$AN$51,MATCH($H196,'General Inputs'!$F$50:$AN$50,0))*$AM196</f>
        <v>0</v>
      </c>
      <c r="AX196" s="59">
        <f ca="1">SUM(INDEX('General Inputs'!$F$51:$AN$51,MATCH($H196,'General Inputs'!$F$50:$AN$50,0))*$AG196,INDEX('General Inputs'!$F$51:$AN$51,MATCH($H196+$AL196,'General Inputs'!$F$50:$AN$50,0))*-$AH196)</f>
        <v>2719.5883866225654</v>
      </c>
      <c r="AY196" s="55"/>
      <c r="AZ196" s="59">
        <f ca="1">SUMPRODUCT($CA196:$DI196,'General Inputs'!$F$32:$AN$32,'General Inputs'!$F$52:$AN$52)/(1-Loss_ElectricEnergy)</f>
        <v>1878.8829939251254</v>
      </c>
      <c r="BA196" s="59">
        <f ca="1">SUMPRODUCT($DK196:$ES196,'General Inputs'!$F$33:$AN$33,'General Inputs'!$F$52:$AN$52)/(1-Loss_ElectricDemand)</f>
        <v>448.60779098531577</v>
      </c>
      <c r="BB196" s="59">
        <f ca="1">SUMPRODUCT($EU196:$GC196,'General Inputs'!$F$34:$AN$34,'General Inputs'!$F$52:$AN$52)/(1-Loss_GasEnergy)</f>
        <v>0</v>
      </c>
      <c r="BC196" s="59">
        <f ca="1">INDEX('General Inputs'!$F$52:$AN$52,MATCH($H196,'General Inputs'!$F$50:$AN$50,0))*$AI196</f>
        <v>1837.5597206909224</v>
      </c>
      <c r="BD196" s="59">
        <f ca="1">INDEX('General Inputs'!$F$52:$AN$52,MATCH($H196,'General Inputs'!$F$50:$AN$50,0))*$AM196</f>
        <v>0</v>
      </c>
      <c r="BE196" s="55"/>
      <c r="BF196" s="59">
        <f ca="1">SUMPRODUCT($CA196:$DI196,OFFSET('General Inputs'!$F$40:$AN$40,MATCH($D196&amp;" Electric ($/kWh)",'General Inputs'!$E$40:$E$46,0),),'General Inputs'!$F$54:$AN$54)</f>
        <v>0</v>
      </c>
      <c r="BG196" s="59">
        <f ca="1">SUMPRODUCT($EU196:$GC196,OFFSET('General Inputs'!$F$40:$AN$40,MATCH($D196&amp;" Natural Gas ($/therm)",'General Inputs'!$E$40:$E$46,0),),'General Inputs'!$F$54:$AN$54)</f>
        <v>0</v>
      </c>
      <c r="BH196" s="59">
        <f ca="1">INDEX('General Inputs'!$F$54:$AN$54,MATCH($H196,'General Inputs'!$F$50:$AN$50,0))*$AI196</f>
        <v>1837.5597206909224</v>
      </c>
      <c r="BI196" s="59">
        <f ca="1">SUM(INDEX('General Inputs'!$F$54:$AN$54,MATCH($H196,'General Inputs'!$F$50:$AN$50,0))*$AG196,INDEX('General Inputs'!$F$51:$AN$51,MATCH($H196+$AL196,'General Inputs'!$F$50:$AN$50,0))*-$AH196)</f>
        <v>2719.5883866225654</v>
      </c>
      <c r="BJ196" s="55"/>
      <c r="BK196" s="59">
        <f ca="1">SUMPRODUCT($CA196:$DI196,'General Inputs'!$F$32:$AN$32,'General Inputs'!$F$53:$AN$53)/(1-Loss_ElectricEnergy)</f>
        <v>1878.8829939251254</v>
      </c>
      <c r="BL196" s="59">
        <f ca="1">SUMPRODUCT($DK196:$ES196,'General Inputs'!$F$33:$AN$33,'General Inputs'!$F$53:$AN$53)/(1-Loss_ElectricDemand)</f>
        <v>448.60779098531577</v>
      </c>
      <c r="BM196" s="59">
        <f ca="1">SUMPRODUCT($EU196:$GC196,'General Inputs'!$F$34:$AN$34,'General Inputs'!$F$53:$AN$53)/(1-Loss_GasEnergy)</f>
        <v>0</v>
      </c>
      <c r="BN196" s="59">
        <f ca="1">INDEX('General Inputs'!$F$53:$AN$53,MATCH($H196,'General Inputs'!$F$50:$AN$50,0))*$AJ196</f>
        <v>0</v>
      </c>
      <c r="BO196" s="59">
        <f ca="1">SUMPRODUCT($CA196:$DI196,'General Inputs'!$F$35:$AN$35,'General Inputs'!$F$53:$AN$53)/(1-Loss_ElectricEnergy)</f>
        <v>706.09699565871495</v>
      </c>
      <c r="BP196" s="59">
        <f ca="1">INDEX('General Inputs'!$F$51:$AN$51,MATCH($H196,'General Inputs'!$F$50:$AN$50,0))*$AM196</f>
        <v>0</v>
      </c>
      <c r="BQ196" s="59">
        <f ca="1">SUM(INDEX('General Inputs'!$F$53:$AN$53,MATCH($H196,'General Inputs'!$F$50:$AN$50,0))*$AG196,INDEX('General Inputs'!$F$53:$AN$53,MATCH($H196+$AL196,'General Inputs'!$F$50:$AN$50,0))*-$AH196)</f>
        <v>2719.5883866225654</v>
      </c>
      <c r="BR196" s="55"/>
      <c r="BS196" s="59">
        <f ca="1">SUMPRODUCT($CA196:$DI196,'General Inputs'!$F$32:$AN$32,'General Inputs'!$F$55:$AN$55)/(1-Loss_ElectricEnergy)</f>
        <v>1878.8829939251254</v>
      </c>
      <c r="BT196" s="59">
        <f ca="1">SUMPRODUCT($DK196:$ES196,'General Inputs'!$F$33:$AN$33,'General Inputs'!$F$55:$AN$55)/(1-Loss_ElectricDemand)</f>
        <v>448.60779098531577</v>
      </c>
      <c r="BU196" s="59">
        <f ca="1">SUMPRODUCT($EU196:$GC196,'General Inputs'!$F$34:$AN$34,'General Inputs'!$F$55:$AN$55)/(1-Loss_GasEnergy)</f>
        <v>0</v>
      </c>
      <c r="BV196" s="59">
        <f ca="1">SUMPRODUCT($CA196:$DI196,OFFSET('General Inputs'!$F$40:$AN$40,MATCH($D196&amp;" Electric ($/kWh)",'General Inputs'!$E$40:$E$46,0),),'General Inputs'!$F$55:$AN$55)</f>
        <v>0</v>
      </c>
      <c r="BW196" s="59">
        <f ca="1">SUMPRODUCT($EU196:$GC196,OFFSET('General Inputs'!$F$40:$AN$40,MATCH($D196&amp;" Natural Gas ($/therm)",'General Inputs'!$E$40:$E$46,0),),'General Inputs'!$F$55:$AN$55)</f>
        <v>0</v>
      </c>
      <c r="BX196" s="59">
        <f ca="1">INDEX('General Inputs'!$F$55:$AN$55,MATCH($H196,'General Inputs'!$F$50:$AN$50,0))*$AI196</f>
        <v>1837.5597206909224</v>
      </c>
      <c r="BY196" s="59">
        <f ca="1">INDEX('General Inputs'!$F$51:$AN$51,MATCH($H196,'General Inputs'!$F$50:$AN$50,0))*$AM196</f>
        <v>0</v>
      </c>
      <c r="BZ196" s="55"/>
      <c r="CA196" s="88">
        <f t="shared" ca="1" si="409"/>
        <v>0</v>
      </c>
      <c r="CB196" s="88">
        <f t="shared" ca="1" si="409"/>
        <v>7253.8261738261617</v>
      </c>
      <c r="CC196" s="88">
        <f t="shared" ca="1" si="409"/>
        <v>7253.8261738261617</v>
      </c>
      <c r="CD196" s="88">
        <f t="shared" ca="1" si="409"/>
        <v>7253.8261738261617</v>
      </c>
      <c r="CE196" s="88">
        <f t="shared" ca="1" si="409"/>
        <v>7253.8261738261617</v>
      </c>
      <c r="CF196" s="88">
        <f t="shared" ca="1" si="409"/>
        <v>7253.8261738261617</v>
      </c>
      <c r="CG196" s="88">
        <f t="shared" ca="1" si="409"/>
        <v>7253.8261738261617</v>
      </c>
      <c r="CH196" s="88">
        <f t="shared" ca="1" si="409"/>
        <v>7253.8261738261617</v>
      </c>
      <c r="CI196" s="88">
        <f t="shared" ca="1" si="409"/>
        <v>7253.8261738261617</v>
      </c>
      <c r="CJ196" s="88">
        <f t="shared" ca="1" si="409"/>
        <v>7253.8261738261617</v>
      </c>
      <c r="CK196" s="88">
        <f t="shared" ca="1" si="410"/>
        <v>7253.8261738261617</v>
      </c>
      <c r="CL196" s="88">
        <f t="shared" ca="1" si="410"/>
        <v>7253.8261738261617</v>
      </c>
      <c r="CM196" s="88">
        <f t="shared" ca="1" si="410"/>
        <v>7253.8261738261617</v>
      </c>
      <c r="CN196" s="88">
        <f t="shared" ca="1" si="410"/>
        <v>7253.8261738261617</v>
      </c>
      <c r="CO196" s="88">
        <f t="shared" ca="1" si="410"/>
        <v>7253.8261738261617</v>
      </c>
      <c r="CP196" s="88">
        <f t="shared" ca="1" si="410"/>
        <v>7253.8261738261617</v>
      </c>
      <c r="CQ196" s="88">
        <f t="shared" ca="1" si="410"/>
        <v>0</v>
      </c>
      <c r="CR196" s="88">
        <f t="shared" ca="1" si="410"/>
        <v>0</v>
      </c>
      <c r="CS196" s="88">
        <f t="shared" ca="1" si="410"/>
        <v>0</v>
      </c>
      <c r="CT196" s="88">
        <f t="shared" ca="1" si="410"/>
        <v>0</v>
      </c>
      <c r="CU196" s="88">
        <f t="shared" ca="1" si="411"/>
        <v>0</v>
      </c>
      <c r="CV196" s="88">
        <f t="shared" ca="1" si="411"/>
        <v>0</v>
      </c>
      <c r="CW196" s="88">
        <f t="shared" ca="1" si="411"/>
        <v>0</v>
      </c>
      <c r="CX196" s="88">
        <f t="shared" ca="1" si="411"/>
        <v>0</v>
      </c>
      <c r="CY196" s="88">
        <f t="shared" ca="1" si="411"/>
        <v>0</v>
      </c>
      <c r="CZ196" s="88">
        <f t="shared" ca="1" si="411"/>
        <v>0</v>
      </c>
      <c r="DA196" s="88">
        <f t="shared" ca="1" si="411"/>
        <v>0</v>
      </c>
      <c r="DB196" s="88">
        <f t="shared" ca="1" si="411"/>
        <v>0</v>
      </c>
      <c r="DC196" s="88">
        <f t="shared" ca="1" si="411"/>
        <v>0</v>
      </c>
      <c r="DD196" s="88">
        <f t="shared" ca="1" si="411"/>
        <v>0</v>
      </c>
      <c r="DE196" s="88">
        <f t="shared" ca="1" si="411"/>
        <v>0</v>
      </c>
      <c r="DF196" s="88">
        <f t="shared" ca="1" si="411"/>
        <v>0</v>
      </c>
      <c r="DG196" s="88">
        <f t="shared" ca="1" si="411"/>
        <v>0</v>
      </c>
      <c r="DH196" s="88">
        <f t="shared" ca="1" si="411"/>
        <v>0</v>
      </c>
      <c r="DI196" s="88">
        <f t="shared" ca="1" si="411"/>
        <v>0</v>
      </c>
      <c r="DJ196" s="169"/>
      <c r="DK196" s="88">
        <f t="shared" ca="1" si="412"/>
        <v>0</v>
      </c>
      <c r="DL196" s="88">
        <f t="shared" ca="1" si="412"/>
        <v>2.4079120879120914</v>
      </c>
      <c r="DM196" s="88">
        <f t="shared" ca="1" si="412"/>
        <v>2.4079120879120914</v>
      </c>
      <c r="DN196" s="88">
        <f t="shared" ca="1" si="412"/>
        <v>2.4079120879120914</v>
      </c>
      <c r="DO196" s="88">
        <f t="shared" ca="1" si="412"/>
        <v>2.4079120879120914</v>
      </c>
      <c r="DP196" s="88">
        <f t="shared" ca="1" si="412"/>
        <v>2.4079120879120914</v>
      </c>
      <c r="DQ196" s="88">
        <f t="shared" ca="1" si="412"/>
        <v>2.4079120879120914</v>
      </c>
      <c r="DR196" s="88">
        <f t="shared" ca="1" si="412"/>
        <v>2.4079120879120914</v>
      </c>
      <c r="DS196" s="88">
        <f t="shared" ca="1" si="412"/>
        <v>2.4079120879120914</v>
      </c>
      <c r="DT196" s="88">
        <f t="shared" ca="1" si="412"/>
        <v>2.4079120879120914</v>
      </c>
      <c r="DU196" s="88">
        <f t="shared" ca="1" si="413"/>
        <v>2.4079120879120914</v>
      </c>
      <c r="DV196" s="88">
        <f t="shared" ca="1" si="413"/>
        <v>2.4079120879120914</v>
      </c>
      <c r="DW196" s="88">
        <f t="shared" ca="1" si="413"/>
        <v>2.4079120879120914</v>
      </c>
      <c r="DX196" s="88">
        <f t="shared" ca="1" si="413"/>
        <v>2.4079120879120914</v>
      </c>
      <c r="DY196" s="88">
        <f t="shared" ca="1" si="413"/>
        <v>2.4079120879120914</v>
      </c>
      <c r="DZ196" s="88">
        <f t="shared" ca="1" si="413"/>
        <v>2.4079120879120914</v>
      </c>
      <c r="EA196" s="88">
        <f t="shared" ca="1" si="413"/>
        <v>0</v>
      </c>
      <c r="EB196" s="88">
        <f t="shared" ca="1" si="413"/>
        <v>0</v>
      </c>
      <c r="EC196" s="88">
        <f t="shared" ca="1" si="413"/>
        <v>0</v>
      </c>
      <c r="ED196" s="88">
        <f t="shared" ca="1" si="413"/>
        <v>0</v>
      </c>
      <c r="EE196" s="88">
        <f t="shared" ca="1" si="414"/>
        <v>0</v>
      </c>
      <c r="EF196" s="88">
        <f t="shared" ca="1" si="414"/>
        <v>0</v>
      </c>
      <c r="EG196" s="88">
        <f t="shared" ca="1" si="414"/>
        <v>0</v>
      </c>
      <c r="EH196" s="88">
        <f t="shared" ca="1" si="414"/>
        <v>0</v>
      </c>
      <c r="EI196" s="88">
        <f t="shared" ca="1" si="414"/>
        <v>0</v>
      </c>
      <c r="EJ196" s="88">
        <f t="shared" ca="1" si="414"/>
        <v>0</v>
      </c>
      <c r="EK196" s="88">
        <f t="shared" ca="1" si="414"/>
        <v>0</v>
      </c>
      <c r="EL196" s="88">
        <f t="shared" ca="1" si="414"/>
        <v>0</v>
      </c>
      <c r="EM196" s="88">
        <f t="shared" ca="1" si="414"/>
        <v>0</v>
      </c>
      <c r="EN196" s="88">
        <f t="shared" ca="1" si="414"/>
        <v>0</v>
      </c>
      <c r="EO196" s="88">
        <f t="shared" ca="1" si="414"/>
        <v>0</v>
      </c>
      <c r="EP196" s="88">
        <f t="shared" ca="1" si="414"/>
        <v>0</v>
      </c>
      <c r="EQ196" s="88">
        <f t="shared" ca="1" si="414"/>
        <v>0</v>
      </c>
      <c r="ER196" s="88">
        <f t="shared" ca="1" si="414"/>
        <v>0</v>
      </c>
      <c r="ES196" s="88">
        <f t="shared" ca="1" si="414"/>
        <v>0</v>
      </c>
      <c r="ET196" s="169"/>
      <c r="EU196" s="88">
        <f t="shared" ca="1" si="415"/>
        <v>0</v>
      </c>
      <c r="EV196" s="88">
        <f t="shared" ca="1" si="415"/>
        <v>0</v>
      </c>
      <c r="EW196" s="88">
        <f t="shared" ca="1" si="415"/>
        <v>0</v>
      </c>
      <c r="EX196" s="88">
        <f t="shared" ca="1" si="415"/>
        <v>0</v>
      </c>
      <c r="EY196" s="88">
        <f t="shared" ca="1" si="415"/>
        <v>0</v>
      </c>
      <c r="EZ196" s="88">
        <f t="shared" ca="1" si="415"/>
        <v>0</v>
      </c>
      <c r="FA196" s="88">
        <f t="shared" ca="1" si="415"/>
        <v>0</v>
      </c>
      <c r="FB196" s="88">
        <f t="shared" ca="1" si="415"/>
        <v>0</v>
      </c>
      <c r="FC196" s="88">
        <f t="shared" ca="1" si="415"/>
        <v>0</v>
      </c>
      <c r="FD196" s="88">
        <f t="shared" ca="1" si="415"/>
        <v>0</v>
      </c>
      <c r="FE196" s="88">
        <f t="shared" ca="1" si="416"/>
        <v>0</v>
      </c>
      <c r="FF196" s="88">
        <f t="shared" ca="1" si="416"/>
        <v>0</v>
      </c>
      <c r="FG196" s="88">
        <f t="shared" ca="1" si="416"/>
        <v>0</v>
      </c>
      <c r="FH196" s="88">
        <f t="shared" ca="1" si="416"/>
        <v>0</v>
      </c>
      <c r="FI196" s="88">
        <f t="shared" ca="1" si="416"/>
        <v>0</v>
      </c>
      <c r="FJ196" s="88">
        <f t="shared" ca="1" si="416"/>
        <v>0</v>
      </c>
      <c r="FK196" s="88">
        <f t="shared" ca="1" si="416"/>
        <v>0</v>
      </c>
      <c r="FL196" s="88">
        <f t="shared" ca="1" si="416"/>
        <v>0</v>
      </c>
      <c r="FM196" s="88">
        <f t="shared" ca="1" si="416"/>
        <v>0</v>
      </c>
      <c r="FN196" s="88">
        <f t="shared" ca="1" si="416"/>
        <v>0</v>
      </c>
      <c r="FO196" s="88">
        <f t="shared" ca="1" si="417"/>
        <v>0</v>
      </c>
      <c r="FP196" s="88">
        <f t="shared" ca="1" si="417"/>
        <v>0</v>
      </c>
      <c r="FQ196" s="88">
        <f t="shared" ca="1" si="417"/>
        <v>0</v>
      </c>
      <c r="FR196" s="88">
        <f t="shared" ca="1" si="417"/>
        <v>0</v>
      </c>
      <c r="FS196" s="88">
        <f t="shared" ca="1" si="417"/>
        <v>0</v>
      </c>
      <c r="FT196" s="88">
        <f t="shared" ca="1" si="417"/>
        <v>0</v>
      </c>
      <c r="FU196" s="88">
        <f t="shared" ca="1" si="417"/>
        <v>0</v>
      </c>
      <c r="FV196" s="88">
        <f t="shared" ca="1" si="417"/>
        <v>0</v>
      </c>
      <c r="FW196" s="88">
        <f t="shared" ca="1" si="417"/>
        <v>0</v>
      </c>
      <c r="FX196" s="88">
        <f t="shared" ca="1" si="417"/>
        <v>0</v>
      </c>
      <c r="FY196" s="88">
        <f t="shared" ca="1" si="417"/>
        <v>0</v>
      </c>
      <c r="FZ196" s="88">
        <f t="shared" ca="1" si="417"/>
        <v>0</v>
      </c>
      <c r="GA196" s="88">
        <f t="shared" ca="1" si="417"/>
        <v>0</v>
      </c>
      <c r="GB196" s="88">
        <f t="shared" ca="1" si="417"/>
        <v>0</v>
      </c>
      <c r="GC196" s="88">
        <f t="shared" ca="1" si="417"/>
        <v>0</v>
      </c>
      <c r="GD196" s="60"/>
    </row>
    <row r="197" spans="1:186" s="54" customFormat="1" ht="14.45" customHeight="1">
      <c r="A197" s="61"/>
      <c r="B197" s="100" t="str">
        <f t="shared" si="418"/>
        <v>C&amp;I_C&amp;I Prescriptive_0_Geothermal Heat Pump_2018</v>
      </c>
      <c r="C197" s="100">
        <f>INDEX('Measure Inputs'!$D:$D,MATCH($B197,'Measure Inputs'!$B:$B,0))</f>
        <v>149</v>
      </c>
      <c r="D197" s="101" t="s">
        <v>256</v>
      </c>
      <c r="E197" s="101" t="s">
        <v>255</v>
      </c>
      <c r="F197" s="101">
        <v>0</v>
      </c>
      <c r="G197" s="101" t="s">
        <v>314</v>
      </c>
      <c r="H197" s="101">
        <v>2018</v>
      </c>
      <c r="I197" s="55"/>
      <c r="J197" s="58">
        <f t="shared" ca="1" si="229"/>
        <v>1.6310320815911239</v>
      </c>
      <c r="K197" s="58">
        <f t="shared" ca="1" si="246"/>
        <v>9.5531879064622967</v>
      </c>
      <c r="L197" s="58">
        <f t="shared" ca="1" si="230"/>
        <v>0.17073170731707318</v>
      </c>
      <c r="M197" s="58">
        <f t="shared" ca="1" si="231"/>
        <v>2.2050229544029856</v>
      </c>
      <c r="N197" s="58">
        <f t="shared" ca="1" si="232"/>
        <v>9.5531879064622967</v>
      </c>
      <c r="O197" s="55"/>
      <c r="P197" s="175">
        <f ca="1">IFERROR(($AW197+AV197)/SUMPRODUCT($CA197:$DI197,'General Inputs'!$F$51:$AN$51),"n/a")</f>
        <v>3.5581245593967166E-3</v>
      </c>
      <c r="Q197" s="175">
        <f t="shared" ca="1" si="386"/>
        <v>3.1513377303890609E-2</v>
      </c>
      <c r="R197" s="56">
        <f t="shared" ca="1" si="364"/>
        <v>1332.7673386125678</v>
      </c>
      <c r="S197" s="55"/>
      <c r="T197" s="56">
        <f ca="1">INDEX(OFFSET('Measure Inputs'!$L$7,,,InputRows),$C197)</f>
        <v>4</v>
      </c>
      <c r="U197" s="134">
        <f ca="1">INDEX(OFFSET('Measure Inputs'!$T$7,,,InputRows),$C197)</f>
        <v>1</v>
      </c>
      <c r="V197" s="134">
        <f ca="1">INDEX(OFFSET('Measure Inputs'!$U$7,,,InputRows),$C197)</f>
        <v>1</v>
      </c>
      <c r="W197" s="55"/>
      <c r="X197" s="96">
        <f ca="1">INDEX(OFFSET('Measure Inputs'!$V$7,,,InputRows),$C197)*$T197*$V197*$U197</f>
        <v>88851.155907504552</v>
      </c>
      <c r="Y197" s="96">
        <f ca="1">INDEX(OFFSET('Measure Inputs'!$W$7,,,InputRows),$C197)*$T197*$V197*$U197</f>
        <v>8.3850658721398421</v>
      </c>
      <c r="Z197" s="96">
        <f ca="1">INDEX(OFFSET('Measure Inputs'!$X$7,,,InputRows),$C197)*$T197*$V197*$U197</f>
        <v>0</v>
      </c>
      <c r="AA197" s="55"/>
      <c r="AB197" s="96">
        <f ca="1">INDEX(OFFSET('Measure Inputs'!$Z$7,,,InputRows),$C197)*$T197*$V197*$U197</f>
        <v>0</v>
      </c>
      <c r="AC197" s="96">
        <f ca="1">INDEX(OFFSET('Measure Inputs'!$AA$7,,,InputRows),$C197)*$T197*$V197*$U197</f>
        <v>0</v>
      </c>
      <c r="AD197" s="96">
        <f ca="1">INDEX(OFFSET('Measure Inputs'!$AB$7,,,InputRows),$C197)*$T197*$V197*$U197</f>
        <v>0</v>
      </c>
      <c r="AE197" s="55"/>
      <c r="AF197" s="57">
        <f ca="1">INDEX(OFFSET('Measure Inputs'!$Q$7,,,InputRows),$C197)*$T197</f>
        <v>0</v>
      </c>
      <c r="AG197" s="57">
        <f ca="1">INDEX(OFFSET('Measure Inputs'!$P$7,,,InputRows),$C197)*$T197*$V197</f>
        <v>16400</v>
      </c>
      <c r="AH197" s="57">
        <f ca="1">INDEX(OFFSET('Measure Inputs'!$R$7,,,InputRows),$C197)*$T197*$V197</f>
        <v>0</v>
      </c>
      <c r="AI197" s="57">
        <f ca="1">INDEX(OFFSET('Measure Inputs'!$O$7,,,InputRows),$C197)*$T197</f>
        <v>2800</v>
      </c>
      <c r="AJ197" s="57">
        <f ca="1">INDEX(OFFSET('Measure Inputs'!$S$7,,,InputRows),$C197)*$T197</f>
        <v>0</v>
      </c>
      <c r="AK197" s="63">
        <f ca="1">INDEX(OFFSET('Measure Inputs'!$M$7,,,InputRows),$C197)</f>
        <v>15</v>
      </c>
      <c r="AL197" s="88">
        <f ca="1">INDEX(OFFSET('Measure Inputs'!$N$7,,,InputRows),$C197)</f>
        <v>0</v>
      </c>
      <c r="AM197" s="57">
        <f ca="1">SUMIFS(OFFSET('Program Inputs'!$N$5,,,TotalPrograms),OFFSET('Program Inputs'!$B$5,,,TotalPrograms),SUBSTITUTE($B197,"All","*"))+AF197</f>
        <v>0</v>
      </c>
      <c r="AN197" s="57">
        <f t="shared" ca="1" si="365"/>
        <v>2800</v>
      </c>
      <c r="AO197" s="55"/>
      <c r="AP197" s="59">
        <f t="shared" ca="1" si="366"/>
        <v>24576.374621549461</v>
      </c>
      <c r="AQ197" s="59">
        <f t="shared" ca="1" si="367"/>
        <v>15067.989709665564</v>
      </c>
      <c r="AR197" s="59">
        <f ca="1">SUMPRODUCT($CA197:$DI197,'General Inputs'!$F$32:$AN$32,'General Inputs'!$F$51:$AN$51)/(1-Loss_ElectricEnergy)</f>
        <v>23014.188901792259</v>
      </c>
      <c r="AS197" s="59">
        <f ca="1">SUMPRODUCT($DK197:$ES197,'General Inputs'!$F$33:$AN$33,'General Inputs'!$F$51:$AN$51)/(1-Loss_ElectricDemand)</f>
        <v>1562.185719757201</v>
      </c>
      <c r="AT197" s="59">
        <f ca="1">SUMPRODUCT($EU197:$GC197,'General Inputs'!$F$34:$AN$34,'General Inputs'!$F$51:$AN$51)/(1-Loss_GasEnergy)</f>
        <v>0</v>
      </c>
      <c r="AU197" s="59">
        <f ca="1">INDEX('General Inputs'!$F$51:$AN$51,MATCH($H197,'General Inputs'!$F$50:$AN$50,0))*$AJ197</f>
        <v>0</v>
      </c>
      <c r="AV197" s="59">
        <f ca="1">INDEX('General Inputs'!$F$51:$AN$51,MATCH($H197,'General Inputs'!$F$50:$AN$50,0))*$AI197</f>
        <v>2572.5836089672916</v>
      </c>
      <c r="AW197" s="59">
        <f ca="1">INDEX('General Inputs'!$F$51:$AN$51,MATCH($H197,'General Inputs'!$F$50:$AN$50,0))*$AM197</f>
        <v>0</v>
      </c>
      <c r="AX197" s="59">
        <f ca="1">SUM(INDEX('General Inputs'!$F$51:$AN$51,MATCH($H197,'General Inputs'!$F$50:$AN$50,0))*$AG197,INDEX('General Inputs'!$F$51:$AN$51,MATCH($H197+$AL197,'General Inputs'!$F$50:$AN$50,0))*-$AH197)</f>
        <v>15067.989709665564</v>
      </c>
      <c r="AY197" s="55"/>
      <c r="AZ197" s="59">
        <f ca="1">SUMPRODUCT($CA197:$DI197,'General Inputs'!$F$32:$AN$32,'General Inputs'!$F$52:$AN$52)/(1-Loss_ElectricEnergy)</f>
        <v>23014.188901792259</v>
      </c>
      <c r="BA197" s="59">
        <f ca="1">SUMPRODUCT($DK197:$ES197,'General Inputs'!$F$33:$AN$33,'General Inputs'!$F$52:$AN$52)/(1-Loss_ElectricDemand)</f>
        <v>1562.185719757201</v>
      </c>
      <c r="BB197" s="59">
        <f ca="1">SUMPRODUCT($EU197:$GC197,'General Inputs'!$F$34:$AN$34,'General Inputs'!$F$52:$AN$52)/(1-Loss_GasEnergy)</f>
        <v>0</v>
      </c>
      <c r="BC197" s="59">
        <f ca="1">INDEX('General Inputs'!$F$52:$AN$52,MATCH($H197,'General Inputs'!$F$50:$AN$50,0))*$AI197</f>
        <v>2572.5836089672916</v>
      </c>
      <c r="BD197" s="59">
        <f ca="1">INDEX('General Inputs'!$F$52:$AN$52,MATCH($H197,'General Inputs'!$F$50:$AN$50,0))*$AM197</f>
        <v>0</v>
      </c>
      <c r="BE197" s="55"/>
      <c r="BF197" s="59">
        <f ca="1">SUMPRODUCT($CA197:$DI197,OFFSET('General Inputs'!$F$40:$AN$40,MATCH($D197&amp;" Electric ($/kWh)",'General Inputs'!$E$40:$E$46,0),),'General Inputs'!$F$54:$AN$54)</f>
        <v>0</v>
      </c>
      <c r="BG197" s="59">
        <f ca="1">SUMPRODUCT($EU197:$GC197,OFFSET('General Inputs'!$F$40:$AN$40,MATCH($D197&amp;" Natural Gas ($/therm)",'General Inputs'!$E$40:$E$46,0),),'General Inputs'!$F$54:$AN$54)</f>
        <v>0</v>
      </c>
      <c r="BH197" s="59">
        <f ca="1">INDEX('General Inputs'!$F$54:$AN$54,MATCH($H197,'General Inputs'!$F$50:$AN$50,0))*$AI197</f>
        <v>2572.5836089672916</v>
      </c>
      <c r="BI197" s="59">
        <f ca="1">SUM(INDEX('General Inputs'!$F$54:$AN$54,MATCH($H197,'General Inputs'!$F$50:$AN$50,0))*$AG197,INDEX('General Inputs'!$F$51:$AN$51,MATCH($H197+$AL197,'General Inputs'!$F$50:$AN$50,0))*-$AH197)</f>
        <v>15067.989709665564</v>
      </c>
      <c r="BJ197" s="55"/>
      <c r="BK197" s="59">
        <f ca="1">SUMPRODUCT($CA197:$DI197,'General Inputs'!$F$32:$AN$32,'General Inputs'!$F$53:$AN$53)/(1-Loss_ElectricEnergy)</f>
        <v>23014.188901792259</v>
      </c>
      <c r="BL197" s="59">
        <f ca="1">SUMPRODUCT($DK197:$ES197,'General Inputs'!$F$33:$AN$33,'General Inputs'!$F$53:$AN$53)/(1-Loss_ElectricDemand)</f>
        <v>1562.185719757201</v>
      </c>
      <c r="BM197" s="59">
        <f ca="1">SUMPRODUCT($EU197:$GC197,'General Inputs'!$F$34:$AN$34,'General Inputs'!$F$53:$AN$53)/(1-Loss_GasEnergy)</f>
        <v>0</v>
      </c>
      <c r="BN197" s="59">
        <f ca="1">INDEX('General Inputs'!$F$53:$AN$53,MATCH($H197,'General Inputs'!$F$50:$AN$50,0))*$AJ197</f>
        <v>0</v>
      </c>
      <c r="BO197" s="59">
        <f ca="1">SUMPRODUCT($CA197:$DI197,'General Inputs'!$F$35:$AN$35,'General Inputs'!$F$53:$AN$53)/(1-Loss_ElectricEnergy)</f>
        <v>8648.8885649710846</v>
      </c>
      <c r="BP197" s="59">
        <f ca="1">INDEX('General Inputs'!$F$51:$AN$51,MATCH($H197,'General Inputs'!$F$50:$AN$50,0))*$AM197</f>
        <v>0</v>
      </c>
      <c r="BQ197" s="59">
        <f ca="1">SUM(INDEX('General Inputs'!$F$53:$AN$53,MATCH($H197,'General Inputs'!$F$50:$AN$50,0))*$AG197,INDEX('General Inputs'!$F$53:$AN$53,MATCH($H197+$AL197,'General Inputs'!$F$50:$AN$50,0))*-$AH197)</f>
        <v>15067.989709665564</v>
      </c>
      <c r="BR197" s="55"/>
      <c r="BS197" s="59">
        <f ca="1">SUMPRODUCT($CA197:$DI197,'General Inputs'!$F$32:$AN$32,'General Inputs'!$F$55:$AN$55)/(1-Loss_ElectricEnergy)</f>
        <v>23014.188901792259</v>
      </c>
      <c r="BT197" s="59">
        <f ca="1">SUMPRODUCT($DK197:$ES197,'General Inputs'!$F$33:$AN$33,'General Inputs'!$F$55:$AN$55)/(1-Loss_ElectricDemand)</f>
        <v>1562.185719757201</v>
      </c>
      <c r="BU197" s="59">
        <f ca="1">SUMPRODUCT($EU197:$GC197,'General Inputs'!$F$34:$AN$34,'General Inputs'!$F$55:$AN$55)/(1-Loss_GasEnergy)</f>
        <v>0</v>
      </c>
      <c r="BV197" s="59">
        <f ca="1">SUMPRODUCT($CA197:$DI197,OFFSET('General Inputs'!$F$40:$AN$40,MATCH($D197&amp;" Electric ($/kWh)",'General Inputs'!$E$40:$E$46,0),),'General Inputs'!$F$55:$AN$55)</f>
        <v>0</v>
      </c>
      <c r="BW197" s="59">
        <f ca="1">SUMPRODUCT($EU197:$GC197,OFFSET('General Inputs'!$F$40:$AN$40,MATCH($D197&amp;" Natural Gas ($/therm)",'General Inputs'!$E$40:$E$46,0),),'General Inputs'!$F$55:$AN$55)</f>
        <v>0</v>
      </c>
      <c r="BX197" s="59">
        <f ca="1">INDEX('General Inputs'!$F$55:$AN$55,MATCH($H197,'General Inputs'!$F$50:$AN$50,0))*$AI197</f>
        <v>2572.5836089672916</v>
      </c>
      <c r="BY197" s="59">
        <f ca="1">INDEX('General Inputs'!$F$51:$AN$51,MATCH($H197,'General Inputs'!$F$50:$AN$50,0))*$AM197</f>
        <v>0</v>
      </c>
      <c r="BZ197" s="55"/>
      <c r="CA197" s="88">
        <f t="shared" ref="CA197:CJ206" ca="1" si="419">IF(AND($H197&lt;=CA$8,$H197+$AK197&gt;CA$8),IF(AND($H197+$AL197&lt;=CA$8,$AL197&gt;0),$AB197,$X197),0)</f>
        <v>0</v>
      </c>
      <c r="CB197" s="88">
        <f t="shared" ca="1" si="419"/>
        <v>88851.155907504552</v>
      </c>
      <c r="CC197" s="88">
        <f t="shared" ca="1" si="419"/>
        <v>88851.155907504552</v>
      </c>
      <c r="CD197" s="88">
        <f t="shared" ca="1" si="419"/>
        <v>88851.155907504552</v>
      </c>
      <c r="CE197" s="88">
        <f t="shared" ca="1" si="419"/>
        <v>88851.155907504552</v>
      </c>
      <c r="CF197" s="88">
        <f t="shared" ca="1" si="419"/>
        <v>88851.155907504552</v>
      </c>
      <c r="CG197" s="88">
        <f t="shared" ca="1" si="419"/>
        <v>88851.155907504552</v>
      </c>
      <c r="CH197" s="88">
        <f t="shared" ca="1" si="419"/>
        <v>88851.155907504552</v>
      </c>
      <c r="CI197" s="88">
        <f t="shared" ca="1" si="419"/>
        <v>88851.155907504552</v>
      </c>
      <c r="CJ197" s="88">
        <f t="shared" ca="1" si="419"/>
        <v>88851.155907504552</v>
      </c>
      <c r="CK197" s="88">
        <f t="shared" ref="CK197:CT206" ca="1" si="420">IF(AND($H197&lt;=CK$8,$H197+$AK197&gt;CK$8),IF(AND($H197+$AL197&lt;=CK$8,$AL197&gt;0),$AB197,$X197),0)</f>
        <v>88851.155907504552</v>
      </c>
      <c r="CL197" s="88">
        <f t="shared" ca="1" si="420"/>
        <v>88851.155907504552</v>
      </c>
      <c r="CM197" s="88">
        <f t="shared" ca="1" si="420"/>
        <v>88851.155907504552</v>
      </c>
      <c r="CN197" s="88">
        <f t="shared" ca="1" si="420"/>
        <v>88851.155907504552</v>
      </c>
      <c r="CO197" s="88">
        <f t="shared" ca="1" si="420"/>
        <v>88851.155907504552</v>
      </c>
      <c r="CP197" s="88">
        <f t="shared" ca="1" si="420"/>
        <v>88851.155907504552</v>
      </c>
      <c r="CQ197" s="88">
        <f t="shared" ca="1" si="420"/>
        <v>0</v>
      </c>
      <c r="CR197" s="88">
        <f t="shared" ca="1" si="420"/>
        <v>0</v>
      </c>
      <c r="CS197" s="88">
        <f t="shared" ca="1" si="420"/>
        <v>0</v>
      </c>
      <c r="CT197" s="88">
        <f t="shared" ca="1" si="420"/>
        <v>0</v>
      </c>
      <c r="CU197" s="88">
        <f t="shared" ref="CU197:DI206" ca="1" si="421">IF(AND($H197&lt;=CU$8,$H197+$AK197&gt;CU$8),IF(AND($H197+$AL197&lt;=CU$8,$AL197&gt;0),$AB197,$X197),0)</f>
        <v>0</v>
      </c>
      <c r="CV197" s="88">
        <f t="shared" ca="1" si="421"/>
        <v>0</v>
      </c>
      <c r="CW197" s="88">
        <f t="shared" ca="1" si="421"/>
        <v>0</v>
      </c>
      <c r="CX197" s="88">
        <f t="shared" ca="1" si="421"/>
        <v>0</v>
      </c>
      <c r="CY197" s="88">
        <f t="shared" ca="1" si="421"/>
        <v>0</v>
      </c>
      <c r="CZ197" s="88">
        <f t="shared" ca="1" si="421"/>
        <v>0</v>
      </c>
      <c r="DA197" s="88">
        <f t="shared" ca="1" si="421"/>
        <v>0</v>
      </c>
      <c r="DB197" s="88">
        <f t="shared" ca="1" si="421"/>
        <v>0</v>
      </c>
      <c r="DC197" s="88">
        <f t="shared" ca="1" si="421"/>
        <v>0</v>
      </c>
      <c r="DD197" s="88">
        <f t="shared" ca="1" si="421"/>
        <v>0</v>
      </c>
      <c r="DE197" s="88">
        <f t="shared" ca="1" si="421"/>
        <v>0</v>
      </c>
      <c r="DF197" s="88">
        <f t="shared" ca="1" si="421"/>
        <v>0</v>
      </c>
      <c r="DG197" s="88">
        <f t="shared" ca="1" si="421"/>
        <v>0</v>
      </c>
      <c r="DH197" s="88">
        <f t="shared" ca="1" si="421"/>
        <v>0</v>
      </c>
      <c r="DI197" s="88">
        <f t="shared" ca="1" si="421"/>
        <v>0</v>
      </c>
      <c r="DJ197" s="169"/>
      <c r="DK197" s="88">
        <f t="shared" ref="DK197:DT206" ca="1" si="422">IF(AND($H197&lt;=DK$8,$H197+$AK197&gt;DK$8),IF(AND($H197+$AL197&lt;=DK$8,$AL197&gt;0),$AC197,$Y197),0)</f>
        <v>0</v>
      </c>
      <c r="DL197" s="88">
        <f t="shared" ca="1" si="422"/>
        <v>8.3850658721398421</v>
      </c>
      <c r="DM197" s="88">
        <f t="shared" ca="1" si="422"/>
        <v>8.3850658721398421</v>
      </c>
      <c r="DN197" s="88">
        <f t="shared" ca="1" si="422"/>
        <v>8.3850658721398421</v>
      </c>
      <c r="DO197" s="88">
        <f t="shared" ca="1" si="422"/>
        <v>8.3850658721398421</v>
      </c>
      <c r="DP197" s="88">
        <f t="shared" ca="1" si="422"/>
        <v>8.3850658721398421</v>
      </c>
      <c r="DQ197" s="88">
        <f t="shared" ca="1" si="422"/>
        <v>8.3850658721398421</v>
      </c>
      <c r="DR197" s="88">
        <f t="shared" ca="1" si="422"/>
        <v>8.3850658721398421</v>
      </c>
      <c r="DS197" s="88">
        <f t="shared" ca="1" si="422"/>
        <v>8.3850658721398421</v>
      </c>
      <c r="DT197" s="88">
        <f t="shared" ca="1" si="422"/>
        <v>8.3850658721398421</v>
      </c>
      <c r="DU197" s="88">
        <f t="shared" ref="DU197:ED206" ca="1" si="423">IF(AND($H197&lt;=DU$8,$H197+$AK197&gt;DU$8),IF(AND($H197+$AL197&lt;=DU$8,$AL197&gt;0),$AC197,$Y197),0)</f>
        <v>8.3850658721398421</v>
      </c>
      <c r="DV197" s="88">
        <f t="shared" ca="1" si="423"/>
        <v>8.3850658721398421</v>
      </c>
      <c r="DW197" s="88">
        <f t="shared" ca="1" si="423"/>
        <v>8.3850658721398421</v>
      </c>
      <c r="DX197" s="88">
        <f t="shared" ca="1" si="423"/>
        <v>8.3850658721398421</v>
      </c>
      <c r="DY197" s="88">
        <f t="shared" ca="1" si="423"/>
        <v>8.3850658721398421</v>
      </c>
      <c r="DZ197" s="88">
        <f t="shared" ca="1" si="423"/>
        <v>8.3850658721398421</v>
      </c>
      <c r="EA197" s="88">
        <f t="shared" ca="1" si="423"/>
        <v>0</v>
      </c>
      <c r="EB197" s="88">
        <f t="shared" ca="1" si="423"/>
        <v>0</v>
      </c>
      <c r="EC197" s="88">
        <f t="shared" ca="1" si="423"/>
        <v>0</v>
      </c>
      <c r="ED197" s="88">
        <f t="shared" ca="1" si="423"/>
        <v>0</v>
      </c>
      <c r="EE197" s="88">
        <f t="shared" ref="EE197:ES206" ca="1" si="424">IF(AND($H197&lt;=EE$8,$H197+$AK197&gt;EE$8),IF(AND($H197+$AL197&lt;=EE$8,$AL197&gt;0),$AC197,$Y197),0)</f>
        <v>0</v>
      </c>
      <c r="EF197" s="88">
        <f t="shared" ca="1" si="424"/>
        <v>0</v>
      </c>
      <c r="EG197" s="88">
        <f t="shared" ca="1" si="424"/>
        <v>0</v>
      </c>
      <c r="EH197" s="88">
        <f t="shared" ca="1" si="424"/>
        <v>0</v>
      </c>
      <c r="EI197" s="88">
        <f t="shared" ca="1" si="424"/>
        <v>0</v>
      </c>
      <c r="EJ197" s="88">
        <f t="shared" ca="1" si="424"/>
        <v>0</v>
      </c>
      <c r="EK197" s="88">
        <f t="shared" ca="1" si="424"/>
        <v>0</v>
      </c>
      <c r="EL197" s="88">
        <f t="shared" ca="1" si="424"/>
        <v>0</v>
      </c>
      <c r="EM197" s="88">
        <f t="shared" ca="1" si="424"/>
        <v>0</v>
      </c>
      <c r="EN197" s="88">
        <f t="shared" ca="1" si="424"/>
        <v>0</v>
      </c>
      <c r="EO197" s="88">
        <f t="shared" ca="1" si="424"/>
        <v>0</v>
      </c>
      <c r="EP197" s="88">
        <f t="shared" ca="1" si="424"/>
        <v>0</v>
      </c>
      <c r="EQ197" s="88">
        <f t="shared" ca="1" si="424"/>
        <v>0</v>
      </c>
      <c r="ER197" s="88">
        <f t="shared" ca="1" si="424"/>
        <v>0</v>
      </c>
      <c r="ES197" s="88">
        <f t="shared" ca="1" si="424"/>
        <v>0</v>
      </c>
      <c r="ET197" s="169"/>
      <c r="EU197" s="88">
        <f t="shared" ref="EU197:FD206" ca="1" si="425">IF(AND($H197&lt;=EU$8,$H197+$AK197&gt;EU$8),IF(AND($H197+$AL197&lt;=EU$8,$AL197&gt;0),$AD197,$Z197),0)</f>
        <v>0</v>
      </c>
      <c r="EV197" s="88">
        <f t="shared" ca="1" si="425"/>
        <v>0</v>
      </c>
      <c r="EW197" s="88">
        <f t="shared" ca="1" si="425"/>
        <v>0</v>
      </c>
      <c r="EX197" s="88">
        <f t="shared" ca="1" si="425"/>
        <v>0</v>
      </c>
      <c r="EY197" s="88">
        <f t="shared" ca="1" si="425"/>
        <v>0</v>
      </c>
      <c r="EZ197" s="88">
        <f t="shared" ca="1" si="425"/>
        <v>0</v>
      </c>
      <c r="FA197" s="88">
        <f t="shared" ca="1" si="425"/>
        <v>0</v>
      </c>
      <c r="FB197" s="88">
        <f t="shared" ca="1" si="425"/>
        <v>0</v>
      </c>
      <c r="FC197" s="88">
        <f t="shared" ca="1" si="425"/>
        <v>0</v>
      </c>
      <c r="FD197" s="88">
        <f t="shared" ca="1" si="425"/>
        <v>0</v>
      </c>
      <c r="FE197" s="88">
        <f t="shared" ref="FE197:FN206" ca="1" si="426">IF(AND($H197&lt;=FE$8,$H197+$AK197&gt;FE$8),IF(AND($H197+$AL197&lt;=FE$8,$AL197&gt;0),$AD197,$Z197),0)</f>
        <v>0</v>
      </c>
      <c r="FF197" s="88">
        <f t="shared" ca="1" si="426"/>
        <v>0</v>
      </c>
      <c r="FG197" s="88">
        <f t="shared" ca="1" si="426"/>
        <v>0</v>
      </c>
      <c r="FH197" s="88">
        <f t="shared" ca="1" si="426"/>
        <v>0</v>
      </c>
      <c r="FI197" s="88">
        <f t="shared" ca="1" si="426"/>
        <v>0</v>
      </c>
      <c r="FJ197" s="88">
        <f t="shared" ca="1" si="426"/>
        <v>0</v>
      </c>
      <c r="FK197" s="88">
        <f t="shared" ca="1" si="426"/>
        <v>0</v>
      </c>
      <c r="FL197" s="88">
        <f t="shared" ca="1" si="426"/>
        <v>0</v>
      </c>
      <c r="FM197" s="88">
        <f t="shared" ca="1" si="426"/>
        <v>0</v>
      </c>
      <c r="FN197" s="88">
        <f t="shared" ca="1" si="426"/>
        <v>0</v>
      </c>
      <c r="FO197" s="88">
        <f t="shared" ref="FO197:GC206" ca="1" si="427">IF(AND($H197&lt;=FO$8,$H197+$AK197&gt;FO$8),IF(AND($H197+$AL197&lt;=FO$8,$AL197&gt;0),$AD197,$Z197),0)</f>
        <v>0</v>
      </c>
      <c r="FP197" s="88">
        <f t="shared" ca="1" si="427"/>
        <v>0</v>
      </c>
      <c r="FQ197" s="88">
        <f t="shared" ca="1" si="427"/>
        <v>0</v>
      </c>
      <c r="FR197" s="88">
        <f t="shared" ca="1" si="427"/>
        <v>0</v>
      </c>
      <c r="FS197" s="88">
        <f t="shared" ca="1" si="427"/>
        <v>0</v>
      </c>
      <c r="FT197" s="88">
        <f t="shared" ca="1" si="427"/>
        <v>0</v>
      </c>
      <c r="FU197" s="88">
        <f t="shared" ca="1" si="427"/>
        <v>0</v>
      </c>
      <c r="FV197" s="88">
        <f t="shared" ca="1" si="427"/>
        <v>0</v>
      </c>
      <c r="FW197" s="88">
        <f t="shared" ca="1" si="427"/>
        <v>0</v>
      </c>
      <c r="FX197" s="88">
        <f t="shared" ca="1" si="427"/>
        <v>0</v>
      </c>
      <c r="FY197" s="88">
        <f t="shared" ca="1" si="427"/>
        <v>0</v>
      </c>
      <c r="FZ197" s="88">
        <f t="shared" ca="1" si="427"/>
        <v>0</v>
      </c>
      <c r="GA197" s="88">
        <f t="shared" ca="1" si="427"/>
        <v>0</v>
      </c>
      <c r="GB197" s="88">
        <f t="shared" ca="1" si="427"/>
        <v>0</v>
      </c>
      <c r="GC197" s="88">
        <f t="shared" ca="1" si="427"/>
        <v>0</v>
      </c>
      <c r="GD197" s="60"/>
    </row>
    <row r="198" spans="1:186" s="54" customFormat="1" ht="14.45" customHeight="1">
      <c r="A198" s="61"/>
      <c r="B198" s="100" t="str">
        <f t="shared" si="418"/>
        <v>C&amp;I_C&amp;I Prescriptive_0_Heat Pump Water Heater_2018</v>
      </c>
      <c r="C198" s="100">
        <f>INDEX('Measure Inputs'!$D:$D,MATCH($B198,'Measure Inputs'!$B:$B,0))</f>
        <v>150</v>
      </c>
      <c r="D198" s="101" t="s">
        <v>256</v>
      </c>
      <c r="E198" s="101" t="s">
        <v>255</v>
      </c>
      <c r="F198" s="101">
        <v>0</v>
      </c>
      <c r="G198" s="101" t="s">
        <v>260</v>
      </c>
      <c r="H198" s="101">
        <v>2018</v>
      </c>
      <c r="I198" s="55"/>
      <c r="J198" s="58">
        <f t="shared" ca="1" si="229"/>
        <v>0.60936073362775101</v>
      </c>
      <c r="K198" s="58">
        <f t="shared" ca="1" si="246"/>
        <v>2.3886940758207835</v>
      </c>
      <c r="L198" s="58">
        <f t="shared" ca="1" si="230"/>
        <v>0.25510204081632654</v>
      </c>
      <c r="M198" s="58">
        <f t="shared" ca="1" si="231"/>
        <v>0.83298037495882438</v>
      </c>
      <c r="N198" s="58">
        <f t="shared" ca="1" si="232"/>
        <v>2.3886940758207835</v>
      </c>
      <c r="O198" s="55"/>
      <c r="P198" s="175">
        <f ca="1">IFERROR(($AW198+AV198)/SUMPRODUCT($CA198:$DI198,'General Inputs'!$F$51:$AN$51),"n/a")</f>
        <v>1.3646332130194259E-2</v>
      </c>
      <c r="Q198" s="175">
        <f t="shared" ca="1" si="386"/>
        <v>0.11215656092154104</v>
      </c>
      <c r="R198" s="56">
        <f t="shared" ref="R198:R276" ca="1" si="428">SUM(CA198:DI198)/1000</f>
        <v>185.45504452967856</v>
      </c>
      <c r="S198" s="55"/>
      <c r="T198" s="56">
        <f ca="1">INDEX(OFFSET('Measure Inputs'!$L$7,,,InputRows),$C198)</f>
        <v>8</v>
      </c>
      <c r="U198" s="134">
        <f ca="1">INDEX(OFFSET('Measure Inputs'!$T$7,,,InputRows),$C198)</f>
        <v>1</v>
      </c>
      <c r="V198" s="134">
        <f ca="1">INDEX(OFFSET('Measure Inputs'!$U$7,,,InputRows),$C198)</f>
        <v>1</v>
      </c>
      <c r="W198" s="55"/>
      <c r="X198" s="96">
        <f ca="1">INDEX(OFFSET('Measure Inputs'!$V$7,,,InputRows),$C198)*$T198*$V198*$U198</f>
        <v>14265.77265612912</v>
      </c>
      <c r="Y198" s="96">
        <f ca="1">INDEX(OFFSET('Measure Inputs'!$W$7,,,InputRows),$C198)*$T198*$V198*$U198</f>
        <v>0.67583605161290738</v>
      </c>
      <c r="Z198" s="96">
        <f ca="1">INDEX(OFFSET('Measure Inputs'!$X$7,,,InputRows),$C198)*$T198*$V198*$U198</f>
        <v>0</v>
      </c>
      <c r="AA198" s="55"/>
      <c r="AB198" s="96">
        <f ca="1">INDEX(OFFSET('Measure Inputs'!$Z$7,,,InputRows),$C198)*$T198*$V198*$U198</f>
        <v>0</v>
      </c>
      <c r="AC198" s="96">
        <f ca="1">INDEX(OFFSET('Measure Inputs'!$AA$7,,,InputRows),$C198)*$T198*$V198*$U198</f>
        <v>0</v>
      </c>
      <c r="AD198" s="96">
        <f ca="1">INDEX(OFFSET('Measure Inputs'!$AB$7,,,InputRows),$C198)*$T198*$V198*$U198</f>
        <v>0</v>
      </c>
      <c r="AE198" s="55"/>
      <c r="AF198" s="57">
        <f ca="1">INDEX(OFFSET('Measure Inputs'!$Q$7,,,InputRows),$C198)*$T198</f>
        <v>0</v>
      </c>
      <c r="AG198" s="57">
        <f ca="1">INDEX(OFFSET('Measure Inputs'!$P$7,,,InputRows),$C198)*$T198*$V198</f>
        <v>6272</v>
      </c>
      <c r="AH198" s="57">
        <f ca="1">INDEX(OFFSET('Measure Inputs'!$R$7,,,InputRows),$C198)*$T198*$V198</f>
        <v>0</v>
      </c>
      <c r="AI198" s="57">
        <f ca="1">INDEX(OFFSET('Measure Inputs'!$O$7,,,InputRows),$C198)*$T198</f>
        <v>1600</v>
      </c>
      <c r="AJ198" s="57">
        <f ca="1">INDEX(OFFSET('Measure Inputs'!$S$7,,,InputRows),$C198)*$T198</f>
        <v>0</v>
      </c>
      <c r="AK198" s="63">
        <f ca="1">INDEX(OFFSET('Measure Inputs'!$M$7,,,InputRows),$C198)</f>
        <v>13</v>
      </c>
      <c r="AL198" s="88">
        <f ca="1">INDEX(OFFSET('Measure Inputs'!$N$7,,,InputRows),$C198)</f>
        <v>0</v>
      </c>
      <c r="AM198" s="57">
        <f ca="1">SUMIFS(OFFSET('Program Inputs'!$N$5,,,TotalPrograms),OFFSET('Program Inputs'!$B$5,,,TotalPrograms),SUBSTITUTE($B198,"All","*"))+AF198</f>
        <v>0</v>
      </c>
      <c r="AN198" s="57">
        <f t="shared" ref="AN198:AN276" ca="1" si="429">AM198+AI198</f>
        <v>1600</v>
      </c>
      <c r="AO198" s="55"/>
      <c r="AP198" s="59">
        <f t="shared" ref="AP198:AP276" ca="1" si="430">SUMIFS(AR198:AX198,$AR$7:$AX$7,"BENEFIT")</f>
        <v>3511.4944150250403</v>
      </c>
      <c r="AQ198" s="59">
        <f t="shared" ref="AQ198:AQ276" ca="1" si="431">SUMIFS(AR198:AX198,$AR$7:$AX$7,"COST")</f>
        <v>5762.5872840867323</v>
      </c>
      <c r="AR198" s="59">
        <f ca="1">SUMPRODUCT($CA198:$DI198,'General Inputs'!$F$32:$AN$32,'General Inputs'!$F$51:$AN$51)/(1-Loss_ElectricEnergy)</f>
        <v>3395.7821304215367</v>
      </c>
      <c r="AS198" s="59">
        <f ca="1">SUMPRODUCT($DK198:$ES198,'General Inputs'!$F$33:$AN$33,'General Inputs'!$F$51:$AN$51)/(1-Loss_ElectricDemand)</f>
        <v>115.71228460350368</v>
      </c>
      <c r="AT198" s="59">
        <f ca="1">SUMPRODUCT($EU198:$GC198,'General Inputs'!$F$34:$AN$34,'General Inputs'!$F$51:$AN$51)/(1-Loss_GasEnergy)</f>
        <v>0</v>
      </c>
      <c r="AU198" s="59">
        <f ca="1">INDEX('General Inputs'!$F$51:$AN$51,MATCH($H198,'General Inputs'!$F$50:$AN$50,0))*$AJ198</f>
        <v>0</v>
      </c>
      <c r="AV198" s="59">
        <f ca="1">INDEX('General Inputs'!$F$51:$AN$51,MATCH($H198,'General Inputs'!$F$50:$AN$50,0))*$AI198</f>
        <v>1470.047776552738</v>
      </c>
      <c r="AW198" s="59">
        <f ca="1">INDEX('General Inputs'!$F$51:$AN$51,MATCH($H198,'General Inputs'!$F$50:$AN$50,0))*$AM198</f>
        <v>0</v>
      </c>
      <c r="AX198" s="59">
        <f ca="1">SUM(INDEX('General Inputs'!$F$51:$AN$51,MATCH($H198,'General Inputs'!$F$50:$AN$50,0))*$AG198,INDEX('General Inputs'!$F$51:$AN$51,MATCH($H198+$AL198,'General Inputs'!$F$50:$AN$50,0))*-$AH198)</f>
        <v>5762.5872840867323</v>
      </c>
      <c r="AY198" s="55"/>
      <c r="AZ198" s="59">
        <f ca="1">SUMPRODUCT($CA198:$DI198,'General Inputs'!$F$32:$AN$32,'General Inputs'!$F$52:$AN$52)/(1-Loss_ElectricEnergy)</f>
        <v>3395.7821304215367</v>
      </c>
      <c r="BA198" s="59">
        <f ca="1">SUMPRODUCT($DK198:$ES198,'General Inputs'!$F$33:$AN$33,'General Inputs'!$F$52:$AN$52)/(1-Loss_ElectricDemand)</f>
        <v>115.71228460350368</v>
      </c>
      <c r="BB198" s="59">
        <f ca="1">SUMPRODUCT($EU198:$GC198,'General Inputs'!$F$34:$AN$34,'General Inputs'!$F$52:$AN$52)/(1-Loss_GasEnergy)</f>
        <v>0</v>
      </c>
      <c r="BC198" s="59">
        <f ca="1">INDEX('General Inputs'!$F$52:$AN$52,MATCH($H198,'General Inputs'!$F$50:$AN$50,0))*$AI198</f>
        <v>1470.047776552738</v>
      </c>
      <c r="BD198" s="59">
        <f ca="1">INDEX('General Inputs'!$F$52:$AN$52,MATCH($H198,'General Inputs'!$F$50:$AN$50,0))*$AM198</f>
        <v>0</v>
      </c>
      <c r="BE198" s="55"/>
      <c r="BF198" s="59">
        <f ca="1">SUMPRODUCT($CA198:$DI198,OFFSET('General Inputs'!$F$40:$AN$40,MATCH($D198&amp;" Electric ($/kWh)",'General Inputs'!$E$40:$E$46,0),),'General Inputs'!$F$54:$AN$54)</f>
        <v>0</v>
      </c>
      <c r="BG198" s="59">
        <f ca="1">SUMPRODUCT($EU198:$GC198,OFFSET('General Inputs'!$F$40:$AN$40,MATCH($D198&amp;" Natural Gas ($/therm)",'General Inputs'!$E$40:$E$46,0),),'General Inputs'!$F$54:$AN$54)</f>
        <v>0</v>
      </c>
      <c r="BH198" s="59">
        <f ca="1">INDEX('General Inputs'!$F$54:$AN$54,MATCH($H198,'General Inputs'!$F$50:$AN$50,0))*$AI198</f>
        <v>1470.047776552738</v>
      </c>
      <c r="BI198" s="59">
        <f ca="1">SUM(INDEX('General Inputs'!$F$54:$AN$54,MATCH($H198,'General Inputs'!$F$50:$AN$50,0))*$AG198,INDEX('General Inputs'!$F$51:$AN$51,MATCH($H198+$AL198,'General Inputs'!$F$50:$AN$50,0))*-$AH198)</f>
        <v>5762.5872840867323</v>
      </c>
      <c r="BJ198" s="55"/>
      <c r="BK198" s="59">
        <f ca="1">SUMPRODUCT($CA198:$DI198,'General Inputs'!$F$32:$AN$32,'General Inputs'!$F$53:$AN$53)/(1-Loss_ElectricEnergy)</f>
        <v>3395.7821304215367</v>
      </c>
      <c r="BL198" s="59">
        <f ca="1">SUMPRODUCT($DK198:$ES198,'General Inputs'!$F$33:$AN$33,'General Inputs'!$F$53:$AN$53)/(1-Loss_ElectricDemand)</f>
        <v>115.71228460350368</v>
      </c>
      <c r="BM198" s="59">
        <f ca="1">SUMPRODUCT($EU198:$GC198,'General Inputs'!$F$34:$AN$34,'General Inputs'!$F$53:$AN$53)/(1-Loss_GasEnergy)</f>
        <v>0</v>
      </c>
      <c r="BN198" s="59">
        <f ca="1">INDEX('General Inputs'!$F$53:$AN$53,MATCH($H198,'General Inputs'!$F$50:$AN$50,0))*$AJ198</f>
        <v>0</v>
      </c>
      <c r="BO198" s="59">
        <f ca="1">SUMPRODUCT($CA198:$DI198,'General Inputs'!$F$35:$AN$35,'General Inputs'!$F$53:$AN$53)/(1-Loss_ElectricEnergy)</f>
        <v>1288.6277016064798</v>
      </c>
      <c r="BP198" s="59">
        <f ca="1">INDEX('General Inputs'!$F$51:$AN$51,MATCH($H198,'General Inputs'!$F$50:$AN$50,0))*$AM198</f>
        <v>0</v>
      </c>
      <c r="BQ198" s="59">
        <f ca="1">SUM(INDEX('General Inputs'!$F$53:$AN$53,MATCH($H198,'General Inputs'!$F$50:$AN$50,0))*$AG198,INDEX('General Inputs'!$F$53:$AN$53,MATCH($H198+$AL198,'General Inputs'!$F$50:$AN$50,0))*-$AH198)</f>
        <v>5762.5872840867323</v>
      </c>
      <c r="BR198" s="55"/>
      <c r="BS198" s="59">
        <f ca="1">SUMPRODUCT($CA198:$DI198,'General Inputs'!$F$32:$AN$32,'General Inputs'!$F$55:$AN$55)/(1-Loss_ElectricEnergy)</f>
        <v>3395.7821304215367</v>
      </c>
      <c r="BT198" s="59">
        <f ca="1">SUMPRODUCT($DK198:$ES198,'General Inputs'!$F$33:$AN$33,'General Inputs'!$F$55:$AN$55)/(1-Loss_ElectricDemand)</f>
        <v>115.71228460350368</v>
      </c>
      <c r="BU198" s="59">
        <f ca="1">SUMPRODUCT($EU198:$GC198,'General Inputs'!$F$34:$AN$34,'General Inputs'!$F$55:$AN$55)/(1-Loss_GasEnergy)</f>
        <v>0</v>
      </c>
      <c r="BV198" s="59">
        <f ca="1">SUMPRODUCT($CA198:$DI198,OFFSET('General Inputs'!$F$40:$AN$40,MATCH($D198&amp;" Electric ($/kWh)",'General Inputs'!$E$40:$E$46,0),),'General Inputs'!$F$55:$AN$55)</f>
        <v>0</v>
      </c>
      <c r="BW198" s="59">
        <f ca="1">SUMPRODUCT($EU198:$GC198,OFFSET('General Inputs'!$F$40:$AN$40,MATCH($D198&amp;" Natural Gas ($/therm)",'General Inputs'!$E$40:$E$46,0),),'General Inputs'!$F$55:$AN$55)</f>
        <v>0</v>
      </c>
      <c r="BX198" s="59">
        <f ca="1">INDEX('General Inputs'!$F$55:$AN$55,MATCH($H198,'General Inputs'!$F$50:$AN$50,0))*$AI198</f>
        <v>1470.047776552738</v>
      </c>
      <c r="BY198" s="59">
        <f ca="1">INDEX('General Inputs'!$F$51:$AN$51,MATCH($H198,'General Inputs'!$F$50:$AN$50,0))*$AM198</f>
        <v>0</v>
      </c>
      <c r="BZ198" s="55"/>
      <c r="CA198" s="88">
        <f t="shared" ca="1" si="419"/>
        <v>0</v>
      </c>
      <c r="CB198" s="88">
        <f t="shared" ca="1" si="419"/>
        <v>14265.77265612912</v>
      </c>
      <c r="CC198" s="88">
        <f t="shared" ca="1" si="419"/>
        <v>14265.77265612912</v>
      </c>
      <c r="CD198" s="88">
        <f t="shared" ca="1" si="419"/>
        <v>14265.77265612912</v>
      </c>
      <c r="CE198" s="88">
        <f t="shared" ca="1" si="419"/>
        <v>14265.77265612912</v>
      </c>
      <c r="CF198" s="88">
        <f t="shared" ca="1" si="419"/>
        <v>14265.77265612912</v>
      </c>
      <c r="CG198" s="88">
        <f t="shared" ca="1" si="419"/>
        <v>14265.77265612912</v>
      </c>
      <c r="CH198" s="88">
        <f t="shared" ca="1" si="419"/>
        <v>14265.77265612912</v>
      </c>
      <c r="CI198" s="88">
        <f t="shared" ca="1" si="419"/>
        <v>14265.77265612912</v>
      </c>
      <c r="CJ198" s="88">
        <f t="shared" ca="1" si="419"/>
        <v>14265.77265612912</v>
      </c>
      <c r="CK198" s="88">
        <f t="shared" ca="1" si="420"/>
        <v>14265.77265612912</v>
      </c>
      <c r="CL198" s="88">
        <f t="shared" ca="1" si="420"/>
        <v>14265.77265612912</v>
      </c>
      <c r="CM198" s="88">
        <f t="shared" ca="1" si="420"/>
        <v>14265.77265612912</v>
      </c>
      <c r="CN198" s="88">
        <f t="shared" ca="1" si="420"/>
        <v>14265.77265612912</v>
      </c>
      <c r="CO198" s="88">
        <f t="shared" ca="1" si="420"/>
        <v>0</v>
      </c>
      <c r="CP198" s="88">
        <f t="shared" ca="1" si="420"/>
        <v>0</v>
      </c>
      <c r="CQ198" s="88">
        <f t="shared" ca="1" si="420"/>
        <v>0</v>
      </c>
      <c r="CR198" s="88">
        <f t="shared" ca="1" si="420"/>
        <v>0</v>
      </c>
      <c r="CS198" s="88">
        <f t="shared" ca="1" si="420"/>
        <v>0</v>
      </c>
      <c r="CT198" s="88">
        <f t="shared" ca="1" si="420"/>
        <v>0</v>
      </c>
      <c r="CU198" s="88">
        <f t="shared" ca="1" si="421"/>
        <v>0</v>
      </c>
      <c r="CV198" s="88">
        <f t="shared" ca="1" si="421"/>
        <v>0</v>
      </c>
      <c r="CW198" s="88">
        <f t="shared" ca="1" si="421"/>
        <v>0</v>
      </c>
      <c r="CX198" s="88">
        <f t="shared" ca="1" si="421"/>
        <v>0</v>
      </c>
      <c r="CY198" s="88">
        <f t="shared" ca="1" si="421"/>
        <v>0</v>
      </c>
      <c r="CZ198" s="88">
        <f t="shared" ca="1" si="421"/>
        <v>0</v>
      </c>
      <c r="DA198" s="88">
        <f t="shared" ca="1" si="421"/>
        <v>0</v>
      </c>
      <c r="DB198" s="88">
        <f t="shared" ca="1" si="421"/>
        <v>0</v>
      </c>
      <c r="DC198" s="88">
        <f t="shared" ca="1" si="421"/>
        <v>0</v>
      </c>
      <c r="DD198" s="88">
        <f t="shared" ca="1" si="421"/>
        <v>0</v>
      </c>
      <c r="DE198" s="88">
        <f t="shared" ca="1" si="421"/>
        <v>0</v>
      </c>
      <c r="DF198" s="88">
        <f t="shared" ca="1" si="421"/>
        <v>0</v>
      </c>
      <c r="DG198" s="88">
        <f t="shared" ca="1" si="421"/>
        <v>0</v>
      </c>
      <c r="DH198" s="88">
        <f t="shared" ca="1" si="421"/>
        <v>0</v>
      </c>
      <c r="DI198" s="88">
        <f t="shared" ca="1" si="421"/>
        <v>0</v>
      </c>
      <c r="DJ198" s="169"/>
      <c r="DK198" s="88">
        <f t="shared" ca="1" si="422"/>
        <v>0</v>
      </c>
      <c r="DL198" s="88">
        <f t="shared" ca="1" si="422"/>
        <v>0.67583605161290738</v>
      </c>
      <c r="DM198" s="88">
        <f t="shared" ca="1" si="422"/>
        <v>0.67583605161290738</v>
      </c>
      <c r="DN198" s="88">
        <f t="shared" ca="1" si="422"/>
        <v>0.67583605161290738</v>
      </c>
      <c r="DO198" s="88">
        <f t="shared" ca="1" si="422"/>
        <v>0.67583605161290738</v>
      </c>
      <c r="DP198" s="88">
        <f t="shared" ca="1" si="422"/>
        <v>0.67583605161290738</v>
      </c>
      <c r="DQ198" s="88">
        <f t="shared" ca="1" si="422"/>
        <v>0.67583605161290738</v>
      </c>
      <c r="DR198" s="88">
        <f t="shared" ca="1" si="422"/>
        <v>0.67583605161290738</v>
      </c>
      <c r="DS198" s="88">
        <f t="shared" ca="1" si="422"/>
        <v>0.67583605161290738</v>
      </c>
      <c r="DT198" s="88">
        <f t="shared" ca="1" si="422"/>
        <v>0.67583605161290738</v>
      </c>
      <c r="DU198" s="88">
        <f t="shared" ca="1" si="423"/>
        <v>0.67583605161290738</v>
      </c>
      <c r="DV198" s="88">
        <f t="shared" ca="1" si="423"/>
        <v>0.67583605161290738</v>
      </c>
      <c r="DW198" s="88">
        <f t="shared" ca="1" si="423"/>
        <v>0.67583605161290738</v>
      </c>
      <c r="DX198" s="88">
        <f t="shared" ca="1" si="423"/>
        <v>0.67583605161290738</v>
      </c>
      <c r="DY198" s="88">
        <f t="shared" ca="1" si="423"/>
        <v>0</v>
      </c>
      <c r="DZ198" s="88">
        <f t="shared" ca="1" si="423"/>
        <v>0</v>
      </c>
      <c r="EA198" s="88">
        <f t="shared" ca="1" si="423"/>
        <v>0</v>
      </c>
      <c r="EB198" s="88">
        <f t="shared" ca="1" si="423"/>
        <v>0</v>
      </c>
      <c r="EC198" s="88">
        <f t="shared" ca="1" si="423"/>
        <v>0</v>
      </c>
      <c r="ED198" s="88">
        <f t="shared" ca="1" si="423"/>
        <v>0</v>
      </c>
      <c r="EE198" s="88">
        <f t="shared" ca="1" si="424"/>
        <v>0</v>
      </c>
      <c r="EF198" s="88">
        <f t="shared" ca="1" si="424"/>
        <v>0</v>
      </c>
      <c r="EG198" s="88">
        <f t="shared" ca="1" si="424"/>
        <v>0</v>
      </c>
      <c r="EH198" s="88">
        <f t="shared" ca="1" si="424"/>
        <v>0</v>
      </c>
      <c r="EI198" s="88">
        <f t="shared" ca="1" si="424"/>
        <v>0</v>
      </c>
      <c r="EJ198" s="88">
        <f t="shared" ca="1" si="424"/>
        <v>0</v>
      </c>
      <c r="EK198" s="88">
        <f t="shared" ca="1" si="424"/>
        <v>0</v>
      </c>
      <c r="EL198" s="88">
        <f t="shared" ca="1" si="424"/>
        <v>0</v>
      </c>
      <c r="EM198" s="88">
        <f t="shared" ca="1" si="424"/>
        <v>0</v>
      </c>
      <c r="EN198" s="88">
        <f t="shared" ca="1" si="424"/>
        <v>0</v>
      </c>
      <c r="EO198" s="88">
        <f t="shared" ca="1" si="424"/>
        <v>0</v>
      </c>
      <c r="EP198" s="88">
        <f t="shared" ca="1" si="424"/>
        <v>0</v>
      </c>
      <c r="EQ198" s="88">
        <f t="shared" ca="1" si="424"/>
        <v>0</v>
      </c>
      <c r="ER198" s="88">
        <f t="shared" ca="1" si="424"/>
        <v>0</v>
      </c>
      <c r="ES198" s="88">
        <f t="shared" ca="1" si="424"/>
        <v>0</v>
      </c>
      <c r="ET198" s="169"/>
      <c r="EU198" s="88">
        <f t="shared" ca="1" si="425"/>
        <v>0</v>
      </c>
      <c r="EV198" s="88">
        <f t="shared" ca="1" si="425"/>
        <v>0</v>
      </c>
      <c r="EW198" s="88">
        <f t="shared" ca="1" si="425"/>
        <v>0</v>
      </c>
      <c r="EX198" s="88">
        <f t="shared" ca="1" si="425"/>
        <v>0</v>
      </c>
      <c r="EY198" s="88">
        <f t="shared" ca="1" si="425"/>
        <v>0</v>
      </c>
      <c r="EZ198" s="88">
        <f t="shared" ca="1" si="425"/>
        <v>0</v>
      </c>
      <c r="FA198" s="88">
        <f t="shared" ca="1" si="425"/>
        <v>0</v>
      </c>
      <c r="FB198" s="88">
        <f t="shared" ca="1" si="425"/>
        <v>0</v>
      </c>
      <c r="FC198" s="88">
        <f t="shared" ca="1" si="425"/>
        <v>0</v>
      </c>
      <c r="FD198" s="88">
        <f t="shared" ca="1" si="425"/>
        <v>0</v>
      </c>
      <c r="FE198" s="88">
        <f t="shared" ca="1" si="426"/>
        <v>0</v>
      </c>
      <c r="FF198" s="88">
        <f t="shared" ca="1" si="426"/>
        <v>0</v>
      </c>
      <c r="FG198" s="88">
        <f t="shared" ca="1" si="426"/>
        <v>0</v>
      </c>
      <c r="FH198" s="88">
        <f t="shared" ca="1" si="426"/>
        <v>0</v>
      </c>
      <c r="FI198" s="88">
        <f t="shared" ca="1" si="426"/>
        <v>0</v>
      </c>
      <c r="FJ198" s="88">
        <f t="shared" ca="1" si="426"/>
        <v>0</v>
      </c>
      <c r="FK198" s="88">
        <f t="shared" ca="1" si="426"/>
        <v>0</v>
      </c>
      <c r="FL198" s="88">
        <f t="shared" ca="1" si="426"/>
        <v>0</v>
      </c>
      <c r="FM198" s="88">
        <f t="shared" ca="1" si="426"/>
        <v>0</v>
      </c>
      <c r="FN198" s="88">
        <f t="shared" ca="1" si="426"/>
        <v>0</v>
      </c>
      <c r="FO198" s="88">
        <f t="shared" ca="1" si="427"/>
        <v>0</v>
      </c>
      <c r="FP198" s="88">
        <f t="shared" ca="1" si="427"/>
        <v>0</v>
      </c>
      <c r="FQ198" s="88">
        <f t="shared" ca="1" si="427"/>
        <v>0</v>
      </c>
      <c r="FR198" s="88">
        <f t="shared" ca="1" si="427"/>
        <v>0</v>
      </c>
      <c r="FS198" s="88">
        <f t="shared" ca="1" si="427"/>
        <v>0</v>
      </c>
      <c r="FT198" s="88">
        <f t="shared" ca="1" si="427"/>
        <v>0</v>
      </c>
      <c r="FU198" s="88">
        <f t="shared" ca="1" si="427"/>
        <v>0</v>
      </c>
      <c r="FV198" s="88">
        <f t="shared" ca="1" si="427"/>
        <v>0</v>
      </c>
      <c r="FW198" s="88">
        <f t="shared" ca="1" si="427"/>
        <v>0</v>
      </c>
      <c r="FX198" s="88">
        <f t="shared" ca="1" si="427"/>
        <v>0</v>
      </c>
      <c r="FY198" s="88">
        <f t="shared" ca="1" si="427"/>
        <v>0</v>
      </c>
      <c r="FZ198" s="88">
        <f t="shared" ca="1" si="427"/>
        <v>0</v>
      </c>
      <c r="GA198" s="88">
        <f t="shared" ca="1" si="427"/>
        <v>0</v>
      </c>
      <c r="GB198" s="88">
        <f t="shared" ca="1" si="427"/>
        <v>0</v>
      </c>
      <c r="GC198" s="88">
        <f t="shared" ca="1" si="427"/>
        <v>0</v>
      </c>
      <c r="GD198" s="60"/>
    </row>
    <row r="199" spans="1:186" s="54" customFormat="1" ht="14.45" customHeight="1">
      <c r="A199" s="61"/>
      <c r="B199" s="100" t="str">
        <f t="shared" si="418"/>
        <v>C&amp;I_C&amp;I Prescriptive_0_ODC Motor_2018</v>
      </c>
      <c r="C199" s="100">
        <f>INDEX('Measure Inputs'!$D:$D,MATCH($B199,'Measure Inputs'!$B:$B,0))</f>
        <v>151</v>
      </c>
      <c r="D199" s="101" t="s">
        <v>256</v>
      </c>
      <c r="E199" s="101" t="s">
        <v>255</v>
      </c>
      <c r="F199" s="101">
        <v>0</v>
      </c>
      <c r="G199" s="101" t="s">
        <v>316</v>
      </c>
      <c r="H199" s="101">
        <v>2018</v>
      </c>
      <c r="I199" s="55"/>
      <c r="J199" s="58">
        <f t="shared" ca="1" si="229"/>
        <v>1.0088831672215182</v>
      </c>
      <c r="K199" s="58">
        <f t="shared" ca="1" si="246"/>
        <v>2.3204312846094917</v>
      </c>
      <c r="L199" s="58">
        <f t="shared" ca="1" si="230"/>
        <v>0.43478260869565222</v>
      </c>
      <c r="M199" s="58">
        <f t="shared" ca="1" si="231"/>
        <v>1.3347573188874742</v>
      </c>
      <c r="N199" s="58">
        <f t="shared" ca="1" si="232"/>
        <v>2.3204312846094917</v>
      </c>
      <c r="O199" s="55"/>
      <c r="P199" s="175">
        <f ca="1">IFERROR(($AW199+AV199)/SUMPRODUCT($CA199:$DI199,'General Inputs'!$F$51:$AN$51),"n/a")</f>
        <v>1.5960048291096124E-2</v>
      </c>
      <c r="Q199" s="175">
        <f t="shared" ca="1" si="386"/>
        <v>0.14135396757186688</v>
      </c>
      <c r="R199" s="56">
        <f t="shared" ca="1" si="428"/>
        <v>5.3058291386033209</v>
      </c>
      <c r="S199" s="55"/>
      <c r="T199" s="56">
        <f ca="1">INDEX(OFFSET('Measure Inputs'!$L$7,,,InputRows),$C199)</f>
        <v>1</v>
      </c>
      <c r="U199" s="134">
        <f ca="1">INDEX(OFFSET('Measure Inputs'!$T$7,,,InputRows),$C199)</f>
        <v>1</v>
      </c>
      <c r="V199" s="134">
        <f ca="1">INDEX(OFFSET('Measure Inputs'!$U$7,,,InputRows),$C199)</f>
        <v>1</v>
      </c>
      <c r="W199" s="55"/>
      <c r="X199" s="96">
        <f ca="1">INDEX(OFFSET('Measure Inputs'!$V$7,,,InputRows),$C199)*$T199*$V199*$U199</f>
        <v>353.7219425735546</v>
      </c>
      <c r="Y199" s="96">
        <f ca="1">INDEX(OFFSET('Measure Inputs'!$W$7,,,InputRows),$C199)*$T199*$V199*$U199</f>
        <v>8.0391350584898769E-2</v>
      </c>
      <c r="Z199" s="96">
        <f ca="1">INDEX(OFFSET('Measure Inputs'!$X$7,,,InputRows),$C199)*$T199*$V199*$U199</f>
        <v>0</v>
      </c>
      <c r="AA199" s="55"/>
      <c r="AB199" s="96">
        <f ca="1">INDEX(OFFSET('Measure Inputs'!$Z$7,,,InputRows),$C199)*$T199*$V199*$U199</f>
        <v>0</v>
      </c>
      <c r="AC199" s="96">
        <f ca="1">INDEX(OFFSET('Measure Inputs'!$AA$7,,,InputRows),$C199)*$T199*$V199*$U199</f>
        <v>0</v>
      </c>
      <c r="AD199" s="96">
        <f ca="1">INDEX(OFFSET('Measure Inputs'!$AB$7,,,InputRows),$C199)*$T199*$V199*$U199</f>
        <v>0</v>
      </c>
      <c r="AE199" s="55"/>
      <c r="AF199" s="57">
        <f ca="1">INDEX(OFFSET('Measure Inputs'!$Q$7,,,InputRows),$C199)*$T199</f>
        <v>0</v>
      </c>
      <c r="AG199" s="57">
        <f ca="1">INDEX(OFFSET('Measure Inputs'!$P$7,,,InputRows),$C199)*$T199*$V199</f>
        <v>115</v>
      </c>
      <c r="AH199" s="57">
        <f ca="1">INDEX(OFFSET('Measure Inputs'!$R$7,,,InputRows),$C199)*$T199*$V199</f>
        <v>0</v>
      </c>
      <c r="AI199" s="57">
        <f ca="1">INDEX(OFFSET('Measure Inputs'!$O$7,,,InputRows),$C199)*$T199</f>
        <v>50</v>
      </c>
      <c r="AJ199" s="57">
        <f ca="1">INDEX(OFFSET('Measure Inputs'!$S$7,,,InputRows),$C199)*$T199</f>
        <v>0</v>
      </c>
      <c r="AK199" s="63">
        <f ca="1">INDEX(OFFSET('Measure Inputs'!$M$7,,,InputRows),$C199)</f>
        <v>15</v>
      </c>
      <c r="AL199" s="88">
        <f ca="1">INDEX(OFFSET('Measure Inputs'!$N$7,,,InputRows),$C199)</f>
        <v>0</v>
      </c>
      <c r="AM199" s="57">
        <f ca="1">SUMIFS(OFFSET('Program Inputs'!$N$5,,,TotalPrograms),OFFSET('Program Inputs'!$B$5,,,TotalPrograms),SUBSTITUTE($B199,"All","*"))+AF199</f>
        <v>0</v>
      </c>
      <c r="AN199" s="57">
        <f t="shared" ca="1" si="429"/>
        <v>50</v>
      </c>
      <c r="AO199" s="55"/>
      <c r="AP199" s="59">
        <f t="shared" ca="1" si="430"/>
        <v>106.59827658073741</v>
      </c>
      <c r="AQ199" s="59">
        <f t="shared" ca="1" si="431"/>
        <v>105.65968393972804</v>
      </c>
      <c r="AR199" s="59">
        <f ca="1">SUMPRODUCT($CA199:$DI199,'General Inputs'!$F$32:$AN$32,'General Inputs'!$F$51:$AN$51)/(1-Loss_ElectricEnergy)</f>
        <v>91.620908270132304</v>
      </c>
      <c r="AS199" s="59">
        <f ca="1">SUMPRODUCT($DK199:$ES199,'General Inputs'!$F$33:$AN$33,'General Inputs'!$F$51:$AN$51)/(1-Loss_ElectricDemand)</f>
        <v>14.977368310605094</v>
      </c>
      <c r="AT199" s="59">
        <f ca="1">SUMPRODUCT($EU199:$GC199,'General Inputs'!$F$34:$AN$34,'General Inputs'!$F$51:$AN$51)/(1-Loss_GasEnergy)</f>
        <v>0</v>
      </c>
      <c r="AU199" s="59">
        <f ca="1">INDEX('General Inputs'!$F$51:$AN$51,MATCH($H199,'General Inputs'!$F$50:$AN$50,0))*$AJ199</f>
        <v>0</v>
      </c>
      <c r="AV199" s="59">
        <f ca="1">INDEX('General Inputs'!$F$51:$AN$51,MATCH($H199,'General Inputs'!$F$50:$AN$50,0))*$AI199</f>
        <v>45.938993017273063</v>
      </c>
      <c r="AW199" s="59">
        <f ca="1">INDEX('General Inputs'!$F$51:$AN$51,MATCH($H199,'General Inputs'!$F$50:$AN$50,0))*$AM199</f>
        <v>0</v>
      </c>
      <c r="AX199" s="59">
        <f ca="1">SUM(INDEX('General Inputs'!$F$51:$AN$51,MATCH($H199,'General Inputs'!$F$50:$AN$50,0))*$AG199,INDEX('General Inputs'!$F$51:$AN$51,MATCH($H199+$AL199,'General Inputs'!$F$50:$AN$50,0))*-$AH199)</f>
        <v>105.65968393972804</v>
      </c>
      <c r="AY199" s="55"/>
      <c r="AZ199" s="59">
        <f ca="1">SUMPRODUCT($CA199:$DI199,'General Inputs'!$F$32:$AN$32,'General Inputs'!$F$52:$AN$52)/(1-Loss_ElectricEnergy)</f>
        <v>91.620908270132304</v>
      </c>
      <c r="BA199" s="59">
        <f ca="1">SUMPRODUCT($DK199:$ES199,'General Inputs'!$F$33:$AN$33,'General Inputs'!$F$52:$AN$52)/(1-Loss_ElectricDemand)</f>
        <v>14.977368310605094</v>
      </c>
      <c r="BB199" s="59">
        <f ca="1">SUMPRODUCT($EU199:$GC199,'General Inputs'!$F$34:$AN$34,'General Inputs'!$F$52:$AN$52)/(1-Loss_GasEnergy)</f>
        <v>0</v>
      </c>
      <c r="BC199" s="59">
        <f ca="1">INDEX('General Inputs'!$F$52:$AN$52,MATCH($H199,'General Inputs'!$F$50:$AN$50,0))*$AI199</f>
        <v>45.938993017273063</v>
      </c>
      <c r="BD199" s="59">
        <f ca="1">INDEX('General Inputs'!$F$52:$AN$52,MATCH($H199,'General Inputs'!$F$50:$AN$50,0))*$AM199</f>
        <v>0</v>
      </c>
      <c r="BE199" s="55"/>
      <c r="BF199" s="59">
        <f ca="1">SUMPRODUCT($CA199:$DI199,OFFSET('General Inputs'!$F$40:$AN$40,MATCH($D199&amp;" Electric ($/kWh)",'General Inputs'!$E$40:$E$46,0),),'General Inputs'!$F$54:$AN$54)</f>
        <v>0</v>
      </c>
      <c r="BG199" s="59">
        <f ca="1">SUMPRODUCT($EU199:$GC199,OFFSET('General Inputs'!$F$40:$AN$40,MATCH($D199&amp;" Natural Gas ($/therm)",'General Inputs'!$E$40:$E$46,0),),'General Inputs'!$F$54:$AN$54)</f>
        <v>0</v>
      </c>
      <c r="BH199" s="59">
        <f ca="1">INDEX('General Inputs'!$F$54:$AN$54,MATCH($H199,'General Inputs'!$F$50:$AN$50,0))*$AI199</f>
        <v>45.938993017273063</v>
      </c>
      <c r="BI199" s="59">
        <f ca="1">SUM(INDEX('General Inputs'!$F$54:$AN$54,MATCH($H199,'General Inputs'!$F$50:$AN$50,0))*$AG199,INDEX('General Inputs'!$F$51:$AN$51,MATCH($H199+$AL199,'General Inputs'!$F$50:$AN$50,0))*-$AH199)</f>
        <v>105.65968393972804</v>
      </c>
      <c r="BJ199" s="55"/>
      <c r="BK199" s="59">
        <f ca="1">SUMPRODUCT($CA199:$DI199,'General Inputs'!$F$32:$AN$32,'General Inputs'!$F$53:$AN$53)/(1-Loss_ElectricEnergy)</f>
        <v>91.620908270132304</v>
      </c>
      <c r="BL199" s="59">
        <f ca="1">SUMPRODUCT($DK199:$ES199,'General Inputs'!$F$33:$AN$33,'General Inputs'!$F$53:$AN$53)/(1-Loss_ElectricDemand)</f>
        <v>14.977368310605094</v>
      </c>
      <c r="BM199" s="59">
        <f ca="1">SUMPRODUCT($EU199:$GC199,'General Inputs'!$F$34:$AN$34,'General Inputs'!$F$53:$AN$53)/(1-Loss_GasEnergy)</f>
        <v>0</v>
      </c>
      <c r="BN199" s="59">
        <f ca="1">INDEX('General Inputs'!$F$53:$AN$53,MATCH($H199,'General Inputs'!$F$50:$AN$50,0))*$AJ199</f>
        <v>0</v>
      </c>
      <c r="BO199" s="59">
        <f ca="1">SUMPRODUCT($CA199:$DI199,'General Inputs'!$F$35:$AN$35,'General Inputs'!$F$53:$AN$53)/(1-Loss_ElectricEnergy)</f>
        <v>34.431759869151911</v>
      </c>
      <c r="BP199" s="59">
        <f ca="1">INDEX('General Inputs'!$F$51:$AN$51,MATCH($H199,'General Inputs'!$F$50:$AN$50,0))*$AM199</f>
        <v>0</v>
      </c>
      <c r="BQ199" s="59">
        <f ca="1">SUM(INDEX('General Inputs'!$F$53:$AN$53,MATCH($H199,'General Inputs'!$F$50:$AN$50,0))*$AG199,INDEX('General Inputs'!$F$53:$AN$53,MATCH($H199+$AL199,'General Inputs'!$F$50:$AN$50,0))*-$AH199)</f>
        <v>105.65968393972804</v>
      </c>
      <c r="BR199" s="55"/>
      <c r="BS199" s="59">
        <f ca="1">SUMPRODUCT($CA199:$DI199,'General Inputs'!$F$32:$AN$32,'General Inputs'!$F$55:$AN$55)/(1-Loss_ElectricEnergy)</f>
        <v>91.620908270132304</v>
      </c>
      <c r="BT199" s="59">
        <f ca="1">SUMPRODUCT($DK199:$ES199,'General Inputs'!$F$33:$AN$33,'General Inputs'!$F$55:$AN$55)/(1-Loss_ElectricDemand)</f>
        <v>14.977368310605094</v>
      </c>
      <c r="BU199" s="59">
        <f ca="1">SUMPRODUCT($EU199:$GC199,'General Inputs'!$F$34:$AN$34,'General Inputs'!$F$55:$AN$55)/(1-Loss_GasEnergy)</f>
        <v>0</v>
      </c>
      <c r="BV199" s="59">
        <f ca="1">SUMPRODUCT($CA199:$DI199,OFFSET('General Inputs'!$F$40:$AN$40,MATCH($D199&amp;" Electric ($/kWh)",'General Inputs'!$E$40:$E$46,0),),'General Inputs'!$F$55:$AN$55)</f>
        <v>0</v>
      </c>
      <c r="BW199" s="59">
        <f ca="1">SUMPRODUCT($EU199:$GC199,OFFSET('General Inputs'!$F$40:$AN$40,MATCH($D199&amp;" Natural Gas ($/therm)",'General Inputs'!$E$40:$E$46,0),),'General Inputs'!$F$55:$AN$55)</f>
        <v>0</v>
      </c>
      <c r="BX199" s="59">
        <f ca="1">INDEX('General Inputs'!$F$55:$AN$55,MATCH($H199,'General Inputs'!$F$50:$AN$50,0))*$AI199</f>
        <v>45.938993017273063</v>
      </c>
      <c r="BY199" s="59">
        <f ca="1">INDEX('General Inputs'!$F$51:$AN$51,MATCH($H199,'General Inputs'!$F$50:$AN$50,0))*$AM199</f>
        <v>0</v>
      </c>
      <c r="BZ199" s="55"/>
      <c r="CA199" s="88">
        <f t="shared" ca="1" si="419"/>
        <v>0</v>
      </c>
      <c r="CB199" s="88">
        <f t="shared" ca="1" si="419"/>
        <v>353.7219425735546</v>
      </c>
      <c r="CC199" s="88">
        <f t="shared" ca="1" si="419"/>
        <v>353.7219425735546</v>
      </c>
      <c r="CD199" s="88">
        <f t="shared" ca="1" si="419"/>
        <v>353.7219425735546</v>
      </c>
      <c r="CE199" s="88">
        <f t="shared" ca="1" si="419"/>
        <v>353.7219425735546</v>
      </c>
      <c r="CF199" s="88">
        <f t="shared" ca="1" si="419"/>
        <v>353.7219425735546</v>
      </c>
      <c r="CG199" s="88">
        <f t="shared" ca="1" si="419"/>
        <v>353.7219425735546</v>
      </c>
      <c r="CH199" s="88">
        <f t="shared" ca="1" si="419"/>
        <v>353.7219425735546</v>
      </c>
      <c r="CI199" s="88">
        <f t="shared" ca="1" si="419"/>
        <v>353.7219425735546</v>
      </c>
      <c r="CJ199" s="88">
        <f t="shared" ca="1" si="419"/>
        <v>353.7219425735546</v>
      </c>
      <c r="CK199" s="88">
        <f t="shared" ca="1" si="420"/>
        <v>353.7219425735546</v>
      </c>
      <c r="CL199" s="88">
        <f t="shared" ca="1" si="420"/>
        <v>353.7219425735546</v>
      </c>
      <c r="CM199" s="88">
        <f t="shared" ca="1" si="420"/>
        <v>353.7219425735546</v>
      </c>
      <c r="CN199" s="88">
        <f t="shared" ca="1" si="420"/>
        <v>353.7219425735546</v>
      </c>
      <c r="CO199" s="88">
        <f t="shared" ca="1" si="420"/>
        <v>353.7219425735546</v>
      </c>
      <c r="CP199" s="88">
        <f t="shared" ca="1" si="420"/>
        <v>353.7219425735546</v>
      </c>
      <c r="CQ199" s="88">
        <f t="shared" ca="1" si="420"/>
        <v>0</v>
      </c>
      <c r="CR199" s="88">
        <f t="shared" ca="1" si="420"/>
        <v>0</v>
      </c>
      <c r="CS199" s="88">
        <f t="shared" ca="1" si="420"/>
        <v>0</v>
      </c>
      <c r="CT199" s="88">
        <f t="shared" ca="1" si="420"/>
        <v>0</v>
      </c>
      <c r="CU199" s="88">
        <f t="shared" ca="1" si="421"/>
        <v>0</v>
      </c>
      <c r="CV199" s="88">
        <f t="shared" ca="1" si="421"/>
        <v>0</v>
      </c>
      <c r="CW199" s="88">
        <f t="shared" ca="1" si="421"/>
        <v>0</v>
      </c>
      <c r="CX199" s="88">
        <f t="shared" ca="1" si="421"/>
        <v>0</v>
      </c>
      <c r="CY199" s="88">
        <f t="shared" ca="1" si="421"/>
        <v>0</v>
      </c>
      <c r="CZ199" s="88">
        <f t="shared" ca="1" si="421"/>
        <v>0</v>
      </c>
      <c r="DA199" s="88">
        <f t="shared" ca="1" si="421"/>
        <v>0</v>
      </c>
      <c r="DB199" s="88">
        <f t="shared" ca="1" si="421"/>
        <v>0</v>
      </c>
      <c r="DC199" s="88">
        <f t="shared" ca="1" si="421"/>
        <v>0</v>
      </c>
      <c r="DD199" s="88">
        <f t="shared" ca="1" si="421"/>
        <v>0</v>
      </c>
      <c r="DE199" s="88">
        <f t="shared" ca="1" si="421"/>
        <v>0</v>
      </c>
      <c r="DF199" s="88">
        <f t="shared" ca="1" si="421"/>
        <v>0</v>
      </c>
      <c r="DG199" s="88">
        <f t="shared" ca="1" si="421"/>
        <v>0</v>
      </c>
      <c r="DH199" s="88">
        <f t="shared" ca="1" si="421"/>
        <v>0</v>
      </c>
      <c r="DI199" s="88">
        <f t="shared" ca="1" si="421"/>
        <v>0</v>
      </c>
      <c r="DJ199" s="169"/>
      <c r="DK199" s="88">
        <f t="shared" ca="1" si="422"/>
        <v>0</v>
      </c>
      <c r="DL199" s="88">
        <f t="shared" ca="1" si="422"/>
        <v>8.0391350584898769E-2</v>
      </c>
      <c r="DM199" s="88">
        <f t="shared" ca="1" si="422"/>
        <v>8.0391350584898769E-2</v>
      </c>
      <c r="DN199" s="88">
        <f t="shared" ca="1" si="422"/>
        <v>8.0391350584898769E-2</v>
      </c>
      <c r="DO199" s="88">
        <f t="shared" ca="1" si="422"/>
        <v>8.0391350584898769E-2</v>
      </c>
      <c r="DP199" s="88">
        <f t="shared" ca="1" si="422"/>
        <v>8.0391350584898769E-2</v>
      </c>
      <c r="DQ199" s="88">
        <f t="shared" ca="1" si="422"/>
        <v>8.0391350584898769E-2</v>
      </c>
      <c r="DR199" s="88">
        <f t="shared" ca="1" si="422"/>
        <v>8.0391350584898769E-2</v>
      </c>
      <c r="DS199" s="88">
        <f t="shared" ca="1" si="422"/>
        <v>8.0391350584898769E-2</v>
      </c>
      <c r="DT199" s="88">
        <f t="shared" ca="1" si="422"/>
        <v>8.0391350584898769E-2</v>
      </c>
      <c r="DU199" s="88">
        <f t="shared" ca="1" si="423"/>
        <v>8.0391350584898769E-2</v>
      </c>
      <c r="DV199" s="88">
        <f t="shared" ca="1" si="423"/>
        <v>8.0391350584898769E-2</v>
      </c>
      <c r="DW199" s="88">
        <f t="shared" ca="1" si="423"/>
        <v>8.0391350584898769E-2</v>
      </c>
      <c r="DX199" s="88">
        <f t="shared" ca="1" si="423"/>
        <v>8.0391350584898769E-2</v>
      </c>
      <c r="DY199" s="88">
        <f t="shared" ca="1" si="423"/>
        <v>8.0391350584898769E-2</v>
      </c>
      <c r="DZ199" s="88">
        <f t="shared" ca="1" si="423"/>
        <v>8.0391350584898769E-2</v>
      </c>
      <c r="EA199" s="88">
        <f t="shared" ca="1" si="423"/>
        <v>0</v>
      </c>
      <c r="EB199" s="88">
        <f t="shared" ca="1" si="423"/>
        <v>0</v>
      </c>
      <c r="EC199" s="88">
        <f t="shared" ca="1" si="423"/>
        <v>0</v>
      </c>
      <c r="ED199" s="88">
        <f t="shared" ca="1" si="423"/>
        <v>0</v>
      </c>
      <c r="EE199" s="88">
        <f t="shared" ca="1" si="424"/>
        <v>0</v>
      </c>
      <c r="EF199" s="88">
        <f t="shared" ca="1" si="424"/>
        <v>0</v>
      </c>
      <c r="EG199" s="88">
        <f t="shared" ca="1" si="424"/>
        <v>0</v>
      </c>
      <c r="EH199" s="88">
        <f t="shared" ca="1" si="424"/>
        <v>0</v>
      </c>
      <c r="EI199" s="88">
        <f t="shared" ca="1" si="424"/>
        <v>0</v>
      </c>
      <c r="EJ199" s="88">
        <f t="shared" ca="1" si="424"/>
        <v>0</v>
      </c>
      <c r="EK199" s="88">
        <f t="shared" ca="1" si="424"/>
        <v>0</v>
      </c>
      <c r="EL199" s="88">
        <f t="shared" ca="1" si="424"/>
        <v>0</v>
      </c>
      <c r="EM199" s="88">
        <f t="shared" ca="1" si="424"/>
        <v>0</v>
      </c>
      <c r="EN199" s="88">
        <f t="shared" ca="1" si="424"/>
        <v>0</v>
      </c>
      <c r="EO199" s="88">
        <f t="shared" ca="1" si="424"/>
        <v>0</v>
      </c>
      <c r="EP199" s="88">
        <f t="shared" ca="1" si="424"/>
        <v>0</v>
      </c>
      <c r="EQ199" s="88">
        <f t="shared" ca="1" si="424"/>
        <v>0</v>
      </c>
      <c r="ER199" s="88">
        <f t="shared" ca="1" si="424"/>
        <v>0</v>
      </c>
      <c r="ES199" s="88">
        <f t="shared" ca="1" si="424"/>
        <v>0</v>
      </c>
      <c r="ET199" s="169"/>
      <c r="EU199" s="88">
        <f t="shared" ca="1" si="425"/>
        <v>0</v>
      </c>
      <c r="EV199" s="88">
        <f t="shared" ca="1" si="425"/>
        <v>0</v>
      </c>
      <c r="EW199" s="88">
        <f t="shared" ca="1" si="425"/>
        <v>0</v>
      </c>
      <c r="EX199" s="88">
        <f t="shared" ca="1" si="425"/>
        <v>0</v>
      </c>
      <c r="EY199" s="88">
        <f t="shared" ca="1" si="425"/>
        <v>0</v>
      </c>
      <c r="EZ199" s="88">
        <f t="shared" ca="1" si="425"/>
        <v>0</v>
      </c>
      <c r="FA199" s="88">
        <f t="shared" ca="1" si="425"/>
        <v>0</v>
      </c>
      <c r="FB199" s="88">
        <f t="shared" ca="1" si="425"/>
        <v>0</v>
      </c>
      <c r="FC199" s="88">
        <f t="shared" ca="1" si="425"/>
        <v>0</v>
      </c>
      <c r="FD199" s="88">
        <f t="shared" ca="1" si="425"/>
        <v>0</v>
      </c>
      <c r="FE199" s="88">
        <f t="shared" ca="1" si="426"/>
        <v>0</v>
      </c>
      <c r="FF199" s="88">
        <f t="shared" ca="1" si="426"/>
        <v>0</v>
      </c>
      <c r="FG199" s="88">
        <f t="shared" ca="1" si="426"/>
        <v>0</v>
      </c>
      <c r="FH199" s="88">
        <f t="shared" ca="1" si="426"/>
        <v>0</v>
      </c>
      <c r="FI199" s="88">
        <f t="shared" ca="1" si="426"/>
        <v>0</v>
      </c>
      <c r="FJ199" s="88">
        <f t="shared" ca="1" si="426"/>
        <v>0</v>
      </c>
      <c r="FK199" s="88">
        <f t="shared" ca="1" si="426"/>
        <v>0</v>
      </c>
      <c r="FL199" s="88">
        <f t="shared" ca="1" si="426"/>
        <v>0</v>
      </c>
      <c r="FM199" s="88">
        <f t="shared" ca="1" si="426"/>
        <v>0</v>
      </c>
      <c r="FN199" s="88">
        <f t="shared" ca="1" si="426"/>
        <v>0</v>
      </c>
      <c r="FO199" s="88">
        <f t="shared" ca="1" si="427"/>
        <v>0</v>
      </c>
      <c r="FP199" s="88">
        <f t="shared" ca="1" si="427"/>
        <v>0</v>
      </c>
      <c r="FQ199" s="88">
        <f t="shared" ca="1" si="427"/>
        <v>0</v>
      </c>
      <c r="FR199" s="88">
        <f t="shared" ca="1" si="427"/>
        <v>0</v>
      </c>
      <c r="FS199" s="88">
        <f t="shared" ca="1" si="427"/>
        <v>0</v>
      </c>
      <c r="FT199" s="88">
        <f t="shared" ca="1" si="427"/>
        <v>0</v>
      </c>
      <c r="FU199" s="88">
        <f t="shared" ca="1" si="427"/>
        <v>0</v>
      </c>
      <c r="FV199" s="88">
        <f t="shared" ca="1" si="427"/>
        <v>0</v>
      </c>
      <c r="FW199" s="88">
        <f t="shared" ca="1" si="427"/>
        <v>0</v>
      </c>
      <c r="FX199" s="88">
        <f t="shared" ca="1" si="427"/>
        <v>0</v>
      </c>
      <c r="FY199" s="88">
        <f t="shared" ca="1" si="427"/>
        <v>0</v>
      </c>
      <c r="FZ199" s="88">
        <f t="shared" ca="1" si="427"/>
        <v>0</v>
      </c>
      <c r="GA199" s="88">
        <f t="shared" ca="1" si="427"/>
        <v>0</v>
      </c>
      <c r="GB199" s="88">
        <f t="shared" ca="1" si="427"/>
        <v>0</v>
      </c>
      <c r="GC199" s="88">
        <f t="shared" ca="1" si="427"/>
        <v>0</v>
      </c>
      <c r="GD199" s="60"/>
    </row>
    <row r="200" spans="1:186" s="54" customFormat="1" ht="14.45" customHeight="1">
      <c r="A200" s="61"/>
      <c r="B200" s="100" t="str">
        <f t="shared" si="418"/>
        <v>C&amp;I_C&amp;I Prescriptive_0_TEFC Motor_2018</v>
      </c>
      <c r="C200" s="100">
        <f>INDEX('Measure Inputs'!$D:$D,MATCH($B200,'Measure Inputs'!$B:$B,0))</f>
        <v>152</v>
      </c>
      <c r="D200" s="101" t="s">
        <v>256</v>
      </c>
      <c r="E200" s="101" t="s">
        <v>255</v>
      </c>
      <c r="F200" s="101">
        <v>0</v>
      </c>
      <c r="G200" s="101" t="s">
        <v>317</v>
      </c>
      <c r="H200" s="101">
        <v>2018</v>
      </c>
      <c r="I200" s="55"/>
      <c r="J200" s="58">
        <f t="shared" ca="1" si="229"/>
        <v>0.71080404963333887</v>
      </c>
      <c r="K200" s="58">
        <f t="shared" ca="1" si="246"/>
        <v>1.6348493141566793</v>
      </c>
      <c r="L200" s="58">
        <f t="shared" ca="1" si="230"/>
        <v>0.43478260869565222</v>
      </c>
      <c r="M200" s="58">
        <f t="shared" ca="1" si="231"/>
        <v>0.94039720194344323</v>
      </c>
      <c r="N200" s="58">
        <f t="shared" ca="1" si="232"/>
        <v>1.6348493141566793</v>
      </c>
      <c r="O200" s="55"/>
      <c r="P200" s="175">
        <f ca="1">IFERROR(($AW200+AV200)/SUMPRODUCT($CA200:$DI200,'General Inputs'!$F$51:$AN$51),"n/a")</f>
        <v>2.2652971768007509E-2</v>
      </c>
      <c r="Q200" s="175">
        <f t="shared" ca="1" si="386"/>
        <v>0.20063143784394105</v>
      </c>
      <c r="R200" s="56">
        <f t="shared" ca="1" si="428"/>
        <v>3.7381978021977758</v>
      </c>
      <c r="S200" s="55"/>
      <c r="T200" s="56">
        <f ca="1">INDEX(OFFSET('Measure Inputs'!$L$7,,,InputRows),$C200)</f>
        <v>1</v>
      </c>
      <c r="U200" s="134">
        <f ca="1">INDEX(OFFSET('Measure Inputs'!$T$7,,,InputRows),$C200)</f>
        <v>1</v>
      </c>
      <c r="V200" s="134">
        <f ca="1">INDEX(OFFSET('Measure Inputs'!$U$7,,,InputRows),$C200)</f>
        <v>1</v>
      </c>
      <c r="W200" s="55"/>
      <c r="X200" s="96">
        <f ca="1">INDEX(OFFSET('Measure Inputs'!$V$7,,,InputRows),$C200)*$T200*$V200*$U200</f>
        <v>249.21318681318502</v>
      </c>
      <c r="Y200" s="96">
        <f ca="1">INDEX(OFFSET('Measure Inputs'!$W$7,,,InputRows),$C200)*$T200*$V200*$U200</f>
        <v>5.6639360639360231E-2</v>
      </c>
      <c r="Z200" s="96">
        <f ca="1">INDEX(OFFSET('Measure Inputs'!$X$7,,,InputRows),$C200)*$T200*$V200*$U200</f>
        <v>0</v>
      </c>
      <c r="AA200" s="55"/>
      <c r="AB200" s="96">
        <f ca="1">INDEX(OFFSET('Measure Inputs'!$Z$7,,,InputRows),$C200)*$T200*$V200*$U200</f>
        <v>0</v>
      </c>
      <c r="AC200" s="96">
        <f ca="1">INDEX(OFFSET('Measure Inputs'!$AA$7,,,InputRows),$C200)*$T200*$V200*$U200</f>
        <v>0</v>
      </c>
      <c r="AD200" s="96">
        <f ca="1">INDEX(OFFSET('Measure Inputs'!$AB$7,,,InputRows),$C200)*$T200*$V200*$U200</f>
        <v>0</v>
      </c>
      <c r="AE200" s="55"/>
      <c r="AF200" s="57">
        <f ca="1">INDEX(OFFSET('Measure Inputs'!$Q$7,,,InputRows),$C200)*$T200</f>
        <v>0</v>
      </c>
      <c r="AG200" s="57">
        <f ca="1">INDEX(OFFSET('Measure Inputs'!$P$7,,,InputRows),$C200)*$T200*$V200</f>
        <v>115</v>
      </c>
      <c r="AH200" s="57">
        <f ca="1">INDEX(OFFSET('Measure Inputs'!$R$7,,,InputRows),$C200)*$T200*$V200</f>
        <v>0</v>
      </c>
      <c r="AI200" s="57">
        <f ca="1">INDEX(OFFSET('Measure Inputs'!$O$7,,,InputRows),$C200)*$T200</f>
        <v>50</v>
      </c>
      <c r="AJ200" s="57">
        <f ca="1">INDEX(OFFSET('Measure Inputs'!$S$7,,,InputRows),$C200)*$T200</f>
        <v>0</v>
      </c>
      <c r="AK200" s="63">
        <f ca="1">INDEX(OFFSET('Measure Inputs'!$M$7,,,InputRows),$C200)</f>
        <v>15</v>
      </c>
      <c r="AL200" s="88">
        <f ca="1">INDEX(OFFSET('Measure Inputs'!$N$7,,,InputRows),$C200)</f>
        <v>0</v>
      </c>
      <c r="AM200" s="57">
        <f ca="1">SUMIFS(OFFSET('Program Inputs'!$N$5,,,TotalPrograms),OFFSET('Program Inputs'!$B$5,,,TotalPrograms),SUBSTITUTE($B200,"All","*"))+AF200</f>
        <v>0</v>
      </c>
      <c r="AN200" s="57">
        <f t="shared" ca="1" si="429"/>
        <v>50</v>
      </c>
      <c r="AO200" s="55"/>
      <c r="AP200" s="59">
        <f t="shared" ca="1" si="430"/>
        <v>75.10333122733735</v>
      </c>
      <c r="AQ200" s="59">
        <f t="shared" ca="1" si="431"/>
        <v>105.65968393972804</v>
      </c>
      <c r="AR200" s="59">
        <f ca="1">SUMPRODUCT($CA200:$DI200,'General Inputs'!$F$32:$AN$32,'General Inputs'!$F$51:$AN$51)/(1-Loss_ElectricEnergy)</f>
        <v>64.551094463047448</v>
      </c>
      <c r="AS200" s="59">
        <f ca="1">SUMPRODUCT($DK200:$ES200,'General Inputs'!$F$33:$AN$33,'General Inputs'!$F$51:$AN$51)/(1-Loss_ElectricDemand)</f>
        <v>10.552236764289903</v>
      </c>
      <c r="AT200" s="59">
        <f ca="1">SUMPRODUCT($EU200:$GC200,'General Inputs'!$F$34:$AN$34,'General Inputs'!$F$51:$AN$51)/(1-Loss_GasEnergy)</f>
        <v>0</v>
      </c>
      <c r="AU200" s="59">
        <f ca="1">INDEX('General Inputs'!$F$51:$AN$51,MATCH($H200,'General Inputs'!$F$50:$AN$50,0))*$AJ200</f>
        <v>0</v>
      </c>
      <c r="AV200" s="59">
        <f ca="1">INDEX('General Inputs'!$F$51:$AN$51,MATCH($H200,'General Inputs'!$F$50:$AN$50,0))*$AI200</f>
        <v>45.938993017273063</v>
      </c>
      <c r="AW200" s="59">
        <f ca="1">INDEX('General Inputs'!$F$51:$AN$51,MATCH($H200,'General Inputs'!$F$50:$AN$50,0))*$AM200</f>
        <v>0</v>
      </c>
      <c r="AX200" s="59">
        <f ca="1">SUM(INDEX('General Inputs'!$F$51:$AN$51,MATCH($H200,'General Inputs'!$F$50:$AN$50,0))*$AG200,INDEX('General Inputs'!$F$51:$AN$51,MATCH($H200+$AL200,'General Inputs'!$F$50:$AN$50,0))*-$AH200)</f>
        <v>105.65968393972804</v>
      </c>
      <c r="AY200" s="55"/>
      <c r="AZ200" s="59">
        <f ca="1">SUMPRODUCT($CA200:$DI200,'General Inputs'!$F$32:$AN$32,'General Inputs'!$F$52:$AN$52)/(1-Loss_ElectricEnergy)</f>
        <v>64.551094463047448</v>
      </c>
      <c r="BA200" s="59">
        <f ca="1">SUMPRODUCT($DK200:$ES200,'General Inputs'!$F$33:$AN$33,'General Inputs'!$F$52:$AN$52)/(1-Loss_ElectricDemand)</f>
        <v>10.552236764289903</v>
      </c>
      <c r="BB200" s="59">
        <f ca="1">SUMPRODUCT($EU200:$GC200,'General Inputs'!$F$34:$AN$34,'General Inputs'!$F$52:$AN$52)/(1-Loss_GasEnergy)</f>
        <v>0</v>
      </c>
      <c r="BC200" s="59">
        <f ca="1">INDEX('General Inputs'!$F$52:$AN$52,MATCH($H200,'General Inputs'!$F$50:$AN$50,0))*$AI200</f>
        <v>45.938993017273063</v>
      </c>
      <c r="BD200" s="59">
        <f ca="1">INDEX('General Inputs'!$F$52:$AN$52,MATCH($H200,'General Inputs'!$F$50:$AN$50,0))*$AM200</f>
        <v>0</v>
      </c>
      <c r="BE200" s="55"/>
      <c r="BF200" s="59">
        <f ca="1">SUMPRODUCT($CA200:$DI200,OFFSET('General Inputs'!$F$40:$AN$40,MATCH($D200&amp;" Electric ($/kWh)",'General Inputs'!$E$40:$E$46,0),),'General Inputs'!$F$54:$AN$54)</f>
        <v>0</v>
      </c>
      <c r="BG200" s="59">
        <f ca="1">SUMPRODUCT($EU200:$GC200,OFFSET('General Inputs'!$F$40:$AN$40,MATCH($D200&amp;" Natural Gas ($/therm)",'General Inputs'!$E$40:$E$46,0),),'General Inputs'!$F$54:$AN$54)</f>
        <v>0</v>
      </c>
      <c r="BH200" s="59">
        <f ca="1">INDEX('General Inputs'!$F$54:$AN$54,MATCH($H200,'General Inputs'!$F$50:$AN$50,0))*$AI200</f>
        <v>45.938993017273063</v>
      </c>
      <c r="BI200" s="59">
        <f ca="1">SUM(INDEX('General Inputs'!$F$54:$AN$54,MATCH($H200,'General Inputs'!$F$50:$AN$50,0))*$AG200,INDEX('General Inputs'!$F$51:$AN$51,MATCH($H200+$AL200,'General Inputs'!$F$50:$AN$50,0))*-$AH200)</f>
        <v>105.65968393972804</v>
      </c>
      <c r="BJ200" s="55"/>
      <c r="BK200" s="59">
        <f ca="1">SUMPRODUCT($CA200:$DI200,'General Inputs'!$F$32:$AN$32,'General Inputs'!$F$53:$AN$53)/(1-Loss_ElectricEnergy)</f>
        <v>64.551094463047448</v>
      </c>
      <c r="BL200" s="59">
        <f ca="1">SUMPRODUCT($DK200:$ES200,'General Inputs'!$F$33:$AN$33,'General Inputs'!$F$53:$AN$53)/(1-Loss_ElectricDemand)</f>
        <v>10.552236764289903</v>
      </c>
      <c r="BM200" s="59">
        <f ca="1">SUMPRODUCT($EU200:$GC200,'General Inputs'!$F$34:$AN$34,'General Inputs'!$F$53:$AN$53)/(1-Loss_GasEnergy)</f>
        <v>0</v>
      </c>
      <c r="BN200" s="59">
        <f ca="1">INDEX('General Inputs'!$F$53:$AN$53,MATCH($H200,'General Inputs'!$F$50:$AN$50,0))*$AJ200</f>
        <v>0</v>
      </c>
      <c r="BO200" s="59">
        <f ca="1">SUMPRODUCT($CA200:$DI200,'General Inputs'!$F$35:$AN$35,'General Inputs'!$F$53:$AN$53)/(1-Loss_ElectricEnergy)</f>
        <v>24.25873990781146</v>
      </c>
      <c r="BP200" s="59">
        <f ca="1">INDEX('General Inputs'!$F$51:$AN$51,MATCH($H200,'General Inputs'!$F$50:$AN$50,0))*$AM200</f>
        <v>0</v>
      </c>
      <c r="BQ200" s="59">
        <f ca="1">SUM(INDEX('General Inputs'!$F$53:$AN$53,MATCH($H200,'General Inputs'!$F$50:$AN$50,0))*$AG200,INDEX('General Inputs'!$F$53:$AN$53,MATCH($H200+$AL200,'General Inputs'!$F$50:$AN$50,0))*-$AH200)</f>
        <v>105.65968393972804</v>
      </c>
      <c r="BR200" s="55"/>
      <c r="BS200" s="59">
        <f ca="1">SUMPRODUCT($CA200:$DI200,'General Inputs'!$F$32:$AN$32,'General Inputs'!$F$55:$AN$55)/(1-Loss_ElectricEnergy)</f>
        <v>64.551094463047448</v>
      </c>
      <c r="BT200" s="59">
        <f ca="1">SUMPRODUCT($DK200:$ES200,'General Inputs'!$F$33:$AN$33,'General Inputs'!$F$55:$AN$55)/(1-Loss_ElectricDemand)</f>
        <v>10.552236764289903</v>
      </c>
      <c r="BU200" s="59">
        <f ca="1">SUMPRODUCT($EU200:$GC200,'General Inputs'!$F$34:$AN$34,'General Inputs'!$F$55:$AN$55)/(1-Loss_GasEnergy)</f>
        <v>0</v>
      </c>
      <c r="BV200" s="59">
        <f ca="1">SUMPRODUCT($CA200:$DI200,OFFSET('General Inputs'!$F$40:$AN$40,MATCH($D200&amp;" Electric ($/kWh)",'General Inputs'!$E$40:$E$46,0),),'General Inputs'!$F$55:$AN$55)</f>
        <v>0</v>
      </c>
      <c r="BW200" s="59">
        <f ca="1">SUMPRODUCT($EU200:$GC200,OFFSET('General Inputs'!$F$40:$AN$40,MATCH($D200&amp;" Natural Gas ($/therm)",'General Inputs'!$E$40:$E$46,0),),'General Inputs'!$F$55:$AN$55)</f>
        <v>0</v>
      </c>
      <c r="BX200" s="59">
        <f ca="1">INDEX('General Inputs'!$F$55:$AN$55,MATCH($H200,'General Inputs'!$F$50:$AN$50,0))*$AI200</f>
        <v>45.938993017273063</v>
      </c>
      <c r="BY200" s="59">
        <f ca="1">INDEX('General Inputs'!$F$51:$AN$51,MATCH($H200,'General Inputs'!$F$50:$AN$50,0))*$AM200</f>
        <v>0</v>
      </c>
      <c r="BZ200" s="55"/>
      <c r="CA200" s="88">
        <f t="shared" ca="1" si="419"/>
        <v>0</v>
      </c>
      <c r="CB200" s="88">
        <f t="shared" ca="1" si="419"/>
        <v>249.21318681318502</v>
      </c>
      <c r="CC200" s="88">
        <f t="shared" ca="1" si="419"/>
        <v>249.21318681318502</v>
      </c>
      <c r="CD200" s="88">
        <f t="shared" ca="1" si="419"/>
        <v>249.21318681318502</v>
      </c>
      <c r="CE200" s="88">
        <f t="shared" ca="1" si="419"/>
        <v>249.21318681318502</v>
      </c>
      <c r="CF200" s="88">
        <f t="shared" ca="1" si="419"/>
        <v>249.21318681318502</v>
      </c>
      <c r="CG200" s="88">
        <f t="shared" ca="1" si="419"/>
        <v>249.21318681318502</v>
      </c>
      <c r="CH200" s="88">
        <f t="shared" ca="1" si="419"/>
        <v>249.21318681318502</v>
      </c>
      <c r="CI200" s="88">
        <f t="shared" ca="1" si="419"/>
        <v>249.21318681318502</v>
      </c>
      <c r="CJ200" s="88">
        <f t="shared" ca="1" si="419"/>
        <v>249.21318681318502</v>
      </c>
      <c r="CK200" s="88">
        <f t="shared" ca="1" si="420"/>
        <v>249.21318681318502</v>
      </c>
      <c r="CL200" s="88">
        <f t="shared" ca="1" si="420"/>
        <v>249.21318681318502</v>
      </c>
      <c r="CM200" s="88">
        <f t="shared" ca="1" si="420"/>
        <v>249.21318681318502</v>
      </c>
      <c r="CN200" s="88">
        <f t="shared" ca="1" si="420"/>
        <v>249.21318681318502</v>
      </c>
      <c r="CO200" s="88">
        <f t="shared" ca="1" si="420"/>
        <v>249.21318681318502</v>
      </c>
      <c r="CP200" s="88">
        <f t="shared" ca="1" si="420"/>
        <v>249.21318681318502</v>
      </c>
      <c r="CQ200" s="88">
        <f t="shared" ca="1" si="420"/>
        <v>0</v>
      </c>
      <c r="CR200" s="88">
        <f t="shared" ca="1" si="420"/>
        <v>0</v>
      </c>
      <c r="CS200" s="88">
        <f t="shared" ca="1" si="420"/>
        <v>0</v>
      </c>
      <c r="CT200" s="88">
        <f t="shared" ca="1" si="420"/>
        <v>0</v>
      </c>
      <c r="CU200" s="88">
        <f t="shared" ca="1" si="421"/>
        <v>0</v>
      </c>
      <c r="CV200" s="88">
        <f t="shared" ca="1" si="421"/>
        <v>0</v>
      </c>
      <c r="CW200" s="88">
        <f t="shared" ca="1" si="421"/>
        <v>0</v>
      </c>
      <c r="CX200" s="88">
        <f t="shared" ca="1" si="421"/>
        <v>0</v>
      </c>
      <c r="CY200" s="88">
        <f t="shared" ca="1" si="421"/>
        <v>0</v>
      </c>
      <c r="CZ200" s="88">
        <f t="shared" ca="1" si="421"/>
        <v>0</v>
      </c>
      <c r="DA200" s="88">
        <f t="shared" ca="1" si="421"/>
        <v>0</v>
      </c>
      <c r="DB200" s="88">
        <f t="shared" ca="1" si="421"/>
        <v>0</v>
      </c>
      <c r="DC200" s="88">
        <f t="shared" ca="1" si="421"/>
        <v>0</v>
      </c>
      <c r="DD200" s="88">
        <f t="shared" ca="1" si="421"/>
        <v>0</v>
      </c>
      <c r="DE200" s="88">
        <f t="shared" ca="1" si="421"/>
        <v>0</v>
      </c>
      <c r="DF200" s="88">
        <f t="shared" ca="1" si="421"/>
        <v>0</v>
      </c>
      <c r="DG200" s="88">
        <f t="shared" ca="1" si="421"/>
        <v>0</v>
      </c>
      <c r="DH200" s="88">
        <f t="shared" ca="1" si="421"/>
        <v>0</v>
      </c>
      <c r="DI200" s="88">
        <f t="shared" ca="1" si="421"/>
        <v>0</v>
      </c>
      <c r="DJ200" s="169"/>
      <c r="DK200" s="88">
        <f t="shared" ca="1" si="422"/>
        <v>0</v>
      </c>
      <c r="DL200" s="88">
        <f t="shared" ca="1" si="422"/>
        <v>5.6639360639360231E-2</v>
      </c>
      <c r="DM200" s="88">
        <f t="shared" ca="1" si="422"/>
        <v>5.6639360639360231E-2</v>
      </c>
      <c r="DN200" s="88">
        <f t="shared" ca="1" si="422"/>
        <v>5.6639360639360231E-2</v>
      </c>
      <c r="DO200" s="88">
        <f t="shared" ca="1" si="422"/>
        <v>5.6639360639360231E-2</v>
      </c>
      <c r="DP200" s="88">
        <f t="shared" ca="1" si="422"/>
        <v>5.6639360639360231E-2</v>
      </c>
      <c r="DQ200" s="88">
        <f t="shared" ca="1" si="422"/>
        <v>5.6639360639360231E-2</v>
      </c>
      <c r="DR200" s="88">
        <f t="shared" ca="1" si="422"/>
        <v>5.6639360639360231E-2</v>
      </c>
      <c r="DS200" s="88">
        <f t="shared" ca="1" si="422"/>
        <v>5.6639360639360231E-2</v>
      </c>
      <c r="DT200" s="88">
        <f t="shared" ca="1" si="422"/>
        <v>5.6639360639360231E-2</v>
      </c>
      <c r="DU200" s="88">
        <f t="shared" ca="1" si="423"/>
        <v>5.6639360639360231E-2</v>
      </c>
      <c r="DV200" s="88">
        <f t="shared" ca="1" si="423"/>
        <v>5.6639360639360231E-2</v>
      </c>
      <c r="DW200" s="88">
        <f t="shared" ca="1" si="423"/>
        <v>5.6639360639360231E-2</v>
      </c>
      <c r="DX200" s="88">
        <f t="shared" ca="1" si="423"/>
        <v>5.6639360639360231E-2</v>
      </c>
      <c r="DY200" s="88">
        <f t="shared" ca="1" si="423"/>
        <v>5.6639360639360231E-2</v>
      </c>
      <c r="DZ200" s="88">
        <f t="shared" ca="1" si="423"/>
        <v>5.6639360639360231E-2</v>
      </c>
      <c r="EA200" s="88">
        <f t="shared" ca="1" si="423"/>
        <v>0</v>
      </c>
      <c r="EB200" s="88">
        <f t="shared" ca="1" si="423"/>
        <v>0</v>
      </c>
      <c r="EC200" s="88">
        <f t="shared" ca="1" si="423"/>
        <v>0</v>
      </c>
      <c r="ED200" s="88">
        <f t="shared" ca="1" si="423"/>
        <v>0</v>
      </c>
      <c r="EE200" s="88">
        <f t="shared" ca="1" si="424"/>
        <v>0</v>
      </c>
      <c r="EF200" s="88">
        <f t="shared" ca="1" si="424"/>
        <v>0</v>
      </c>
      <c r="EG200" s="88">
        <f t="shared" ca="1" si="424"/>
        <v>0</v>
      </c>
      <c r="EH200" s="88">
        <f t="shared" ca="1" si="424"/>
        <v>0</v>
      </c>
      <c r="EI200" s="88">
        <f t="shared" ca="1" si="424"/>
        <v>0</v>
      </c>
      <c r="EJ200" s="88">
        <f t="shared" ca="1" si="424"/>
        <v>0</v>
      </c>
      <c r="EK200" s="88">
        <f t="shared" ca="1" si="424"/>
        <v>0</v>
      </c>
      <c r="EL200" s="88">
        <f t="shared" ca="1" si="424"/>
        <v>0</v>
      </c>
      <c r="EM200" s="88">
        <f t="shared" ca="1" si="424"/>
        <v>0</v>
      </c>
      <c r="EN200" s="88">
        <f t="shared" ca="1" si="424"/>
        <v>0</v>
      </c>
      <c r="EO200" s="88">
        <f t="shared" ca="1" si="424"/>
        <v>0</v>
      </c>
      <c r="EP200" s="88">
        <f t="shared" ca="1" si="424"/>
        <v>0</v>
      </c>
      <c r="EQ200" s="88">
        <f t="shared" ca="1" si="424"/>
        <v>0</v>
      </c>
      <c r="ER200" s="88">
        <f t="shared" ca="1" si="424"/>
        <v>0</v>
      </c>
      <c r="ES200" s="88">
        <f t="shared" ca="1" si="424"/>
        <v>0</v>
      </c>
      <c r="ET200" s="169"/>
      <c r="EU200" s="88">
        <f t="shared" ca="1" si="425"/>
        <v>0</v>
      </c>
      <c r="EV200" s="88">
        <f t="shared" ca="1" si="425"/>
        <v>0</v>
      </c>
      <c r="EW200" s="88">
        <f t="shared" ca="1" si="425"/>
        <v>0</v>
      </c>
      <c r="EX200" s="88">
        <f t="shared" ca="1" si="425"/>
        <v>0</v>
      </c>
      <c r="EY200" s="88">
        <f t="shared" ca="1" si="425"/>
        <v>0</v>
      </c>
      <c r="EZ200" s="88">
        <f t="shared" ca="1" si="425"/>
        <v>0</v>
      </c>
      <c r="FA200" s="88">
        <f t="shared" ca="1" si="425"/>
        <v>0</v>
      </c>
      <c r="FB200" s="88">
        <f t="shared" ca="1" si="425"/>
        <v>0</v>
      </c>
      <c r="FC200" s="88">
        <f t="shared" ca="1" si="425"/>
        <v>0</v>
      </c>
      <c r="FD200" s="88">
        <f t="shared" ca="1" si="425"/>
        <v>0</v>
      </c>
      <c r="FE200" s="88">
        <f t="shared" ca="1" si="426"/>
        <v>0</v>
      </c>
      <c r="FF200" s="88">
        <f t="shared" ca="1" si="426"/>
        <v>0</v>
      </c>
      <c r="FG200" s="88">
        <f t="shared" ca="1" si="426"/>
        <v>0</v>
      </c>
      <c r="FH200" s="88">
        <f t="shared" ca="1" si="426"/>
        <v>0</v>
      </c>
      <c r="FI200" s="88">
        <f t="shared" ca="1" si="426"/>
        <v>0</v>
      </c>
      <c r="FJ200" s="88">
        <f t="shared" ca="1" si="426"/>
        <v>0</v>
      </c>
      <c r="FK200" s="88">
        <f t="shared" ca="1" si="426"/>
        <v>0</v>
      </c>
      <c r="FL200" s="88">
        <f t="shared" ca="1" si="426"/>
        <v>0</v>
      </c>
      <c r="FM200" s="88">
        <f t="shared" ca="1" si="426"/>
        <v>0</v>
      </c>
      <c r="FN200" s="88">
        <f t="shared" ca="1" si="426"/>
        <v>0</v>
      </c>
      <c r="FO200" s="88">
        <f t="shared" ca="1" si="427"/>
        <v>0</v>
      </c>
      <c r="FP200" s="88">
        <f t="shared" ca="1" si="427"/>
        <v>0</v>
      </c>
      <c r="FQ200" s="88">
        <f t="shared" ca="1" si="427"/>
        <v>0</v>
      </c>
      <c r="FR200" s="88">
        <f t="shared" ca="1" si="427"/>
        <v>0</v>
      </c>
      <c r="FS200" s="88">
        <f t="shared" ca="1" si="427"/>
        <v>0</v>
      </c>
      <c r="FT200" s="88">
        <f t="shared" ca="1" si="427"/>
        <v>0</v>
      </c>
      <c r="FU200" s="88">
        <f t="shared" ca="1" si="427"/>
        <v>0</v>
      </c>
      <c r="FV200" s="88">
        <f t="shared" ca="1" si="427"/>
        <v>0</v>
      </c>
      <c r="FW200" s="88">
        <f t="shared" ca="1" si="427"/>
        <v>0</v>
      </c>
      <c r="FX200" s="88">
        <f t="shared" ca="1" si="427"/>
        <v>0</v>
      </c>
      <c r="FY200" s="88">
        <f t="shared" ca="1" si="427"/>
        <v>0</v>
      </c>
      <c r="FZ200" s="88">
        <f t="shared" ca="1" si="427"/>
        <v>0</v>
      </c>
      <c r="GA200" s="88">
        <f t="shared" ca="1" si="427"/>
        <v>0</v>
      </c>
      <c r="GB200" s="88">
        <f t="shared" ca="1" si="427"/>
        <v>0</v>
      </c>
      <c r="GC200" s="88">
        <f t="shared" ca="1" si="427"/>
        <v>0</v>
      </c>
      <c r="GD200" s="60"/>
    </row>
    <row r="201" spans="1:186" s="54" customFormat="1" ht="14.45" customHeight="1">
      <c r="A201" s="61"/>
      <c r="B201" s="100" t="str">
        <f t="shared" si="418"/>
        <v>Residential_Residential Lighting_0_LED_2019</v>
      </c>
      <c r="C201" s="100">
        <f>INDEX('Measure Inputs'!$D:$D,MATCH($B201,'Measure Inputs'!$B:$B,0))</f>
        <v>153</v>
      </c>
      <c r="D201" s="101" t="s">
        <v>2</v>
      </c>
      <c r="E201" s="101" t="s">
        <v>249</v>
      </c>
      <c r="F201" s="101">
        <v>0</v>
      </c>
      <c r="G201" s="101" t="s">
        <v>216</v>
      </c>
      <c r="H201" s="101">
        <v>2019</v>
      </c>
      <c r="I201" s="55"/>
      <c r="J201" s="58">
        <f t="shared" ca="1" si="229"/>
        <v>1.0195018520936212</v>
      </c>
      <c r="K201" s="58">
        <f t="shared" ca="1" si="246"/>
        <v>1.5292527781404319</v>
      </c>
      <c r="L201" s="58">
        <f t="shared" ca="1" si="230"/>
        <v>4.4612994336752747</v>
      </c>
      <c r="M201" s="58">
        <f t="shared" ca="1" si="231"/>
        <v>1.3837706905050522</v>
      </c>
      <c r="N201" s="58">
        <f t="shared" ca="1" si="232"/>
        <v>0.22852127888975671</v>
      </c>
      <c r="O201" s="55"/>
      <c r="P201" s="175">
        <f ca="1">IFERROR(($AW201+AV201)/SUMPRODUCT($CA201:$DI201,'General Inputs'!$F$51:$AN$51),"n/a")</f>
        <v>2.1892666976779912E-2</v>
      </c>
      <c r="Q201" s="175">
        <f t="shared" ca="1" si="386"/>
        <v>0.15400268293125224</v>
      </c>
      <c r="R201" s="56">
        <f t="shared" ca="1" si="428"/>
        <v>1337.6390338080002</v>
      </c>
      <c r="S201" s="55"/>
      <c r="T201" s="56">
        <f ca="1">INDEX(OFFSET('Measure Inputs'!$L$7,,,InputRows),$C201)</f>
        <v>4120</v>
      </c>
      <c r="U201" s="134">
        <f ca="1">INDEX(OFFSET('Measure Inputs'!$T$7,,,InputRows),$C201)</f>
        <v>1</v>
      </c>
      <c r="V201" s="134">
        <f ca="1">INDEX(OFFSET('Measure Inputs'!$U$7,,,InputRows),$C201)</f>
        <v>1</v>
      </c>
      <c r="W201" s="55"/>
      <c r="X201" s="96">
        <f ca="1">INDEX(OFFSET('Measure Inputs'!$V$7,,,InputRows),$C201)*$T201*$V201*$U201</f>
        <v>133763.90338079998</v>
      </c>
      <c r="Y201" s="96">
        <f ca="1">INDEX(OFFSET('Measure Inputs'!$W$7,,,InputRows),$C201)*$T201*$V201*$U201</f>
        <v>11.741700146399998</v>
      </c>
      <c r="Z201" s="96">
        <f ca="1">INDEX(OFFSET('Measure Inputs'!$X$7,,,InputRows),$C201)*$T201*$V201*$U201</f>
        <v>0</v>
      </c>
      <c r="AA201" s="55"/>
      <c r="AB201" s="96">
        <f ca="1">INDEX(OFFSET('Measure Inputs'!$Z$7,,,InputRows),$C201)*$T201*$V201*$U201</f>
        <v>0</v>
      </c>
      <c r="AC201" s="96">
        <f ca="1">INDEX(OFFSET('Measure Inputs'!$AA$7,,,InputRows),$C201)*$T201*$V201*$U201</f>
        <v>0</v>
      </c>
      <c r="AD201" s="96">
        <f ca="1">INDEX(OFFSET('Measure Inputs'!$AB$7,,,InputRows),$C201)*$T201*$V201*$U201</f>
        <v>0</v>
      </c>
      <c r="AE201" s="55"/>
      <c r="AF201" s="57">
        <f ca="1">INDEX(OFFSET('Measure Inputs'!$Q$7,,,InputRows),$C201)*$T201</f>
        <v>0</v>
      </c>
      <c r="AG201" s="57">
        <f ca="1">INDEX(OFFSET('Measure Inputs'!$P$7,,,InputRows),$C201)*$T201*$V201</f>
        <v>30900</v>
      </c>
      <c r="AH201" s="57">
        <f ca="1">INDEX(OFFSET('Measure Inputs'!$R$7,,,InputRows),$C201)*$T201*$V201</f>
        <v>0</v>
      </c>
      <c r="AI201" s="57">
        <f ca="1">INDEX(OFFSET('Measure Inputs'!$O$7,,,InputRows),$C201)*$T201</f>
        <v>20600</v>
      </c>
      <c r="AJ201" s="57">
        <f ca="1">INDEX(OFFSET('Measure Inputs'!$S$7,,,InputRows),$C201)*$T201</f>
        <v>0</v>
      </c>
      <c r="AK201" s="63">
        <f ca="1">INDEX(OFFSET('Measure Inputs'!$M$7,,,InputRows),$C201)</f>
        <v>10</v>
      </c>
      <c r="AL201" s="88">
        <f ca="1">INDEX(OFFSET('Measure Inputs'!$N$7,,,InputRows),$C201)</f>
        <v>0</v>
      </c>
      <c r="AM201" s="57">
        <f ca="1">SUMIFS(OFFSET('Program Inputs'!$N$5,,,TotalPrograms),OFFSET('Program Inputs'!$B$5,,,TotalPrograms),SUBSTITUTE($B201,"All","*"))+AF201</f>
        <v>0</v>
      </c>
      <c r="AN201" s="57">
        <f t="shared" ca="1" si="429"/>
        <v>20600</v>
      </c>
      <c r="AO201" s="55"/>
      <c r="AP201" s="59">
        <f t="shared" ca="1" si="430"/>
        <v>26593.12851067177</v>
      </c>
      <c r="AQ201" s="59">
        <f t="shared" ca="1" si="431"/>
        <v>26084.433741891538</v>
      </c>
      <c r="AR201" s="59">
        <f ca="1">SUMPRODUCT($CA201:$DI201,'General Inputs'!$F$32:$AN$32,'General Inputs'!$F$51:$AN$51)/(1-Loss_ElectricEnergy)</f>
        <v>25013.824481093787</v>
      </c>
      <c r="AS201" s="59">
        <f ca="1">SUMPRODUCT($DK201:$ES201,'General Inputs'!$F$33:$AN$33,'General Inputs'!$F$51:$AN$51)/(1-Loss_ElectricDemand)</f>
        <v>1579.3040295779847</v>
      </c>
      <c r="AT201" s="59">
        <f ca="1">SUMPRODUCT($EU201:$GC201,'General Inputs'!$F$34:$AN$34,'General Inputs'!$F$51:$AN$51)/(1-Loss_GasEnergy)</f>
        <v>0</v>
      </c>
      <c r="AU201" s="59">
        <f ca="1">INDEX('General Inputs'!$F$51:$AN$51,MATCH($H201,'General Inputs'!$F$50:$AN$50,0))*$AJ201</f>
        <v>0</v>
      </c>
      <c r="AV201" s="59">
        <f ca="1">INDEX('General Inputs'!$F$51:$AN$51,MATCH($H201,'General Inputs'!$F$50:$AN$50,0))*$AI201</f>
        <v>17389.622494594358</v>
      </c>
      <c r="AW201" s="59">
        <f ca="1">INDEX('General Inputs'!$F$51:$AN$51,MATCH($H201,'General Inputs'!$F$50:$AN$50,0))*$AM201</f>
        <v>0</v>
      </c>
      <c r="AX201" s="59">
        <f ca="1">SUM(INDEX('General Inputs'!$F$51:$AN$51,MATCH($H201,'General Inputs'!$F$50:$AN$50,0))*$AG201,INDEX('General Inputs'!$F$51:$AN$51,MATCH($H201+$AL201,'General Inputs'!$F$50:$AN$50,0))*-$AH201)</f>
        <v>26084.433741891538</v>
      </c>
      <c r="AY201" s="55"/>
      <c r="AZ201" s="59">
        <f ca="1">SUMPRODUCT($CA201:$DI201,'General Inputs'!$F$32:$AN$32,'General Inputs'!$F$52:$AN$52)/(1-Loss_ElectricEnergy)</f>
        <v>25013.824481093787</v>
      </c>
      <c r="BA201" s="59">
        <f ca="1">SUMPRODUCT($DK201:$ES201,'General Inputs'!$F$33:$AN$33,'General Inputs'!$F$52:$AN$52)/(1-Loss_ElectricDemand)</f>
        <v>1579.3040295779847</v>
      </c>
      <c r="BB201" s="59">
        <f ca="1">SUMPRODUCT($EU201:$GC201,'General Inputs'!$F$34:$AN$34,'General Inputs'!$F$52:$AN$52)/(1-Loss_GasEnergy)</f>
        <v>0</v>
      </c>
      <c r="BC201" s="59">
        <f ca="1">INDEX('General Inputs'!$F$52:$AN$52,MATCH($H201,'General Inputs'!$F$50:$AN$50,0))*$AI201</f>
        <v>17389.622494594358</v>
      </c>
      <c r="BD201" s="59">
        <f ca="1">INDEX('General Inputs'!$F$52:$AN$52,MATCH($H201,'General Inputs'!$F$50:$AN$50,0))*$AM201</f>
        <v>0</v>
      </c>
      <c r="BE201" s="55"/>
      <c r="BF201" s="59">
        <f ca="1">SUMPRODUCT($CA201:$DI201,OFFSET('General Inputs'!$F$40:$AN$40,MATCH($D201&amp;" Electric ($/kWh)",'General Inputs'!$E$40:$E$46,0),),'General Inputs'!$F$54:$AN$54)</f>
        <v>98980.846985846598</v>
      </c>
      <c r="BG201" s="59">
        <f ca="1">SUMPRODUCT($EU201:$GC201,OFFSET('General Inputs'!$F$40:$AN$40,MATCH($D201&amp;" Natural Gas ($/therm)",'General Inputs'!$E$40:$E$46,0),),'General Inputs'!$F$54:$AN$54)</f>
        <v>0</v>
      </c>
      <c r="BH201" s="59">
        <f ca="1">INDEX('General Inputs'!$F$54:$AN$54,MATCH($H201,'General Inputs'!$F$50:$AN$50,0))*$AI201</f>
        <v>17389.622494594358</v>
      </c>
      <c r="BI201" s="59">
        <f ca="1">SUM(INDEX('General Inputs'!$F$54:$AN$54,MATCH($H201,'General Inputs'!$F$50:$AN$50,0))*$AG201,INDEX('General Inputs'!$F$51:$AN$51,MATCH($H201+$AL201,'General Inputs'!$F$50:$AN$50,0))*-$AH201)</f>
        <v>26084.433741891538</v>
      </c>
      <c r="BJ201" s="55"/>
      <c r="BK201" s="59">
        <f ca="1">SUMPRODUCT($CA201:$DI201,'General Inputs'!$F$32:$AN$32,'General Inputs'!$F$53:$AN$53)/(1-Loss_ElectricEnergy)</f>
        <v>25013.824481093787</v>
      </c>
      <c r="BL201" s="59">
        <f ca="1">SUMPRODUCT($DK201:$ES201,'General Inputs'!$F$33:$AN$33,'General Inputs'!$F$53:$AN$53)/(1-Loss_ElectricDemand)</f>
        <v>1579.3040295779847</v>
      </c>
      <c r="BM201" s="59">
        <f ca="1">SUMPRODUCT($EU201:$GC201,'General Inputs'!$F$34:$AN$34,'General Inputs'!$F$53:$AN$53)/(1-Loss_GasEnergy)</f>
        <v>0</v>
      </c>
      <c r="BN201" s="59">
        <f ca="1">INDEX('General Inputs'!$F$53:$AN$53,MATCH($H201,'General Inputs'!$F$50:$AN$50,0))*$AJ201</f>
        <v>0</v>
      </c>
      <c r="BO201" s="59">
        <f ca="1">SUMPRODUCT($CA201:$DI201,'General Inputs'!$F$35:$AN$35,'General Inputs'!$F$53:$AN$53)/(1-Loss_ElectricEnergy)</f>
        <v>9501.7463797787659</v>
      </c>
      <c r="BP201" s="59">
        <f ca="1">INDEX('General Inputs'!$F$51:$AN$51,MATCH($H201,'General Inputs'!$F$50:$AN$50,0))*$AM201</f>
        <v>0</v>
      </c>
      <c r="BQ201" s="59">
        <f ca="1">SUM(INDEX('General Inputs'!$F$53:$AN$53,MATCH($H201,'General Inputs'!$F$50:$AN$50,0))*$AG201,INDEX('General Inputs'!$F$53:$AN$53,MATCH($H201+$AL201,'General Inputs'!$F$50:$AN$50,0))*-$AH201)</f>
        <v>26084.433741891538</v>
      </c>
      <c r="BR201" s="55"/>
      <c r="BS201" s="59">
        <f ca="1">SUMPRODUCT($CA201:$DI201,'General Inputs'!$F$32:$AN$32,'General Inputs'!$F$55:$AN$55)/(1-Loss_ElectricEnergy)</f>
        <v>25013.824481093787</v>
      </c>
      <c r="BT201" s="59">
        <f ca="1">SUMPRODUCT($DK201:$ES201,'General Inputs'!$F$33:$AN$33,'General Inputs'!$F$55:$AN$55)/(1-Loss_ElectricDemand)</f>
        <v>1579.3040295779847</v>
      </c>
      <c r="BU201" s="59">
        <f ca="1">SUMPRODUCT($EU201:$GC201,'General Inputs'!$F$34:$AN$34,'General Inputs'!$F$55:$AN$55)/(1-Loss_GasEnergy)</f>
        <v>0</v>
      </c>
      <c r="BV201" s="59">
        <f ca="1">SUMPRODUCT($CA201:$DI201,OFFSET('General Inputs'!$F$40:$AN$40,MATCH($D201&amp;" Electric ($/kWh)",'General Inputs'!$E$40:$E$46,0),),'General Inputs'!$F$55:$AN$55)</f>
        <v>98980.846985846598</v>
      </c>
      <c r="BW201" s="59">
        <f ca="1">SUMPRODUCT($EU201:$GC201,OFFSET('General Inputs'!$F$40:$AN$40,MATCH($D201&amp;" Natural Gas ($/therm)",'General Inputs'!$E$40:$E$46,0),),'General Inputs'!$F$55:$AN$55)</f>
        <v>0</v>
      </c>
      <c r="BX201" s="59">
        <f ca="1">INDEX('General Inputs'!$F$55:$AN$55,MATCH($H201,'General Inputs'!$F$50:$AN$50,0))*$AI201</f>
        <v>17389.622494594358</v>
      </c>
      <c r="BY201" s="59">
        <f ca="1">INDEX('General Inputs'!$F$51:$AN$51,MATCH($H201,'General Inputs'!$F$50:$AN$50,0))*$AM201</f>
        <v>0</v>
      </c>
      <c r="BZ201" s="55"/>
      <c r="CA201" s="88">
        <f t="shared" ca="1" si="419"/>
        <v>0</v>
      </c>
      <c r="CB201" s="88">
        <f t="shared" ca="1" si="419"/>
        <v>0</v>
      </c>
      <c r="CC201" s="88">
        <f t="shared" ca="1" si="419"/>
        <v>133763.90338079998</v>
      </c>
      <c r="CD201" s="88">
        <f t="shared" ca="1" si="419"/>
        <v>133763.90338079998</v>
      </c>
      <c r="CE201" s="88">
        <f t="shared" ca="1" si="419"/>
        <v>133763.90338079998</v>
      </c>
      <c r="CF201" s="88">
        <f t="shared" ca="1" si="419"/>
        <v>133763.90338079998</v>
      </c>
      <c r="CG201" s="88">
        <f t="shared" ca="1" si="419"/>
        <v>133763.90338079998</v>
      </c>
      <c r="CH201" s="88">
        <f t="shared" ca="1" si="419"/>
        <v>133763.90338079998</v>
      </c>
      <c r="CI201" s="88">
        <f t="shared" ca="1" si="419"/>
        <v>133763.90338079998</v>
      </c>
      <c r="CJ201" s="88">
        <f t="shared" ca="1" si="419"/>
        <v>133763.90338079998</v>
      </c>
      <c r="CK201" s="88">
        <f t="shared" ca="1" si="420"/>
        <v>133763.90338079998</v>
      </c>
      <c r="CL201" s="88">
        <f t="shared" ca="1" si="420"/>
        <v>133763.90338079998</v>
      </c>
      <c r="CM201" s="88">
        <f t="shared" ca="1" si="420"/>
        <v>0</v>
      </c>
      <c r="CN201" s="88">
        <f t="shared" ca="1" si="420"/>
        <v>0</v>
      </c>
      <c r="CO201" s="88">
        <f t="shared" ca="1" si="420"/>
        <v>0</v>
      </c>
      <c r="CP201" s="88">
        <f t="shared" ca="1" si="420"/>
        <v>0</v>
      </c>
      <c r="CQ201" s="88">
        <f t="shared" ca="1" si="420"/>
        <v>0</v>
      </c>
      <c r="CR201" s="88">
        <f t="shared" ca="1" si="420"/>
        <v>0</v>
      </c>
      <c r="CS201" s="88">
        <f t="shared" ca="1" si="420"/>
        <v>0</v>
      </c>
      <c r="CT201" s="88">
        <f t="shared" ca="1" si="420"/>
        <v>0</v>
      </c>
      <c r="CU201" s="88">
        <f t="shared" ca="1" si="421"/>
        <v>0</v>
      </c>
      <c r="CV201" s="88">
        <f t="shared" ca="1" si="421"/>
        <v>0</v>
      </c>
      <c r="CW201" s="88">
        <f t="shared" ca="1" si="421"/>
        <v>0</v>
      </c>
      <c r="CX201" s="88">
        <f t="shared" ca="1" si="421"/>
        <v>0</v>
      </c>
      <c r="CY201" s="88">
        <f t="shared" ca="1" si="421"/>
        <v>0</v>
      </c>
      <c r="CZ201" s="88">
        <f t="shared" ca="1" si="421"/>
        <v>0</v>
      </c>
      <c r="DA201" s="88">
        <f t="shared" ca="1" si="421"/>
        <v>0</v>
      </c>
      <c r="DB201" s="88">
        <f t="shared" ca="1" si="421"/>
        <v>0</v>
      </c>
      <c r="DC201" s="88">
        <f t="shared" ca="1" si="421"/>
        <v>0</v>
      </c>
      <c r="DD201" s="88">
        <f t="shared" ca="1" si="421"/>
        <v>0</v>
      </c>
      <c r="DE201" s="88">
        <f t="shared" ca="1" si="421"/>
        <v>0</v>
      </c>
      <c r="DF201" s="88">
        <f t="shared" ca="1" si="421"/>
        <v>0</v>
      </c>
      <c r="DG201" s="88">
        <f t="shared" ca="1" si="421"/>
        <v>0</v>
      </c>
      <c r="DH201" s="88">
        <f t="shared" ca="1" si="421"/>
        <v>0</v>
      </c>
      <c r="DI201" s="88">
        <f t="shared" ca="1" si="421"/>
        <v>0</v>
      </c>
      <c r="DJ201" s="169"/>
      <c r="DK201" s="88">
        <f t="shared" ca="1" si="422"/>
        <v>0</v>
      </c>
      <c r="DL201" s="88">
        <f t="shared" ca="1" si="422"/>
        <v>0</v>
      </c>
      <c r="DM201" s="88">
        <f t="shared" ca="1" si="422"/>
        <v>11.741700146399998</v>
      </c>
      <c r="DN201" s="88">
        <f t="shared" ca="1" si="422"/>
        <v>11.741700146399998</v>
      </c>
      <c r="DO201" s="88">
        <f t="shared" ca="1" si="422"/>
        <v>11.741700146399998</v>
      </c>
      <c r="DP201" s="88">
        <f t="shared" ca="1" si="422"/>
        <v>11.741700146399998</v>
      </c>
      <c r="DQ201" s="88">
        <f t="shared" ca="1" si="422"/>
        <v>11.741700146399998</v>
      </c>
      <c r="DR201" s="88">
        <f t="shared" ca="1" si="422"/>
        <v>11.741700146399998</v>
      </c>
      <c r="DS201" s="88">
        <f t="shared" ca="1" si="422"/>
        <v>11.741700146399998</v>
      </c>
      <c r="DT201" s="88">
        <f t="shared" ca="1" si="422"/>
        <v>11.741700146399998</v>
      </c>
      <c r="DU201" s="88">
        <f t="shared" ca="1" si="423"/>
        <v>11.741700146399998</v>
      </c>
      <c r="DV201" s="88">
        <f t="shared" ca="1" si="423"/>
        <v>11.741700146399998</v>
      </c>
      <c r="DW201" s="88">
        <f t="shared" ca="1" si="423"/>
        <v>0</v>
      </c>
      <c r="DX201" s="88">
        <f t="shared" ca="1" si="423"/>
        <v>0</v>
      </c>
      <c r="DY201" s="88">
        <f t="shared" ca="1" si="423"/>
        <v>0</v>
      </c>
      <c r="DZ201" s="88">
        <f t="shared" ca="1" si="423"/>
        <v>0</v>
      </c>
      <c r="EA201" s="88">
        <f t="shared" ca="1" si="423"/>
        <v>0</v>
      </c>
      <c r="EB201" s="88">
        <f t="shared" ca="1" si="423"/>
        <v>0</v>
      </c>
      <c r="EC201" s="88">
        <f t="shared" ca="1" si="423"/>
        <v>0</v>
      </c>
      <c r="ED201" s="88">
        <f t="shared" ca="1" si="423"/>
        <v>0</v>
      </c>
      <c r="EE201" s="88">
        <f t="shared" ca="1" si="424"/>
        <v>0</v>
      </c>
      <c r="EF201" s="88">
        <f t="shared" ca="1" si="424"/>
        <v>0</v>
      </c>
      <c r="EG201" s="88">
        <f t="shared" ca="1" si="424"/>
        <v>0</v>
      </c>
      <c r="EH201" s="88">
        <f t="shared" ca="1" si="424"/>
        <v>0</v>
      </c>
      <c r="EI201" s="88">
        <f t="shared" ca="1" si="424"/>
        <v>0</v>
      </c>
      <c r="EJ201" s="88">
        <f t="shared" ca="1" si="424"/>
        <v>0</v>
      </c>
      <c r="EK201" s="88">
        <f t="shared" ca="1" si="424"/>
        <v>0</v>
      </c>
      <c r="EL201" s="88">
        <f t="shared" ca="1" si="424"/>
        <v>0</v>
      </c>
      <c r="EM201" s="88">
        <f t="shared" ca="1" si="424"/>
        <v>0</v>
      </c>
      <c r="EN201" s="88">
        <f t="shared" ca="1" si="424"/>
        <v>0</v>
      </c>
      <c r="EO201" s="88">
        <f t="shared" ca="1" si="424"/>
        <v>0</v>
      </c>
      <c r="EP201" s="88">
        <f t="shared" ca="1" si="424"/>
        <v>0</v>
      </c>
      <c r="EQ201" s="88">
        <f t="shared" ca="1" si="424"/>
        <v>0</v>
      </c>
      <c r="ER201" s="88">
        <f t="shared" ca="1" si="424"/>
        <v>0</v>
      </c>
      <c r="ES201" s="88">
        <f t="shared" ca="1" si="424"/>
        <v>0</v>
      </c>
      <c r="ET201" s="169"/>
      <c r="EU201" s="88">
        <f t="shared" ca="1" si="425"/>
        <v>0</v>
      </c>
      <c r="EV201" s="88">
        <f t="shared" ca="1" si="425"/>
        <v>0</v>
      </c>
      <c r="EW201" s="88">
        <f t="shared" ca="1" si="425"/>
        <v>0</v>
      </c>
      <c r="EX201" s="88">
        <f t="shared" ca="1" si="425"/>
        <v>0</v>
      </c>
      <c r="EY201" s="88">
        <f t="shared" ca="1" si="425"/>
        <v>0</v>
      </c>
      <c r="EZ201" s="88">
        <f t="shared" ca="1" si="425"/>
        <v>0</v>
      </c>
      <c r="FA201" s="88">
        <f t="shared" ca="1" si="425"/>
        <v>0</v>
      </c>
      <c r="FB201" s="88">
        <f t="shared" ca="1" si="425"/>
        <v>0</v>
      </c>
      <c r="FC201" s="88">
        <f t="shared" ca="1" si="425"/>
        <v>0</v>
      </c>
      <c r="FD201" s="88">
        <f t="shared" ca="1" si="425"/>
        <v>0</v>
      </c>
      <c r="FE201" s="88">
        <f t="shared" ca="1" si="426"/>
        <v>0</v>
      </c>
      <c r="FF201" s="88">
        <f t="shared" ca="1" si="426"/>
        <v>0</v>
      </c>
      <c r="FG201" s="88">
        <f t="shared" ca="1" si="426"/>
        <v>0</v>
      </c>
      <c r="FH201" s="88">
        <f t="shared" ca="1" si="426"/>
        <v>0</v>
      </c>
      <c r="FI201" s="88">
        <f t="shared" ca="1" si="426"/>
        <v>0</v>
      </c>
      <c r="FJ201" s="88">
        <f t="shared" ca="1" si="426"/>
        <v>0</v>
      </c>
      <c r="FK201" s="88">
        <f t="shared" ca="1" si="426"/>
        <v>0</v>
      </c>
      <c r="FL201" s="88">
        <f t="shared" ca="1" si="426"/>
        <v>0</v>
      </c>
      <c r="FM201" s="88">
        <f t="shared" ca="1" si="426"/>
        <v>0</v>
      </c>
      <c r="FN201" s="88">
        <f t="shared" ca="1" si="426"/>
        <v>0</v>
      </c>
      <c r="FO201" s="88">
        <f t="shared" ca="1" si="427"/>
        <v>0</v>
      </c>
      <c r="FP201" s="88">
        <f t="shared" ca="1" si="427"/>
        <v>0</v>
      </c>
      <c r="FQ201" s="88">
        <f t="shared" ca="1" si="427"/>
        <v>0</v>
      </c>
      <c r="FR201" s="88">
        <f t="shared" ca="1" si="427"/>
        <v>0</v>
      </c>
      <c r="FS201" s="88">
        <f t="shared" ca="1" si="427"/>
        <v>0</v>
      </c>
      <c r="FT201" s="88">
        <f t="shared" ca="1" si="427"/>
        <v>0</v>
      </c>
      <c r="FU201" s="88">
        <f t="shared" ca="1" si="427"/>
        <v>0</v>
      </c>
      <c r="FV201" s="88">
        <f t="shared" ca="1" si="427"/>
        <v>0</v>
      </c>
      <c r="FW201" s="88">
        <f t="shared" ca="1" si="427"/>
        <v>0</v>
      </c>
      <c r="FX201" s="88">
        <f t="shared" ca="1" si="427"/>
        <v>0</v>
      </c>
      <c r="FY201" s="88">
        <f t="shared" ca="1" si="427"/>
        <v>0</v>
      </c>
      <c r="FZ201" s="88">
        <f t="shared" ca="1" si="427"/>
        <v>0</v>
      </c>
      <c r="GA201" s="88">
        <f t="shared" ca="1" si="427"/>
        <v>0</v>
      </c>
      <c r="GB201" s="88">
        <f t="shared" ca="1" si="427"/>
        <v>0</v>
      </c>
      <c r="GC201" s="88">
        <f t="shared" ca="1" si="427"/>
        <v>0</v>
      </c>
      <c r="GD201" s="60"/>
    </row>
    <row r="202" spans="1:186" s="54" customFormat="1" ht="14.45" customHeight="1">
      <c r="A202" s="61"/>
      <c r="B202" s="100" t="str">
        <f t="shared" si="418"/>
        <v>Residential_Residential Lighting_0_ENERGY STAR Fixture_2019</v>
      </c>
      <c r="C202" s="100">
        <f>INDEX('Measure Inputs'!$D:$D,MATCH($B202,'Measure Inputs'!$B:$B,0))</f>
        <v>154</v>
      </c>
      <c r="D202" s="101" t="s">
        <v>2</v>
      </c>
      <c r="E202" s="101" t="s">
        <v>249</v>
      </c>
      <c r="F202" s="101">
        <v>0</v>
      </c>
      <c r="G202" s="101" t="s">
        <v>257</v>
      </c>
      <c r="H202" s="101">
        <v>2019</v>
      </c>
      <c r="I202" s="55"/>
      <c r="J202" s="58">
        <f t="shared" ca="1" si="229"/>
        <v>1.0195018520936212</v>
      </c>
      <c r="K202" s="58">
        <f t="shared" ca="1" si="246"/>
        <v>1.5292527781404317</v>
      </c>
      <c r="L202" s="58">
        <f t="shared" ca="1" si="230"/>
        <v>4.4612994336752747</v>
      </c>
      <c r="M202" s="58">
        <f t="shared" ca="1" si="231"/>
        <v>1.383770690505052</v>
      </c>
      <c r="N202" s="58">
        <f t="shared" ca="1" si="232"/>
        <v>0.22852127888975673</v>
      </c>
      <c r="O202" s="55"/>
      <c r="P202" s="175">
        <f ca="1">IFERROR(($AW202+AV202)/SUMPRODUCT($CA202:$DI202,'General Inputs'!$F$51:$AN$51),"n/a")</f>
        <v>2.1892666976779919E-2</v>
      </c>
      <c r="Q202" s="175">
        <f t="shared" ca="1" si="386"/>
        <v>0.15400268293125224</v>
      </c>
      <c r="R202" s="56">
        <f t="shared" ca="1" si="428"/>
        <v>324.66966840000003</v>
      </c>
      <c r="S202" s="55"/>
      <c r="T202" s="56">
        <f ca="1">INDEX(OFFSET('Measure Inputs'!$L$7,,,InputRows),$C202)</f>
        <v>500</v>
      </c>
      <c r="U202" s="134">
        <f ca="1">INDEX(OFFSET('Measure Inputs'!$T$7,,,InputRows),$C202)</f>
        <v>1</v>
      </c>
      <c r="V202" s="134">
        <f ca="1">INDEX(OFFSET('Measure Inputs'!$U$7,,,InputRows),$C202)</f>
        <v>1</v>
      </c>
      <c r="W202" s="55"/>
      <c r="X202" s="96">
        <f ca="1">INDEX(OFFSET('Measure Inputs'!$V$7,,,InputRows),$C202)*$T202*$V202*$U202</f>
        <v>32466.966839999997</v>
      </c>
      <c r="Y202" s="96">
        <f ca="1">INDEX(OFFSET('Measure Inputs'!$W$7,,,InputRows),$C202)*$T202*$V202*$U202</f>
        <v>2.8499272199999997</v>
      </c>
      <c r="Z202" s="96">
        <f ca="1">INDEX(OFFSET('Measure Inputs'!$X$7,,,InputRows),$C202)*$T202*$V202*$U202</f>
        <v>0</v>
      </c>
      <c r="AA202" s="55"/>
      <c r="AB202" s="96">
        <f ca="1">INDEX(OFFSET('Measure Inputs'!$Z$7,,,InputRows),$C202)*$T202*$V202*$U202</f>
        <v>0</v>
      </c>
      <c r="AC202" s="96">
        <f ca="1">INDEX(OFFSET('Measure Inputs'!$AA$7,,,InputRows),$C202)*$T202*$V202*$U202</f>
        <v>0</v>
      </c>
      <c r="AD202" s="96">
        <f ca="1">INDEX(OFFSET('Measure Inputs'!$AB$7,,,InputRows),$C202)*$T202*$V202*$U202</f>
        <v>0</v>
      </c>
      <c r="AE202" s="55"/>
      <c r="AF202" s="57">
        <f ca="1">INDEX(OFFSET('Measure Inputs'!$Q$7,,,InputRows),$C202)*$T202</f>
        <v>0</v>
      </c>
      <c r="AG202" s="57">
        <f ca="1">INDEX(OFFSET('Measure Inputs'!$P$7,,,InputRows),$C202)*$T202*$V202</f>
        <v>7500</v>
      </c>
      <c r="AH202" s="57">
        <f ca="1">INDEX(OFFSET('Measure Inputs'!$R$7,,,InputRows),$C202)*$T202*$V202</f>
        <v>0</v>
      </c>
      <c r="AI202" s="57">
        <f ca="1">INDEX(OFFSET('Measure Inputs'!$O$7,,,InputRows),$C202)*$T202</f>
        <v>5000</v>
      </c>
      <c r="AJ202" s="57">
        <f ca="1">INDEX(OFFSET('Measure Inputs'!$S$7,,,InputRows),$C202)*$T202</f>
        <v>0</v>
      </c>
      <c r="AK202" s="63">
        <f ca="1">INDEX(OFFSET('Measure Inputs'!$M$7,,,InputRows),$C202)</f>
        <v>10</v>
      </c>
      <c r="AL202" s="88">
        <f ca="1">INDEX(OFFSET('Measure Inputs'!$N$7,,,InputRows),$C202)</f>
        <v>0</v>
      </c>
      <c r="AM202" s="57">
        <f ca="1">SUMIFS(OFFSET('Program Inputs'!$N$5,,,TotalPrograms),OFFSET('Program Inputs'!$B$5,,,TotalPrograms),SUBSTITUTE($B202,"All","*"))+AF202</f>
        <v>0</v>
      </c>
      <c r="AN202" s="57">
        <f t="shared" ca="1" si="429"/>
        <v>5000</v>
      </c>
      <c r="AO202" s="55"/>
      <c r="AP202" s="59">
        <f t="shared" ca="1" si="430"/>
        <v>6454.6428423960606</v>
      </c>
      <c r="AQ202" s="59">
        <f t="shared" ca="1" si="431"/>
        <v>6331.1732383231893</v>
      </c>
      <c r="AR202" s="59">
        <f ca="1">SUMPRODUCT($CA202:$DI202,'General Inputs'!$F$32:$AN$32,'General Inputs'!$F$51:$AN$51)/(1-Loss_ElectricEnergy)</f>
        <v>6071.3166216247055</v>
      </c>
      <c r="AS202" s="59">
        <f ca="1">SUMPRODUCT($DK202:$ES202,'General Inputs'!$F$33:$AN$33,'General Inputs'!$F$51:$AN$51)/(1-Loss_ElectricDemand)</f>
        <v>383.32622077135551</v>
      </c>
      <c r="AT202" s="59">
        <f ca="1">SUMPRODUCT($EU202:$GC202,'General Inputs'!$F$34:$AN$34,'General Inputs'!$F$51:$AN$51)/(1-Loss_GasEnergy)</f>
        <v>0</v>
      </c>
      <c r="AU202" s="59">
        <f ca="1">INDEX('General Inputs'!$F$51:$AN$51,MATCH($H202,'General Inputs'!$F$50:$AN$50,0))*$AJ202</f>
        <v>0</v>
      </c>
      <c r="AV202" s="59">
        <f ca="1">INDEX('General Inputs'!$F$51:$AN$51,MATCH($H202,'General Inputs'!$F$50:$AN$50,0))*$AI202</f>
        <v>4220.7821588821262</v>
      </c>
      <c r="AW202" s="59">
        <f ca="1">INDEX('General Inputs'!$F$51:$AN$51,MATCH($H202,'General Inputs'!$F$50:$AN$50,0))*$AM202</f>
        <v>0</v>
      </c>
      <c r="AX202" s="59">
        <f ca="1">SUM(INDEX('General Inputs'!$F$51:$AN$51,MATCH($H202,'General Inputs'!$F$50:$AN$50,0))*$AG202,INDEX('General Inputs'!$F$51:$AN$51,MATCH($H202+$AL202,'General Inputs'!$F$50:$AN$50,0))*-$AH202)</f>
        <v>6331.1732383231893</v>
      </c>
      <c r="AY202" s="55"/>
      <c r="AZ202" s="59">
        <f ca="1">SUMPRODUCT($CA202:$DI202,'General Inputs'!$F$32:$AN$32,'General Inputs'!$F$52:$AN$52)/(1-Loss_ElectricEnergy)</f>
        <v>6071.3166216247055</v>
      </c>
      <c r="BA202" s="59">
        <f ca="1">SUMPRODUCT($DK202:$ES202,'General Inputs'!$F$33:$AN$33,'General Inputs'!$F$52:$AN$52)/(1-Loss_ElectricDemand)</f>
        <v>383.32622077135551</v>
      </c>
      <c r="BB202" s="59">
        <f ca="1">SUMPRODUCT($EU202:$GC202,'General Inputs'!$F$34:$AN$34,'General Inputs'!$F$52:$AN$52)/(1-Loss_GasEnergy)</f>
        <v>0</v>
      </c>
      <c r="BC202" s="59">
        <f ca="1">INDEX('General Inputs'!$F$52:$AN$52,MATCH($H202,'General Inputs'!$F$50:$AN$50,0))*$AI202</f>
        <v>4220.7821588821262</v>
      </c>
      <c r="BD202" s="59">
        <f ca="1">INDEX('General Inputs'!$F$52:$AN$52,MATCH($H202,'General Inputs'!$F$50:$AN$50,0))*$AM202</f>
        <v>0</v>
      </c>
      <c r="BE202" s="55"/>
      <c r="BF202" s="59">
        <f ca="1">SUMPRODUCT($CA202:$DI202,OFFSET('General Inputs'!$F$40:$AN$40,MATCH($D202&amp;" Electric ($/kWh)",'General Inputs'!$E$40:$E$46,0),),'General Inputs'!$F$54:$AN$54)</f>
        <v>24024.477423749169</v>
      </c>
      <c r="BG202" s="59">
        <f ca="1">SUMPRODUCT($EU202:$GC202,OFFSET('General Inputs'!$F$40:$AN$40,MATCH($D202&amp;" Natural Gas ($/therm)",'General Inputs'!$E$40:$E$46,0),),'General Inputs'!$F$54:$AN$54)</f>
        <v>0</v>
      </c>
      <c r="BH202" s="59">
        <f ca="1">INDEX('General Inputs'!$F$54:$AN$54,MATCH($H202,'General Inputs'!$F$50:$AN$50,0))*$AI202</f>
        <v>4220.7821588821262</v>
      </c>
      <c r="BI202" s="59">
        <f ca="1">SUM(INDEX('General Inputs'!$F$54:$AN$54,MATCH($H202,'General Inputs'!$F$50:$AN$50,0))*$AG202,INDEX('General Inputs'!$F$51:$AN$51,MATCH($H202+$AL202,'General Inputs'!$F$50:$AN$50,0))*-$AH202)</f>
        <v>6331.1732383231893</v>
      </c>
      <c r="BJ202" s="55"/>
      <c r="BK202" s="59">
        <f ca="1">SUMPRODUCT($CA202:$DI202,'General Inputs'!$F$32:$AN$32,'General Inputs'!$F$53:$AN$53)/(1-Loss_ElectricEnergy)</f>
        <v>6071.3166216247055</v>
      </c>
      <c r="BL202" s="59">
        <f ca="1">SUMPRODUCT($DK202:$ES202,'General Inputs'!$F$33:$AN$33,'General Inputs'!$F$53:$AN$53)/(1-Loss_ElectricDemand)</f>
        <v>383.32622077135551</v>
      </c>
      <c r="BM202" s="59">
        <f ca="1">SUMPRODUCT($EU202:$GC202,'General Inputs'!$F$34:$AN$34,'General Inputs'!$F$53:$AN$53)/(1-Loss_GasEnergy)</f>
        <v>0</v>
      </c>
      <c r="BN202" s="59">
        <f ca="1">INDEX('General Inputs'!$F$53:$AN$53,MATCH($H202,'General Inputs'!$F$50:$AN$50,0))*$AJ202</f>
        <v>0</v>
      </c>
      <c r="BO202" s="59">
        <f ca="1">SUMPRODUCT($CA202:$DI202,'General Inputs'!$F$35:$AN$35,'General Inputs'!$F$53:$AN$53)/(1-Loss_ElectricEnergy)</f>
        <v>2306.2491213055259</v>
      </c>
      <c r="BP202" s="59">
        <f ca="1">INDEX('General Inputs'!$F$51:$AN$51,MATCH($H202,'General Inputs'!$F$50:$AN$50,0))*$AM202</f>
        <v>0</v>
      </c>
      <c r="BQ202" s="59">
        <f ca="1">SUM(INDEX('General Inputs'!$F$53:$AN$53,MATCH($H202,'General Inputs'!$F$50:$AN$50,0))*$AG202,INDEX('General Inputs'!$F$53:$AN$53,MATCH($H202+$AL202,'General Inputs'!$F$50:$AN$50,0))*-$AH202)</f>
        <v>6331.1732383231893</v>
      </c>
      <c r="BR202" s="55"/>
      <c r="BS202" s="59">
        <f ca="1">SUMPRODUCT($CA202:$DI202,'General Inputs'!$F$32:$AN$32,'General Inputs'!$F$55:$AN$55)/(1-Loss_ElectricEnergy)</f>
        <v>6071.3166216247055</v>
      </c>
      <c r="BT202" s="59">
        <f ca="1">SUMPRODUCT($DK202:$ES202,'General Inputs'!$F$33:$AN$33,'General Inputs'!$F$55:$AN$55)/(1-Loss_ElectricDemand)</f>
        <v>383.32622077135551</v>
      </c>
      <c r="BU202" s="59">
        <f ca="1">SUMPRODUCT($EU202:$GC202,'General Inputs'!$F$34:$AN$34,'General Inputs'!$F$55:$AN$55)/(1-Loss_GasEnergy)</f>
        <v>0</v>
      </c>
      <c r="BV202" s="59">
        <f ca="1">SUMPRODUCT($CA202:$DI202,OFFSET('General Inputs'!$F$40:$AN$40,MATCH($D202&amp;" Electric ($/kWh)",'General Inputs'!$E$40:$E$46,0),),'General Inputs'!$F$55:$AN$55)</f>
        <v>24024.477423749169</v>
      </c>
      <c r="BW202" s="59">
        <f ca="1">SUMPRODUCT($EU202:$GC202,OFFSET('General Inputs'!$F$40:$AN$40,MATCH($D202&amp;" Natural Gas ($/therm)",'General Inputs'!$E$40:$E$46,0),),'General Inputs'!$F$55:$AN$55)</f>
        <v>0</v>
      </c>
      <c r="BX202" s="59">
        <f ca="1">INDEX('General Inputs'!$F$55:$AN$55,MATCH($H202,'General Inputs'!$F$50:$AN$50,0))*$AI202</f>
        <v>4220.7821588821262</v>
      </c>
      <c r="BY202" s="59">
        <f ca="1">INDEX('General Inputs'!$F$51:$AN$51,MATCH($H202,'General Inputs'!$F$50:$AN$50,0))*$AM202</f>
        <v>0</v>
      </c>
      <c r="BZ202" s="55"/>
      <c r="CA202" s="88">
        <f t="shared" ca="1" si="419"/>
        <v>0</v>
      </c>
      <c r="CB202" s="88">
        <f t="shared" ca="1" si="419"/>
        <v>0</v>
      </c>
      <c r="CC202" s="88">
        <f t="shared" ca="1" si="419"/>
        <v>32466.966839999997</v>
      </c>
      <c r="CD202" s="88">
        <f t="shared" ca="1" si="419"/>
        <v>32466.966839999997</v>
      </c>
      <c r="CE202" s="88">
        <f t="shared" ca="1" si="419"/>
        <v>32466.966839999997</v>
      </c>
      <c r="CF202" s="88">
        <f t="shared" ca="1" si="419"/>
        <v>32466.966839999997</v>
      </c>
      <c r="CG202" s="88">
        <f t="shared" ca="1" si="419"/>
        <v>32466.966839999997</v>
      </c>
      <c r="CH202" s="88">
        <f t="shared" ca="1" si="419"/>
        <v>32466.966839999997</v>
      </c>
      <c r="CI202" s="88">
        <f t="shared" ca="1" si="419"/>
        <v>32466.966839999997</v>
      </c>
      <c r="CJ202" s="88">
        <f t="shared" ca="1" si="419"/>
        <v>32466.966839999997</v>
      </c>
      <c r="CK202" s="88">
        <f t="shared" ca="1" si="420"/>
        <v>32466.966839999997</v>
      </c>
      <c r="CL202" s="88">
        <f t="shared" ca="1" si="420"/>
        <v>32466.966839999997</v>
      </c>
      <c r="CM202" s="88">
        <f t="shared" ca="1" si="420"/>
        <v>0</v>
      </c>
      <c r="CN202" s="88">
        <f t="shared" ca="1" si="420"/>
        <v>0</v>
      </c>
      <c r="CO202" s="88">
        <f t="shared" ca="1" si="420"/>
        <v>0</v>
      </c>
      <c r="CP202" s="88">
        <f t="shared" ca="1" si="420"/>
        <v>0</v>
      </c>
      <c r="CQ202" s="88">
        <f t="shared" ca="1" si="420"/>
        <v>0</v>
      </c>
      <c r="CR202" s="88">
        <f t="shared" ca="1" si="420"/>
        <v>0</v>
      </c>
      <c r="CS202" s="88">
        <f t="shared" ca="1" si="420"/>
        <v>0</v>
      </c>
      <c r="CT202" s="88">
        <f t="shared" ca="1" si="420"/>
        <v>0</v>
      </c>
      <c r="CU202" s="88">
        <f t="shared" ca="1" si="421"/>
        <v>0</v>
      </c>
      <c r="CV202" s="88">
        <f t="shared" ca="1" si="421"/>
        <v>0</v>
      </c>
      <c r="CW202" s="88">
        <f t="shared" ca="1" si="421"/>
        <v>0</v>
      </c>
      <c r="CX202" s="88">
        <f t="shared" ca="1" si="421"/>
        <v>0</v>
      </c>
      <c r="CY202" s="88">
        <f t="shared" ca="1" si="421"/>
        <v>0</v>
      </c>
      <c r="CZ202" s="88">
        <f t="shared" ca="1" si="421"/>
        <v>0</v>
      </c>
      <c r="DA202" s="88">
        <f t="shared" ca="1" si="421"/>
        <v>0</v>
      </c>
      <c r="DB202" s="88">
        <f t="shared" ca="1" si="421"/>
        <v>0</v>
      </c>
      <c r="DC202" s="88">
        <f t="shared" ca="1" si="421"/>
        <v>0</v>
      </c>
      <c r="DD202" s="88">
        <f t="shared" ca="1" si="421"/>
        <v>0</v>
      </c>
      <c r="DE202" s="88">
        <f t="shared" ca="1" si="421"/>
        <v>0</v>
      </c>
      <c r="DF202" s="88">
        <f t="shared" ca="1" si="421"/>
        <v>0</v>
      </c>
      <c r="DG202" s="88">
        <f t="shared" ca="1" si="421"/>
        <v>0</v>
      </c>
      <c r="DH202" s="88">
        <f t="shared" ca="1" si="421"/>
        <v>0</v>
      </c>
      <c r="DI202" s="88">
        <f t="shared" ca="1" si="421"/>
        <v>0</v>
      </c>
      <c r="DJ202" s="169"/>
      <c r="DK202" s="88">
        <f t="shared" ca="1" si="422"/>
        <v>0</v>
      </c>
      <c r="DL202" s="88">
        <f t="shared" ca="1" si="422"/>
        <v>0</v>
      </c>
      <c r="DM202" s="88">
        <f t="shared" ca="1" si="422"/>
        <v>2.8499272199999997</v>
      </c>
      <c r="DN202" s="88">
        <f t="shared" ca="1" si="422"/>
        <v>2.8499272199999997</v>
      </c>
      <c r="DO202" s="88">
        <f t="shared" ca="1" si="422"/>
        <v>2.8499272199999997</v>
      </c>
      <c r="DP202" s="88">
        <f t="shared" ca="1" si="422"/>
        <v>2.8499272199999997</v>
      </c>
      <c r="DQ202" s="88">
        <f t="shared" ca="1" si="422"/>
        <v>2.8499272199999997</v>
      </c>
      <c r="DR202" s="88">
        <f t="shared" ca="1" si="422"/>
        <v>2.8499272199999997</v>
      </c>
      <c r="DS202" s="88">
        <f t="shared" ca="1" si="422"/>
        <v>2.8499272199999997</v>
      </c>
      <c r="DT202" s="88">
        <f t="shared" ca="1" si="422"/>
        <v>2.8499272199999997</v>
      </c>
      <c r="DU202" s="88">
        <f t="shared" ca="1" si="423"/>
        <v>2.8499272199999997</v>
      </c>
      <c r="DV202" s="88">
        <f t="shared" ca="1" si="423"/>
        <v>2.8499272199999997</v>
      </c>
      <c r="DW202" s="88">
        <f t="shared" ca="1" si="423"/>
        <v>0</v>
      </c>
      <c r="DX202" s="88">
        <f t="shared" ca="1" si="423"/>
        <v>0</v>
      </c>
      <c r="DY202" s="88">
        <f t="shared" ca="1" si="423"/>
        <v>0</v>
      </c>
      <c r="DZ202" s="88">
        <f t="shared" ca="1" si="423"/>
        <v>0</v>
      </c>
      <c r="EA202" s="88">
        <f t="shared" ca="1" si="423"/>
        <v>0</v>
      </c>
      <c r="EB202" s="88">
        <f t="shared" ca="1" si="423"/>
        <v>0</v>
      </c>
      <c r="EC202" s="88">
        <f t="shared" ca="1" si="423"/>
        <v>0</v>
      </c>
      <c r="ED202" s="88">
        <f t="shared" ca="1" si="423"/>
        <v>0</v>
      </c>
      <c r="EE202" s="88">
        <f t="shared" ca="1" si="424"/>
        <v>0</v>
      </c>
      <c r="EF202" s="88">
        <f t="shared" ca="1" si="424"/>
        <v>0</v>
      </c>
      <c r="EG202" s="88">
        <f t="shared" ca="1" si="424"/>
        <v>0</v>
      </c>
      <c r="EH202" s="88">
        <f t="shared" ca="1" si="424"/>
        <v>0</v>
      </c>
      <c r="EI202" s="88">
        <f t="shared" ca="1" si="424"/>
        <v>0</v>
      </c>
      <c r="EJ202" s="88">
        <f t="shared" ca="1" si="424"/>
        <v>0</v>
      </c>
      <c r="EK202" s="88">
        <f t="shared" ca="1" si="424"/>
        <v>0</v>
      </c>
      <c r="EL202" s="88">
        <f t="shared" ca="1" si="424"/>
        <v>0</v>
      </c>
      <c r="EM202" s="88">
        <f t="shared" ca="1" si="424"/>
        <v>0</v>
      </c>
      <c r="EN202" s="88">
        <f t="shared" ca="1" si="424"/>
        <v>0</v>
      </c>
      <c r="EO202" s="88">
        <f t="shared" ca="1" si="424"/>
        <v>0</v>
      </c>
      <c r="EP202" s="88">
        <f t="shared" ca="1" si="424"/>
        <v>0</v>
      </c>
      <c r="EQ202" s="88">
        <f t="shared" ca="1" si="424"/>
        <v>0</v>
      </c>
      <c r="ER202" s="88">
        <f t="shared" ca="1" si="424"/>
        <v>0</v>
      </c>
      <c r="ES202" s="88">
        <f t="shared" ca="1" si="424"/>
        <v>0</v>
      </c>
      <c r="ET202" s="169"/>
      <c r="EU202" s="88">
        <f t="shared" ca="1" si="425"/>
        <v>0</v>
      </c>
      <c r="EV202" s="88">
        <f t="shared" ca="1" si="425"/>
        <v>0</v>
      </c>
      <c r="EW202" s="88">
        <f t="shared" ca="1" si="425"/>
        <v>0</v>
      </c>
      <c r="EX202" s="88">
        <f t="shared" ca="1" si="425"/>
        <v>0</v>
      </c>
      <c r="EY202" s="88">
        <f t="shared" ca="1" si="425"/>
        <v>0</v>
      </c>
      <c r="EZ202" s="88">
        <f t="shared" ca="1" si="425"/>
        <v>0</v>
      </c>
      <c r="FA202" s="88">
        <f t="shared" ca="1" si="425"/>
        <v>0</v>
      </c>
      <c r="FB202" s="88">
        <f t="shared" ca="1" si="425"/>
        <v>0</v>
      </c>
      <c r="FC202" s="88">
        <f t="shared" ca="1" si="425"/>
        <v>0</v>
      </c>
      <c r="FD202" s="88">
        <f t="shared" ca="1" si="425"/>
        <v>0</v>
      </c>
      <c r="FE202" s="88">
        <f t="shared" ca="1" si="426"/>
        <v>0</v>
      </c>
      <c r="FF202" s="88">
        <f t="shared" ca="1" si="426"/>
        <v>0</v>
      </c>
      <c r="FG202" s="88">
        <f t="shared" ca="1" si="426"/>
        <v>0</v>
      </c>
      <c r="FH202" s="88">
        <f t="shared" ca="1" si="426"/>
        <v>0</v>
      </c>
      <c r="FI202" s="88">
        <f t="shared" ca="1" si="426"/>
        <v>0</v>
      </c>
      <c r="FJ202" s="88">
        <f t="shared" ca="1" si="426"/>
        <v>0</v>
      </c>
      <c r="FK202" s="88">
        <f t="shared" ca="1" si="426"/>
        <v>0</v>
      </c>
      <c r="FL202" s="88">
        <f t="shared" ca="1" si="426"/>
        <v>0</v>
      </c>
      <c r="FM202" s="88">
        <f t="shared" ca="1" si="426"/>
        <v>0</v>
      </c>
      <c r="FN202" s="88">
        <f t="shared" ca="1" si="426"/>
        <v>0</v>
      </c>
      <c r="FO202" s="88">
        <f t="shared" ca="1" si="427"/>
        <v>0</v>
      </c>
      <c r="FP202" s="88">
        <f t="shared" ca="1" si="427"/>
        <v>0</v>
      </c>
      <c r="FQ202" s="88">
        <f t="shared" ca="1" si="427"/>
        <v>0</v>
      </c>
      <c r="FR202" s="88">
        <f t="shared" ca="1" si="427"/>
        <v>0</v>
      </c>
      <c r="FS202" s="88">
        <f t="shared" ca="1" si="427"/>
        <v>0</v>
      </c>
      <c r="FT202" s="88">
        <f t="shared" ca="1" si="427"/>
        <v>0</v>
      </c>
      <c r="FU202" s="88">
        <f t="shared" ca="1" si="427"/>
        <v>0</v>
      </c>
      <c r="FV202" s="88">
        <f t="shared" ca="1" si="427"/>
        <v>0</v>
      </c>
      <c r="FW202" s="88">
        <f t="shared" ca="1" si="427"/>
        <v>0</v>
      </c>
      <c r="FX202" s="88">
        <f t="shared" ca="1" si="427"/>
        <v>0</v>
      </c>
      <c r="FY202" s="88">
        <f t="shared" ca="1" si="427"/>
        <v>0</v>
      </c>
      <c r="FZ202" s="88">
        <f t="shared" ca="1" si="427"/>
        <v>0</v>
      </c>
      <c r="GA202" s="88">
        <f t="shared" ca="1" si="427"/>
        <v>0</v>
      </c>
      <c r="GB202" s="88">
        <f t="shared" ca="1" si="427"/>
        <v>0</v>
      </c>
      <c r="GC202" s="88">
        <f t="shared" ca="1" si="427"/>
        <v>0</v>
      </c>
      <c r="GD202" s="60"/>
    </row>
    <row r="203" spans="1:186" s="54" customFormat="1" ht="14.45" customHeight="1">
      <c r="A203" s="61"/>
      <c r="B203" s="100" t="str">
        <f t="shared" si="418"/>
        <v>Residential_Appliance Recycling_0_Refrigerator Recycle_2019</v>
      </c>
      <c r="C203" s="100">
        <f>INDEX('Measure Inputs'!$D:$D,MATCH($B203,'Measure Inputs'!$B:$B,0))</f>
        <v>155</v>
      </c>
      <c r="D203" s="101" t="s">
        <v>2</v>
      </c>
      <c r="E203" s="101" t="s">
        <v>120</v>
      </c>
      <c r="F203" s="101">
        <v>0</v>
      </c>
      <c r="G203" s="101" t="s">
        <v>213</v>
      </c>
      <c r="H203" s="101">
        <v>2019</v>
      </c>
      <c r="I203" s="55"/>
      <c r="J203" s="58">
        <f t="shared" ca="1" si="229"/>
        <v>2.8295466922683614</v>
      </c>
      <c r="K203" s="58">
        <f t="shared" ca="1" si="246"/>
        <v>3.508637898412768</v>
      </c>
      <c r="L203" s="58">
        <f t="shared" ca="1" si="230"/>
        <v>11.153512870444983</v>
      </c>
      <c r="M203" s="58">
        <f t="shared" ca="1" si="231"/>
        <v>3.8343031099148188</v>
      </c>
      <c r="N203" s="58">
        <f t="shared" ca="1" si="232"/>
        <v>0.2536910769849206</v>
      </c>
      <c r="O203" s="55"/>
      <c r="P203" s="175">
        <f ca="1">IFERROR(($AW203+AV203)/SUMPRODUCT($CA203:$DI203,'General Inputs'!$F$51:$AN$51),"n/a")</f>
        <v>9.6012875519750993E-3</v>
      </c>
      <c r="Q203" s="175">
        <f t="shared" ca="1" si="386"/>
        <v>5.818463925523662E-2</v>
      </c>
      <c r="R203" s="56">
        <f t="shared" ca="1" si="428"/>
        <v>773.4</v>
      </c>
      <c r="S203" s="55"/>
      <c r="T203" s="56">
        <f ca="1">INDEX(OFFSET('Measure Inputs'!$L$7,,,InputRows),$C203)</f>
        <v>75</v>
      </c>
      <c r="U203" s="134">
        <f ca="1">INDEX(OFFSET('Measure Inputs'!$T$7,,,InputRows),$C203)</f>
        <v>1</v>
      </c>
      <c r="V203" s="134">
        <f ca="1">INDEX(OFFSET('Measure Inputs'!$U$7,,,InputRows),$C203)</f>
        <v>1</v>
      </c>
      <c r="W203" s="55"/>
      <c r="X203" s="96">
        <f ca="1">INDEX(OFFSET('Measure Inputs'!$V$7,,,InputRows),$C203)*$T203*$V203*$U203</f>
        <v>96675</v>
      </c>
      <c r="Y203" s="96">
        <f ca="1">INDEX(OFFSET('Measure Inputs'!$W$7,,,InputRows),$C203)*$T203*$V203*$U203</f>
        <v>11.03595890410959</v>
      </c>
      <c r="Z203" s="96">
        <f ca="1">INDEX(OFFSET('Measure Inputs'!$X$7,,,InputRows),$C203)*$T203*$V203*$U203</f>
        <v>0</v>
      </c>
      <c r="AA203" s="55"/>
      <c r="AB203" s="96">
        <f ca="1">INDEX(OFFSET('Measure Inputs'!$Z$7,,,InputRows),$C203)*$T203*$V203*$U203</f>
        <v>0</v>
      </c>
      <c r="AC203" s="96">
        <f ca="1">INDEX(OFFSET('Measure Inputs'!$AA$7,,,InputRows),$C203)*$T203*$V203*$U203</f>
        <v>0</v>
      </c>
      <c r="AD203" s="96">
        <f ca="1">INDEX(OFFSET('Measure Inputs'!$AB$7,,,InputRows),$C203)*$T203*$V203*$U203</f>
        <v>0</v>
      </c>
      <c r="AE203" s="55"/>
      <c r="AF203" s="57">
        <f ca="1">INDEX(OFFSET('Measure Inputs'!$Q$7,,,InputRows),$C203)*$T203</f>
        <v>0</v>
      </c>
      <c r="AG203" s="57">
        <f ca="1">INDEX(OFFSET('Measure Inputs'!$P$7,,,InputRows),$C203)*$T203*$V203</f>
        <v>6975</v>
      </c>
      <c r="AH203" s="57">
        <f ca="1">INDEX(OFFSET('Measure Inputs'!$R$7,,,InputRows),$C203)*$T203*$V203</f>
        <v>0</v>
      </c>
      <c r="AI203" s="57">
        <f ca="1">INDEX(OFFSET('Measure Inputs'!$O$7,,,InputRows),$C203)*$T203</f>
        <v>5625</v>
      </c>
      <c r="AJ203" s="57">
        <f ca="1">INDEX(OFFSET('Measure Inputs'!$S$7,,,InputRows),$C203)*$T203</f>
        <v>0</v>
      </c>
      <c r="AK203" s="63">
        <f ca="1">INDEX(OFFSET('Measure Inputs'!$M$7,,,InputRows),$C203)</f>
        <v>8</v>
      </c>
      <c r="AL203" s="88">
        <f ca="1">INDEX(OFFSET('Measure Inputs'!$N$7,,,InputRows),$C203)</f>
        <v>0</v>
      </c>
      <c r="AM203" s="57">
        <f ca="1">SUMIFS(OFFSET('Program Inputs'!$N$5,,,TotalPrograms),OFFSET('Program Inputs'!$B$5,,,TotalPrograms),SUBSTITUTE($B203,"All","*"))+AF203</f>
        <v>0</v>
      </c>
      <c r="AN203" s="57">
        <f t="shared" ca="1" si="429"/>
        <v>5625</v>
      </c>
      <c r="AO203" s="55"/>
      <c r="AP203" s="59">
        <f t="shared" ca="1" si="430"/>
        <v>16660.345774048074</v>
      </c>
      <c r="AQ203" s="59">
        <f t="shared" ca="1" si="431"/>
        <v>5887.9911116405656</v>
      </c>
      <c r="AR203" s="59">
        <f ca="1">SUMPRODUCT($CA203:$DI203,'General Inputs'!$F$32:$AN$32,'General Inputs'!$F$51:$AN$51)/(1-Loss_ElectricEnergy)</f>
        <v>15396.184198895889</v>
      </c>
      <c r="AS203" s="59">
        <f ca="1">SUMPRODUCT($DK203:$ES203,'General Inputs'!$F$33:$AN$33,'General Inputs'!$F$51:$AN$51)/(1-Loss_ElectricDemand)</f>
        <v>1264.1615751521826</v>
      </c>
      <c r="AT203" s="59">
        <f ca="1">SUMPRODUCT($EU203:$GC203,'General Inputs'!$F$34:$AN$34,'General Inputs'!$F$51:$AN$51)/(1-Loss_GasEnergy)</f>
        <v>0</v>
      </c>
      <c r="AU203" s="59">
        <f ca="1">INDEX('General Inputs'!$F$51:$AN$51,MATCH($H203,'General Inputs'!$F$50:$AN$50,0))*$AJ203</f>
        <v>0</v>
      </c>
      <c r="AV203" s="59">
        <f ca="1">INDEX('General Inputs'!$F$51:$AN$51,MATCH($H203,'General Inputs'!$F$50:$AN$50,0))*$AI203</f>
        <v>4748.3799287423917</v>
      </c>
      <c r="AW203" s="59">
        <f ca="1">INDEX('General Inputs'!$F$51:$AN$51,MATCH($H203,'General Inputs'!$F$50:$AN$50,0))*$AM203</f>
        <v>0</v>
      </c>
      <c r="AX203" s="59">
        <f ca="1">SUM(INDEX('General Inputs'!$F$51:$AN$51,MATCH($H203,'General Inputs'!$F$50:$AN$50,0))*$AG203,INDEX('General Inputs'!$F$51:$AN$51,MATCH($H203+$AL203,'General Inputs'!$F$50:$AN$50,0))*-$AH203)</f>
        <v>5887.9911116405656</v>
      </c>
      <c r="AY203" s="55"/>
      <c r="AZ203" s="59">
        <f ca="1">SUMPRODUCT($CA203:$DI203,'General Inputs'!$F$32:$AN$32,'General Inputs'!$F$52:$AN$52)/(1-Loss_ElectricEnergy)</f>
        <v>15396.184198895889</v>
      </c>
      <c r="BA203" s="59">
        <f ca="1">SUMPRODUCT($DK203:$ES203,'General Inputs'!$F$33:$AN$33,'General Inputs'!$F$52:$AN$52)/(1-Loss_ElectricDemand)</f>
        <v>1264.1615751521826</v>
      </c>
      <c r="BB203" s="59">
        <f ca="1">SUMPRODUCT($EU203:$GC203,'General Inputs'!$F$34:$AN$34,'General Inputs'!$F$52:$AN$52)/(1-Loss_GasEnergy)</f>
        <v>0</v>
      </c>
      <c r="BC203" s="59">
        <f ca="1">INDEX('General Inputs'!$F$52:$AN$52,MATCH($H203,'General Inputs'!$F$50:$AN$50,0))*$AI203</f>
        <v>4748.3799287423917</v>
      </c>
      <c r="BD203" s="59">
        <f ca="1">INDEX('General Inputs'!$F$52:$AN$52,MATCH($H203,'General Inputs'!$F$50:$AN$50,0))*$AM203</f>
        <v>0</v>
      </c>
      <c r="BE203" s="55"/>
      <c r="BF203" s="59">
        <f ca="1">SUMPRODUCT($CA203:$DI203,OFFSET('General Inputs'!$F$40:$AN$40,MATCH($D203&amp;" Electric ($/kWh)",'General Inputs'!$E$40:$E$46,0),),'General Inputs'!$F$54:$AN$54)</f>
        <v>60923.404716006313</v>
      </c>
      <c r="BG203" s="59">
        <f ca="1">SUMPRODUCT($EU203:$GC203,OFFSET('General Inputs'!$F$40:$AN$40,MATCH($D203&amp;" Natural Gas ($/therm)",'General Inputs'!$E$40:$E$46,0),),'General Inputs'!$F$54:$AN$54)</f>
        <v>0</v>
      </c>
      <c r="BH203" s="59">
        <f ca="1">INDEX('General Inputs'!$F$54:$AN$54,MATCH($H203,'General Inputs'!$F$50:$AN$50,0))*$AI203</f>
        <v>4748.3799287423917</v>
      </c>
      <c r="BI203" s="59">
        <f ca="1">SUM(INDEX('General Inputs'!$F$54:$AN$54,MATCH($H203,'General Inputs'!$F$50:$AN$50,0))*$AG203,INDEX('General Inputs'!$F$51:$AN$51,MATCH($H203+$AL203,'General Inputs'!$F$50:$AN$50,0))*-$AH203)</f>
        <v>5887.9911116405656</v>
      </c>
      <c r="BJ203" s="55"/>
      <c r="BK203" s="59">
        <f ca="1">SUMPRODUCT($CA203:$DI203,'General Inputs'!$F$32:$AN$32,'General Inputs'!$F$53:$AN$53)/(1-Loss_ElectricEnergy)</f>
        <v>15396.184198895889</v>
      </c>
      <c r="BL203" s="59">
        <f ca="1">SUMPRODUCT($DK203:$ES203,'General Inputs'!$F$33:$AN$33,'General Inputs'!$F$53:$AN$53)/(1-Loss_ElectricDemand)</f>
        <v>1264.1615751521826</v>
      </c>
      <c r="BM203" s="59">
        <f ca="1">SUMPRODUCT($EU203:$GC203,'General Inputs'!$F$34:$AN$34,'General Inputs'!$F$53:$AN$53)/(1-Loss_GasEnergy)</f>
        <v>0</v>
      </c>
      <c r="BN203" s="59">
        <f ca="1">INDEX('General Inputs'!$F$53:$AN$53,MATCH($H203,'General Inputs'!$F$50:$AN$50,0))*$AJ203</f>
        <v>0</v>
      </c>
      <c r="BO203" s="59">
        <f ca="1">SUMPRODUCT($CA203:$DI203,'General Inputs'!$F$35:$AN$35,'General Inputs'!$F$53:$AN$53)/(1-Loss_ElectricEnergy)</f>
        <v>5915.9968564661585</v>
      </c>
      <c r="BP203" s="59">
        <f ca="1">INDEX('General Inputs'!$F$51:$AN$51,MATCH($H203,'General Inputs'!$F$50:$AN$50,0))*$AM203</f>
        <v>0</v>
      </c>
      <c r="BQ203" s="59">
        <f ca="1">SUM(INDEX('General Inputs'!$F$53:$AN$53,MATCH($H203,'General Inputs'!$F$50:$AN$50,0))*$AG203,INDEX('General Inputs'!$F$53:$AN$53,MATCH($H203+$AL203,'General Inputs'!$F$50:$AN$50,0))*-$AH203)</f>
        <v>5887.9911116405656</v>
      </c>
      <c r="BR203" s="55"/>
      <c r="BS203" s="59">
        <f ca="1">SUMPRODUCT($CA203:$DI203,'General Inputs'!$F$32:$AN$32,'General Inputs'!$F$55:$AN$55)/(1-Loss_ElectricEnergy)</f>
        <v>15396.184198895889</v>
      </c>
      <c r="BT203" s="59">
        <f ca="1">SUMPRODUCT($DK203:$ES203,'General Inputs'!$F$33:$AN$33,'General Inputs'!$F$55:$AN$55)/(1-Loss_ElectricDemand)</f>
        <v>1264.1615751521826</v>
      </c>
      <c r="BU203" s="59">
        <f ca="1">SUMPRODUCT($EU203:$GC203,'General Inputs'!$F$34:$AN$34,'General Inputs'!$F$55:$AN$55)/(1-Loss_GasEnergy)</f>
        <v>0</v>
      </c>
      <c r="BV203" s="59">
        <f ca="1">SUMPRODUCT($CA203:$DI203,OFFSET('General Inputs'!$F$40:$AN$40,MATCH($D203&amp;" Electric ($/kWh)",'General Inputs'!$E$40:$E$46,0),),'General Inputs'!$F$55:$AN$55)</f>
        <v>60923.404716006313</v>
      </c>
      <c r="BW203" s="59">
        <f ca="1">SUMPRODUCT($EU203:$GC203,OFFSET('General Inputs'!$F$40:$AN$40,MATCH($D203&amp;" Natural Gas ($/therm)",'General Inputs'!$E$40:$E$46,0),),'General Inputs'!$F$55:$AN$55)</f>
        <v>0</v>
      </c>
      <c r="BX203" s="59">
        <f ca="1">INDEX('General Inputs'!$F$55:$AN$55,MATCH($H203,'General Inputs'!$F$50:$AN$50,0))*$AI203</f>
        <v>4748.3799287423917</v>
      </c>
      <c r="BY203" s="59">
        <f ca="1">INDEX('General Inputs'!$F$51:$AN$51,MATCH($H203,'General Inputs'!$F$50:$AN$50,0))*$AM203</f>
        <v>0</v>
      </c>
      <c r="BZ203" s="55"/>
      <c r="CA203" s="88">
        <f t="shared" ca="1" si="419"/>
        <v>0</v>
      </c>
      <c r="CB203" s="88">
        <f t="shared" ca="1" si="419"/>
        <v>0</v>
      </c>
      <c r="CC203" s="88">
        <f t="shared" ca="1" si="419"/>
        <v>96675</v>
      </c>
      <c r="CD203" s="88">
        <f t="shared" ca="1" si="419"/>
        <v>96675</v>
      </c>
      <c r="CE203" s="88">
        <f t="shared" ca="1" si="419"/>
        <v>96675</v>
      </c>
      <c r="CF203" s="88">
        <f t="shared" ca="1" si="419"/>
        <v>96675</v>
      </c>
      <c r="CG203" s="88">
        <f t="shared" ca="1" si="419"/>
        <v>96675</v>
      </c>
      <c r="CH203" s="88">
        <f t="shared" ca="1" si="419"/>
        <v>96675</v>
      </c>
      <c r="CI203" s="88">
        <f t="shared" ca="1" si="419"/>
        <v>96675</v>
      </c>
      <c r="CJ203" s="88">
        <f t="shared" ca="1" si="419"/>
        <v>96675</v>
      </c>
      <c r="CK203" s="88">
        <f t="shared" ca="1" si="420"/>
        <v>0</v>
      </c>
      <c r="CL203" s="88">
        <f t="shared" ca="1" si="420"/>
        <v>0</v>
      </c>
      <c r="CM203" s="88">
        <f t="shared" ca="1" si="420"/>
        <v>0</v>
      </c>
      <c r="CN203" s="88">
        <f t="shared" ca="1" si="420"/>
        <v>0</v>
      </c>
      <c r="CO203" s="88">
        <f t="shared" ca="1" si="420"/>
        <v>0</v>
      </c>
      <c r="CP203" s="88">
        <f t="shared" ca="1" si="420"/>
        <v>0</v>
      </c>
      <c r="CQ203" s="88">
        <f t="shared" ca="1" si="420"/>
        <v>0</v>
      </c>
      <c r="CR203" s="88">
        <f t="shared" ca="1" si="420"/>
        <v>0</v>
      </c>
      <c r="CS203" s="88">
        <f t="shared" ca="1" si="420"/>
        <v>0</v>
      </c>
      <c r="CT203" s="88">
        <f t="shared" ca="1" si="420"/>
        <v>0</v>
      </c>
      <c r="CU203" s="88">
        <f t="shared" ca="1" si="421"/>
        <v>0</v>
      </c>
      <c r="CV203" s="88">
        <f t="shared" ca="1" si="421"/>
        <v>0</v>
      </c>
      <c r="CW203" s="88">
        <f t="shared" ca="1" si="421"/>
        <v>0</v>
      </c>
      <c r="CX203" s="88">
        <f t="shared" ca="1" si="421"/>
        <v>0</v>
      </c>
      <c r="CY203" s="88">
        <f t="shared" ca="1" si="421"/>
        <v>0</v>
      </c>
      <c r="CZ203" s="88">
        <f t="shared" ca="1" si="421"/>
        <v>0</v>
      </c>
      <c r="DA203" s="88">
        <f t="shared" ca="1" si="421"/>
        <v>0</v>
      </c>
      <c r="DB203" s="88">
        <f t="shared" ca="1" si="421"/>
        <v>0</v>
      </c>
      <c r="DC203" s="88">
        <f t="shared" ca="1" si="421"/>
        <v>0</v>
      </c>
      <c r="DD203" s="88">
        <f t="shared" ca="1" si="421"/>
        <v>0</v>
      </c>
      <c r="DE203" s="88">
        <f t="shared" ca="1" si="421"/>
        <v>0</v>
      </c>
      <c r="DF203" s="88">
        <f t="shared" ca="1" si="421"/>
        <v>0</v>
      </c>
      <c r="DG203" s="88">
        <f t="shared" ca="1" si="421"/>
        <v>0</v>
      </c>
      <c r="DH203" s="88">
        <f t="shared" ca="1" si="421"/>
        <v>0</v>
      </c>
      <c r="DI203" s="88">
        <f t="shared" ca="1" si="421"/>
        <v>0</v>
      </c>
      <c r="DJ203" s="169"/>
      <c r="DK203" s="88">
        <f t="shared" ca="1" si="422"/>
        <v>0</v>
      </c>
      <c r="DL203" s="88">
        <f t="shared" ca="1" si="422"/>
        <v>0</v>
      </c>
      <c r="DM203" s="88">
        <f t="shared" ca="1" si="422"/>
        <v>11.03595890410959</v>
      </c>
      <c r="DN203" s="88">
        <f t="shared" ca="1" si="422"/>
        <v>11.03595890410959</v>
      </c>
      <c r="DO203" s="88">
        <f t="shared" ca="1" si="422"/>
        <v>11.03595890410959</v>
      </c>
      <c r="DP203" s="88">
        <f t="shared" ca="1" si="422"/>
        <v>11.03595890410959</v>
      </c>
      <c r="DQ203" s="88">
        <f t="shared" ca="1" si="422"/>
        <v>11.03595890410959</v>
      </c>
      <c r="DR203" s="88">
        <f t="shared" ca="1" si="422"/>
        <v>11.03595890410959</v>
      </c>
      <c r="DS203" s="88">
        <f t="shared" ca="1" si="422"/>
        <v>11.03595890410959</v>
      </c>
      <c r="DT203" s="88">
        <f t="shared" ca="1" si="422"/>
        <v>11.03595890410959</v>
      </c>
      <c r="DU203" s="88">
        <f t="shared" ca="1" si="423"/>
        <v>0</v>
      </c>
      <c r="DV203" s="88">
        <f t="shared" ca="1" si="423"/>
        <v>0</v>
      </c>
      <c r="DW203" s="88">
        <f t="shared" ca="1" si="423"/>
        <v>0</v>
      </c>
      <c r="DX203" s="88">
        <f t="shared" ca="1" si="423"/>
        <v>0</v>
      </c>
      <c r="DY203" s="88">
        <f t="shared" ca="1" si="423"/>
        <v>0</v>
      </c>
      <c r="DZ203" s="88">
        <f t="shared" ca="1" si="423"/>
        <v>0</v>
      </c>
      <c r="EA203" s="88">
        <f t="shared" ca="1" si="423"/>
        <v>0</v>
      </c>
      <c r="EB203" s="88">
        <f t="shared" ca="1" si="423"/>
        <v>0</v>
      </c>
      <c r="EC203" s="88">
        <f t="shared" ca="1" si="423"/>
        <v>0</v>
      </c>
      <c r="ED203" s="88">
        <f t="shared" ca="1" si="423"/>
        <v>0</v>
      </c>
      <c r="EE203" s="88">
        <f t="shared" ca="1" si="424"/>
        <v>0</v>
      </c>
      <c r="EF203" s="88">
        <f t="shared" ca="1" si="424"/>
        <v>0</v>
      </c>
      <c r="EG203" s="88">
        <f t="shared" ca="1" si="424"/>
        <v>0</v>
      </c>
      <c r="EH203" s="88">
        <f t="shared" ca="1" si="424"/>
        <v>0</v>
      </c>
      <c r="EI203" s="88">
        <f t="shared" ca="1" si="424"/>
        <v>0</v>
      </c>
      <c r="EJ203" s="88">
        <f t="shared" ca="1" si="424"/>
        <v>0</v>
      </c>
      <c r="EK203" s="88">
        <f t="shared" ca="1" si="424"/>
        <v>0</v>
      </c>
      <c r="EL203" s="88">
        <f t="shared" ca="1" si="424"/>
        <v>0</v>
      </c>
      <c r="EM203" s="88">
        <f t="shared" ca="1" si="424"/>
        <v>0</v>
      </c>
      <c r="EN203" s="88">
        <f t="shared" ca="1" si="424"/>
        <v>0</v>
      </c>
      <c r="EO203" s="88">
        <f t="shared" ca="1" si="424"/>
        <v>0</v>
      </c>
      <c r="EP203" s="88">
        <f t="shared" ca="1" si="424"/>
        <v>0</v>
      </c>
      <c r="EQ203" s="88">
        <f t="shared" ca="1" si="424"/>
        <v>0</v>
      </c>
      <c r="ER203" s="88">
        <f t="shared" ca="1" si="424"/>
        <v>0</v>
      </c>
      <c r="ES203" s="88">
        <f t="shared" ca="1" si="424"/>
        <v>0</v>
      </c>
      <c r="ET203" s="169"/>
      <c r="EU203" s="88">
        <f t="shared" ca="1" si="425"/>
        <v>0</v>
      </c>
      <c r="EV203" s="88">
        <f t="shared" ca="1" si="425"/>
        <v>0</v>
      </c>
      <c r="EW203" s="88">
        <f t="shared" ca="1" si="425"/>
        <v>0</v>
      </c>
      <c r="EX203" s="88">
        <f t="shared" ca="1" si="425"/>
        <v>0</v>
      </c>
      <c r="EY203" s="88">
        <f t="shared" ca="1" si="425"/>
        <v>0</v>
      </c>
      <c r="EZ203" s="88">
        <f t="shared" ca="1" si="425"/>
        <v>0</v>
      </c>
      <c r="FA203" s="88">
        <f t="shared" ca="1" si="425"/>
        <v>0</v>
      </c>
      <c r="FB203" s="88">
        <f t="shared" ca="1" si="425"/>
        <v>0</v>
      </c>
      <c r="FC203" s="88">
        <f t="shared" ca="1" si="425"/>
        <v>0</v>
      </c>
      <c r="FD203" s="88">
        <f t="shared" ca="1" si="425"/>
        <v>0</v>
      </c>
      <c r="FE203" s="88">
        <f t="shared" ca="1" si="426"/>
        <v>0</v>
      </c>
      <c r="FF203" s="88">
        <f t="shared" ca="1" si="426"/>
        <v>0</v>
      </c>
      <c r="FG203" s="88">
        <f t="shared" ca="1" si="426"/>
        <v>0</v>
      </c>
      <c r="FH203" s="88">
        <f t="shared" ca="1" si="426"/>
        <v>0</v>
      </c>
      <c r="FI203" s="88">
        <f t="shared" ca="1" si="426"/>
        <v>0</v>
      </c>
      <c r="FJ203" s="88">
        <f t="shared" ca="1" si="426"/>
        <v>0</v>
      </c>
      <c r="FK203" s="88">
        <f t="shared" ca="1" si="426"/>
        <v>0</v>
      </c>
      <c r="FL203" s="88">
        <f t="shared" ca="1" si="426"/>
        <v>0</v>
      </c>
      <c r="FM203" s="88">
        <f t="shared" ca="1" si="426"/>
        <v>0</v>
      </c>
      <c r="FN203" s="88">
        <f t="shared" ca="1" si="426"/>
        <v>0</v>
      </c>
      <c r="FO203" s="88">
        <f t="shared" ca="1" si="427"/>
        <v>0</v>
      </c>
      <c r="FP203" s="88">
        <f t="shared" ca="1" si="427"/>
        <v>0</v>
      </c>
      <c r="FQ203" s="88">
        <f t="shared" ca="1" si="427"/>
        <v>0</v>
      </c>
      <c r="FR203" s="88">
        <f t="shared" ca="1" si="427"/>
        <v>0</v>
      </c>
      <c r="FS203" s="88">
        <f t="shared" ca="1" si="427"/>
        <v>0</v>
      </c>
      <c r="FT203" s="88">
        <f t="shared" ca="1" si="427"/>
        <v>0</v>
      </c>
      <c r="FU203" s="88">
        <f t="shared" ca="1" si="427"/>
        <v>0</v>
      </c>
      <c r="FV203" s="88">
        <f t="shared" ca="1" si="427"/>
        <v>0</v>
      </c>
      <c r="FW203" s="88">
        <f t="shared" ca="1" si="427"/>
        <v>0</v>
      </c>
      <c r="FX203" s="88">
        <f t="shared" ca="1" si="427"/>
        <v>0</v>
      </c>
      <c r="FY203" s="88">
        <f t="shared" ca="1" si="427"/>
        <v>0</v>
      </c>
      <c r="FZ203" s="88">
        <f t="shared" ca="1" si="427"/>
        <v>0</v>
      </c>
      <c r="GA203" s="88">
        <f t="shared" ca="1" si="427"/>
        <v>0</v>
      </c>
      <c r="GB203" s="88">
        <f t="shared" ca="1" si="427"/>
        <v>0</v>
      </c>
      <c r="GC203" s="88">
        <f t="shared" ca="1" si="427"/>
        <v>0</v>
      </c>
      <c r="GD203" s="60"/>
    </row>
    <row r="204" spans="1:186" s="54" customFormat="1" ht="14.45" customHeight="1">
      <c r="A204" s="61"/>
      <c r="B204" s="100" t="str">
        <f t="shared" si="418"/>
        <v>Residential_Appliance Recycling_0_Freezer Recycle_2019</v>
      </c>
      <c r="C204" s="100">
        <f>INDEX('Measure Inputs'!$D:$D,MATCH($B204,'Measure Inputs'!$B:$B,0))</f>
        <v>156</v>
      </c>
      <c r="D204" s="101" t="s">
        <v>2</v>
      </c>
      <c r="E204" s="101" t="s">
        <v>120</v>
      </c>
      <c r="F204" s="101">
        <v>0</v>
      </c>
      <c r="G204" s="101" t="s">
        <v>212</v>
      </c>
      <c r="H204" s="101">
        <v>2019</v>
      </c>
      <c r="I204" s="55"/>
      <c r="J204" s="58">
        <f t="shared" ca="1" si="229"/>
        <v>2.4256393289034439</v>
      </c>
      <c r="K204" s="58">
        <f t="shared" ca="1" si="246"/>
        <v>3.0077927678402703</v>
      </c>
      <c r="L204" s="58">
        <f t="shared" ca="1" si="230"/>
        <v>9.6765080051325825</v>
      </c>
      <c r="M204" s="58">
        <f t="shared" ca="1" si="231"/>
        <v>3.2869704704855511</v>
      </c>
      <c r="N204" s="58">
        <f t="shared" ca="1" si="232"/>
        <v>0.25067300389942782</v>
      </c>
      <c r="O204" s="55"/>
      <c r="P204" s="175">
        <f ca="1">IFERROR(($AW204+AV204)/SUMPRODUCT($CA204:$DI204,'General Inputs'!$F$51:$AN$51),"n/a")</f>
        <v>1.1200053985969143E-2</v>
      </c>
      <c r="Q204" s="175">
        <f t="shared" ca="1" si="386"/>
        <v>6.7873303167420809E-2</v>
      </c>
      <c r="R204" s="56">
        <f t="shared" ca="1" si="428"/>
        <v>70.72</v>
      </c>
      <c r="S204" s="55"/>
      <c r="T204" s="56">
        <f ca="1">INDEX(OFFSET('Measure Inputs'!$L$7,,,InputRows),$C204)</f>
        <v>8</v>
      </c>
      <c r="U204" s="134">
        <f ca="1">INDEX(OFFSET('Measure Inputs'!$T$7,,,InputRows),$C204)</f>
        <v>1</v>
      </c>
      <c r="V204" s="134">
        <f ca="1">INDEX(OFFSET('Measure Inputs'!$U$7,,,InputRows),$C204)</f>
        <v>1</v>
      </c>
      <c r="W204" s="55"/>
      <c r="X204" s="96">
        <f ca="1">INDEX(OFFSET('Measure Inputs'!$V$7,,,InputRows),$C204)*$T204*$V204*$U204</f>
        <v>8840</v>
      </c>
      <c r="Y204" s="96">
        <f ca="1">INDEX(OFFSET('Measure Inputs'!$W$7,,,InputRows),$C204)*$T204*$V204*$U204</f>
        <v>1.0091324200913243</v>
      </c>
      <c r="Z204" s="96">
        <f ca="1">INDEX(OFFSET('Measure Inputs'!$X$7,,,InputRows),$C204)*$T204*$V204*$U204</f>
        <v>0</v>
      </c>
      <c r="AA204" s="55"/>
      <c r="AB204" s="96">
        <f ca="1">INDEX(OFFSET('Measure Inputs'!$Z$7,,,InputRows),$C204)*$T204*$V204*$U204</f>
        <v>0</v>
      </c>
      <c r="AC204" s="96">
        <f ca="1">INDEX(OFFSET('Measure Inputs'!$AA$7,,,InputRows),$C204)*$T204*$V204*$U204</f>
        <v>0</v>
      </c>
      <c r="AD204" s="96">
        <f ca="1">INDEX(OFFSET('Measure Inputs'!$AB$7,,,InputRows),$C204)*$T204*$V204*$U204</f>
        <v>0</v>
      </c>
      <c r="AE204" s="55"/>
      <c r="AF204" s="57">
        <f ca="1">INDEX(OFFSET('Measure Inputs'!$Q$7,,,InputRows),$C204)*$T204</f>
        <v>0</v>
      </c>
      <c r="AG204" s="57">
        <f ca="1">INDEX(OFFSET('Measure Inputs'!$P$7,,,InputRows),$C204)*$T204*$V204</f>
        <v>744</v>
      </c>
      <c r="AH204" s="57">
        <f ca="1">INDEX(OFFSET('Measure Inputs'!$R$7,,,InputRows),$C204)*$T204*$V204</f>
        <v>0</v>
      </c>
      <c r="AI204" s="57">
        <f ca="1">INDEX(OFFSET('Measure Inputs'!$O$7,,,InputRows),$C204)*$T204</f>
        <v>600</v>
      </c>
      <c r="AJ204" s="57">
        <f ca="1">INDEX(OFFSET('Measure Inputs'!$S$7,,,InputRows),$C204)*$T204</f>
        <v>0</v>
      </c>
      <c r="AK204" s="63">
        <f ca="1">INDEX(OFFSET('Measure Inputs'!$M$7,,,InputRows),$C204)</f>
        <v>8</v>
      </c>
      <c r="AL204" s="88">
        <f ca="1">INDEX(OFFSET('Measure Inputs'!$N$7,,,InputRows),$C204)</f>
        <v>0</v>
      </c>
      <c r="AM204" s="57">
        <f ca="1">SUMIFS(OFFSET('Program Inputs'!$N$5,,,TotalPrograms),OFFSET('Program Inputs'!$B$5,,,TotalPrograms),SUBSTITUTE($B204,"All","*"))+AF204</f>
        <v>0</v>
      </c>
      <c r="AN204" s="57">
        <f t="shared" ca="1" si="429"/>
        <v>600</v>
      </c>
      <c r="AO204" s="55"/>
      <c r="AP204" s="59">
        <f t="shared" ca="1" si="430"/>
        <v>1523.4285662537882</v>
      </c>
      <c r="AQ204" s="59">
        <f t="shared" ca="1" si="431"/>
        <v>628.05238524166032</v>
      </c>
      <c r="AR204" s="59">
        <f ca="1">SUMPRODUCT($CA204:$DI204,'General Inputs'!$F$32:$AN$32,'General Inputs'!$F$51:$AN$51)/(1-Loss_ElectricEnergy)</f>
        <v>1407.8331349184348</v>
      </c>
      <c r="AS204" s="59">
        <f ca="1">SUMPRODUCT($DK204:$ES204,'General Inputs'!$F$33:$AN$33,'General Inputs'!$F$51:$AN$51)/(1-Loss_ElectricDemand)</f>
        <v>115.59543133535345</v>
      </c>
      <c r="AT204" s="59">
        <f ca="1">SUMPRODUCT($EU204:$GC204,'General Inputs'!$F$34:$AN$34,'General Inputs'!$F$51:$AN$51)/(1-Loss_GasEnergy)</f>
        <v>0</v>
      </c>
      <c r="AU204" s="59">
        <f ca="1">INDEX('General Inputs'!$F$51:$AN$51,MATCH($H204,'General Inputs'!$F$50:$AN$50,0))*$AJ204</f>
        <v>0</v>
      </c>
      <c r="AV204" s="59">
        <f ca="1">INDEX('General Inputs'!$F$51:$AN$51,MATCH($H204,'General Inputs'!$F$50:$AN$50,0))*$AI204</f>
        <v>506.49385906585513</v>
      </c>
      <c r="AW204" s="59">
        <f ca="1">INDEX('General Inputs'!$F$51:$AN$51,MATCH($H204,'General Inputs'!$F$50:$AN$50,0))*$AM204</f>
        <v>0</v>
      </c>
      <c r="AX204" s="59">
        <f ca="1">SUM(INDEX('General Inputs'!$F$51:$AN$51,MATCH($H204,'General Inputs'!$F$50:$AN$50,0))*$AG204,INDEX('General Inputs'!$F$51:$AN$51,MATCH($H204+$AL204,'General Inputs'!$F$50:$AN$50,0))*-$AH204)</f>
        <v>628.05238524166032</v>
      </c>
      <c r="AY204" s="55"/>
      <c r="AZ204" s="59">
        <f ca="1">SUMPRODUCT($CA204:$DI204,'General Inputs'!$F$32:$AN$32,'General Inputs'!$F$52:$AN$52)/(1-Loss_ElectricEnergy)</f>
        <v>1407.8331349184348</v>
      </c>
      <c r="BA204" s="59">
        <f ca="1">SUMPRODUCT($DK204:$ES204,'General Inputs'!$F$33:$AN$33,'General Inputs'!$F$52:$AN$52)/(1-Loss_ElectricDemand)</f>
        <v>115.59543133535345</v>
      </c>
      <c r="BB204" s="59">
        <f ca="1">SUMPRODUCT($EU204:$GC204,'General Inputs'!$F$34:$AN$34,'General Inputs'!$F$52:$AN$52)/(1-Loss_GasEnergy)</f>
        <v>0</v>
      </c>
      <c r="BC204" s="59">
        <f ca="1">INDEX('General Inputs'!$F$52:$AN$52,MATCH($H204,'General Inputs'!$F$50:$AN$50,0))*$AI204</f>
        <v>506.49385906585513</v>
      </c>
      <c r="BD204" s="59">
        <f ca="1">INDEX('General Inputs'!$F$52:$AN$52,MATCH($H204,'General Inputs'!$F$50:$AN$50,0))*$AM204</f>
        <v>0</v>
      </c>
      <c r="BE204" s="55"/>
      <c r="BF204" s="59">
        <f ca="1">SUMPRODUCT($CA204:$DI204,OFFSET('General Inputs'!$F$40:$AN$40,MATCH($D204&amp;" Electric ($/kWh)",'General Inputs'!$E$40:$E$46,0),),'General Inputs'!$F$54:$AN$54)</f>
        <v>5570.8600743676834</v>
      </c>
      <c r="BG204" s="59">
        <f ca="1">SUMPRODUCT($EU204:$GC204,OFFSET('General Inputs'!$F$40:$AN$40,MATCH($D204&amp;" Natural Gas ($/therm)",'General Inputs'!$E$40:$E$46,0),),'General Inputs'!$F$54:$AN$54)</f>
        <v>0</v>
      </c>
      <c r="BH204" s="59">
        <f ca="1">INDEX('General Inputs'!$F$54:$AN$54,MATCH($H204,'General Inputs'!$F$50:$AN$50,0))*$AI204</f>
        <v>506.49385906585513</v>
      </c>
      <c r="BI204" s="59">
        <f ca="1">SUM(INDEX('General Inputs'!$F$54:$AN$54,MATCH($H204,'General Inputs'!$F$50:$AN$50,0))*$AG204,INDEX('General Inputs'!$F$51:$AN$51,MATCH($H204+$AL204,'General Inputs'!$F$50:$AN$50,0))*-$AH204)</f>
        <v>628.05238524166032</v>
      </c>
      <c r="BJ204" s="55"/>
      <c r="BK204" s="59">
        <f ca="1">SUMPRODUCT($CA204:$DI204,'General Inputs'!$F$32:$AN$32,'General Inputs'!$F$53:$AN$53)/(1-Loss_ElectricEnergy)</f>
        <v>1407.8331349184348</v>
      </c>
      <c r="BL204" s="59">
        <f ca="1">SUMPRODUCT($DK204:$ES204,'General Inputs'!$F$33:$AN$33,'General Inputs'!$F$53:$AN$53)/(1-Loss_ElectricDemand)</f>
        <v>115.59543133535345</v>
      </c>
      <c r="BM204" s="59">
        <f ca="1">SUMPRODUCT($EU204:$GC204,'General Inputs'!$F$34:$AN$34,'General Inputs'!$F$53:$AN$53)/(1-Loss_GasEnergy)</f>
        <v>0</v>
      </c>
      <c r="BN204" s="59">
        <f ca="1">INDEX('General Inputs'!$F$53:$AN$53,MATCH($H204,'General Inputs'!$F$50:$AN$50,0))*$AJ204</f>
        <v>0</v>
      </c>
      <c r="BO204" s="59">
        <f ca="1">SUMPRODUCT($CA204:$DI204,'General Inputs'!$F$35:$AN$35,'General Inputs'!$F$53:$AN$53)/(1-Loss_ElectricEnergy)</f>
        <v>540.96107795356454</v>
      </c>
      <c r="BP204" s="59">
        <f ca="1">INDEX('General Inputs'!$F$51:$AN$51,MATCH($H204,'General Inputs'!$F$50:$AN$50,0))*$AM204</f>
        <v>0</v>
      </c>
      <c r="BQ204" s="59">
        <f ca="1">SUM(INDEX('General Inputs'!$F$53:$AN$53,MATCH($H204,'General Inputs'!$F$50:$AN$50,0))*$AG204,INDEX('General Inputs'!$F$53:$AN$53,MATCH($H204+$AL204,'General Inputs'!$F$50:$AN$50,0))*-$AH204)</f>
        <v>628.05238524166032</v>
      </c>
      <c r="BR204" s="55"/>
      <c r="BS204" s="59">
        <f ca="1">SUMPRODUCT($CA204:$DI204,'General Inputs'!$F$32:$AN$32,'General Inputs'!$F$55:$AN$55)/(1-Loss_ElectricEnergy)</f>
        <v>1407.8331349184348</v>
      </c>
      <c r="BT204" s="59">
        <f ca="1">SUMPRODUCT($DK204:$ES204,'General Inputs'!$F$33:$AN$33,'General Inputs'!$F$55:$AN$55)/(1-Loss_ElectricDemand)</f>
        <v>115.59543133535345</v>
      </c>
      <c r="BU204" s="59">
        <f ca="1">SUMPRODUCT($EU204:$GC204,'General Inputs'!$F$34:$AN$34,'General Inputs'!$F$55:$AN$55)/(1-Loss_GasEnergy)</f>
        <v>0</v>
      </c>
      <c r="BV204" s="59">
        <f ca="1">SUMPRODUCT($CA204:$DI204,OFFSET('General Inputs'!$F$40:$AN$40,MATCH($D204&amp;" Electric ($/kWh)",'General Inputs'!$E$40:$E$46,0),),'General Inputs'!$F$55:$AN$55)</f>
        <v>5570.8600743676834</v>
      </c>
      <c r="BW204" s="59">
        <f ca="1">SUMPRODUCT($EU204:$GC204,OFFSET('General Inputs'!$F$40:$AN$40,MATCH($D204&amp;" Natural Gas ($/therm)",'General Inputs'!$E$40:$E$46,0),),'General Inputs'!$F$55:$AN$55)</f>
        <v>0</v>
      </c>
      <c r="BX204" s="59">
        <f ca="1">INDEX('General Inputs'!$F$55:$AN$55,MATCH($H204,'General Inputs'!$F$50:$AN$50,0))*$AI204</f>
        <v>506.49385906585513</v>
      </c>
      <c r="BY204" s="59">
        <f ca="1">INDEX('General Inputs'!$F$51:$AN$51,MATCH($H204,'General Inputs'!$F$50:$AN$50,0))*$AM204</f>
        <v>0</v>
      </c>
      <c r="BZ204" s="55"/>
      <c r="CA204" s="88">
        <f t="shared" ca="1" si="419"/>
        <v>0</v>
      </c>
      <c r="CB204" s="88">
        <f t="shared" ca="1" si="419"/>
        <v>0</v>
      </c>
      <c r="CC204" s="88">
        <f t="shared" ca="1" si="419"/>
        <v>8840</v>
      </c>
      <c r="CD204" s="88">
        <f t="shared" ca="1" si="419"/>
        <v>8840</v>
      </c>
      <c r="CE204" s="88">
        <f t="shared" ca="1" si="419"/>
        <v>8840</v>
      </c>
      <c r="CF204" s="88">
        <f t="shared" ca="1" si="419"/>
        <v>8840</v>
      </c>
      <c r="CG204" s="88">
        <f t="shared" ca="1" si="419"/>
        <v>8840</v>
      </c>
      <c r="CH204" s="88">
        <f t="shared" ca="1" si="419"/>
        <v>8840</v>
      </c>
      <c r="CI204" s="88">
        <f t="shared" ca="1" si="419"/>
        <v>8840</v>
      </c>
      <c r="CJ204" s="88">
        <f t="shared" ca="1" si="419"/>
        <v>8840</v>
      </c>
      <c r="CK204" s="88">
        <f t="shared" ca="1" si="420"/>
        <v>0</v>
      </c>
      <c r="CL204" s="88">
        <f t="shared" ca="1" si="420"/>
        <v>0</v>
      </c>
      <c r="CM204" s="88">
        <f t="shared" ca="1" si="420"/>
        <v>0</v>
      </c>
      <c r="CN204" s="88">
        <f t="shared" ca="1" si="420"/>
        <v>0</v>
      </c>
      <c r="CO204" s="88">
        <f t="shared" ca="1" si="420"/>
        <v>0</v>
      </c>
      <c r="CP204" s="88">
        <f t="shared" ca="1" si="420"/>
        <v>0</v>
      </c>
      <c r="CQ204" s="88">
        <f t="shared" ca="1" si="420"/>
        <v>0</v>
      </c>
      <c r="CR204" s="88">
        <f t="shared" ca="1" si="420"/>
        <v>0</v>
      </c>
      <c r="CS204" s="88">
        <f t="shared" ca="1" si="420"/>
        <v>0</v>
      </c>
      <c r="CT204" s="88">
        <f t="shared" ca="1" si="420"/>
        <v>0</v>
      </c>
      <c r="CU204" s="88">
        <f t="shared" ca="1" si="421"/>
        <v>0</v>
      </c>
      <c r="CV204" s="88">
        <f t="shared" ca="1" si="421"/>
        <v>0</v>
      </c>
      <c r="CW204" s="88">
        <f t="shared" ca="1" si="421"/>
        <v>0</v>
      </c>
      <c r="CX204" s="88">
        <f t="shared" ca="1" si="421"/>
        <v>0</v>
      </c>
      <c r="CY204" s="88">
        <f t="shared" ca="1" si="421"/>
        <v>0</v>
      </c>
      <c r="CZ204" s="88">
        <f t="shared" ca="1" si="421"/>
        <v>0</v>
      </c>
      <c r="DA204" s="88">
        <f t="shared" ca="1" si="421"/>
        <v>0</v>
      </c>
      <c r="DB204" s="88">
        <f t="shared" ca="1" si="421"/>
        <v>0</v>
      </c>
      <c r="DC204" s="88">
        <f t="shared" ca="1" si="421"/>
        <v>0</v>
      </c>
      <c r="DD204" s="88">
        <f t="shared" ca="1" si="421"/>
        <v>0</v>
      </c>
      <c r="DE204" s="88">
        <f t="shared" ca="1" si="421"/>
        <v>0</v>
      </c>
      <c r="DF204" s="88">
        <f t="shared" ca="1" si="421"/>
        <v>0</v>
      </c>
      <c r="DG204" s="88">
        <f t="shared" ca="1" si="421"/>
        <v>0</v>
      </c>
      <c r="DH204" s="88">
        <f t="shared" ca="1" si="421"/>
        <v>0</v>
      </c>
      <c r="DI204" s="88">
        <f t="shared" ca="1" si="421"/>
        <v>0</v>
      </c>
      <c r="DJ204" s="169"/>
      <c r="DK204" s="88">
        <f t="shared" ca="1" si="422"/>
        <v>0</v>
      </c>
      <c r="DL204" s="88">
        <f t="shared" ca="1" si="422"/>
        <v>0</v>
      </c>
      <c r="DM204" s="88">
        <f t="shared" ca="1" si="422"/>
        <v>1.0091324200913243</v>
      </c>
      <c r="DN204" s="88">
        <f t="shared" ca="1" si="422"/>
        <v>1.0091324200913243</v>
      </c>
      <c r="DO204" s="88">
        <f t="shared" ca="1" si="422"/>
        <v>1.0091324200913243</v>
      </c>
      <c r="DP204" s="88">
        <f t="shared" ca="1" si="422"/>
        <v>1.0091324200913243</v>
      </c>
      <c r="DQ204" s="88">
        <f t="shared" ca="1" si="422"/>
        <v>1.0091324200913243</v>
      </c>
      <c r="DR204" s="88">
        <f t="shared" ca="1" si="422"/>
        <v>1.0091324200913243</v>
      </c>
      <c r="DS204" s="88">
        <f t="shared" ca="1" si="422"/>
        <v>1.0091324200913243</v>
      </c>
      <c r="DT204" s="88">
        <f t="shared" ca="1" si="422"/>
        <v>1.0091324200913243</v>
      </c>
      <c r="DU204" s="88">
        <f t="shared" ca="1" si="423"/>
        <v>0</v>
      </c>
      <c r="DV204" s="88">
        <f t="shared" ca="1" si="423"/>
        <v>0</v>
      </c>
      <c r="DW204" s="88">
        <f t="shared" ca="1" si="423"/>
        <v>0</v>
      </c>
      <c r="DX204" s="88">
        <f t="shared" ca="1" si="423"/>
        <v>0</v>
      </c>
      <c r="DY204" s="88">
        <f t="shared" ca="1" si="423"/>
        <v>0</v>
      </c>
      <c r="DZ204" s="88">
        <f t="shared" ca="1" si="423"/>
        <v>0</v>
      </c>
      <c r="EA204" s="88">
        <f t="shared" ca="1" si="423"/>
        <v>0</v>
      </c>
      <c r="EB204" s="88">
        <f t="shared" ca="1" si="423"/>
        <v>0</v>
      </c>
      <c r="EC204" s="88">
        <f t="shared" ca="1" si="423"/>
        <v>0</v>
      </c>
      <c r="ED204" s="88">
        <f t="shared" ca="1" si="423"/>
        <v>0</v>
      </c>
      <c r="EE204" s="88">
        <f t="shared" ca="1" si="424"/>
        <v>0</v>
      </c>
      <c r="EF204" s="88">
        <f t="shared" ca="1" si="424"/>
        <v>0</v>
      </c>
      <c r="EG204" s="88">
        <f t="shared" ca="1" si="424"/>
        <v>0</v>
      </c>
      <c r="EH204" s="88">
        <f t="shared" ca="1" si="424"/>
        <v>0</v>
      </c>
      <c r="EI204" s="88">
        <f t="shared" ca="1" si="424"/>
        <v>0</v>
      </c>
      <c r="EJ204" s="88">
        <f t="shared" ca="1" si="424"/>
        <v>0</v>
      </c>
      <c r="EK204" s="88">
        <f t="shared" ca="1" si="424"/>
        <v>0</v>
      </c>
      <c r="EL204" s="88">
        <f t="shared" ca="1" si="424"/>
        <v>0</v>
      </c>
      <c r="EM204" s="88">
        <f t="shared" ca="1" si="424"/>
        <v>0</v>
      </c>
      <c r="EN204" s="88">
        <f t="shared" ca="1" si="424"/>
        <v>0</v>
      </c>
      <c r="EO204" s="88">
        <f t="shared" ca="1" si="424"/>
        <v>0</v>
      </c>
      <c r="EP204" s="88">
        <f t="shared" ca="1" si="424"/>
        <v>0</v>
      </c>
      <c r="EQ204" s="88">
        <f t="shared" ca="1" si="424"/>
        <v>0</v>
      </c>
      <c r="ER204" s="88">
        <f t="shared" ca="1" si="424"/>
        <v>0</v>
      </c>
      <c r="ES204" s="88">
        <f t="shared" ca="1" si="424"/>
        <v>0</v>
      </c>
      <c r="ET204" s="169"/>
      <c r="EU204" s="88">
        <f t="shared" ca="1" si="425"/>
        <v>0</v>
      </c>
      <c r="EV204" s="88">
        <f t="shared" ca="1" si="425"/>
        <v>0</v>
      </c>
      <c r="EW204" s="88">
        <f t="shared" ca="1" si="425"/>
        <v>0</v>
      </c>
      <c r="EX204" s="88">
        <f t="shared" ca="1" si="425"/>
        <v>0</v>
      </c>
      <c r="EY204" s="88">
        <f t="shared" ca="1" si="425"/>
        <v>0</v>
      </c>
      <c r="EZ204" s="88">
        <f t="shared" ca="1" si="425"/>
        <v>0</v>
      </c>
      <c r="FA204" s="88">
        <f t="shared" ca="1" si="425"/>
        <v>0</v>
      </c>
      <c r="FB204" s="88">
        <f t="shared" ca="1" si="425"/>
        <v>0</v>
      </c>
      <c r="FC204" s="88">
        <f t="shared" ca="1" si="425"/>
        <v>0</v>
      </c>
      <c r="FD204" s="88">
        <f t="shared" ca="1" si="425"/>
        <v>0</v>
      </c>
      <c r="FE204" s="88">
        <f t="shared" ca="1" si="426"/>
        <v>0</v>
      </c>
      <c r="FF204" s="88">
        <f t="shared" ca="1" si="426"/>
        <v>0</v>
      </c>
      <c r="FG204" s="88">
        <f t="shared" ca="1" si="426"/>
        <v>0</v>
      </c>
      <c r="FH204" s="88">
        <f t="shared" ca="1" si="426"/>
        <v>0</v>
      </c>
      <c r="FI204" s="88">
        <f t="shared" ca="1" si="426"/>
        <v>0</v>
      </c>
      <c r="FJ204" s="88">
        <f t="shared" ca="1" si="426"/>
        <v>0</v>
      </c>
      <c r="FK204" s="88">
        <f t="shared" ca="1" si="426"/>
        <v>0</v>
      </c>
      <c r="FL204" s="88">
        <f t="shared" ca="1" si="426"/>
        <v>0</v>
      </c>
      <c r="FM204" s="88">
        <f t="shared" ca="1" si="426"/>
        <v>0</v>
      </c>
      <c r="FN204" s="88">
        <f t="shared" ca="1" si="426"/>
        <v>0</v>
      </c>
      <c r="FO204" s="88">
        <f t="shared" ca="1" si="427"/>
        <v>0</v>
      </c>
      <c r="FP204" s="88">
        <f t="shared" ca="1" si="427"/>
        <v>0</v>
      </c>
      <c r="FQ204" s="88">
        <f t="shared" ca="1" si="427"/>
        <v>0</v>
      </c>
      <c r="FR204" s="88">
        <f t="shared" ca="1" si="427"/>
        <v>0</v>
      </c>
      <c r="FS204" s="88">
        <f t="shared" ca="1" si="427"/>
        <v>0</v>
      </c>
      <c r="FT204" s="88">
        <f t="shared" ca="1" si="427"/>
        <v>0</v>
      </c>
      <c r="FU204" s="88">
        <f t="shared" ca="1" si="427"/>
        <v>0</v>
      </c>
      <c r="FV204" s="88">
        <f t="shared" ca="1" si="427"/>
        <v>0</v>
      </c>
      <c r="FW204" s="88">
        <f t="shared" ca="1" si="427"/>
        <v>0</v>
      </c>
      <c r="FX204" s="88">
        <f t="shared" ca="1" si="427"/>
        <v>0</v>
      </c>
      <c r="FY204" s="88">
        <f t="shared" ca="1" si="427"/>
        <v>0</v>
      </c>
      <c r="FZ204" s="88">
        <f t="shared" ca="1" si="427"/>
        <v>0</v>
      </c>
      <c r="GA204" s="88">
        <f t="shared" ca="1" si="427"/>
        <v>0</v>
      </c>
      <c r="GB204" s="88">
        <f t="shared" ca="1" si="427"/>
        <v>0</v>
      </c>
      <c r="GC204" s="88">
        <f t="shared" ca="1" si="427"/>
        <v>0</v>
      </c>
      <c r="GD204" s="60"/>
    </row>
    <row r="205" spans="1:186" s="54" customFormat="1" ht="14.45" customHeight="1">
      <c r="A205" s="61"/>
      <c r="B205" s="100" t="str">
        <f t="shared" si="418"/>
        <v>Residential_High Efficiency HVAC_0_Heat Pump SEER ≥15, EER ≥12.5, HSPF ≥8.5_2019</v>
      </c>
      <c r="C205" s="100">
        <f>INDEX('Measure Inputs'!$D:$D,MATCH($B205,'Measure Inputs'!$B:$B,0))</f>
        <v>157</v>
      </c>
      <c r="D205" s="101" t="s">
        <v>2</v>
      </c>
      <c r="E205" s="101" t="s">
        <v>250</v>
      </c>
      <c r="F205" s="101">
        <v>0</v>
      </c>
      <c r="G205" s="101" t="s">
        <v>522</v>
      </c>
      <c r="H205" s="101">
        <v>2019</v>
      </c>
      <c r="I205" s="55"/>
      <c r="J205" s="58">
        <f t="shared" ca="1" si="229"/>
        <v>0.71597751168096746</v>
      </c>
      <c r="K205" s="58">
        <f t="shared" ca="1" si="246"/>
        <v>0.964183049063703</v>
      </c>
      <c r="L205" s="58">
        <f t="shared" ca="1" si="230"/>
        <v>2.7093897074148381</v>
      </c>
      <c r="M205" s="58">
        <f t="shared" ca="1" si="231"/>
        <v>0.89805321682138628</v>
      </c>
      <c r="N205" s="58">
        <f t="shared" ca="1" si="232"/>
        <v>0.26425785471965818</v>
      </c>
      <c r="O205" s="55"/>
      <c r="P205" s="175">
        <f ca="1">IFERROR(($AW205+AV205)/SUMPRODUCT($CA205:$DI205,'General Inputs'!$F$51:$AN$51),"n/a")</f>
        <v>4.8786519917775953E-2</v>
      </c>
      <c r="Q205" s="175">
        <f t="shared" ca="1" si="386"/>
        <v>0.46991998421977965</v>
      </c>
      <c r="R205" s="56">
        <f t="shared" ca="1" si="428"/>
        <v>172.36977085468371</v>
      </c>
      <c r="S205" s="55"/>
      <c r="T205" s="56">
        <f ca="1">INDEX(OFFSET('Measure Inputs'!$L$7,,,InputRows),$C205)</f>
        <v>20</v>
      </c>
      <c r="U205" s="134">
        <f ca="1">INDEX(OFFSET('Measure Inputs'!$T$7,,,InputRows),$C205)</f>
        <v>1</v>
      </c>
      <c r="V205" s="134">
        <f ca="1">INDEX(OFFSET('Measure Inputs'!$U$7,,,InputRows),$C205)</f>
        <v>1</v>
      </c>
      <c r="W205" s="55"/>
      <c r="X205" s="96">
        <f ca="1">INDEX(OFFSET('Measure Inputs'!$V$7,,,InputRows),$C205)*$T205*$V205*$U205</f>
        <v>9576.0983808157616</v>
      </c>
      <c r="Y205" s="96">
        <f ca="1">INDEX(OFFSET('Measure Inputs'!$W$7,,,InputRows),$C205)*$T205*$V205*$U205</f>
        <v>5.8643503635435215</v>
      </c>
      <c r="Z205" s="96">
        <f ca="1">INDEX(OFFSET('Measure Inputs'!$X$7,,,InputRows),$C205)*$T205*$V205*$U205</f>
        <v>0</v>
      </c>
      <c r="AA205" s="55"/>
      <c r="AB205" s="96">
        <f ca="1">INDEX(OFFSET('Measure Inputs'!$Z$7,,,InputRows),$C205)*$T205*$V205*$U205</f>
        <v>0</v>
      </c>
      <c r="AC205" s="96">
        <f ca="1">INDEX(OFFSET('Measure Inputs'!$AA$7,,,InputRows),$C205)*$T205*$V205*$U205</f>
        <v>0</v>
      </c>
      <c r="AD205" s="96">
        <f ca="1">INDEX(OFFSET('Measure Inputs'!$AB$7,,,InputRows),$C205)*$T205*$V205*$U205</f>
        <v>0</v>
      </c>
      <c r="AE205" s="55"/>
      <c r="AF205" s="57">
        <f ca="1">INDEX(OFFSET('Measure Inputs'!$Q$7,,,InputRows),$C205)*$T205</f>
        <v>0</v>
      </c>
      <c r="AG205" s="57">
        <f ca="1">INDEX(OFFSET('Measure Inputs'!$P$7,,,InputRows),$C205)*$T205*$V205</f>
        <v>6060</v>
      </c>
      <c r="AH205" s="57">
        <f ca="1">INDEX(OFFSET('Measure Inputs'!$R$7,,,InputRows),$C205)*$T205*$V205</f>
        <v>0</v>
      </c>
      <c r="AI205" s="57">
        <f ca="1">INDEX(OFFSET('Measure Inputs'!$O$7,,,InputRows),$C205)*$T205</f>
        <v>4500</v>
      </c>
      <c r="AJ205" s="57">
        <f ca="1">INDEX(OFFSET('Measure Inputs'!$S$7,,,InputRows),$C205)*$T205</f>
        <v>0</v>
      </c>
      <c r="AK205" s="63">
        <f ca="1">INDEX(OFFSET('Measure Inputs'!$M$7,,,InputRows),$C205)</f>
        <v>18</v>
      </c>
      <c r="AL205" s="88">
        <f ca="1">INDEX(OFFSET('Measure Inputs'!$N$7,,,InputRows),$C205)</f>
        <v>0</v>
      </c>
      <c r="AM205" s="57">
        <f ca="1">SUMIFS(OFFSET('Program Inputs'!$N$5,,,TotalPrograms),OFFSET('Program Inputs'!$B$5,,,TotalPrograms),SUBSTITUTE($B205,"All","*"))+AF205</f>
        <v>0</v>
      </c>
      <c r="AN205" s="57">
        <f t="shared" ca="1" si="429"/>
        <v>4500</v>
      </c>
      <c r="AO205" s="55"/>
      <c r="AP205" s="59">
        <f t="shared" ca="1" si="430"/>
        <v>3662.6459502461821</v>
      </c>
      <c r="AQ205" s="59">
        <f t="shared" ca="1" si="431"/>
        <v>5115.5879765651371</v>
      </c>
      <c r="AR205" s="59">
        <f ca="1">SUMPRODUCT($CA205:$DI205,'General Inputs'!$F$32:$AN$32,'General Inputs'!$F$51:$AN$51)/(1-Loss_ElectricEnergy)</f>
        <v>2542.6588904994996</v>
      </c>
      <c r="AS205" s="59">
        <f ca="1">SUMPRODUCT($DK205:$ES205,'General Inputs'!$F$33:$AN$33,'General Inputs'!$F$51:$AN$51)/(1-Loss_ElectricDemand)</f>
        <v>1119.9870597466822</v>
      </c>
      <c r="AT205" s="59">
        <f ca="1">SUMPRODUCT($EU205:$GC205,'General Inputs'!$F$34:$AN$34,'General Inputs'!$F$51:$AN$51)/(1-Loss_GasEnergy)</f>
        <v>0</v>
      </c>
      <c r="AU205" s="59">
        <f ca="1">INDEX('General Inputs'!$F$51:$AN$51,MATCH($H205,'General Inputs'!$F$50:$AN$50,0))*$AJ205</f>
        <v>0</v>
      </c>
      <c r="AV205" s="59">
        <f ca="1">INDEX('General Inputs'!$F$51:$AN$51,MATCH($H205,'General Inputs'!$F$50:$AN$50,0))*$AI205</f>
        <v>3798.7039429939132</v>
      </c>
      <c r="AW205" s="59">
        <f ca="1">INDEX('General Inputs'!$F$51:$AN$51,MATCH($H205,'General Inputs'!$F$50:$AN$50,0))*$AM205</f>
        <v>0</v>
      </c>
      <c r="AX205" s="59">
        <f ca="1">SUM(INDEX('General Inputs'!$F$51:$AN$51,MATCH($H205,'General Inputs'!$F$50:$AN$50,0))*$AG205,INDEX('General Inputs'!$F$51:$AN$51,MATCH($H205+$AL205,'General Inputs'!$F$50:$AN$50,0))*-$AH205)</f>
        <v>5115.5879765651371</v>
      </c>
      <c r="AY205" s="55"/>
      <c r="AZ205" s="59">
        <f ca="1">SUMPRODUCT($CA205:$DI205,'General Inputs'!$F$32:$AN$32,'General Inputs'!$F$52:$AN$52)/(1-Loss_ElectricEnergy)</f>
        <v>2542.6588904994996</v>
      </c>
      <c r="BA205" s="59">
        <f ca="1">SUMPRODUCT($DK205:$ES205,'General Inputs'!$F$33:$AN$33,'General Inputs'!$F$52:$AN$52)/(1-Loss_ElectricDemand)</f>
        <v>1119.9870597466822</v>
      </c>
      <c r="BB205" s="59">
        <f ca="1">SUMPRODUCT($EU205:$GC205,'General Inputs'!$F$34:$AN$34,'General Inputs'!$F$52:$AN$52)/(1-Loss_GasEnergy)</f>
        <v>0</v>
      </c>
      <c r="BC205" s="59">
        <f ca="1">INDEX('General Inputs'!$F$52:$AN$52,MATCH($H205,'General Inputs'!$F$50:$AN$50,0))*$AI205</f>
        <v>3798.7039429939132</v>
      </c>
      <c r="BD205" s="59">
        <f ca="1">INDEX('General Inputs'!$F$52:$AN$52,MATCH($H205,'General Inputs'!$F$50:$AN$50,0))*$AM205</f>
        <v>0</v>
      </c>
      <c r="BE205" s="55"/>
      <c r="BF205" s="59">
        <f ca="1">SUMPRODUCT($CA205:$DI205,OFFSET('General Inputs'!$F$40:$AN$40,MATCH($D205&amp;" Electric ($/kWh)",'General Inputs'!$E$40:$E$46,0),),'General Inputs'!$F$54:$AN$54)</f>
        <v>10061.417468086765</v>
      </c>
      <c r="BG205" s="59">
        <f ca="1">SUMPRODUCT($EU205:$GC205,OFFSET('General Inputs'!$F$40:$AN$40,MATCH($D205&amp;" Natural Gas ($/therm)",'General Inputs'!$E$40:$E$46,0),),'General Inputs'!$F$54:$AN$54)</f>
        <v>0</v>
      </c>
      <c r="BH205" s="59">
        <f ca="1">INDEX('General Inputs'!$F$54:$AN$54,MATCH($H205,'General Inputs'!$F$50:$AN$50,0))*$AI205</f>
        <v>3798.7039429939132</v>
      </c>
      <c r="BI205" s="59">
        <f ca="1">SUM(INDEX('General Inputs'!$F$54:$AN$54,MATCH($H205,'General Inputs'!$F$50:$AN$50,0))*$AG205,INDEX('General Inputs'!$F$51:$AN$51,MATCH($H205+$AL205,'General Inputs'!$F$50:$AN$50,0))*-$AH205)</f>
        <v>5115.5879765651371</v>
      </c>
      <c r="BJ205" s="55"/>
      <c r="BK205" s="59">
        <f ca="1">SUMPRODUCT($CA205:$DI205,'General Inputs'!$F$32:$AN$32,'General Inputs'!$F$53:$AN$53)/(1-Loss_ElectricEnergy)</f>
        <v>2542.6588904994996</v>
      </c>
      <c r="BL205" s="59">
        <f ca="1">SUMPRODUCT($DK205:$ES205,'General Inputs'!$F$33:$AN$33,'General Inputs'!$F$53:$AN$53)/(1-Loss_ElectricDemand)</f>
        <v>1119.9870597466822</v>
      </c>
      <c r="BM205" s="59">
        <f ca="1">SUMPRODUCT($EU205:$GC205,'General Inputs'!$F$34:$AN$34,'General Inputs'!$F$53:$AN$53)/(1-Loss_GasEnergy)</f>
        <v>0</v>
      </c>
      <c r="BN205" s="59">
        <f ca="1">INDEX('General Inputs'!$F$53:$AN$53,MATCH($H205,'General Inputs'!$F$50:$AN$50,0))*$AJ205</f>
        <v>0</v>
      </c>
      <c r="BO205" s="59">
        <f ca="1">SUMPRODUCT($CA205:$DI205,'General Inputs'!$F$35:$AN$35,'General Inputs'!$F$53:$AN$53)/(1-Loss_ElectricEnergy)</f>
        <v>931.4242880409455</v>
      </c>
      <c r="BP205" s="59">
        <f ca="1">INDEX('General Inputs'!$F$51:$AN$51,MATCH($H205,'General Inputs'!$F$50:$AN$50,0))*$AM205</f>
        <v>0</v>
      </c>
      <c r="BQ205" s="59">
        <f ca="1">SUM(INDEX('General Inputs'!$F$53:$AN$53,MATCH($H205,'General Inputs'!$F$50:$AN$50,0))*$AG205,INDEX('General Inputs'!$F$53:$AN$53,MATCH($H205+$AL205,'General Inputs'!$F$50:$AN$50,0))*-$AH205)</f>
        <v>5115.5879765651371</v>
      </c>
      <c r="BR205" s="55"/>
      <c r="BS205" s="59">
        <f ca="1">SUMPRODUCT($CA205:$DI205,'General Inputs'!$F$32:$AN$32,'General Inputs'!$F$55:$AN$55)/(1-Loss_ElectricEnergy)</f>
        <v>2542.6588904994996</v>
      </c>
      <c r="BT205" s="59">
        <f ca="1">SUMPRODUCT($DK205:$ES205,'General Inputs'!$F$33:$AN$33,'General Inputs'!$F$55:$AN$55)/(1-Loss_ElectricDemand)</f>
        <v>1119.9870597466822</v>
      </c>
      <c r="BU205" s="59">
        <f ca="1">SUMPRODUCT($EU205:$GC205,'General Inputs'!$F$34:$AN$34,'General Inputs'!$F$55:$AN$55)/(1-Loss_GasEnergy)</f>
        <v>0</v>
      </c>
      <c r="BV205" s="59">
        <f ca="1">SUMPRODUCT($CA205:$DI205,OFFSET('General Inputs'!$F$40:$AN$40,MATCH($D205&amp;" Electric ($/kWh)",'General Inputs'!$E$40:$E$46,0),),'General Inputs'!$F$55:$AN$55)</f>
        <v>10061.417468086765</v>
      </c>
      <c r="BW205" s="59">
        <f ca="1">SUMPRODUCT($EU205:$GC205,OFFSET('General Inputs'!$F$40:$AN$40,MATCH($D205&amp;" Natural Gas ($/therm)",'General Inputs'!$E$40:$E$46,0),),'General Inputs'!$F$55:$AN$55)</f>
        <v>0</v>
      </c>
      <c r="BX205" s="59">
        <f ca="1">INDEX('General Inputs'!$F$55:$AN$55,MATCH($H205,'General Inputs'!$F$50:$AN$50,0))*$AI205</f>
        <v>3798.7039429939132</v>
      </c>
      <c r="BY205" s="59">
        <f ca="1">INDEX('General Inputs'!$F$51:$AN$51,MATCH($H205,'General Inputs'!$F$50:$AN$50,0))*$AM205</f>
        <v>0</v>
      </c>
      <c r="BZ205" s="55"/>
      <c r="CA205" s="88">
        <f t="shared" ca="1" si="419"/>
        <v>0</v>
      </c>
      <c r="CB205" s="88">
        <f t="shared" ca="1" si="419"/>
        <v>0</v>
      </c>
      <c r="CC205" s="88">
        <f t="shared" ca="1" si="419"/>
        <v>9576.0983808157616</v>
      </c>
      <c r="CD205" s="88">
        <f t="shared" ca="1" si="419"/>
        <v>9576.0983808157616</v>
      </c>
      <c r="CE205" s="88">
        <f t="shared" ca="1" si="419"/>
        <v>9576.0983808157616</v>
      </c>
      <c r="CF205" s="88">
        <f t="shared" ca="1" si="419"/>
        <v>9576.0983808157616</v>
      </c>
      <c r="CG205" s="88">
        <f t="shared" ca="1" si="419"/>
        <v>9576.0983808157616</v>
      </c>
      <c r="CH205" s="88">
        <f t="shared" ca="1" si="419"/>
        <v>9576.0983808157616</v>
      </c>
      <c r="CI205" s="88">
        <f t="shared" ca="1" si="419"/>
        <v>9576.0983808157616</v>
      </c>
      <c r="CJ205" s="88">
        <f t="shared" ca="1" si="419"/>
        <v>9576.0983808157616</v>
      </c>
      <c r="CK205" s="88">
        <f t="shared" ca="1" si="420"/>
        <v>9576.0983808157616</v>
      </c>
      <c r="CL205" s="88">
        <f t="shared" ca="1" si="420"/>
        <v>9576.0983808157616</v>
      </c>
      <c r="CM205" s="88">
        <f t="shared" ca="1" si="420"/>
        <v>9576.0983808157616</v>
      </c>
      <c r="CN205" s="88">
        <f t="shared" ca="1" si="420"/>
        <v>9576.0983808157616</v>
      </c>
      <c r="CO205" s="88">
        <f t="shared" ca="1" si="420"/>
        <v>9576.0983808157616</v>
      </c>
      <c r="CP205" s="88">
        <f t="shared" ca="1" si="420"/>
        <v>9576.0983808157616</v>
      </c>
      <c r="CQ205" s="88">
        <f t="shared" ca="1" si="420"/>
        <v>9576.0983808157616</v>
      </c>
      <c r="CR205" s="88">
        <f t="shared" ca="1" si="420"/>
        <v>9576.0983808157616</v>
      </c>
      <c r="CS205" s="88">
        <f t="shared" ca="1" si="420"/>
        <v>9576.0983808157616</v>
      </c>
      <c r="CT205" s="88">
        <f t="shared" ca="1" si="420"/>
        <v>9576.0983808157616</v>
      </c>
      <c r="CU205" s="88">
        <f t="shared" ca="1" si="421"/>
        <v>0</v>
      </c>
      <c r="CV205" s="88">
        <f t="shared" ca="1" si="421"/>
        <v>0</v>
      </c>
      <c r="CW205" s="88">
        <f t="shared" ca="1" si="421"/>
        <v>0</v>
      </c>
      <c r="CX205" s="88">
        <f t="shared" ca="1" si="421"/>
        <v>0</v>
      </c>
      <c r="CY205" s="88">
        <f t="shared" ca="1" si="421"/>
        <v>0</v>
      </c>
      <c r="CZ205" s="88">
        <f t="shared" ca="1" si="421"/>
        <v>0</v>
      </c>
      <c r="DA205" s="88">
        <f t="shared" ca="1" si="421"/>
        <v>0</v>
      </c>
      <c r="DB205" s="88">
        <f t="shared" ca="1" si="421"/>
        <v>0</v>
      </c>
      <c r="DC205" s="88">
        <f t="shared" ca="1" si="421"/>
        <v>0</v>
      </c>
      <c r="DD205" s="88">
        <f t="shared" ca="1" si="421"/>
        <v>0</v>
      </c>
      <c r="DE205" s="88">
        <f t="shared" ca="1" si="421"/>
        <v>0</v>
      </c>
      <c r="DF205" s="88">
        <f t="shared" ca="1" si="421"/>
        <v>0</v>
      </c>
      <c r="DG205" s="88">
        <f t="shared" ca="1" si="421"/>
        <v>0</v>
      </c>
      <c r="DH205" s="88">
        <f t="shared" ca="1" si="421"/>
        <v>0</v>
      </c>
      <c r="DI205" s="88">
        <f t="shared" ca="1" si="421"/>
        <v>0</v>
      </c>
      <c r="DJ205" s="169"/>
      <c r="DK205" s="88">
        <f t="shared" ca="1" si="422"/>
        <v>0</v>
      </c>
      <c r="DL205" s="88">
        <f t="shared" ca="1" si="422"/>
        <v>0</v>
      </c>
      <c r="DM205" s="88">
        <f t="shared" ca="1" si="422"/>
        <v>5.8643503635435215</v>
      </c>
      <c r="DN205" s="88">
        <f t="shared" ca="1" si="422"/>
        <v>5.8643503635435215</v>
      </c>
      <c r="DO205" s="88">
        <f t="shared" ca="1" si="422"/>
        <v>5.8643503635435215</v>
      </c>
      <c r="DP205" s="88">
        <f t="shared" ca="1" si="422"/>
        <v>5.8643503635435215</v>
      </c>
      <c r="DQ205" s="88">
        <f t="shared" ca="1" si="422"/>
        <v>5.8643503635435215</v>
      </c>
      <c r="DR205" s="88">
        <f t="shared" ca="1" si="422"/>
        <v>5.8643503635435215</v>
      </c>
      <c r="DS205" s="88">
        <f t="shared" ca="1" si="422"/>
        <v>5.8643503635435215</v>
      </c>
      <c r="DT205" s="88">
        <f t="shared" ca="1" si="422"/>
        <v>5.8643503635435215</v>
      </c>
      <c r="DU205" s="88">
        <f t="shared" ca="1" si="423"/>
        <v>5.8643503635435215</v>
      </c>
      <c r="DV205" s="88">
        <f t="shared" ca="1" si="423"/>
        <v>5.8643503635435215</v>
      </c>
      <c r="DW205" s="88">
        <f t="shared" ca="1" si="423"/>
        <v>5.8643503635435215</v>
      </c>
      <c r="DX205" s="88">
        <f t="shared" ca="1" si="423"/>
        <v>5.8643503635435215</v>
      </c>
      <c r="DY205" s="88">
        <f t="shared" ca="1" si="423"/>
        <v>5.8643503635435215</v>
      </c>
      <c r="DZ205" s="88">
        <f t="shared" ca="1" si="423"/>
        <v>5.8643503635435215</v>
      </c>
      <c r="EA205" s="88">
        <f t="shared" ca="1" si="423"/>
        <v>5.8643503635435215</v>
      </c>
      <c r="EB205" s="88">
        <f t="shared" ca="1" si="423"/>
        <v>5.8643503635435215</v>
      </c>
      <c r="EC205" s="88">
        <f t="shared" ca="1" si="423"/>
        <v>5.8643503635435215</v>
      </c>
      <c r="ED205" s="88">
        <f t="shared" ca="1" si="423"/>
        <v>5.8643503635435215</v>
      </c>
      <c r="EE205" s="88">
        <f t="shared" ca="1" si="424"/>
        <v>0</v>
      </c>
      <c r="EF205" s="88">
        <f t="shared" ca="1" si="424"/>
        <v>0</v>
      </c>
      <c r="EG205" s="88">
        <f t="shared" ca="1" si="424"/>
        <v>0</v>
      </c>
      <c r="EH205" s="88">
        <f t="shared" ca="1" si="424"/>
        <v>0</v>
      </c>
      <c r="EI205" s="88">
        <f t="shared" ca="1" si="424"/>
        <v>0</v>
      </c>
      <c r="EJ205" s="88">
        <f t="shared" ca="1" si="424"/>
        <v>0</v>
      </c>
      <c r="EK205" s="88">
        <f t="shared" ca="1" si="424"/>
        <v>0</v>
      </c>
      <c r="EL205" s="88">
        <f t="shared" ca="1" si="424"/>
        <v>0</v>
      </c>
      <c r="EM205" s="88">
        <f t="shared" ca="1" si="424"/>
        <v>0</v>
      </c>
      <c r="EN205" s="88">
        <f t="shared" ca="1" si="424"/>
        <v>0</v>
      </c>
      <c r="EO205" s="88">
        <f t="shared" ca="1" si="424"/>
        <v>0</v>
      </c>
      <c r="EP205" s="88">
        <f t="shared" ca="1" si="424"/>
        <v>0</v>
      </c>
      <c r="EQ205" s="88">
        <f t="shared" ca="1" si="424"/>
        <v>0</v>
      </c>
      <c r="ER205" s="88">
        <f t="shared" ca="1" si="424"/>
        <v>0</v>
      </c>
      <c r="ES205" s="88">
        <f t="shared" ca="1" si="424"/>
        <v>0</v>
      </c>
      <c r="ET205" s="169"/>
      <c r="EU205" s="88">
        <f t="shared" ca="1" si="425"/>
        <v>0</v>
      </c>
      <c r="EV205" s="88">
        <f t="shared" ca="1" si="425"/>
        <v>0</v>
      </c>
      <c r="EW205" s="88">
        <f t="shared" ca="1" si="425"/>
        <v>0</v>
      </c>
      <c r="EX205" s="88">
        <f t="shared" ca="1" si="425"/>
        <v>0</v>
      </c>
      <c r="EY205" s="88">
        <f t="shared" ca="1" si="425"/>
        <v>0</v>
      </c>
      <c r="EZ205" s="88">
        <f t="shared" ca="1" si="425"/>
        <v>0</v>
      </c>
      <c r="FA205" s="88">
        <f t="shared" ca="1" si="425"/>
        <v>0</v>
      </c>
      <c r="FB205" s="88">
        <f t="shared" ca="1" si="425"/>
        <v>0</v>
      </c>
      <c r="FC205" s="88">
        <f t="shared" ca="1" si="425"/>
        <v>0</v>
      </c>
      <c r="FD205" s="88">
        <f t="shared" ca="1" si="425"/>
        <v>0</v>
      </c>
      <c r="FE205" s="88">
        <f t="shared" ca="1" si="426"/>
        <v>0</v>
      </c>
      <c r="FF205" s="88">
        <f t="shared" ca="1" si="426"/>
        <v>0</v>
      </c>
      <c r="FG205" s="88">
        <f t="shared" ca="1" si="426"/>
        <v>0</v>
      </c>
      <c r="FH205" s="88">
        <f t="shared" ca="1" si="426"/>
        <v>0</v>
      </c>
      <c r="FI205" s="88">
        <f t="shared" ca="1" si="426"/>
        <v>0</v>
      </c>
      <c r="FJ205" s="88">
        <f t="shared" ca="1" si="426"/>
        <v>0</v>
      </c>
      <c r="FK205" s="88">
        <f t="shared" ca="1" si="426"/>
        <v>0</v>
      </c>
      <c r="FL205" s="88">
        <f t="shared" ca="1" si="426"/>
        <v>0</v>
      </c>
      <c r="FM205" s="88">
        <f t="shared" ca="1" si="426"/>
        <v>0</v>
      </c>
      <c r="FN205" s="88">
        <f t="shared" ca="1" si="426"/>
        <v>0</v>
      </c>
      <c r="FO205" s="88">
        <f t="shared" ca="1" si="427"/>
        <v>0</v>
      </c>
      <c r="FP205" s="88">
        <f t="shared" ca="1" si="427"/>
        <v>0</v>
      </c>
      <c r="FQ205" s="88">
        <f t="shared" ca="1" si="427"/>
        <v>0</v>
      </c>
      <c r="FR205" s="88">
        <f t="shared" ca="1" si="427"/>
        <v>0</v>
      </c>
      <c r="FS205" s="88">
        <f t="shared" ca="1" si="427"/>
        <v>0</v>
      </c>
      <c r="FT205" s="88">
        <f t="shared" ca="1" si="427"/>
        <v>0</v>
      </c>
      <c r="FU205" s="88">
        <f t="shared" ca="1" si="427"/>
        <v>0</v>
      </c>
      <c r="FV205" s="88">
        <f t="shared" ca="1" si="427"/>
        <v>0</v>
      </c>
      <c r="FW205" s="88">
        <f t="shared" ca="1" si="427"/>
        <v>0</v>
      </c>
      <c r="FX205" s="88">
        <f t="shared" ca="1" si="427"/>
        <v>0</v>
      </c>
      <c r="FY205" s="88">
        <f t="shared" ca="1" si="427"/>
        <v>0</v>
      </c>
      <c r="FZ205" s="88">
        <f t="shared" ca="1" si="427"/>
        <v>0</v>
      </c>
      <c r="GA205" s="88">
        <f t="shared" ca="1" si="427"/>
        <v>0</v>
      </c>
      <c r="GB205" s="88">
        <f t="shared" ca="1" si="427"/>
        <v>0</v>
      </c>
      <c r="GC205" s="88">
        <f t="shared" ca="1" si="427"/>
        <v>0</v>
      </c>
      <c r="GD205" s="60"/>
    </row>
    <row r="206" spans="1:186" s="54" customFormat="1" ht="14.45" customHeight="1">
      <c r="A206" s="61"/>
      <c r="B206" s="100" t="str">
        <f t="shared" si="418"/>
        <v>Residential_High Efficiency HVAC_0_Early Retirement Heat Pump SEER ≥15, EER ≥12.5, HSPF ≥8.5_2019</v>
      </c>
      <c r="C206" s="100">
        <f>INDEX('Measure Inputs'!$D:$D,MATCH($B206,'Measure Inputs'!$B:$B,0))</f>
        <v>158</v>
      </c>
      <c r="D206" s="101" t="s">
        <v>2</v>
      </c>
      <c r="E206" s="101" t="s">
        <v>250</v>
      </c>
      <c r="F206" s="101">
        <v>0</v>
      </c>
      <c r="G206" s="101" t="s">
        <v>519</v>
      </c>
      <c r="H206" s="101">
        <v>2019</v>
      </c>
      <c r="I206" s="55"/>
      <c r="J206" s="58" t="str">
        <f t="shared" ca="1" si="229"/>
        <v>n/a</v>
      </c>
      <c r="K206" s="58" t="str">
        <f t="shared" ca="1" si="246"/>
        <v>n/a</v>
      </c>
      <c r="L206" s="58" t="str">
        <f t="shared" ca="1" si="230"/>
        <v>n/a</v>
      </c>
      <c r="M206" s="58" t="str">
        <f t="shared" ca="1" si="231"/>
        <v>n/a</v>
      </c>
      <c r="N206" s="58" t="str">
        <f t="shared" ca="1" si="232"/>
        <v>n/a</v>
      </c>
      <c r="O206" s="55"/>
      <c r="P206" s="175" t="str">
        <f ca="1">IFERROR(($AW206+AV206)/SUMPRODUCT($CA206:$DI206,'General Inputs'!$F$51:$AN$51),"n/a")</f>
        <v>n/a</v>
      </c>
      <c r="Q206" s="175" t="str">
        <f t="shared" ca="1" si="386"/>
        <v>n/a</v>
      </c>
      <c r="R206" s="56">
        <f t="shared" ca="1" si="428"/>
        <v>0</v>
      </c>
      <c r="S206" s="55"/>
      <c r="T206" s="56">
        <f ca="1">INDEX(OFFSET('Measure Inputs'!$L$7,,,InputRows),$C206)</f>
        <v>0</v>
      </c>
      <c r="U206" s="134">
        <f ca="1">INDEX(OFFSET('Measure Inputs'!$T$7,,,InputRows),$C206)</f>
        <v>1</v>
      </c>
      <c r="V206" s="134">
        <f ca="1">INDEX(OFFSET('Measure Inputs'!$U$7,,,InputRows),$C206)</f>
        <v>1</v>
      </c>
      <c r="W206" s="55"/>
      <c r="X206" s="96">
        <f ca="1">INDEX(OFFSET('Measure Inputs'!$V$7,,,InputRows),$C206)*$T206*$V206*$U206</f>
        <v>0</v>
      </c>
      <c r="Y206" s="96">
        <f ca="1">INDEX(OFFSET('Measure Inputs'!$W$7,,,InputRows),$C206)*$T206*$V206*$U206</f>
        <v>0</v>
      </c>
      <c r="Z206" s="96">
        <f ca="1">INDEX(OFFSET('Measure Inputs'!$X$7,,,InputRows),$C206)*$T206*$V206*$U206</f>
        <v>0</v>
      </c>
      <c r="AA206" s="55"/>
      <c r="AB206" s="96">
        <f ca="1">INDEX(OFFSET('Measure Inputs'!$Z$7,,,InputRows),$C206)*$T206*$V206*$U206</f>
        <v>0</v>
      </c>
      <c r="AC206" s="96">
        <f ca="1">INDEX(OFFSET('Measure Inputs'!$AA$7,,,InputRows),$C206)*$T206*$V206*$U206</f>
        <v>0</v>
      </c>
      <c r="AD206" s="96">
        <f ca="1">INDEX(OFFSET('Measure Inputs'!$AB$7,,,InputRows),$C206)*$T206*$V206*$U206</f>
        <v>0</v>
      </c>
      <c r="AE206" s="55"/>
      <c r="AF206" s="57">
        <f ca="1">INDEX(OFFSET('Measure Inputs'!$Q$7,,,InputRows),$C206)*$T206</f>
        <v>0</v>
      </c>
      <c r="AG206" s="57">
        <f ca="1">INDEX(OFFSET('Measure Inputs'!$P$7,,,InputRows),$C206)*$T206*$V206</f>
        <v>0</v>
      </c>
      <c r="AH206" s="57">
        <f ca="1">INDEX(OFFSET('Measure Inputs'!$R$7,,,InputRows),$C206)*$T206*$V206</f>
        <v>0</v>
      </c>
      <c r="AI206" s="57">
        <f ca="1">INDEX(OFFSET('Measure Inputs'!$O$7,,,InputRows),$C206)*$T206</f>
        <v>0</v>
      </c>
      <c r="AJ206" s="57">
        <f ca="1">INDEX(OFFSET('Measure Inputs'!$S$7,,,InputRows),$C206)*$T206</f>
        <v>0</v>
      </c>
      <c r="AK206" s="63">
        <f ca="1">INDEX(OFFSET('Measure Inputs'!$M$7,,,InputRows),$C206)</f>
        <v>18</v>
      </c>
      <c r="AL206" s="88">
        <f ca="1">INDEX(OFFSET('Measure Inputs'!$N$7,,,InputRows),$C206)</f>
        <v>6</v>
      </c>
      <c r="AM206" s="57">
        <f ca="1">SUMIFS(OFFSET('Program Inputs'!$N$5,,,TotalPrograms),OFFSET('Program Inputs'!$B$5,,,TotalPrograms),SUBSTITUTE($B206,"All","*"))+AF206</f>
        <v>0</v>
      </c>
      <c r="AN206" s="57">
        <f t="shared" ca="1" si="429"/>
        <v>0</v>
      </c>
      <c r="AO206" s="55"/>
      <c r="AP206" s="59">
        <f t="shared" ca="1" si="430"/>
        <v>0</v>
      </c>
      <c r="AQ206" s="59">
        <f t="shared" ca="1" si="431"/>
        <v>0</v>
      </c>
      <c r="AR206" s="59">
        <f ca="1">SUMPRODUCT($CA206:$DI206,'General Inputs'!$F$32:$AN$32,'General Inputs'!$F$51:$AN$51)/(1-Loss_ElectricEnergy)</f>
        <v>0</v>
      </c>
      <c r="AS206" s="59">
        <f ca="1">SUMPRODUCT($DK206:$ES206,'General Inputs'!$F$33:$AN$33,'General Inputs'!$F$51:$AN$51)/(1-Loss_ElectricDemand)</f>
        <v>0</v>
      </c>
      <c r="AT206" s="59">
        <f ca="1">SUMPRODUCT($EU206:$GC206,'General Inputs'!$F$34:$AN$34,'General Inputs'!$F$51:$AN$51)/(1-Loss_GasEnergy)</f>
        <v>0</v>
      </c>
      <c r="AU206" s="59">
        <f ca="1">INDEX('General Inputs'!$F$51:$AN$51,MATCH($H206,'General Inputs'!$F$50:$AN$50,0))*$AJ206</f>
        <v>0</v>
      </c>
      <c r="AV206" s="59">
        <f ca="1">INDEX('General Inputs'!$F$51:$AN$51,MATCH($H206,'General Inputs'!$F$50:$AN$50,0))*$AI206</f>
        <v>0</v>
      </c>
      <c r="AW206" s="59">
        <f ca="1">INDEX('General Inputs'!$F$51:$AN$51,MATCH($H206,'General Inputs'!$F$50:$AN$50,0))*$AM206</f>
        <v>0</v>
      </c>
      <c r="AX206" s="59">
        <f ca="1">SUM(INDEX('General Inputs'!$F$51:$AN$51,MATCH($H206,'General Inputs'!$F$50:$AN$50,0))*$AG206,INDEX('General Inputs'!$F$51:$AN$51,MATCH($H206+$AL206,'General Inputs'!$F$50:$AN$50,0))*-$AH206)</f>
        <v>0</v>
      </c>
      <c r="AY206" s="55"/>
      <c r="AZ206" s="59">
        <f ca="1">SUMPRODUCT($CA206:$DI206,'General Inputs'!$F$32:$AN$32,'General Inputs'!$F$52:$AN$52)/(1-Loss_ElectricEnergy)</f>
        <v>0</v>
      </c>
      <c r="BA206" s="59">
        <f ca="1">SUMPRODUCT($DK206:$ES206,'General Inputs'!$F$33:$AN$33,'General Inputs'!$F$52:$AN$52)/(1-Loss_ElectricDemand)</f>
        <v>0</v>
      </c>
      <c r="BB206" s="59">
        <f ca="1">SUMPRODUCT($EU206:$GC206,'General Inputs'!$F$34:$AN$34,'General Inputs'!$F$52:$AN$52)/(1-Loss_GasEnergy)</f>
        <v>0</v>
      </c>
      <c r="BC206" s="59">
        <f ca="1">INDEX('General Inputs'!$F$52:$AN$52,MATCH($H206,'General Inputs'!$F$50:$AN$50,0))*$AI206</f>
        <v>0</v>
      </c>
      <c r="BD206" s="59">
        <f ca="1">INDEX('General Inputs'!$F$52:$AN$52,MATCH($H206,'General Inputs'!$F$50:$AN$50,0))*$AM206</f>
        <v>0</v>
      </c>
      <c r="BE206" s="55"/>
      <c r="BF206" s="59">
        <f ca="1">SUMPRODUCT($CA206:$DI206,OFFSET('General Inputs'!$F$40:$AN$40,MATCH($D206&amp;" Electric ($/kWh)",'General Inputs'!$E$40:$E$46,0),),'General Inputs'!$F$54:$AN$54)</f>
        <v>0</v>
      </c>
      <c r="BG206" s="59">
        <f ca="1">SUMPRODUCT($EU206:$GC206,OFFSET('General Inputs'!$F$40:$AN$40,MATCH($D206&amp;" Natural Gas ($/therm)",'General Inputs'!$E$40:$E$46,0),),'General Inputs'!$F$54:$AN$54)</f>
        <v>0</v>
      </c>
      <c r="BH206" s="59">
        <f ca="1">INDEX('General Inputs'!$F$54:$AN$54,MATCH($H206,'General Inputs'!$F$50:$AN$50,0))*$AI206</f>
        <v>0</v>
      </c>
      <c r="BI206" s="59">
        <f ca="1">SUM(INDEX('General Inputs'!$F$54:$AN$54,MATCH($H206,'General Inputs'!$F$50:$AN$50,0))*$AG206,INDEX('General Inputs'!$F$51:$AN$51,MATCH($H206+$AL206,'General Inputs'!$F$50:$AN$50,0))*-$AH206)</f>
        <v>0</v>
      </c>
      <c r="BJ206" s="55"/>
      <c r="BK206" s="59">
        <f ca="1">SUMPRODUCT($CA206:$DI206,'General Inputs'!$F$32:$AN$32,'General Inputs'!$F$53:$AN$53)/(1-Loss_ElectricEnergy)</f>
        <v>0</v>
      </c>
      <c r="BL206" s="59">
        <f ca="1">SUMPRODUCT($DK206:$ES206,'General Inputs'!$F$33:$AN$33,'General Inputs'!$F$53:$AN$53)/(1-Loss_ElectricDemand)</f>
        <v>0</v>
      </c>
      <c r="BM206" s="59">
        <f ca="1">SUMPRODUCT($EU206:$GC206,'General Inputs'!$F$34:$AN$34,'General Inputs'!$F$53:$AN$53)/(1-Loss_GasEnergy)</f>
        <v>0</v>
      </c>
      <c r="BN206" s="59">
        <f ca="1">INDEX('General Inputs'!$F$53:$AN$53,MATCH($H206,'General Inputs'!$F$50:$AN$50,0))*$AJ206</f>
        <v>0</v>
      </c>
      <c r="BO206" s="59">
        <f ca="1">SUMPRODUCT($CA206:$DI206,'General Inputs'!$F$35:$AN$35,'General Inputs'!$F$53:$AN$53)/(1-Loss_ElectricEnergy)</f>
        <v>0</v>
      </c>
      <c r="BP206" s="59">
        <f ca="1">INDEX('General Inputs'!$F$51:$AN$51,MATCH($H206,'General Inputs'!$F$50:$AN$50,0))*$AM206</f>
        <v>0</v>
      </c>
      <c r="BQ206" s="59">
        <f ca="1">SUM(INDEX('General Inputs'!$F$53:$AN$53,MATCH($H206,'General Inputs'!$F$50:$AN$50,0))*$AG206,INDEX('General Inputs'!$F$53:$AN$53,MATCH($H206+$AL206,'General Inputs'!$F$50:$AN$50,0))*-$AH206)</f>
        <v>0</v>
      </c>
      <c r="BR206" s="55"/>
      <c r="BS206" s="59">
        <f ca="1">SUMPRODUCT($CA206:$DI206,'General Inputs'!$F$32:$AN$32,'General Inputs'!$F$55:$AN$55)/(1-Loss_ElectricEnergy)</f>
        <v>0</v>
      </c>
      <c r="BT206" s="59">
        <f ca="1">SUMPRODUCT($DK206:$ES206,'General Inputs'!$F$33:$AN$33,'General Inputs'!$F$55:$AN$55)/(1-Loss_ElectricDemand)</f>
        <v>0</v>
      </c>
      <c r="BU206" s="59">
        <f ca="1">SUMPRODUCT($EU206:$GC206,'General Inputs'!$F$34:$AN$34,'General Inputs'!$F$55:$AN$55)/(1-Loss_GasEnergy)</f>
        <v>0</v>
      </c>
      <c r="BV206" s="59">
        <f ca="1">SUMPRODUCT($CA206:$DI206,OFFSET('General Inputs'!$F$40:$AN$40,MATCH($D206&amp;" Electric ($/kWh)",'General Inputs'!$E$40:$E$46,0),),'General Inputs'!$F$55:$AN$55)</f>
        <v>0</v>
      </c>
      <c r="BW206" s="59">
        <f ca="1">SUMPRODUCT($EU206:$GC206,OFFSET('General Inputs'!$F$40:$AN$40,MATCH($D206&amp;" Natural Gas ($/therm)",'General Inputs'!$E$40:$E$46,0),),'General Inputs'!$F$55:$AN$55)</f>
        <v>0</v>
      </c>
      <c r="BX206" s="59">
        <f ca="1">INDEX('General Inputs'!$F$55:$AN$55,MATCH($H206,'General Inputs'!$F$50:$AN$50,0))*$AI206</f>
        <v>0</v>
      </c>
      <c r="BY206" s="59">
        <f ca="1">INDEX('General Inputs'!$F$51:$AN$51,MATCH($H206,'General Inputs'!$F$50:$AN$50,0))*$AM206</f>
        <v>0</v>
      </c>
      <c r="BZ206" s="55"/>
      <c r="CA206" s="88">
        <f t="shared" ca="1" si="419"/>
        <v>0</v>
      </c>
      <c r="CB206" s="88">
        <f t="shared" ca="1" si="419"/>
        <v>0</v>
      </c>
      <c r="CC206" s="88">
        <f t="shared" ca="1" si="419"/>
        <v>0</v>
      </c>
      <c r="CD206" s="88">
        <f t="shared" ca="1" si="419"/>
        <v>0</v>
      </c>
      <c r="CE206" s="88">
        <f t="shared" ca="1" si="419"/>
        <v>0</v>
      </c>
      <c r="CF206" s="88">
        <f t="shared" ca="1" si="419"/>
        <v>0</v>
      </c>
      <c r="CG206" s="88">
        <f t="shared" ca="1" si="419"/>
        <v>0</v>
      </c>
      <c r="CH206" s="88">
        <f t="shared" ca="1" si="419"/>
        <v>0</v>
      </c>
      <c r="CI206" s="88">
        <f t="shared" ca="1" si="419"/>
        <v>0</v>
      </c>
      <c r="CJ206" s="88">
        <f t="shared" ca="1" si="419"/>
        <v>0</v>
      </c>
      <c r="CK206" s="88">
        <f t="shared" ca="1" si="420"/>
        <v>0</v>
      </c>
      <c r="CL206" s="88">
        <f t="shared" ca="1" si="420"/>
        <v>0</v>
      </c>
      <c r="CM206" s="88">
        <f t="shared" ca="1" si="420"/>
        <v>0</v>
      </c>
      <c r="CN206" s="88">
        <f t="shared" ca="1" si="420"/>
        <v>0</v>
      </c>
      <c r="CO206" s="88">
        <f t="shared" ca="1" si="420"/>
        <v>0</v>
      </c>
      <c r="CP206" s="88">
        <f t="shared" ca="1" si="420"/>
        <v>0</v>
      </c>
      <c r="CQ206" s="88">
        <f t="shared" ca="1" si="420"/>
        <v>0</v>
      </c>
      <c r="CR206" s="88">
        <f t="shared" ca="1" si="420"/>
        <v>0</v>
      </c>
      <c r="CS206" s="88">
        <f t="shared" ca="1" si="420"/>
        <v>0</v>
      </c>
      <c r="CT206" s="88">
        <f t="shared" ca="1" si="420"/>
        <v>0</v>
      </c>
      <c r="CU206" s="88">
        <f t="shared" ca="1" si="421"/>
        <v>0</v>
      </c>
      <c r="CV206" s="88">
        <f t="shared" ca="1" si="421"/>
        <v>0</v>
      </c>
      <c r="CW206" s="88">
        <f t="shared" ca="1" si="421"/>
        <v>0</v>
      </c>
      <c r="CX206" s="88">
        <f t="shared" ca="1" si="421"/>
        <v>0</v>
      </c>
      <c r="CY206" s="88">
        <f t="shared" ca="1" si="421"/>
        <v>0</v>
      </c>
      <c r="CZ206" s="88">
        <f t="shared" ca="1" si="421"/>
        <v>0</v>
      </c>
      <c r="DA206" s="88">
        <f t="shared" ca="1" si="421"/>
        <v>0</v>
      </c>
      <c r="DB206" s="88">
        <f t="shared" ca="1" si="421"/>
        <v>0</v>
      </c>
      <c r="DC206" s="88">
        <f t="shared" ca="1" si="421"/>
        <v>0</v>
      </c>
      <c r="DD206" s="88">
        <f t="shared" ca="1" si="421"/>
        <v>0</v>
      </c>
      <c r="DE206" s="88">
        <f t="shared" ca="1" si="421"/>
        <v>0</v>
      </c>
      <c r="DF206" s="88">
        <f t="shared" ca="1" si="421"/>
        <v>0</v>
      </c>
      <c r="DG206" s="88">
        <f t="shared" ca="1" si="421"/>
        <v>0</v>
      </c>
      <c r="DH206" s="88">
        <f t="shared" ca="1" si="421"/>
        <v>0</v>
      </c>
      <c r="DI206" s="88">
        <f t="shared" ca="1" si="421"/>
        <v>0</v>
      </c>
      <c r="DJ206" s="169"/>
      <c r="DK206" s="88">
        <f t="shared" ca="1" si="422"/>
        <v>0</v>
      </c>
      <c r="DL206" s="88">
        <f t="shared" ca="1" si="422"/>
        <v>0</v>
      </c>
      <c r="DM206" s="88">
        <f t="shared" ca="1" si="422"/>
        <v>0</v>
      </c>
      <c r="DN206" s="88">
        <f t="shared" ca="1" si="422"/>
        <v>0</v>
      </c>
      <c r="DO206" s="88">
        <f t="shared" ca="1" si="422"/>
        <v>0</v>
      </c>
      <c r="DP206" s="88">
        <f t="shared" ca="1" si="422"/>
        <v>0</v>
      </c>
      <c r="DQ206" s="88">
        <f t="shared" ca="1" si="422"/>
        <v>0</v>
      </c>
      <c r="DR206" s="88">
        <f t="shared" ca="1" si="422"/>
        <v>0</v>
      </c>
      <c r="DS206" s="88">
        <f t="shared" ca="1" si="422"/>
        <v>0</v>
      </c>
      <c r="DT206" s="88">
        <f t="shared" ca="1" si="422"/>
        <v>0</v>
      </c>
      <c r="DU206" s="88">
        <f t="shared" ca="1" si="423"/>
        <v>0</v>
      </c>
      <c r="DV206" s="88">
        <f t="shared" ca="1" si="423"/>
        <v>0</v>
      </c>
      <c r="DW206" s="88">
        <f t="shared" ca="1" si="423"/>
        <v>0</v>
      </c>
      <c r="DX206" s="88">
        <f t="shared" ca="1" si="423"/>
        <v>0</v>
      </c>
      <c r="DY206" s="88">
        <f t="shared" ca="1" si="423"/>
        <v>0</v>
      </c>
      <c r="DZ206" s="88">
        <f t="shared" ca="1" si="423"/>
        <v>0</v>
      </c>
      <c r="EA206" s="88">
        <f t="shared" ca="1" si="423"/>
        <v>0</v>
      </c>
      <c r="EB206" s="88">
        <f t="shared" ca="1" si="423"/>
        <v>0</v>
      </c>
      <c r="EC206" s="88">
        <f t="shared" ca="1" si="423"/>
        <v>0</v>
      </c>
      <c r="ED206" s="88">
        <f t="shared" ca="1" si="423"/>
        <v>0</v>
      </c>
      <c r="EE206" s="88">
        <f t="shared" ca="1" si="424"/>
        <v>0</v>
      </c>
      <c r="EF206" s="88">
        <f t="shared" ca="1" si="424"/>
        <v>0</v>
      </c>
      <c r="EG206" s="88">
        <f t="shared" ca="1" si="424"/>
        <v>0</v>
      </c>
      <c r="EH206" s="88">
        <f t="shared" ca="1" si="424"/>
        <v>0</v>
      </c>
      <c r="EI206" s="88">
        <f t="shared" ca="1" si="424"/>
        <v>0</v>
      </c>
      <c r="EJ206" s="88">
        <f t="shared" ca="1" si="424"/>
        <v>0</v>
      </c>
      <c r="EK206" s="88">
        <f t="shared" ca="1" si="424"/>
        <v>0</v>
      </c>
      <c r="EL206" s="88">
        <f t="shared" ca="1" si="424"/>
        <v>0</v>
      </c>
      <c r="EM206" s="88">
        <f t="shared" ca="1" si="424"/>
        <v>0</v>
      </c>
      <c r="EN206" s="88">
        <f t="shared" ca="1" si="424"/>
        <v>0</v>
      </c>
      <c r="EO206" s="88">
        <f t="shared" ca="1" si="424"/>
        <v>0</v>
      </c>
      <c r="EP206" s="88">
        <f t="shared" ca="1" si="424"/>
        <v>0</v>
      </c>
      <c r="EQ206" s="88">
        <f t="shared" ca="1" si="424"/>
        <v>0</v>
      </c>
      <c r="ER206" s="88">
        <f t="shared" ca="1" si="424"/>
        <v>0</v>
      </c>
      <c r="ES206" s="88">
        <f t="shared" ca="1" si="424"/>
        <v>0</v>
      </c>
      <c r="ET206" s="169"/>
      <c r="EU206" s="88">
        <f t="shared" ca="1" si="425"/>
        <v>0</v>
      </c>
      <c r="EV206" s="88">
        <f t="shared" ca="1" si="425"/>
        <v>0</v>
      </c>
      <c r="EW206" s="88">
        <f t="shared" ca="1" si="425"/>
        <v>0</v>
      </c>
      <c r="EX206" s="88">
        <f t="shared" ca="1" si="425"/>
        <v>0</v>
      </c>
      <c r="EY206" s="88">
        <f t="shared" ca="1" si="425"/>
        <v>0</v>
      </c>
      <c r="EZ206" s="88">
        <f t="shared" ca="1" si="425"/>
        <v>0</v>
      </c>
      <c r="FA206" s="88">
        <f t="shared" ca="1" si="425"/>
        <v>0</v>
      </c>
      <c r="FB206" s="88">
        <f t="shared" ca="1" si="425"/>
        <v>0</v>
      </c>
      <c r="FC206" s="88">
        <f t="shared" ca="1" si="425"/>
        <v>0</v>
      </c>
      <c r="FD206" s="88">
        <f t="shared" ca="1" si="425"/>
        <v>0</v>
      </c>
      <c r="FE206" s="88">
        <f t="shared" ca="1" si="426"/>
        <v>0</v>
      </c>
      <c r="FF206" s="88">
        <f t="shared" ca="1" si="426"/>
        <v>0</v>
      </c>
      <c r="FG206" s="88">
        <f t="shared" ca="1" si="426"/>
        <v>0</v>
      </c>
      <c r="FH206" s="88">
        <f t="shared" ca="1" si="426"/>
        <v>0</v>
      </c>
      <c r="FI206" s="88">
        <f t="shared" ca="1" si="426"/>
        <v>0</v>
      </c>
      <c r="FJ206" s="88">
        <f t="shared" ca="1" si="426"/>
        <v>0</v>
      </c>
      <c r="FK206" s="88">
        <f t="shared" ca="1" si="426"/>
        <v>0</v>
      </c>
      <c r="FL206" s="88">
        <f t="shared" ca="1" si="426"/>
        <v>0</v>
      </c>
      <c r="FM206" s="88">
        <f t="shared" ca="1" si="426"/>
        <v>0</v>
      </c>
      <c r="FN206" s="88">
        <f t="shared" ca="1" si="426"/>
        <v>0</v>
      </c>
      <c r="FO206" s="88">
        <f t="shared" ca="1" si="427"/>
        <v>0</v>
      </c>
      <c r="FP206" s="88">
        <f t="shared" ca="1" si="427"/>
        <v>0</v>
      </c>
      <c r="FQ206" s="88">
        <f t="shared" ca="1" si="427"/>
        <v>0</v>
      </c>
      <c r="FR206" s="88">
        <f t="shared" ca="1" si="427"/>
        <v>0</v>
      </c>
      <c r="FS206" s="88">
        <f t="shared" ca="1" si="427"/>
        <v>0</v>
      </c>
      <c r="FT206" s="88">
        <f t="shared" ca="1" si="427"/>
        <v>0</v>
      </c>
      <c r="FU206" s="88">
        <f t="shared" ca="1" si="427"/>
        <v>0</v>
      </c>
      <c r="FV206" s="88">
        <f t="shared" ca="1" si="427"/>
        <v>0</v>
      </c>
      <c r="FW206" s="88">
        <f t="shared" ca="1" si="427"/>
        <v>0</v>
      </c>
      <c r="FX206" s="88">
        <f t="shared" ca="1" si="427"/>
        <v>0</v>
      </c>
      <c r="FY206" s="88">
        <f t="shared" ca="1" si="427"/>
        <v>0</v>
      </c>
      <c r="FZ206" s="88">
        <f t="shared" ca="1" si="427"/>
        <v>0</v>
      </c>
      <c r="GA206" s="88">
        <f t="shared" ca="1" si="427"/>
        <v>0</v>
      </c>
      <c r="GB206" s="88">
        <f t="shared" ca="1" si="427"/>
        <v>0</v>
      </c>
      <c r="GC206" s="88">
        <f t="shared" ca="1" si="427"/>
        <v>0</v>
      </c>
      <c r="GD206" s="60"/>
    </row>
    <row r="207" spans="1:186" s="54" customFormat="1" ht="14.45" customHeight="1">
      <c r="A207" s="61"/>
      <c r="B207" s="100" t="str">
        <f t="shared" si="418"/>
        <v>Residential_High Efficiency HVAC_0_Heat Pump SEER ≥15, EER ≥12.5, HSPF ≥8.5 Replace Electric Furnace_2019</v>
      </c>
      <c r="C207" s="100">
        <f>INDEX('Measure Inputs'!$D:$D,MATCH($B207,'Measure Inputs'!$B:$B,0))</f>
        <v>159</v>
      </c>
      <c r="D207" s="101" t="s">
        <v>2</v>
      </c>
      <c r="E207" s="101" t="s">
        <v>250</v>
      </c>
      <c r="F207" s="101">
        <v>0</v>
      </c>
      <c r="G207" s="101" t="s">
        <v>520</v>
      </c>
      <c r="H207" s="101">
        <v>2019</v>
      </c>
      <c r="I207" s="55"/>
      <c r="J207" s="58">
        <f t="shared" ca="1" si="229"/>
        <v>1.4303791485366582</v>
      </c>
      <c r="K207" s="58">
        <f t="shared" ca="1" si="246"/>
        <v>4.3426310949572944</v>
      </c>
      <c r="L207" s="58">
        <f t="shared" ca="1" si="230"/>
        <v>4.7294115682823898</v>
      </c>
      <c r="M207" s="58">
        <f t="shared" ca="1" si="231"/>
        <v>1.837706999913856</v>
      </c>
      <c r="N207" s="58">
        <f t="shared" ca="1" si="232"/>
        <v>0.30244336486370504</v>
      </c>
      <c r="O207" s="55"/>
      <c r="P207" s="175">
        <f ca="1">IFERROR(($AW207+AV207)/SUMPRODUCT($CA207:$DI207,'General Inputs'!$F$51:$AN$51),"n/a")</f>
        <v>9.6731089008073833E-3</v>
      </c>
      <c r="Q207" s="175">
        <f t="shared" ca="1" si="386"/>
        <v>9.3173015613425128E-2</v>
      </c>
      <c r="R207" s="56">
        <f t="shared" ca="1" si="428"/>
        <v>1738.7008345006038</v>
      </c>
      <c r="S207" s="55"/>
      <c r="T207" s="56">
        <f ca="1">INDEX(OFFSET('Measure Inputs'!$L$7,,,InputRows),$C207)</f>
        <v>6</v>
      </c>
      <c r="U207" s="134">
        <f ca="1">INDEX(OFFSET('Measure Inputs'!$T$7,,,InputRows),$C207)</f>
        <v>1</v>
      </c>
      <c r="V207" s="134">
        <f ca="1">INDEX(OFFSET('Measure Inputs'!$U$7,,,InputRows),$C207)</f>
        <v>1</v>
      </c>
      <c r="W207" s="55"/>
      <c r="X207" s="96">
        <f ca="1">INDEX(OFFSET('Measure Inputs'!$V$7,,,InputRows),$C207)*$T207*$V207*$U207</f>
        <v>96594.49080558907</v>
      </c>
      <c r="Y207" s="96">
        <f ca="1">INDEX(OFFSET('Measure Inputs'!$W$7,,,InputRows),$C207)*$T207*$V207*$U207</f>
        <v>38.458209418664822</v>
      </c>
      <c r="Z207" s="96">
        <f ca="1">INDEX(OFFSET('Measure Inputs'!$X$7,,,InputRows),$C207)*$T207*$V207*$U207</f>
        <v>0</v>
      </c>
      <c r="AA207" s="55"/>
      <c r="AB207" s="96">
        <f ca="1">INDEX(OFFSET('Measure Inputs'!$Z$7,,,InputRows),$C207)*$T207*$V207*$U207</f>
        <v>0</v>
      </c>
      <c r="AC207" s="96">
        <f ca="1">INDEX(OFFSET('Measure Inputs'!$AA$7,,,InputRows),$C207)*$T207*$V207*$U207</f>
        <v>0</v>
      </c>
      <c r="AD207" s="96">
        <f ca="1">INDEX(OFFSET('Measure Inputs'!$AB$7,,,InputRows),$C207)*$T207*$V207*$U207</f>
        <v>0</v>
      </c>
      <c r="AE207" s="55"/>
      <c r="AF207" s="57">
        <f ca="1">INDEX(OFFSET('Measure Inputs'!$Q$7,,,InputRows),$C207)*$T207</f>
        <v>0</v>
      </c>
      <c r="AG207" s="57">
        <f ca="1">INDEX(OFFSET('Measure Inputs'!$P$7,,,InputRows),$C207)*$T207*$V207</f>
        <v>27324</v>
      </c>
      <c r="AH207" s="57">
        <f ca="1">INDEX(OFFSET('Measure Inputs'!$R$7,,,InputRows),$C207)*$T207*$V207</f>
        <v>0</v>
      </c>
      <c r="AI207" s="57">
        <f ca="1">INDEX(OFFSET('Measure Inputs'!$O$7,,,InputRows),$C207)*$T207</f>
        <v>9000</v>
      </c>
      <c r="AJ207" s="57">
        <f ca="1">INDEX(OFFSET('Measure Inputs'!$S$7,,,InputRows),$C207)*$T207</f>
        <v>0</v>
      </c>
      <c r="AK207" s="63">
        <f ca="1">INDEX(OFFSET('Measure Inputs'!$M$7,,,InputRows),$C207)</f>
        <v>18</v>
      </c>
      <c r="AL207" s="88">
        <f ca="1">INDEX(OFFSET('Measure Inputs'!$N$7,,,InputRows),$C207)</f>
        <v>0</v>
      </c>
      <c r="AM207" s="57">
        <f ca="1">SUMIFS(OFFSET('Program Inputs'!$N$5,,,TotalPrograms),OFFSET('Program Inputs'!$B$5,,,TotalPrograms),SUBSTITUTE($B207,"All","*"))+AF207</f>
        <v>0</v>
      </c>
      <c r="AN207" s="57">
        <f t="shared" ca="1" si="429"/>
        <v>9000</v>
      </c>
      <c r="AO207" s="55"/>
      <c r="AP207" s="59">
        <f t="shared" ca="1" si="430"/>
        <v>32992.739726764499</v>
      </c>
      <c r="AQ207" s="59">
        <f t="shared" ca="1" si="431"/>
        <v>23065.730341859042</v>
      </c>
      <c r="AR207" s="59">
        <f ca="1">SUMPRODUCT($CA207:$DI207,'General Inputs'!$F$32:$AN$32,'General Inputs'!$F$51:$AN$51)/(1-Loss_ElectricEnergy)</f>
        <v>25647.902836100628</v>
      </c>
      <c r="AS207" s="59">
        <f ca="1">SUMPRODUCT($DK207:$ES207,'General Inputs'!$F$33:$AN$33,'General Inputs'!$F$51:$AN$51)/(1-Loss_ElectricDemand)</f>
        <v>7344.8368906638752</v>
      </c>
      <c r="AT207" s="59">
        <f ca="1">SUMPRODUCT($EU207:$GC207,'General Inputs'!$F$34:$AN$34,'General Inputs'!$F$51:$AN$51)/(1-Loss_GasEnergy)</f>
        <v>0</v>
      </c>
      <c r="AU207" s="59">
        <f ca="1">INDEX('General Inputs'!$F$51:$AN$51,MATCH($H207,'General Inputs'!$F$50:$AN$50,0))*$AJ207</f>
        <v>0</v>
      </c>
      <c r="AV207" s="59">
        <f ca="1">INDEX('General Inputs'!$F$51:$AN$51,MATCH($H207,'General Inputs'!$F$50:$AN$50,0))*$AI207</f>
        <v>7597.4078859878264</v>
      </c>
      <c r="AW207" s="59">
        <f ca="1">INDEX('General Inputs'!$F$51:$AN$51,MATCH($H207,'General Inputs'!$F$50:$AN$50,0))*$AM207</f>
        <v>0</v>
      </c>
      <c r="AX207" s="59">
        <f ca="1">SUM(INDEX('General Inputs'!$F$51:$AN$51,MATCH($H207,'General Inputs'!$F$50:$AN$50,0))*$AG207,INDEX('General Inputs'!$F$51:$AN$51,MATCH($H207+$AL207,'General Inputs'!$F$50:$AN$50,0))*-$AH207)</f>
        <v>23065.730341859042</v>
      </c>
      <c r="AY207" s="55"/>
      <c r="AZ207" s="59">
        <f ca="1">SUMPRODUCT($CA207:$DI207,'General Inputs'!$F$32:$AN$32,'General Inputs'!$F$52:$AN$52)/(1-Loss_ElectricEnergy)</f>
        <v>25647.902836100628</v>
      </c>
      <c r="BA207" s="59">
        <f ca="1">SUMPRODUCT($DK207:$ES207,'General Inputs'!$F$33:$AN$33,'General Inputs'!$F$52:$AN$52)/(1-Loss_ElectricDemand)</f>
        <v>7344.8368906638752</v>
      </c>
      <c r="BB207" s="59">
        <f ca="1">SUMPRODUCT($EU207:$GC207,'General Inputs'!$F$34:$AN$34,'General Inputs'!$F$52:$AN$52)/(1-Loss_GasEnergy)</f>
        <v>0</v>
      </c>
      <c r="BC207" s="59">
        <f ca="1">INDEX('General Inputs'!$F$52:$AN$52,MATCH($H207,'General Inputs'!$F$50:$AN$50,0))*$AI207</f>
        <v>7597.4078859878264</v>
      </c>
      <c r="BD207" s="59">
        <f ca="1">INDEX('General Inputs'!$F$52:$AN$52,MATCH($H207,'General Inputs'!$F$50:$AN$50,0))*$AM207</f>
        <v>0</v>
      </c>
      <c r="BE207" s="55"/>
      <c r="BF207" s="59">
        <f ca="1">SUMPRODUCT($CA207:$DI207,OFFSET('General Inputs'!$F$40:$AN$40,MATCH($D207&amp;" Electric ($/kWh)",'General Inputs'!$E$40:$E$46,0),),'General Inputs'!$F$54:$AN$54)</f>
        <v>101489.92402368246</v>
      </c>
      <c r="BG207" s="59">
        <f ca="1">SUMPRODUCT($EU207:$GC207,OFFSET('General Inputs'!$F$40:$AN$40,MATCH($D207&amp;" Natural Gas ($/therm)",'General Inputs'!$E$40:$E$46,0),),'General Inputs'!$F$54:$AN$54)</f>
        <v>0</v>
      </c>
      <c r="BH207" s="59">
        <f ca="1">INDEX('General Inputs'!$F$54:$AN$54,MATCH($H207,'General Inputs'!$F$50:$AN$50,0))*$AI207</f>
        <v>7597.4078859878264</v>
      </c>
      <c r="BI207" s="59">
        <f ca="1">SUM(INDEX('General Inputs'!$F$54:$AN$54,MATCH($H207,'General Inputs'!$F$50:$AN$50,0))*$AG207,INDEX('General Inputs'!$F$51:$AN$51,MATCH($H207+$AL207,'General Inputs'!$F$50:$AN$50,0))*-$AH207)</f>
        <v>23065.730341859042</v>
      </c>
      <c r="BJ207" s="55"/>
      <c r="BK207" s="59">
        <f ca="1">SUMPRODUCT($CA207:$DI207,'General Inputs'!$F$32:$AN$32,'General Inputs'!$F$53:$AN$53)/(1-Loss_ElectricEnergy)</f>
        <v>25647.902836100628</v>
      </c>
      <c r="BL207" s="59">
        <f ca="1">SUMPRODUCT($DK207:$ES207,'General Inputs'!$F$33:$AN$33,'General Inputs'!$F$53:$AN$53)/(1-Loss_ElectricDemand)</f>
        <v>7344.8368906638752</v>
      </c>
      <c r="BM207" s="59">
        <f ca="1">SUMPRODUCT($EU207:$GC207,'General Inputs'!$F$34:$AN$34,'General Inputs'!$F$53:$AN$53)/(1-Loss_GasEnergy)</f>
        <v>0</v>
      </c>
      <c r="BN207" s="59">
        <f ca="1">INDEX('General Inputs'!$F$53:$AN$53,MATCH($H207,'General Inputs'!$F$50:$AN$50,0))*$AJ207</f>
        <v>0</v>
      </c>
      <c r="BO207" s="59">
        <f ca="1">SUMPRODUCT($CA207:$DI207,'General Inputs'!$F$35:$AN$35,'General Inputs'!$F$53:$AN$53)/(1-Loss_ElectricEnergy)</f>
        <v>9395.3143805952768</v>
      </c>
      <c r="BP207" s="59">
        <f ca="1">INDEX('General Inputs'!$F$51:$AN$51,MATCH($H207,'General Inputs'!$F$50:$AN$50,0))*$AM207</f>
        <v>0</v>
      </c>
      <c r="BQ207" s="59">
        <f ca="1">SUM(INDEX('General Inputs'!$F$53:$AN$53,MATCH($H207,'General Inputs'!$F$50:$AN$50,0))*$AG207,INDEX('General Inputs'!$F$53:$AN$53,MATCH($H207+$AL207,'General Inputs'!$F$50:$AN$50,0))*-$AH207)</f>
        <v>23065.730341859042</v>
      </c>
      <c r="BR207" s="55"/>
      <c r="BS207" s="59">
        <f ca="1">SUMPRODUCT($CA207:$DI207,'General Inputs'!$F$32:$AN$32,'General Inputs'!$F$55:$AN$55)/(1-Loss_ElectricEnergy)</f>
        <v>25647.902836100628</v>
      </c>
      <c r="BT207" s="59">
        <f ca="1">SUMPRODUCT($DK207:$ES207,'General Inputs'!$F$33:$AN$33,'General Inputs'!$F$55:$AN$55)/(1-Loss_ElectricDemand)</f>
        <v>7344.8368906638752</v>
      </c>
      <c r="BU207" s="59">
        <f ca="1">SUMPRODUCT($EU207:$GC207,'General Inputs'!$F$34:$AN$34,'General Inputs'!$F$55:$AN$55)/(1-Loss_GasEnergy)</f>
        <v>0</v>
      </c>
      <c r="BV207" s="59">
        <f ca="1">SUMPRODUCT($CA207:$DI207,OFFSET('General Inputs'!$F$40:$AN$40,MATCH($D207&amp;" Electric ($/kWh)",'General Inputs'!$E$40:$E$46,0),),'General Inputs'!$F$55:$AN$55)</f>
        <v>101489.92402368246</v>
      </c>
      <c r="BW207" s="59">
        <f ca="1">SUMPRODUCT($EU207:$GC207,OFFSET('General Inputs'!$F$40:$AN$40,MATCH($D207&amp;" Natural Gas ($/therm)",'General Inputs'!$E$40:$E$46,0),),'General Inputs'!$F$55:$AN$55)</f>
        <v>0</v>
      </c>
      <c r="BX207" s="59">
        <f ca="1">INDEX('General Inputs'!$F$55:$AN$55,MATCH($H207,'General Inputs'!$F$50:$AN$50,0))*$AI207</f>
        <v>7597.4078859878264</v>
      </c>
      <c r="BY207" s="59">
        <f ca="1">INDEX('General Inputs'!$F$51:$AN$51,MATCH($H207,'General Inputs'!$F$50:$AN$50,0))*$AM207</f>
        <v>0</v>
      </c>
      <c r="BZ207" s="55"/>
      <c r="CA207" s="88">
        <f t="shared" ref="CA207:CJ216" ca="1" si="432">IF(AND($H207&lt;=CA$8,$H207+$AK207&gt;CA$8),IF(AND($H207+$AL207&lt;=CA$8,$AL207&gt;0),$AB207,$X207),0)</f>
        <v>0</v>
      </c>
      <c r="CB207" s="88">
        <f t="shared" ca="1" si="432"/>
        <v>0</v>
      </c>
      <c r="CC207" s="88">
        <f t="shared" ca="1" si="432"/>
        <v>96594.49080558907</v>
      </c>
      <c r="CD207" s="88">
        <f t="shared" ca="1" si="432"/>
        <v>96594.49080558907</v>
      </c>
      <c r="CE207" s="88">
        <f t="shared" ca="1" si="432"/>
        <v>96594.49080558907</v>
      </c>
      <c r="CF207" s="88">
        <f t="shared" ca="1" si="432"/>
        <v>96594.49080558907</v>
      </c>
      <c r="CG207" s="88">
        <f t="shared" ca="1" si="432"/>
        <v>96594.49080558907</v>
      </c>
      <c r="CH207" s="88">
        <f t="shared" ca="1" si="432"/>
        <v>96594.49080558907</v>
      </c>
      <c r="CI207" s="88">
        <f t="shared" ca="1" si="432"/>
        <v>96594.49080558907</v>
      </c>
      <c r="CJ207" s="88">
        <f t="shared" ca="1" si="432"/>
        <v>96594.49080558907</v>
      </c>
      <c r="CK207" s="88">
        <f t="shared" ref="CK207:CT216" ca="1" si="433">IF(AND($H207&lt;=CK$8,$H207+$AK207&gt;CK$8),IF(AND($H207+$AL207&lt;=CK$8,$AL207&gt;0),$AB207,$X207),0)</f>
        <v>96594.49080558907</v>
      </c>
      <c r="CL207" s="88">
        <f t="shared" ca="1" si="433"/>
        <v>96594.49080558907</v>
      </c>
      <c r="CM207" s="88">
        <f t="shared" ca="1" si="433"/>
        <v>96594.49080558907</v>
      </c>
      <c r="CN207" s="88">
        <f t="shared" ca="1" si="433"/>
        <v>96594.49080558907</v>
      </c>
      <c r="CO207" s="88">
        <f t="shared" ca="1" si="433"/>
        <v>96594.49080558907</v>
      </c>
      <c r="CP207" s="88">
        <f t="shared" ca="1" si="433"/>
        <v>96594.49080558907</v>
      </c>
      <c r="CQ207" s="88">
        <f t="shared" ca="1" si="433"/>
        <v>96594.49080558907</v>
      </c>
      <c r="CR207" s="88">
        <f t="shared" ca="1" si="433"/>
        <v>96594.49080558907</v>
      </c>
      <c r="CS207" s="88">
        <f t="shared" ca="1" si="433"/>
        <v>96594.49080558907</v>
      </c>
      <c r="CT207" s="88">
        <f t="shared" ca="1" si="433"/>
        <v>96594.49080558907</v>
      </c>
      <c r="CU207" s="88">
        <f t="shared" ref="CU207:DI216" ca="1" si="434">IF(AND($H207&lt;=CU$8,$H207+$AK207&gt;CU$8),IF(AND($H207+$AL207&lt;=CU$8,$AL207&gt;0),$AB207,$X207),0)</f>
        <v>0</v>
      </c>
      <c r="CV207" s="88">
        <f t="shared" ca="1" si="434"/>
        <v>0</v>
      </c>
      <c r="CW207" s="88">
        <f t="shared" ca="1" si="434"/>
        <v>0</v>
      </c>
      <c r="CX207" s="88">
        <f t="shared" ca="1" si="434"/>
        <v>0</v>
      </c>
      <c r="CY207" s="88">
        <f t="shared" ca="1" si="434"/>
        <v>0</v>
      </c>
      <c r="CZ207" s="88">
        <f t="shared" ca="1" si="434"/>
        <v>0</v>
      </c>
      <c r="DA207" s="88">
        <f t="shared" ca="1" si="434"/>
        <v>0</v>
      </c>
      <c r="DB207" s="88">
        <f t="shared" ca="1" si="434"/>
        <v>0</v>
      </c>
      <c r="DC207" s="88">
        <f t="shared" ca="1" si="434"/>
        <v>0</v>
      </c>
      <c r="DD207" s="88">
        <f t="shared" ca="1" si="434"/>
        <v>0</v>
      </c>
      <c r="DE207" s="88">
        <f t="shared" ca="1" si="434"/>
        <v>0</v>
      </c>
      <c r="DF207" s="88">
        <f t="shared" ca="1" si="434"/>
        <v>0</v>
      </c>
      <c r="DG207" s="88">
        <f t="shared" ca="1" si="434"/>
        <v>0</v>
      </c>
      <c r="DH207" s="88">
        <f t="shared" ca="1" si="434"/>
        <v>0</v>
      </c>
      <c r="DI207" s="88">
        <f t="shared" ca="1" si="434"/>
        <v>0</v>
      </c>
      <c r="DJ207" s="169"/>
      <c r="DK207" s="88">
        <f t="shared" ref="DK207:DT216" ca="1" si="435">IF(AND($H207&lt;=DK$8,$H207+$AK207&gt;DK$8),IF(AND($H207+$AL207&lt;=DK$8,$AL207&gt;0),$AC207,$Y207),0)</f>
        <v>0</v>
      </c>
      <c r="DL207" s="88">
        <f t="shared" ca="1" si="435"/>
        <v>0</v>
      </c>
      <c r="DM207" s="88">
        <f t="shared" ca="1" si="435"/>
        <v>38.458209418664822</v>
      </c>
      <c r="DN207" s="88">
        <f t="shared" ca="1" si="435"/>
        <v>38.458209418664822</v>
      </c>
      <c r="DO207" s="88">
        <f t="shared" ca="1" si="435"/>
        <v>38.458209418664822</v>
      </c>
      <c r="DP207" s="88">
        <f t="shared" ca="1" si="435"/>
        <v>38.458209418664822</v>
      </c>
      <c r="DQ207" s="88">
        <f t="shared" ca="1" si="435"/>
        <v>38.458209418664822</v>
      </c>
      <c r="DR207" s="88">
        <f t="shared" ca="1" si="435"/>
        <v>38.458209418664822</v>
      </c>
      <c r="DS207" s="88">
        <f t="shared" ca="1" si="435"/>
        <v>38.458209418664822</v>
      </c>
      <c r="DT207" s="88">
        <f t="shared" ca="1" si="435"/>
        <v>38.458209418664822</v>
      </c>
      <c r="DU207" s="88">
        <f t="shared" ref="DU207:ED216" ca="1" si="436">IF(AND($H207&lt;=DU$8,$H207+$AK207&gt;DU$8),IF(AND($H207+$AL207&lt;=DU$8,$AL207&gt;0),$AC207,$Y207),0)</f>
        <v>38.458209418664822</v>
      </c>
      <c r="DV207" s="88">
        <f t="shared" ca="1" si="436"/>
        <v>38.458209418664822</v>
      </c>
      <c r="DW207" s="88">
        <f t="shared" ca="1" si="436"/>
        <v>38.458209418664822</v>
      </c>
      <c r="DX207" s="88">
        <f t="shared" ca="1" si="436"/>
        <v>38.458209418664822</v>
      </c>
      <c r="DY207" s="88">
        <f t="shared" ca="1" si="436"/>
        <v>38.458209418664822</v>
      </c>
      <c r="DZ207" s="88">
        <f t="shared" ca="1" si="436"/>
        <v>38.458209418664822</v>
      </c>
      <c r="EA207" s="88">
        <f t="shared" ca="1" si="436"/>
        <v>38.458209418664822</v>
      </c>
      <c r="EB207" s="88">
        <f t="shared" ca="1" si="436"/>
        <v>38.458209418664822</v>
      </c>
      <c r="EC207" s="88">
        <f t="shared" ca="1" si="436"/>
        <v>38.458209418664822</v>
      </c>
      <c r="ED207" s="88">
        <f t="shared" ca="1" si="436"/>
        <v>38.458209418664822</v>
      </c>
      <c r="EE207" s="88">
        <f t="shared" ref="EE207:ES216" ca="1" si="437">IF(AND($H207&lt;=EE$8,$H207+$AK207&gt;EE$8),IF(AND($H207+$AL207&lt;=EE$8,$AL207&gt;0),$AC207,$Y207),0)</f>
        <v>0</v>
      </c>
      <c r="EF207" s="88">
        <f t="shared" ca="1" si="437"/>
        <v>0</v>
      </c>
      <c r="EG207" s="88">
        <f t="shared" ca="1" si="437"/>
        <v>0</v>
      </c>
      <c r="EH207" s="88">
        <f t="shared" ca="1" si="437"/>
        <v>0</v>
      </c>
      <c r="EI207" s="88">
        <f t="shared" ca="1" si="437"/>
        <v>0</v>
      </c>
      <c r="EJ207" s="88">
        <f t="shared" ca="1" si="437"/>
        <v>0</v>
      </c>
      <c r="EK207" s="88">
        <f t="shared" ca="1" si="437"/>
        <v>0</v>
      </c>
      <c r="EL207" s="88">
        <f t="shared" ca="1" si="437"/>
        <v>0</v>
      </c>
      <c r="EM207" s="88">
        <f t="shared" ca="1" si="437"/>
        <v>0</v>
      </c>
      <c r="EN207" s="88">
        <f t="shared" ca="1" si="437"/>
        <v>0</v>
      </c>
      <c r="EO207" s="88">
        <f t="shared" ca="1" si="437"/>
        <v>0</v>
      </c>
      <c r="EP207" s="88">
        <f t="shared" ca="1" si="437"/>
        <v>0</v>
      </c>
      <c r="EQ207" s="88">
        <f t="shared" ca="1" si="437"/>
        <v>0</v>
      </c>
      <c r="ER207" s="88">
        <f t="shared" ca="1" si="437"/>
        <v>0</v>
      </c>
      <c r="ES207" s="88">
        <f t="shared" ca="1" si="437"/>
        <v>0</v>
      </c>
      <c r="ET207" s="169"/>
      <c r="EU207" s="88">
        <f t="shared" ref="EU207:FD216" ca="1" si="438">IF(AND($H207&lt;=EU$8,$H207+$AK207&gt;EU$8),IF(AND($H207+$AL207&lt;=EU$8,$AL207&gt;0),$AD207,$Z207),0)</f>
        <v>0</v>
      </c>
      <c r="EV207" s="88">
        <f t="shared" ca="1" si="438"/>
        <v>0</v>
      </c>
      <c r="EW207" s="88">
        <f t="shared" ca="1" si="438"/>
        <v>0</v>
      </c>
      <c r="EX207" s="88">
        <f t="shared" ca="1" si="438"/>
        <v>0</v>
      </c>
      <c r="EY207" s="88">
        <f t="shared" ca="1" si="438"/>
        <v>0</v>
      </c>
      <c r="EZ207" s="88">
        <f t="shared" ca="1" si="438"/>
        <v>0</v>
      </c>
      <c r="FA207" s="88">
        <f t="shared" ca="1" si="438"/>
        <v>0</v>
      </c>
      <c r="FB207" s="88">
        <f t="shared" ca="1" si="438"/>
        <v>0</v>
      </c>
      <c r="FC207" s="88">
        <f t="shared" ca="1" si="438"/>
        <v>0</v>
      </c>
      <c r="FD207" s="88">
        <f t="shared" ca="1" si="438"/>
        <v>0</v>
      </c>
      <c r="FE207" s="88">
        <f t="shared" ref="FE207:FN216" ca="1" si="439">IF(AND($H207&lt;=FE$8,$H207+$AK207&gt;FE$8),IF(AND($H207+$AL207&lt;=FE$8,$AL207&gt;0),$AD207,$Z207),0)</f>
        <v>0</v>
      </c>
      <c r="FF207" s="88">
        <f t="shared" ca="1" si="439"/>
        <v>0</v>
      </c>
      <c r="FG207" s="88">
        <f t="shared" ca="1" si="439"/>
        <v>0</v>
      </c>
      <c r="FH207" s="88">
        <f t="shared" ca="1" si="439"/>
        <v>0</v>
      </c>
      <c r="FI207" s="88">
        <f t="shared" ca="1" si="439"/>
        <v>0</v>
      </c>
      <c r="FJ207" s="88">
        <f t="shared" ca="1" si="439"/>
        <v>0</v>
      </c>
      <c r="FK207" s="88">
        <f t="shared" ca="1" si="439"/>
        <v>0</v>
      </c>
      <c r="FL207" s="88">
        <f t="shared" ca="1" si="439"/>
        <v>0</v>
      </c>
      <c r="FM207" s="88">
        <f t="shared" ca="1" si="439"/>
        <v>0</v>
      </c>
      <c r="FN207" s="88">
        <f t="shared" ca="1" si="439"/>
        <v>0</v>
      </c>
      <c r="FO207" s="88">
        <f t="shared" ref="FO207:GC216" ca="1" si="440">IF(AND($H207&lt;=FO$8,$H207+$AK207&gt;FO$8),IF(AND($H207+$AL207&lt;=FO$8,$AL207&gt;0),$AD207,$Z207),0)</f>
        <v>0</v>
      </c>
      <c r="FP207" s="88">
        <f t="shared" ca="1" si="440"/>
        <v>0</v>
      </c>
      <c r="FQ207" s="88">
        <f t="shared" ca="1" si="440"/>
        <v>0</v>
      </c>
      <c r="FR207" s="88">
        <f t="shared" ca="1" si="440"/>
        <v>0</v>
      </c>
      <c r="FS207" s="88">
        <f t="shared" ca="1" si="440"/>
        <v>0</v>
      </c>
      <c r="FT207" s="88">
        <f t="shared" ca="1" si="440"/>
        <v>0</v>
      </c>
      <c r="FU207" s="88">
        <f t="shared" ca="1" si="440"/>
        <v>0</v>
      </c>
      <c r="FV207" s="88">
        <f t="shared" ca="1" si="440"/>
        <v>0</v>
      </c>
      <c r="FW207" s="88">
        <f t="shared" ca="1" si="440"/>
        <v>0</v>
      </c>
      <c r="FX207" s="88">
        <f t="shared" ca="1" si="440"/>
        <v>0</v>
      </c>
      <c r="FY207" s="88">
        <f t="shared" ca="1" si="440"/>
        <v>0</v>
      </c>
      <c r="FZ207" s="88">
        <f t="shared" ca="1" si="440"/>
        <v>0</v>
      </c>
      <c r="GA207" s="88">
        <f t="shared" ca="1" si="440"/>
        <v>0</v>
      </c>
      <c r="GB207" s="88">
        <f t="shared" ca="1" si="440"/>
        <v>0</v>
      </c>
      <c r="GC207" s="88">
        <f t="shared" ca="1" si="440"/>
        <v>0</v>
      </c>
      <c r="GD207" s="60"/>
    </row>
    <row r="208" spans="1:186" s="54" customFormat="1" ht="14.45" customHeight="1">
      <c r="A208" s="61"/>
      <c r="B208" s="100" t="str">
        <f t="shared" si="418"/>
        <v>Residential_High Efficiency HVAC_0_CAC SEER ≥15, EER ≥12.5_2019</v>
      </c>
      <c r="C208" s="100">
        <f>INDEX('Measure Inputs'!$D:$D,MATCH($B208,'Measure Inputs'!$B:$B,0))</f>
        <v>160</v>
      </c>
      <c r="D208" s="101" t="s">
        <v>2</v>
      </c>
      <c r="E208" s="101" t="s">
        <v>250</v>
      </c>
      <c r="F208" s="101">
        <v>0</v>
      </c>
      <c r="G208" s="101" t="s">
        <v>521</v>
      </c>
      <c r="H208" s="101">
        <v>2019</v>
      </c>
      <c r="I208" s="55"/>
      <c r="J208" s="58">
        <f t="shared" ca="1" si="229"/>
        <v>1.1971146205552803</v>
      </c>
      <c r="K208" s="58">
        <f t="shared" ca="1" si="246"/>
        <v>0.71826877233316822</v>
      </c>
      <c r="L208" s="58">
        <f t="shared" ca="1" si="230"/>
        <v>4.1900106577142768</v>
      </c>
      <c r="M208" s="58">
        <f t="shared" ca="1" si="231"/>
        <v>1.4307103229300908</v>
      </c>
      <c r="N208" s="58">
        <f t="shared" ca="1" si="232"/>
        <v>0.28570681994597286</v>
      </c>
      <c r="O208" s="55"/>
      <c r="P208" s="175">
        <f ca="1">IFERROR(($AW208+AV208)/SUMPRODUCT($CA208:$DI208,'General Inputs'!$F$51:$AN$51),"n/a")</f>
        <v>8.5348491948752783E-2</v>
      </c>
      <c r="Q208" s="175">
        <f t="shared" ca="1" si="386"/>
        <v>0.82209106239460328</v>
      </c>
      <c r="R208" s="56">
        <f t="shared" ca="1" si="428"/>
        <v>394.11692307692329</v>
      </c>
      <c r="S208" s="55"/>
      <c r="T208" s="56">
        <f ca="1">INDEX(OFFSET('Measure Inputs'!$L$7,,,InputRows),$C208)</f>
        <v>100</v>
      </c>
      <c r="U208" s="134">
        <f ca="1">INDEX(OFFSET('Measure Inputs'!$T$7,,,InputRows),$C208)</f>
        <v>1</v>
      </c>
      <c r="V208" s="134">
        <f ca="1">INDEX(OFFSET('Measure Inputs'!$U$7,,,InputRows),$C208)</f>
        <v>1</v>
      </c>
      <c r="W208" s="55"/>
      <c r="X208" s="96">
        <f ca="1">INDEX(OFFSET('Measure Inputs'!$V$7,,,InputRows),$C208)*$T208*$V208*$U208</f>
        <v>21895.384615384628</v>
      </c>
      <c r="Y208" s="96">
        <f ca="1">INDEX(OFFSET('Measure Inputs'!$W$7,,,InputRows),$C208)*$T208*$V208*$U208</f>
        <v>26.70545454545455</v>
      </c>
      <c r="Z208" s="96">
        <f ca="1">INDEX(OFFSET('Measure Inputs'!$X$7,,,InputRows),$C208)*$T208*$V208*$U208</f>
        <v>0</v>
      </c>
      <c r="AA208" s="55"/>
      <c r="AB208" s="96">
        <f ca="1">INDEX(OFFSET('Measure Inputs'!$Z$7,,,InputRows),$C208)*$T208*$V208*$U208</f>
        <v>0</v>
      </c>
      <c r="AC208" s="96">
        <f ca="1">INDEX(OFFSET('Measure Inputs'!$AA$7,,,InputRows),$C208)*$T208*$V208*$U208</f>
        <v>0</v>
      </c>
      <c r="AD208" s="96">
        <f ca="1">INDEX(OFFSET('Measure Inputs'!$AB$7,,,InputRows),$C208)*$T208*$V208*$U208</f>
        <v>0</v>
      </c>
      <c r="AE208" s="55"/>
      <c r="AF208" s="57">
        <f ca="1">INDEX(OFFSET('Measure Inputs'!$Q$7,,,InputRows),$C208)*$T208</f>
        <v>0</v>
      </c>
      <c r="AG208" s="57">
        <f ca="1">INDEX(OFFSET('Measure Inputs'!$P$7,,,InputRows),$C208)*$T208*$V208</f>
        <v>10800</v>
      </c>
      <c r="AH208" s="57">
        <f ca="1">INDEX(OFFSET('Measure Inputs'!$R$7,,,InputRows),$C208)*$T208*$V208</f>
        <v>0</v>
      </c>
      <c r="AI208" s="57">
        <f ca="1">INDEX(OFFSET('Measure Inputs'!$O$7,,,InputRows),$C208)*$T208</f>
        <v>18000</v>
      </c>
      <c r="AJ208" s="57">
        <f ca="1">INDEX(OFFSET('Measure Inputs'!$S$7,,,InputRows),$C208)*$T208</f>
        <v>0</v>
      </c>
      <c r="AK208" s="63">
        <f ca="1">INDEX(OFFSET('Measure Inputs'!$M$7,,,InputRows),$C208)</f>
        <v>18</v>
      </c>
      <c r="AL208" s="88">
        <f ca="1">INDEX(OFFSET('Measure Inputs'!$N$7,,,InputRows),$C208)</f>
        <v>0</v>
      </c>
      <c r="AM208" s="57">
        <f ca="1">SUMIFS(OFFSET('Program Inputs'!$N$5,,,TotalPrograms),OFFSET('Program Inputs'!$B$5,,,TotalPrograms),SUBSTITUTE($B208,"All","*"))+AF208</f>
        <v>0</v>
      </c>
      <c r="AN208" s="57">
        <f t="shared" ca="1" si="429"/>
        <v>18000</v>
      </c>
      <c r="AO208" s="55"/>
      <c r="AP208" s="59">
        <f t="shared" ca="1" si="430"/>
        <v>10913.961670365614</v>
      </c>
      <c r="AQ208" s="59">
        <f t="shared" ca="1" si="431"/>
        <v>9116.8894631853927</v>
      </c>
      <c r="AR208" s="59">
        <f ca="1">SUMPRODUCT($CA208:$DI208,'General Inputs'!$F$32:$AN$32,'General Inputs'!$F$51:$AN$51)/(1-Loss_ElectricEnergy)</f>
        <v>5813.6928150973208</v>
      </c>
      <c r="AS208" s="59">
        <f ca="1">SUMPRODUCT($DK208:$ES208,'General Inputs'!$F$33:$AN$33,'General Inputs'!$F$51:$AN$51)/(1-Loss_ElectricDemand)</f>
        <v>5100.268855268293</v>
      </c>
      <c r="AT208" s="59">
        <f ca="1">SUMPRODUCT($EU208:$GC208,'General Inputs'!$F$34:$AN$34,'General Inputs'!$F$51:$AN$51)/(1-Loss_GasEnergy)</f>
        <v>0</v>
      </c>
      <c r="AU208" s="59">
        <f ca="1">INDEX('General Inputs'!$F$51:$AN$51,MATCH($H208,'General Inputs'!$F$50:$AN$50,0))*$AJ208</f>
        <v>0</v>
      </c>
      <c r="AV208" s="59">
        <f ca="1">INDEX('General Inputs'!$F$51:$AN$51,MATCH($H208,'General Inputs'!$F$50:$AN$50,0))*$AI208</f>
        <v>15194.815771975653</v>
      </c>
      <c r="AW208" s="59">
        <f ca="1">INDEX('General Inputs'!$F$51:$AN$51,MATCH($H208,'General Inputs'!$F$50:$AN$50,0))*$AM208</f>
        <v>0</v>
      </c>
      <c r="AX208" s="59">
        <f ca="1">SUM(INDEX('General Inputs'!$F$51:$AN$51,MATCH($H208,'General Inputs'!$F$50:$AN$50,0))*$AG208,INDEX('General Inputs'!$F$51:$AN$51,MATCH($H208+$AL208,'General Inputs'!$F$50:$AN$50,0))*-$AH208)</f>
        <v>9116.8894631853927</v>
      </c>
      <c r="AY208" s="55"/>
      <c r="AZ208" s="59">
        <f ca="1">SUMPRODUCT($CA208:$DI208,'General Inputs'!$F$32:$AN$32,'General Inputs'!$F$52:$AN$52)/(1-Loss_ElectricEnergy)</f>
        <v>5813.6928150973208</v>
      </c>
      <c r="BA208" s="59">
        <f ca="1">SUMPRODUCT($DK208:$ES208,'General Inputs'!$F$33:$AN$33,'General Inputs'!$F$52:$AN$52)/(1-Loss_ElectricDemand)</f>
        <v>5100.268855268293</v>
      </c>
      <c r="BB208" s="59">
        <f ca="1">SUMPRODUCT($EU208:$GC208,'General Inputs'!$F$34:$AN$34,'General Inputs'!$F$52:$AN$52)/(1-Loss_GasEnergy)</f>
        <v>0</v>
      </c>
      <c r="BC208" s="59">
        <f ca="1">INDEX('General Inputs'!$F$52:$AN$52,MATCH($H208,'General Inputs'!$F$50:$AN$50,0))*$AI208</f>
        <v>15194.815771975653</v>
      </c>
      <c r="BD208" s="59">
        <f ca="1">INDEX('General Inputs'!$F$52:$AN$52,MATCH($H208,'General Inputs'!$F$50:$AN$50,0))*$AM208</f>
        <v>0</v>
      </c>
      <c r="BE208" s="55"/>
      <c r="BF208" s="59">
        <f ca="1">SUMPRODUCT($CA208:$DI208,OFFSET('General Inputs'!$F$40:$AN$40,MATCH($D208&amp;" Electric ($/kWh)",'General Inputs'!$E$40:$E$46,0),),'General Inputs'!$F$54:$AN$54)</f>
        <v>23005.048243974132</v>
      </c>
      <c r="BG208" s="59">
        <f ca="1">SUMPRODUCT($EU208:$GC208,OFFSET('General Inputs'!$F$40:$AN$40,MATCH($D208&amp;" Natural Gas ($/therm)",'General Inputs'!$E$40:$E$46,0),),'General Inputs'!$F$54:$AN$54)</f>
        <v>0</v>
      </c>
      <c r="BH208" s="59">
        <f ca="1">INDEX('General Inputs'!$F$54:$AN$54,MATCH($H208,'General Inputs'!$F$50:$AN$50,0))*$AI208</f>
        <v>15194.815771975653</v>
      </c>
      <c r="BI208" s="59">
        <f ca="1">SUM(INDEX('General Inputs'!$F$54:$AN$54,MATCH($H208,'General Inputs'!$F$50:$AN$50,0))*$AG208,INDEX('General Inputs'!$F$51:$AN$51,MATCH($H208+$AL208,'General Inputs'!$F$50:$AN$50,0))*-$AH208)</f>
        <v>9116.8894631853927</v>
      </c>
      <c r="BJ208" s="55"/>
      <c r="BK208" s="59">
        <f ca="1">SUMPRODUCT($CA208:$DI208,'General Inputs'!$F$32:$AN$32,'General Inputs'!$F$53:$AN$53)/(1-Loss_ElectricEnergy)</f>
        <v>5813.6928150973208</v>
      </c>
      <c r="BL208" s="59">
        <f ca="1">SUMPRODUCT($DK208:$ES208,'General Inputs'!$F$33:$AN$33,'General Inputs'!$F$53:$AN$53)/(1-Loss_ElectricDemand)</f>
        <v>5100.268855268293</v>
      </c>
      <c r="BM208" s="59">
        <f ca="1">SUMPRODUCT($EU208:$GC208,'General Inputs'!$F$34:$AN$34,'General Inputs'!$F$53:$AN$53)/(1-Loss_GasEnergy)</f>
        <v>0</v>
      </c>
      <c r="BN208" s="59">
        <f ca="1">INDEX('General Inputs'!$F$53:$AN$53,MATCH($H208,'General Inputs'!$F$50:$AN$50,0))*$AJ208</f>
        <v>0</v>
      </c>
      <c r="BO208" s="59">
        <f ca="1">SUMPRODUCT($CA208:$DI208,'General Inputs'!$F$35:$AN$35,'General Inputs'!$F$53:$AN$53)/(1-Loss_ElectricEnergy)</f>
        <v>2129.6661976263031</v>
      </c>
      <c r="BP208" s="59">
        <f ca="1">INDEX('General Inputs'!$F$51:$AN$51,MATCH($H208,'General Inputs'!$F$50:$AN$50,0))*$AM208</f>
        <v>0</v>
      </c>
      <c r="BQ208" s="59">
        <f ca="1">SUM(INDEX('General Inputs'!$F$53:$AN$53,MATCH($H208,'General Inputs'!$F$50:$AN$50,0))*$AG208,INDEX('General Inputs'!$F$53:$AN$53,MATCH($H208+$AL208,'General Inputs'!$F$50:$AN$50,0))*-$AH208)</f>
        <v>9116.8894631853927</v>
      </c>
      <c r="BR208" s="55"/>
      <c r="BS208" s="59">
        <f ca="1">SUMPRODUCT($CA208:$DI208,'General Inputs'!$F$32:$AN$32,'General Inputs'!$F$55:$AN$55)/(1-Loss_ElectricEnergy)</f>
        <v>5813.6928150973208</v>
      </c>
      <c r="BT208" s="59">
        <f ca="1">SUMPRODUCT($DK208:$ES208,'General Inputs'!$F$33:$AN$33,'General Inputs'!$F$55:$AN$55)/(1-Loss_ElectricDemand)</f>
        <v>5100.268855268293</v>
      </c>
      <c r="BU208" s="59">
        <f ca="1">SUMPRODUCT($EU208:$GC208,'General Inputs'!$F$34:$AN$34,'General Inputs'!$F$55:$AN$55)/(1-Loss_GasEnergy)</f>
        <v>0</v>
      </c>
      <c r="BV208" s="59">
        <f ca="1">SUMPRODUCT($CA208:$DI208,OFFSET('General Inputs'!$F$40:$AN$40,MATCH($D208&amp;" Electric ($/kWh)",'General Inputs'!$E$40:$E$46,0),),'General Inputs'!$F$55:$AN$55)</f>
        <v>23005.048243974132</v>
      </c>
      <c r="BW208" s="59">
        <f ca="1">SUMPRODUCT($EU208:$GC208,OFFSET('General Inputs'!$F$40:$AN$40,MATCH($D208&amp;" Natural Gas ($/therm)",'General Inputs'!$E$40:$E$46,0),),'General Inputs'!$F$55:$AN$55)</f>
        <v>0</v>
      </c>
      <c r="BX208" s="59">
        <f ca="1">INDEX('General Inputs'!$F$55:$AN$55,MATCH($H208,'General Inputs'!$F$50:$AN$50,0))*$AI208</f>
        <v>15194.815771975653</v>
      </c>
      <c r="BY208" s="59">
        <f ca="1">INDEX('General Inputs'!$F$51:$AN$51,MATCH($H208,'General Inputs'!$F$50:$AN$50,0))*$AM208</f>
        <v>0</v>
      </c>
      <c r="BZ208" s="55"/>
      <c r="CA208" s="88">
        <f t="shared" ca="1" si="432"/>
        <v>0</v>
      </c>
      <c r="CB208" s="88">
        <f t="shared" ca="1" si="432"/>
        <v>0</v>
      </c>
      <c r="CC208" s="88">
        <f t="shared" ca="1" si="432"/>
        <v>21895.384615384628</v>
      </c>
      <c r="CD208" s="88">
        <f t="shared" ca="1" si="432"/>
        <v>21895.384615384628</v>
      </c>
      <c r="CE208" s="88">
        <f t="shared" ca="1" si="432"/>
        <v>21895.384615384628</v>
      </c>
      <c r="CF208" s="88">
        <f t="shared" ca="1" si="432"/>
        <v>21895.384615384628</v>
      </c>
      <c r="CG208" s="88">
        <f t="shared" ca="1" si="432"/>
        <v>21895.384615384628</v>
      </c>
      <c r="CH208" s="88">
        <f t="shared" ca="1" si="432"/>
        <v>21895.384615384628</v>
      </c>
      <c r="CI208" s="88">
        <f t="shared" ca="1" si="432"/>
        <v>21895.384615384628</v>
      </c>
      <c r="CJ208" s="88">
        <f t="shared" ca="1" si="432"/>
        <v>21895.384615384628</v>
      </c>
      <c r="CK208" s="88">
        <f t="shared" ca="1" si="433"/>
        <v>21895.384615384628</v>
      </c>
      <c r="CL208" s="88">
        <f t="shared" ca="1" si="433"/>
        <v>21895.384615384628</v>
      </c>
      <c r="CM208" s="88">
        <f t="shared" ca="1" si="433"/>
        <v>21895.384615384628</v>
      </c>
      <c r="CN208" s="88">
        <f t="shared" ca="1" si="433"/>
        <v>21895.384615384628</v>
      </c>
      <c r="CO208" s="88">
        <f t="shared" ca="1" si="433"/>
        <v>21895.384615384628</v>
      </c>
      <c r="CP208" s="88">
        <f t="shared" ca="1" si="433"/>
        <v>21895.384615384628</v>
      </c>
      <c r="CQ208" s="88">
        <f t="shared" ca="1" si="433"/>
        <v>21895.384615384628</v>
      </c>
      <c r="CR208" s="88">
        <f t="shared" ca="1" si="433"/>
        <v>21895.384615384628</v>
      </c>
      <c r="CS208" s="88">
        <f t="shared" ca="1" si="433"/>
        <v>21895.384615384628</v>
      </c>
      <c r="CT208" s="88">
        <f t="shared" ca="1" si="433"/>
        <v>21895.384615384628</v>
      </c>
      <c r="CU208" s="88">
        <f t="shared" ca="1" si="434"/>
        <v>0</v>
      </c>
      <c r="CV208" s="88">
        <f t="shared" ca="1" si="434"/>
        <v>0</v>
      </c>
      <c r="CW208" s="88">
        <f t="shared" ca="1" si="434"/>
        <v>0</v>
      </c>
      <c r="CX208" s="88">
        <f t="shared" ca="1" si="434"/>
        <v>0</v>
      </c>
      <c r="CY208" s="88">
        <f t="shared" ca="1" si="434"/>
        <v>0</v>
      </c>
      <c r="CZ208" s="88">
        <f t="shared" ca="1" si="434"/>
        <v>0</v>
      </c>
      <c r="DA208" s="88">
        <f t="shared" ca="1" si="434"/>
        <v>0</v>
      </c>
      <c r="DB208" s="88">
        <f t="shared" ca="1" si="434"/>
        <v>0</v>
      </c>
      <c r="DC208" s="88">
        <f t="shared" ca="1" si="434"/>
        <v>0</v>
      </c>
      <c r="DD208" s="88">
        <f t="shared" ca="1" si="434"/>
        <v>0</v>
      </c>
      <c r="DE208" s="88">
        <f t="shared" ca="1" si="434"/>
        <v>0</v>
      </c>
      <c r="DF208" s="88">
        <f t="shared" ca="1" si="434"/>
        <v>0</v>
      </c>
      <c r="DG208" s="88">
        <f t="shared" ca="1" si="434"/>
        <v>0</v>
      </c>
      <c r="DH208" s="88">
        <f t="shared" ca="1" si="434"/>
        <v>0</v>
      </c>
      <c r="DI208" s="88">
        <f t="shared" ca="1" si="434"/>
        <v>0</v>
      </c>
      <c r="DJ208" s="169"/>
      <c r="DK208" s="88">
        <f t="shared" ca="1" si="435"/>
        <v>0</v>
      </c>
      <c r="DL208" s="88">
        <f t="shared" ca="1" si="435"/>
        <v>0</v>
      </c>
      <c r="DM208" s="88">
        <f t="shared" ca="1" si="435"/>
        <v>26.70545454545455</v>
      </c>
      <c r="DN208" s="88">
        <f t="shared" ca="1" si="435"/>
        <v>26.70545454545455</v>
      </c>
      <c r="DO208" s="88">
        <f t="shared" ca="1" si="435"/>
        <v>26.70545454545455</v>
      </c>
      <c r="DP208" s="88">
        <f t="shared" ca="1" si="435"/>
        <v>26.70545454545455</v>
      </c>
      <c r="DQ208" s="88">
        <f t="shared" ca="1" si="435"/>
        <v>26.70545454545455</v>
      </c>
      <c r="DR208" s="88">
        <f t="shared" ca="1" si="435"/>
        <v>26.70545454545455</v>
      </c>
      <c r="DS208" s="88">
        <f t="shared" ca="1" si="435"/>
        <v>26.70545454545455</v>
      </c>
      <c r="DT208" s="88">
        <f t="shared" ca="1" si="435"/>
        <v>26.70545454545455</v>
      </c>
      <c r="DU208" s="88">
        <f t="shared" ca="1" si="436"/>
        <v>26.70545454545455</v>
      </c>
      <c r="DV208" s="88">
        <f t="shared" ca="1" si="436"/>
        <v>26.70545454545455</v>
      </c>
      <c r="DW208" s="88">
        <f t="shared" ca="1" si="436"/>
        <v>26.70545454545455</v>
      </c>
      <c r="DX208" s="88">
        <f t="shared" ca="1" si="436"/>
        <v>26.70545454545455</v>
      </c>
      <c r="DY208" s="88">
        <f t="shared" ca="1" si="436"/>
        <v>26.70545454545455</v>
      </c>
      <c r="DZ208" s="88">
        <f t="shared" ca="1" si="436"/>
        <v>26.70545454545455</v>
      </c>
      <c r="EA208" s="88">
        <f t="shared" ca="1" si="436"/>
        <v>26.70545454545455</v>
      </c>
      <c r="EB208" s="88">
        <f t="shared" ca="1" si="436"/>
        <v>26.70545454545455</v>
      </c>
      <c r="EC208" s="88">
        <f t="shared" ca="1" si="436"/>
        <v>26.70545454545455</v>
      </c>
      <c r="ED208" s="88">
        <f t="shared" ca="1" si="436"/>
        <v>26.70545454545455</v>
      </c>
      <c r="EE208" s="88">
        <f t="shared" ca="1" si="437"/>
        <v>0</v>
      </c>
      <c r="EF208" s="88">
        <f t="shared" ca="1" si="437"/>
        <v>0</v>
      </c>
      <c r="EG208" s="88">
        <f t="shared" ca="1" si="437"/>
        <v>0</v>
      </c>
      <c r="EH208" s="88">
        <f t="shared" ca="1" si="437"/>
        <v>0</v>
      </c>
      <c r="EI208" s="88">
        <f t="shared" ca="1" si="437"/>
        <v>0</v>
      </c>
      <c r="EJ208" s="88">
        <f t="shared" ca="1" si="437"/>
        <v>0</v>
      </c>
      <c r="EK208" s="88">
        <f t="shared" ca="1" si="437"/>
        <v>0</v>
      </c>
      <c r="EL208" s="88">
        <f t="shared" ca="1" si="437"/>
        <v>0</v>
      </c>
      <c r="EM208" s="88">
        <f t="shared" ca="1" si="437"/>
        <v>0</v>
      </c>
      <c r="EN208" s="88">
        <f t="shared" ca="1" si="437"/>
        <v>0</v>
      </c>
      <c r="EO208" s="88">
        <f t="shared" ca="1" si="437"/>
        <v>0</v>
      </c>
      <c r="EP208" s="88">
        <f t="shared" ca="1" si="437"/>
        <v>0</v>
      </c>
      <c r="EQ208" s="88">
        <f t="shared" ca="1" si="437"/>
        <v>0</v>
      </c>
      <c r="ER208" s="88">
        <f t="shared" ca="1" si="437"/>
        <v>0</v>
      </c>
      <c r="ES208" s="88">
        <f t="shared" ca="1" si="437"/>
        <v>0</v>
      </c>
      <c r="ET208" s="169"/>
      <c r="EU208" s="88">
        <f t="shared" ca="1" si="438"/>
        <v>0</v>
      </c>
      <c r="EV208" s="88">
        <f t="shared" ca="1" si="438"/>
        <v>0</v>
      </c>
      <c r="EW208" s="88">
        <f t="shared" ca="1" si="438"/>
        <v>0</v>
      </c>
      <c r="EX208" s="88">
        <f t="shared" ca="1" si="438"/>
        <v>0</v>
      </c>
      <c r="EY208" s="88">
        <f t="shared" ca="1" si="438"/>
        <v>0</v>
      </c>
      <c r="EZ208" s="88">
        <f t="shared" ca="1" si="438"/>
        <v>0</v>
      </c>
      <c r="FA208" s="88">
        <f t="shared" ca="1" si="438"/>
        <v>0</v>
      </c>
      <c r="FB208" s="88">
        <f t="shared" ca="1" si="438"/>
        <v>0</v>
      </c>
      <c r="FC208" s="88">
        <f t="shared" ca="1" si="438"/>
        <v>0</v>
      </c>
      <c r="FD208" s="88">
        <f t="shared" ca="1" si="438"/>
        <v>0</v>
      </c>
      <c r="FE208" s="88">
        <f t="shared" ca="1" si="439"/>
        <v>0</v>
      </c>
      <c r="FF208" s="88">
        <f t="shared" ca="1" si="439"/>
        <v>0</v>
      </c>
      <c r="FG208" s="88">
        <f t="shared" ca="1" si="439"/>
        <v>0</v>
      </c>
      <c r="FH208" s="88">
        <f t="shared" ca="1" si="439"/>
        <v>0</v>
      </c>
      <c r="FI208" s="88">
        <f t="shared" ca="1" si="439"/>
        <v>0</v>
      </c>
      <c r="FJ208" s="88">
        <f t="shared" ca="1" si="439"/>
        <v>0</v>
      </c>
      <c r="FK208" s="88">
        <f t="shared" ca="1" si="439"/>
        <v>0</v>
      </c>
      <c r="FL208" s="88">
        <f t="shared" ca="1" si="439"/>
        <v>0</v>
      </c>
      <c r="FM208" s="88">
        <f t="shared" ca="1" si="439"/>
        <v>0</v>
      </c>
      <c r="FN208" s="88">
        <f t="shared" ca="1" si="439"/>
        <v>0</v>
      </c>
      <c r="FO208" s="88">
        <f t="shared" ca="1" si="440"/>
        <v>0</v>
      </c>
      <c r="FP208" s="88">
        <f t="shared" ca="1" si="440"/>
        <v>0</v>
      </c>
      <c r="FQ208" s="88">
        <f t="shared" ca="1" si="440"/>
        <v>0</v>
      </c>
      <c r="FR208" s="88">
        <f t="shared" ca="1" si="440"/>
        <v>0</v>
      </c>
      <c r="FS208" s="88">
        <f t="shared" ca="1" si="440"/>
        <v>0</v>
      </c>
      <c r="FT208" s="88">
        <f t="shared" ca="1" si="440"/>
        <v>0</v>
      </c>
      <c r="FU208" s="88">
        <f t="shared" ca="1" si="440"/>
        <v>0</v>
      </c>
      <c r="FV208" s="88">
        <f t="shared" ca="1" si="440"/>
        <v>0</v>
      </c>
      <c r="FW208" s="88">
        <f t="shared" ca="1" si="440"/>
        <v>0</v>
      </c>
      <c r="FX208" s="88">
        <f t="shared" ca="1" si="440"/>
        <v>0</v>
      </c>
      <c r="FY208" s="88">
        <f t="shared" ca="1" si="440"/>
        <v>0</v>
      </c>
      <c r="FZ208" s="88">
        <f t="shared" ca="1" si="440"/>
        <v>0</v>
      </c>
      <c r="GA208" s="88">
        <f t="shared" ca="1" si="440"/>
        <v>0</v>
      </c>
      <c r="GB208" s="88">
        <f t="shared" ca="1" si="440"/>
        <v>0</v>
      </c>
      <c r="GC208" s="88">
        <f t="shared" ca="1" si="440"/>
        <v>0</v>
      </c>
      <c r="GD208" s="60"/>
    </row>
    <row r="209" spans="1:186" s="54" customFormat="1" ht="14.45" customHeight="1">
      <c r="A209" s="61"/>
      <c r="B209" s="100" t="str">
        <f t="shared" si="418"/>
        <v>Residential_High Efficiency HVAC_0_Ductless Mini-Split AC SEER ≥19, EER ≥12.8_2019</v>
      </c>
      <c r="C209" s="100">
        <f>INDEX('Measure Inputs'!$D:$D,MATCH($B209,'Measure Inputs'!$B:$B,0))</f>
        <v>161</v>
      </c>
      <c r="D209" s="101" t="s">
        <v>2</v>
      </c>
      <c r="E209" s="101" t="s">
        <v>250</v>
      </c>
      <c r="F209" s="101">
        <v>0</v>
      </c>
      <c r="G209" s="101" t="s">
        <v>516</v>
      </c>
      <c r="H209" s="101">
        <v>2019</v>
      </c>
      <c r="I209" s="55"/>
      <c r="J209" s="58" t="str">
        <f t="shared" ca="1" si="229"/>
        <v>n/a</v>
      </c>
      <c r="K209" s="58" t="str">
        <f t="shared" ca="1" si="246"/>
        <v>n/a</v>
      </c>
      <c r="L209" s="58" t="str">
        <f t="shared" ca="1" si="230"/>
        <v>n/a</v>
      </c>
      <c r="M209" s="58" t="str">
        <f t="shared" ca="1" si="231"/>
        <v>n/a</v>
      </c>
      <c r="N209" s="58" t="str">
        <f t="shared" ca="1" si="232"/>
        <v>n/a</v>
      </c>
      <c r="O209" s="55"/>
      <c r="P209" s="175" t="str">
        <f ca="1">IFERROR(($AW209+AV209)/SUMPRODUCT($CA209:$DI209,'General Inputs'!$F$51:$AN$51),"n/a")</f>
        <v>n/a</v>
      </c>
      <c r="Q209" s="175" t="str">
        <f t="shared" ca="1" si="386"/>
        <v>n/a</v>
      </c>
      <c r="R209" s="56">
        <f t="shared" ca="1" si="428"/>
        <v>0</v>
      </c>
      <c r="S209" s="55"/>
      <c r="T209" s="56">
        <f ca="1">INDEX(OFFSET('Measure Inputs'!$L$7,,,InputRows),$C209)</f>
        <v>0</v>
      </c>
      <c r="U209" s="134">
        <f ca="1">INDEX(OFFSET('Measure Inputs'!$T$7,,,InputRows),$C209)</f>
        <v>1</v>
      </c>
      <c r="V209" s="134">
        <f ca="1">INDEX(OFFSET('Measure Inputs'!$U$7,,,InputRows),$C209)</f>
        <v>1</v>
      </c>
      <c r="W209" s="55"/>
      <c r="X209" s="96">
        <f ca="1">INDEX(OFFSET('Measure Inputs'!$V$7,,,InputRows),$C209)*$T209*$V209*$U209</f>
        <v>0</v>
      </c>
      <c r="Y209" s="96">
        <f ca="1">INDEX(OFFSET('Measure Inputs'!$W$7,,,InputRows),$C209)*$T209*$V209*$U209</f>
        <v>0</v>
      </c>
      <c r="Z209" s="96">
        <f ca="1">INDEX(OFFSET('Measure Inputs'!$X$7,,,InputRows),$C209)*$T209*$V209*$U209</f>
        <v>0</v>
      </c>
      <c r="AA209" s="55"/>
      <c r="AB209" s="96">
        <f ca="1">INDEX(OFFSET('Measure Inputs'!$Z$7,,,InputRows),$C209)*$T209*$V209*$U209</f>
        <v>0</v>
      </c>
      <c r="AC209" s="96">
        <f ca="1">INDEX(OFFSET('Measure Inputs'!$AA$7,,,InputRows),$C209)*$T209*$V209*$U209</f>
        <v>0</v>
      </c>
      <c r="AD209" s="96">
        <f ca="1">INDEX(OFFSET('Measure Inputs'!$AB$7,,,InputRows),$C209)*$T209*$V209*$U209</f>
        <v>0</v>
      </c>
      <c r="AE209" s="55"/>
      <c r="AF209" s="57">
        <f ca="1">INDEX(OFFSET('Measure Inputs'!$Q$7,,,InputRows),$C209)*$T209</f>
        <v>0</v>
      </c>
      <c r="AG209" s="57">
        <f ca="1">INDEX(OFFSET('Measure Inputs'!$P$7,,,InputRows),$C209)*$T209*$V209</f>
        <v>0</v>
      </c>
      <c r="AH209" s="57">
        <f ca="1">INDEX(OFFSET('Measure Inputs'!$R$7,,,InputRows),$C209)*$T209*$V209</f>
        <v>0</v>
      </c>
      <c r="AI209" s="57">
        <f ca="1">INDEX(OFFSET('Measure Inputs'!$O$7,,,InputRows),$C209)*$T209</f>
        <v>0</v>
      </c>
      <c r="AJ209" s="57">
        <f ca="1">INDEX(OFFSET('Measure Inputs'!$S$7,,,InputRows),$C209)*$T209</f>
        <v>0</v>
      </c>
      <c r="AK209" s="63">
        <f ca="1">INDEX(OFFSET('Measure Inputs'!$M$7,,,InputRows),$C209)</f>
        <v>18</v>
      </c>
      <c r="AL209" s="88">
        <f ca="1">INDEX(OFFSET('Measure Inputs'!$N$7,,,InputRows),$C209)</f>
        <v>0</v>
      </c>
      <c r="AM209" s="57">
        <f ca="1">SUMIFS(OFFSET('Program Inputs'!$N$5,,,TotalPrograms),OFFSET('Program Inputs'!$B$5,,,TotalPrograms),SUBSTITUTE($B209,"All","*"))+AF209</f>
        <v>0</v>
      </c>
      <c r="AN209" s="57">
        <f t="shared" ca="1" si="429"/>
        <v>0</v>
      </c>
      <c r="AO209" s="55"/>
      <c r="AP209" s="59">
        <f t="shared" ca="1" si="430"/>
        <v>0</v>
      </c>
      <c r="AQ209" s="59">
        <f t="shared" ca="1" si="431"/>
        <v>0</v>
      </c>
      <c r="AR209" s="59">
        <f ca="1">SUMPRODUCT($CA209:$DI209,'General Inputs'!$F$32:$AN$32,'General Inputs'!$F$51:$AN$51)/(1-Loss_ElectricEnergy)</f>
        <v>0</v>
      </c>
      <c r="AS209" s="59">
        <f ca="1">SUMPRODUCT($DK209:$ES209,'General Inputs'!$F$33:$AN$33,'General Inputs'!$F$51:$AN$51)/(1-Loss_ElectricDemand)</f>
        <v>0</v>
      </c>
      <c r="AT209" s="59">
        <f ca="1">SUMPRODUCT($EU209:$GC209,'General Inputs'!$F$34:$AN$34,'General Inputs'!$F$51:$AN$51)/(1-Loss_GasEnergy)</f>
        <v>0</v>
      </c>
      <c r="AU209" s="59">
        <f ca="1">INDEX('General Inputs'!$F$51:$AN$51,MATCH($H209,'General Inputs'!$F$50:$AN$50,0))*$AJ209</f>
        <v>0</v>
      </c>
      <c r="AV209" s="59">
        <f ca="1">INDEX('General Inputs'!$F$51:$AN$51,MATCH($H209,'General Inputs'!$F$50:$AN$50,0))*$AI209</f>
        <v>0</v>
      </c>
      <c r="AW209" s="59">
        <f ca="1">INDEX('General Inputs'!$F$51:$AN$51,MATCH($H209,'General Inputs'!$F$50:$AN$50,0))*$AM209</f>
        <v>0</v>
      </c>
      <c r="AX209" s="59">
        <f ca="1">SUM(INDEX('General Inputs'!$F$51:$AN$51,MATCH($H209,'General Inputs'!$F$50:$AN$50,0))*$AG209,INDEX('General Inputs'!$F$51:$AN$51,MATCH($H209+$AL209,'General Inputs'!$F$50:$AN$50,0))*-$AH209)</f>
        <v>0</v>
      </c>
      <c r="AY209" s="55"/>
      <c r="AZ209" s="59">
        <f ca="1">SUMPRODUCT($CA209:$DI209,'General Inputs'!$F$32:$AN$32,'General Inputs'!$F$52:$AN$52)/(1-Loss_ElectricEnergy)</f>
        <v>0</v>
      </c>
      <c r="BA209" s="59">
        <f ca="1">SUMPRODUCT($DK209:$ES209,'General Inputs'!$F$33:$AN$33,'General Inputs'!$F$52:$AN$52)/(1-Loss_ElectricDemand)</f>
        <v>0</v>
      </c>
      <c r="BB209" s="59">
        <f ca="1">SUMPRODUCT($EU209:$GC209,'General Inputs'!$F$34:$AN$34,'General Inputs'!$F$52:$AN$52)/(1-Loss_GasEnergy)</f>
        <v>0</v>
      </c>
      <c r="BC209" s="59">
        <f ca="1">INDEX('General Inputs'!$F$52:$AN$52,MATCH($H209,'General Inputs'!$F$50:$AN$50,0))*$AI209</f>
        <v>0</v>
      </c>
      <c r="BD209" s="59">
        <f ca="1">INDEX('General Inputs'!$F$52:$AN$52,MATCH($H209,'General Inputs'!$F$50:$AN$50,0))*$AM209</f>
        <v>0</v>
      </c>
      <c r="BE209" s="55"/>
      <c r="BF209" s="59">
        <f ca="1">SUMPRODUCT($CA209:$DI209,OFFSET('General Inputs'!$F$40:$AN$40,MATCH($D209&amp;" Electric ($/kWh)",'General Inputs'!$E$40:$E$46,0),),'General Inputs'!$F$54:$AN$54)</f>
        <v>0</v>
      </c>
      <c r="BG209" s="59">
        <f ca="1">SUMPRODUCT($EU209:$GC209,OFFSET('General Inputs'!$F$40:$AN$40,MATCH($D209&amp;" Natural Gas ($/therm)",'General Inputs'!$E$40:$E$46,0),),'General Inputs'!$F$54:$AN$54)</f>
        <v>0</v>
      </c>
      <c r="BH209" s="59">
        <f ca="1">INDEX('General Inputs'!$F$54:$AN$54,MATCH($H209,'General Inputs'!$F$50:$AN$50,0))*$AI209</f>
        <v>0</v>
      </c>
      <c r="BI209" s="59">
        <f ca="1">SUM(INDEX('General Inputs'!$F$54:$AN$54,MATCH($H209,'General Inputs'!$F$50:$AN$50,0))*$AG209,INDEX('General Inputs'!$F$51:$AN$51,MATCH($H209+$AL209,'General Inputs'!$F$50:$AN$50,0))*-$AH209)</f>
        <v>0</v>
      </c>
      <c r="BJ209" s="55"/>
      <c r="BK209" s="59">
        <f ca="1">SUMPRODUCT($CA209:$DI209,'General Inputs'!$F$32:$AN$32,'General Inputs'!$F$53:$AN$53)/(1-Loss_ElectricEnergy)</f>
        <v>0</v>
      </c>
      <c r="BL209" s="59">
        <f ca="1">SUMPRODUCT($DK209:$ES209,'General Inputs'!$F$33:$AN$33,'General Inputs'!$F$53:$AN$53)/(1-Loss_ElectricDemand)</f>
        <v>0</v>
      </c>
      <c r="BM209" s="59">
        <f ca="1">SUMPRODUCT($EU209:$GC209,'General Inputs'!$F$34:$AN$34,'General Inputs'!$F$53:$AN$53)/(1-Loss_GasEnergy)</f>
        <v>0</v>
      </c>
      <c r="BN209" s="59">
        <f ca="1">INDEX('General Inputs'!$F$53:$AN$53,MATCH($H209,'General Inputs'!$F$50:$AN$50,0))*$AJ209</f>
        <v>0</v>
      </c>
      <c r="BO209" s="59">
        <f ca="1">SUMPRODUCT($CA209:$DI209,'General Inputs'!$F$35:$AN$35,'General Inputs'!$F$53:$AN$53)/(1-Loss_ElectricEnergy)</f>
        <v>0</v>
      </c>
      <c r="BP209" s="59">
        <f ca="1">INDEX('General Inputs'!$F$51:$AN$51,MATCH($H209,'General Inputs'!$F$50:$AN$50,0))*$AM209</f>
        <v>0</v>
      </c>
      <c r="BQ209" s="59">
        <f ca="1">SUM(INDEX('General Inputs'!$F$53:$AN$53,MATCH($H209,'General Inputs'!$F$50:$AN$50,0))*$AG209,INDEX('General Inputs'!$F$53:$AN$53,MATCH($H209+$AL209,'General Inputs'!$F$50:$AN$50,0))*-$AH209)</f>
        <v>0</v>
      </c>
      <c r="BR209" s="55"/>
      <c r="BS209" s="59">
        <f ca="1">SUMPRODUCT($CA209:$DI209,'General Inputs'!$F$32:$AN$32,'General Inputs'!$F$55:$AN$55)/(1-Loss_ElectricEnergy)</f>
        <v>0</v>
      </c>
      <c r="BT209" s="59">
        <f ca="1">SUMPRODUCT($DK209:$ES209,'General Inputs'!$F$33:$AN$33,'General Inputs'!$F$55:$AN$55)/(1-Loss_ElectricDemand)</f>
        <v>0</v>
      </c>
      <c r="BU209" s="59">
        <f ca="1">SUMPRODUCT($EU209:$GC209,'General Inputs'!$F$34:$AN$34,'General Inputs'!$F$55:$AN$55)/(1-Loss_GasEnergy)</f>
        <v>0</v>
      </c>
      <c r="BV209" s="59">
        <f ca="1">SUMPRODUCT($CA209:$DI209,OFFSET('General Inputs'!$F$40:$AN$40,MATCH($D209&amp;" Electric ($/kWh)",'General Inputs'!$E$40:$E$46,0),),'General Inputs'!$F$55:$AN$55)</f>
        <v>0</v>
      </c>
      <c r="BW209" s="59">
        <f ca="1">SUMPRODUCT($EU209:$GC209,OFFSET('General Inputs'!$F$40:$AN$40,MATCH($D209&amp;" Natural Gas ($/therm)",'General Inputs'!$E$40:$E$46,0),),'General Inputs'!$F$55:$AN$55)</f>
        <v>0</v>
      </c>
      <c r="BX209" s="59">
        <f ca="1">INDEX('General Inputs'!$F$55:$AN$55,MATCH($H209,'General Inputs'!$F$50:$AN$50,0))*$AI209</f>
        <v>0</v>
      </c>
      <c r="BY209" s="59">
        <f ca="1">INDEX('General Inputs'!$F$51:$AN$51,MATCH($H209,'General Inputs'!$F$50:$AN$50,0))*$AM209</f>
        <v>0</v>
      </c>
      <c r="BZ209" s="55"/>
      <c r="CA209" s="88">
        <f t="shared" ca="1" si="432"/>
        <v>0</v>
      </c>
      <c r="CB209" s="88">
        <f t="shared" ca="1" si="432"/>
        <v>0</v>
      </c>
      <c r="CC209" s="88">
        <f t="shared" ca="1" si="432"/>
        <v>0</v>
      </c>
      <c r="CD209" s="88">
        <f t="shared" ca="1" si="432"/>
        <v>0</v>
      </c>
      <c r="CE209" s="88">
        <f t="shared" ca="1" si="432"/>
        <v>0</v>
      </c>
      <c r="CF209" s="88">
        <f t="shared" ca="1" si="432"/>
        <v>0</v>
      </c>
      <c r="CG209" s="88">
        <f t="shared" ca="1" si="432"/>
        <v>0</v>
      </c>
      <c r="CH209" s="88">
        <f t="shared" ca="1" si="432"/>
        <v>0</v>
      </c>
      <c r="CI209" s="88">
        <f t="shared" ca="1" si="432"/>
        <v>0</v>
      </c>
      <c r="CJ209" s="88">
        <f t="shared" ca="1" si="432"/>
        <v>0</v>
      </c>
      <c r="CK209" s="88">
        <f t="shared" ca="1" si="433"/>
        <v>0</v>
      </c>
      <c r="CL209" s="88">
        <f t="shared" ca="1" si="433"/>
        <v>0</v>
      </c>
      <c r="CM209" s="88">
        <f t="shared" ca="1" si="433"/>
        <v>0</v>
      </c>
      <c r="CN209" s="88">
        <f t="shared" ca="1" si="433"/>
        <v>0</v>
      </c>
      <c r="CO209" s="88">
        <f t="shared" ca="1" si="433"/>
        <v>0</v>
      </c>
      <c r="CP209" s="88">
        <f t="shared" ca="1" si="433"/>
        <v>0</v>
      </c>
      <c r="CQ209" s="88">
        <f t="shared" ca="1" si="433"/>
        <v>0</v>
      </c>
      <c r="CR209" s="88">
        <f t="shared" ca="1" si="433"/>
        <v>0</v>
      </c>
      <c r="CS209" s="88">
        <f t="shared" ca="1" si="433"/>
        <v>0</v>
      </c>
      <c r="CT209" s="88">
        <f t="shared" ca="1" si="433"/>
        <v>0</v>
      </c>
      <c r="CU209" s="88">
        <f t="shared" ca="1" si="434"/>
        <v>0</v>
      </c>
      <c r="CV209" s="88">
        <f t="shared" ca="1" si="434"/>
        <v>0</v>
      </c>
      <c r="CW209" s="88">
        <f t="shared" ca="1" si="434"/>
        <v>0</v>
      </c>
      <c r="CX209" s="88">
        <f t="shared" ca="1" si="434"/>
        <v>0</v>
      </c>
      <c r="CY209" s="88">
        <f t="shared" ca="1" si="434"/>
        <v>0</v>
      </c>
      <c r="CZ209" s="88">
        <f t="shared" ca="1" si="434"/>
        <v>0</v>
      </c>
      <c r="DA209" s="88">
        <f t="shared" ca="1" si="434"/>
        <v>0</v>
      </c>
      <c r="DB209" s="88">
        <f t="shared" ca="1" si="434"/>
        <v>0</v>
      </c>
      <c r="DC209" s="88">
        <f t="shared" ca="1" si="434"/>
        <v>0</v>
      </c>
      <c r="DD209" s="88">
        <f t="shared" ca="1" si="434"/>
        <v>0</v>
      </c>
      <c r="DE209" s="88">
        <f t="shared" ca="1" si="434"/>
        <v>0</v>
      </c>
      <c r="DF209" s="88">
        <f t="shared" ca="1" si="434"/>
        <v>0</v>
      </c>
      <c r="DG209" s="88">
        <f t="shared" ca="1" si="434"/>
        <v>0</v>
      </c>
      <c r="DH209" s="88">
        <f t="shared" ca="1" si="434"/>
        <v>0</v>
      </c>
      <c r="DI209" s="88">
        <f t="shared" ca="1" si="434"/>
        <v>0</v>
      </c>
      <c r="DJ209" s="169"/>
      <c r="DK209" s="88">
        <f t="shared" ca="1" si="435"/>
        <v>0</v>
      </c>
      <c r="DL209" s="88">
        <f t="shared" ca="1" si="435"/>
        <v>0</v>
      </c>
      <c r="DM209" s="88">
        <f t="shared" ca="1" si="435"/>
        <v>0</v>
      </c>
      <c r="DN209" s="88">
        <f t="shared" ca="1" si="435"/>
        <v>0</v>
      </c>
      <c r="DO209" s="88">
        <f t="shared" ca="1" si="435"/>
        <v>0</v>
      </c>
      <c r="DP209" s="88">
        <f t="shared" ca="1" si="435"/>
        <v>0</v>
      </c>
      <c r="DQ209" s="88">
        <f t="shared" ca="1" si="435"/>
        <v>0</v>
      </c>
      <c r="DR209" s="88">
        <f t="shared" ca="1" si="435"/>
        <v>0</v>
      </c>
      <c r="DS209" s="88">
        <f t="shared" ca="1" si="435"/>
        <v>0</v>
      </c>
      <c r="DT209" s="88">
        <f t="shared" ca="1" si="435"/>
        <v>0</v>
      </c>
      <c r="DU209" s="88">
        <f t="shared" ca="1" si="436"/>
        <v>0</v>
      </c>
      <c r="DV209" s="88">
        <f t="shared" ca="1" si="436"/>
        <v>0</v>
      </c>
      <c r="DW209" s="88">
        <f t="shared" ca="1" si="436"/>
        <v>0</v>
      </c>
      <c r="DX209" s="88">
        <f t="shared" ca="1" si="436"/>
        <v>0</v>
      </c>
      <c r="DY209" s="88">
        <f t="shared" ca="1" si="436"/>
        <v>0</v>
      </c>
      <c r="DZ209" s="88">
        <f t="shared" ca="1" si="436"/>
        <v>0</v>
      </c>
      <c r="EA209" s="88">
        <f t="shared" ca="1" si="436"/>
        <v>0</v>
      </c>
      <c r="EB209" s="88">
        <f t="shared" ca="1" si="436"/>
        <v>0</v>
      </c>
      <c r="EC209" s="88">
        <f t="shared" ca="1" si="436"/>
        <v>0</v>
      </c>
      <c r="ED209" s="88">
        <f t="shared" ca="1" si="436"/>
        <v>0</v>
      </c>
      <c r="EE209" s="88">
        <f t="shared" ca="1" si="437"/>
        <v>0</v>
      </c>
      <c r="EF209" s="88">
        <f t="shared" ca="1" si="437"/>
        <v>0</v>
      </c>
      <c r="EG209" s="88">
        <f t="shared" ca="1" si="437"/>
        <v>0</v>
      </c>
      <c r="EH209" s="88">
        <f t="shared" ca="1" si="437"/>
        <v>0</v>
      </c>
      <c r="EI209" s="88">
        <f t="shared" ca="1" si="437"/>
        <v>0</v>
      </c>
      <c r="EJ209" s="88">
        <f t="shared" ca="1" si="437"/>
        <v>0</v>
      </c>
      <c r="EK209" s="88">
        <f t="shared" ca="1" si="437"/>
        <v>0</v>
      </c>
      <c r="EL209" s="88">
        <f t="shared" ca="1" si="437"/>
        <v>0</v>
      </c>
      <c r="EM209" s="88">
        <f t="shared" ca="1" si="437"/>
        <v>0</v>
      </c>
      <c r="EN209" s="88">
        <f t="shared" ca="1" si="437"/>
        <v>0</v>
      </c>
      <c r="EO209" s="88">
        <f t="shared" ca="1" si="437"/>
        <v>0</v>
      </c>
      <c r="EP209" s="88">
        <f t="shared" ca="1" si="437"/>
        <v>0</v>
      </c>
      <c r="EQ209" s="88">
        <f t="shared" ca="1" si="437"/>
        <v>0</v>
      </c>
      <c r="ER209" s="88">
        <f t="shared" ca="1" si="437"/>
        <v>0</v>
      </c>
      <c r="ES209" s="88">
        <f t="shared" ca="1" si="437"/>
        <v>0</v>
      </c>
      <c r="ET209" s="169"/>
      <c r="EU209" s="88">
        <f t="shared" ca="1" si="438"/>
        <v>0</v>
      </c>
      <c r="EV209" s="88">
        <f t="shared" ca="1" si="438"/>
        <v>0</v>
      </c>
      <c r="EW209" s="88">
        <f t="shared" ca="1" si="438"/>
        <v>0</v>
      </c>
      <c r="EX209" s="88">
        <f t="shared" ca="1" si="438"/>
        <v>0</v>
      </c>
      <c r="EY209" s="88">
        <f t="shared" ca="1" si="438"/>
        <v>0</v>
      </c>
      <c r="EZ209" s="88">
        <f t="shared" ca="1" si="438"/>
        <v>0</v>
      </c>
      <c r="FA209" s="88">
        <f t="shared" ca="1" si="438"/>
        <v>0</v>
      </c>
      <c r="FB209" s="88">
        <f t="shared" ca="1" si="438"/>
        <v>0</v>
      </c>
      <c r="FC209" s="88">
        <f t="shared" ca="1" si="438"/>
        <v>0</v>
      </c>
      <c r="FD209" s="88">
        <f t="shared" ca="1" si="438"/>
        <v>0</v>
      </c>
      <c r="FE209" s="88">
        <f t="shared" ca="1" si="439"/>
        <v>0</v>
      </c>
      <c r="FF209" s="88">
        <f t="shared" ca="1" si="439"/>
        <v>0</v>
      </c>
      <c r="FG209" s="88">
        <f t="shared" ca="1" si="439"/>
        <v>0</v>
      </c>
      <c r="FH209" s="88">
        <f t="shared" ca="1" si="439"/>
        <v>0</v>
      </c>
      <c r="FI209" s="88">
        <f t="shared" ca="1" si="439"/>
        <v>0</v>
      </c>
      <c r="FJ209" s="88">
        <f t="shared" ca="1" si="439"/>
        <v>0</v>
      </c>
      <c r="FK209" s="88">
        <f t="shared" ca="1" si="439"/>
        <v>0</v>
      </c>
      <c r="FL209" s="88">
        <f t="shared" ca="1" si="439"/>
        <v>0</v>
      </c>
      <c r="FM209" s="88">
        <f t="shared" ca="1" si="439"/>
        <v>0</v>
      </c>
      <c r="FN209" s="88">
        <f t="shared" ca="1" si="439"/>
        <v>0</v>
      </c>
      <c r="FO209" s="88">
        <f t="shared" ca="1" si="440"/>
        <v>0</v>
      </c>
      <c r="FP209" s="88">
        <f t="shared" ca="1" si="440"/>
        <v>0</v>
      </c>
      <c r="FQ209" s="88">
        <f t="shared" ca="1" si="440"/>
        <v>0</v>
      </c>
      <c r="FR209" s="88">
        <f t="shared" ca="1" si="440"/>
        <v>0</v>
      </c>
      <c r="FS209" s="88">
        <f t="shared" ca="1" si="440"/>
        <v>0</v>
      </c>
      <c r="FT209" s="88">
        <f t="shared" ca="1" si="440"/>
        <v>0</v>
      </c>
      <c r="FU209" s="88">
        <f t="shared" ca="1" si="440"/>
        <v>0</v>
      </c>
      <c r="FV209" s="88">
        <f t="shared" ca="1" si="440"/>
        <v>0</v>
      </c>
      <c r="FW209" s="88">
        <f t="shared" ca="1" si="440"/>
        <v>0</v>
      </c>
      <c r="FX209" s="88">
        <f t="shared" ca="1" si="440"/>
        <v>0</v>
      </c>
      <c r="FY209" s="88">
        <f t="shared" ca="1" si="440"/>
        <v>0</v>
      </c>
      <c r="FZ209" s="88">
        <f t="shared" ca="1" si="440"/>
        <v>0</v>
      </c>
      <c r="GA209" s="88">
        <f t="shared" ca="1" si="440"/>
        <v>0</v>
      </c>
      <c r="GB209" s="88">
        <f t="shared" ca="1" si="440"/>
        <v>0</v>
      </c>
      <c r="GC209" s="88">
        <f t="shared" ca="1" si="440"/>
        <v>0</v>
      </c>
      <c r="GD209" s="60"/>
    </row>
    <row r="210" spans="1:186" s="54" customFormat="1" ht="14.45" customHeight="1">
      <c r="A210" s="61"/>
      <c r="B210" s="100" t="str">
        <f t="shared" si="418"/>
        <v>Residential_High Efficiency HVAC_0_Ductless Mini-Split HP SEER ≥19, EER ≥12.8, HSPF ≥10_2019</v>
      </c>
      <c r="C210" s="100">
        <f>INDEX('Measure Inputs'!$D:$D,MATCH($B210,'Measure Inputs'!$B:$B,0))</f>
        <v>162</v>
      </c>
      <c r="D210" s="101" t="s">
        <v>2</v>
      </c>
      <c r="E210" s="101" t="s">
        <v>250</v>
      </c>
      <c r="F210" s="101">
        <v>0</v>
      </c>
      <c r="G210" s="101" t="s">
        <v>517</v>
      </c>
      <c r="H210" s="101">
        <v>2019</v>
      </c>
      <c r="I210" s="55"/>
      <c r="J210" s="58">
        <f t="shared" ca="1" si="229"/>
        <v>0.78901888312285318</v>
      </c>
      <c r="K210" s="58">
        <f t="shared" ca="1" si="246"/>
        <v>8.8291213021447277</v>
      </c>
      <c r="L210" s="58">
        <f t="shared" ca="1" si="230"/>
        <v>2.764449594265292</v>
      </c>
      <c r="M210" s="58">
        <f t="shared" ca="1" si="231"/>
        <v>1.0366617526564696</v>
      </c>
      <c r="N210" s="58">
        <f t="shared" ca="1" si="232"/>
        <v>0.28541626686181298</v>
      </c>
      <c r="O210" s="55"/>
      <c r="P210" s="175">
        <f ca="1">IFERROR(($AW210+AV210)/SUMPRODUCT($CA210:$DI210,'General Inputs'!$F$51:$AN$51),"n/a")</f>
        <v>4.3167414397711924E-3</v>
      </c>
      <c r="Q210" s="175">
        <f t="shared" ca="1" si="386"/>
        <v>4.1579581258859806E-2</v>
      </c>
      <c r="R210" s="56">
        <f t="shared" ca="1" si="428"/>
        <v>2272.7501609907122</v>
      </c>
      <c r="S210" s="55"/>
      <c r="T210" s="56">
        <f ca="1">INDEX(OFFSET('Measure Inputs'!$L$7,,,InputRows),$C210)</f>
        <v>35</v>
      </c>
      <c r="U210" s="134">
        <f ca="1">INDEX(OFFSET('Measure Inputs'!$T$7,,,InputRows),$C210)</f>
        <v>1</v>
      </c>
      <c r="V210" s="134">
        <f ca="1">INDEX(OFFSET('Measure Inputs'!$U$7,,,InputRows),$C210)</f>
        <v>1</v>
      </c>
      <c r="W210" s="55"/>
      <c r="X210" s="96">
        <f ca="1">INDEX(OFFSET('Measure Inputs'!$V$7,,,InputRows),$C210)*$T210*$V210*$U210</f>
        <v>126263.89783281731</v>
      </c>
      <c r="Y210" s="96">
        <f ca="1">INDEX(OFFSET('Measure Inputs'!$W$7,,,InputRows),$C210)*$T210*$V210*$U210</f>
        <v>29.33948863636363</v>
      </c>
      <c r="Z210" s="96">
        <f ca="1">INDEX(OFFSET('Measure Inputs'!$X$7,,,InputRows),$C210)*$T210*$V210*$U210</f>
        <v>0</v>
      </c>
      <c r="AA210" s="55"/>
      <c r="AB210" s="96">
        <f ca="1">INDEX(OFFSET('Measure Inputs'!$Z$7,,,InputRows),$C210)*$T210*$V210*$U210</f>
        <v>0</v>
      </c>
      <c r="AC210" s="96">
        <f ca="1">INDEX(OFFSET('Measure Inputs'!$AA$7,,,InputRows),$C210)*$T210*$V210*$U210</f>
        <v>0</v>
      </c>
      <c r="AD210" s="96">
        <f ca="1">INDEX(OFFSET('Measure Inputs'!$AB$7,,,InputRows),$C210)*$T210*$V210*$U210</f>
        <v>0</v>
      </c>
      <c r="AE210" s="55"/>
      <c r="AF210" s="57">
        <f ca="1">INDEX(OFFSET('Measure Inputs'!$Q$7,,,InputRows),$C210)*$T210</f>
        <v>0</v>
      </c>
      <c r="AG210" s="57">
        <f ca="1">INDEX(OFFSET('Measure Inputs'!$P$7,,,InputRows),$C210)*$T210*$V210</f>
        <v>58747.5</v>
      </c>
      <c r="AH210" s="57">
        <f ca="1">INDEX(OFFSET('Measure Inputs'!$R$7,,,InputRows),$C210)*$T210*$V210</f>
        <v>0</v>
      </c>
      <c r="AI210" s="57">
        <f ca="1">INDEX(OFFSET('Measure Inputs'!$O$7,,,InputRows),$C210)*$T210</f>
        <v>5250</v>
      </c>
      <c r="AJ210" s="57">
        <f ca="1">INDEX(OFFSET('Measure Inputs'!$S$7,,,InputRows),$C210)*$T210</f>
        <v>0</v>
      </c>
      <c r="AK210" s="63">
        <f ca="1">INDEX(OFFSET('Measure Inputs'!$M$7,,,InputRows),$C210)</f>
        <v>18</v>
      </c>
      <c r="AL210" s="88">
        <f ca="1">INDEX(OFFSET('Measure Inputs'!$N$7,,,InputRows),$C210)</f>
        <v>0</v>
      </c>
      <c r="AM210" s="57">
        <f ca="1">SUMIFS(OFFSET('Program Inputs'!$N$5,,,TotalPrograms),OFFSET('Program Inputs'!$B$5,,,TotalPrograms),SUBSTITUTE($B210,"All","*"))+AF210</f>
        <v>0</v>
      </c>
      <c r="AN210" s="57">
        <f t="shared" ca="1" si="429"/>
        <v>5250</v>
      </c>
      <c r="AO210" s="55"/>
      <c r="AP210" s="59">
        <f t="shared" ca="1" si="430"/>
        <v>39129.08755423352</v>
      </c>
      <c r="AQ210" s="59">
        <f t="shared" ca="1" si="431"/>
        <v>49592.079975785542</v>
      </c>
      <c r="AR210" s="59">
        <f ca="1">SUMPRODUCT($CA210:$DI210,'General Inputs'!$F$32:$AN$32,'General Inputs'!$F$51:$AN$51)/(1-Loss_ElectricEnergy)</f>
        <v>33525.76483726396</v>
      </c>
      <c r="AS210" s="59">
        <f ca="1">SUMPRODUCT($DK210:$ES210,'General Inputs'!$F$33:$AN$33,'General Inputs'!$F$51:$AN$51)/(1-Loss_ElectricDemand)</f>
        <v>5603.3227169695574</v>
      </c>
      <c r="AT210" s="59">
        <f ca="1">SUMPRODUCT($EU210:$GC210,'General Inputs'!$F$34:$AN$34,'General Inputs'!$F$51:$AN$51)/(1-Loss_GasEnergy)</f>
        <v>0</v>
      </c>
      <c r="AU210" s="59">
        <f ca="1">INDEX('General Inputs'!$F$51:$AN$51,MATCH($H210,'General Inputs'!$F$50:$AN$50,0))*$AJ210</f>
        <v>0</v>
      </c>
      <c r="AV210" s="59">
        <f ca="1">INDEX('General Inputs'!$F$51:$AN$51,MATCH($H210,'General Inputs'!$F$50:$AN$50,0))*$AI210</f>
        <v>4431.8212668262322</v>
      </c>
      <c r="AW210" s="59">
        <f ca="1">INDEX('General Inputs'!$F$51:$AN$51,MATCH($H210,'General Inputs'!$F$50:$AN$50,0))*$AM210</f>
        <v>0</v>
      </c>
      <c r="AX210" s="59">
        <f ca="1">SUM(INDEX('General Inputs'!$F$51:$AN$51,MATCH($H210,'General Inputs'!$F$50:$AN$50,0))*$AG210,INDEX('General Inputs'!$F$51:$AN$51,MATCH($H210+$AL210,'General Inputs'!$F$50:$AN$50,0))*-$AH210)</f>
        <v>49592.079975785542</v>
      </c>
      <c r="AY210" s="55"/>
      <c r="AZ210" s="59">
        <f ca="1">SUMPRODUCT($CA210:$DI210,'General Inputs'!$F$32:$AN$32,'General Inputs'!$F$52:$AN$52)/(1-Loss_ElectricEnergy)</f>
        <v>33525.76483726396</v>
      </c>
      <c r="BA210" s="59">
        <f ca="1">SUMPRODUCT($DK210:$ES210,'General Inputs'!$F$33:$AN$33,'General Inputs'!$F$52:$AN$52)/(1-Loss_ElectricDemand)</f>
        <v>5603.3227169695574</v>
      </c>
      <c r="BB210" s="59">
        <f ca="1">SUMPRODUCT($EU210:$GC210,'General Inputs'!$F$34:$AN$34,'General Inputs'!$F$52:$AN$52)/(1-Loss_GasEnergy)</f>
        <v>0</v>
      </c>
      <c r="BC210" s="59">
        <f ca="1">INDEX('General Inputs'!$F$52:$AN$52,MATCH($H210,'General Inputs'!$F$50:$AN$50,0))*$AI210</f>
        <v>4431.8212668262322</v>
      </c>
      <c r="BD210" s="59">
        <f ca="1">INDEX('General Inputs'!$F$52:$AN$52,MATCH($H210,'General Inputs'!$F$50:$AN$50,0))*$AM210</f>
        <v>0</v>
      </c>
      <c r="BE210" s="55"/>
      <c r="BF210" s="59">
        <f ca="1">SUMPRODUCT($CA210:$DI210,OFFSET('General Inputs'!$F$40:$AN$40,MATCH($D210&amp;" Electric ($/kWh)",'General Inputs'!$E$40:$E$46,0),),'General Inputs'!$F$54:$AN$54)</f>
        <v>132662.984101006</v>
      </c>
      <c r="BG210" s="59">
        <f ca="1">SUMPRODUCT($EU210:$GC210,OFFSET('General Inputs'!$F$40:$AN$40,MATCH($D210&amp;" Natural Gas ($/therm)",'General Inputs'!$E$40:$E$46,0),),'General Inputs'!$F$54:$AN$54)</f>
        <v>0</v>
      </c>
      <c r="BH210" s="59">
        <f ca="1">INDEX('General Inputs'!$F$54:$AN$54,MATCH($H210,'General Inputs'!$F$50:$AN$50,0))*$AI210</f>
        <v>4431.8212668262322</v>
      </c>
      <c r="BI210" s="59">
        <f ca="1">SUM(INDEX('General Inputs'!$F$54:$AN$54,MATCH($H210,'General Inputs'!$F$50:$AN$50,0))*$AG210,INDEX('General Inputs'!$F$51:$AN$51,MATCH($H210+$AL210,'General Inputs'!$F$50:$AN$50,0))*-$AH210)</f>
        <v>49592.079975785542</v>
      </c>
      <c r="BJ210" s="55"/>
      <c r="BK210" s="59">
        <f ca="1">SUMPRODUCT($CA210:$DI210,'General Inputs'!$F$32:$AN$32,'General Inputs'!$F$53:$AN$53)/(1-Loss_ElectricEnergy)</f>
        <v>33525.76483726396</v>
      </c>
      <c r="BL210" s="59">
        <f ca="1">SUMPRODUCT($DK210:$ES210,'General Inputs'!$F$33:$AN$33,'General Inputs'!$F$53:$AN$53)/(1-Loss_ElectricDemand)</f>
        <v>5603.3227169695574</v>
      </c>
      <c r="BM210" s="59">
        <f ca="1">SUMPRODUCT($EU210:$GC210,'General Inputs'!$F$34:$AN$34,'General Inputs'!$F$53:$AN$53)/(1-Loss_GasEnergy)</f>
        <v>0</v>
      </c>
      <c r="BN210" s="59">
        <f ca="1">INDEX('General Inputs'!$F$53:$AN$53,MATCH($H210,'General Inputs'!$F$50:$AN$50,0))*$AJ210</f>
        <v>0</v>
      </c>
      <c r="BO210" s="59">
        <f ca="1">SUMPRODUCT($CA210:$DI210,'General Inputs'!$F$35:$AN$35,'General Inputs'!$F$53:$AN$53)/(1-Loss_ElectricEnergy)</f>
        <v>12281.124991344135</v>
      </c>
      <c r="BP210" s="59">
        <f ca="1">INDEX('General Inputs'!$F$51:$AN$51,MATCH($H210,'General Inputs'!$F$50:$AN$50,0))*$AM210</f>
        <v>0</v>
      </c>
      <c r="BQ210" s="59">
        <f ca="1">SUM(INDEX('General Inputs'!$F$53:$AN$53,MATCH($H210,'General Inputs'!$F$50:$AN$50,0))*$AG210,INDEX('General Inputs'!$F$53:$AN$53,MATCH($H210+$AL210,'General Inputs'!$F$50:$AN$50,0))*-$AH210)</f>
        <v>49592.079975785542</v>
      </c>
      <c r="BR210" s="55"/>
      <c r="BS210" s="59">
        <f ca="1">SUMPRODUCT($CA210:$DI210,'General Inputs'!$F$32:$AN$32,'General Inputs'!$F$55:$AN$55)/(1-Loss_ElectricEnergy)</f>
        <v>33525.76483726396</v>
      </c>
      <c r="BT210" s="59">
        <f ca="1">SUMPRODUCT($DK210:$ES210,'General Inputs'!$F$33:$AN$33,'General Inputs'!$F$55:$AN$55)/(1-Loss_ElectricDemand)</f>
        <v>5603.3227169695574</v>
      </c>
      <c r="BU210" s="59">
        <f ca="1">SUMPRODUCT($EU210:$GC210,'General Inputs'!$F$34:$AN$34,'General Inputs'!$F$55:$AN$55)/(1-Loss_GasEnergy)</f>
        <v>0</v>
      </c>
      <c r="BV210" s="59">
        <f ca="1">SUMPRODUCT($CA210:$DI210,OFFSET('General Inputs'!$F$40:$AN$40,MATCH($D210&amp;" Electric ($/kWh)",'General Inputs'!$E$40:$E$46,0),),'General Inputs'!$F$55:$AN$55)</f>
        <v>132662.984101006</v>
      </c>
      <c r="BW210" s="59">
        <f ca="1">SUMPRODUCT($EU210:$GC210,OFFSET('General Inputs'!$F$40:$AN$40,MATCH($D210&amp;" Natural Gas ($/therm)",'General Inputs'!$E$40:$E$46,0),),'General Inputs'!$F$55:$AN$55)</f>
        <v>0</v>
      </c>
      <c r="BX210" s="59">
        <f ca="1">INDEX('General Inputs'!$F$55:$AN$55,MATCH($H210,'General Inputs'!$F$50:$AN$50,0))*$AI210</f>
        <v>4431.8212668262322</v>
      </c>
      <c r="BY210" s="59">
        <f ca="1">INDEX('General Inputs'!$F$51:$AN$51,MATCH($H210,'General Inputs'!$F$50:$AN$50,0))*$AM210</f>
        <v>0</v>
      </c>
      <c r="BZ210" s="55"/>
      <c r="CA210" s="88">
        <f t="shared" ca="1" si="432"/>
        <v>0</v>
      </c>
      <c r="CB210" s="88">
        <f t="shared" ca="1" si="432"/>
        <v>0</v>
      </c>
      <c r="CC210" s="88">
        <f t="shared" ca="1" si="432"/>
        <v>126263.89783281731</v>
      </c>
      <c r="CD210" s="88">
        <f t="shared" ca="1" si="432"/>
        <v>126263.89783281731</v>
      </c>
      <c r="CE210" s="88">
        <f t="shared" ca="1" si="432"/>
        <v>126263.89783281731</v>
      </c>
      <c r="CF210" s="88">
        <f t="shared" ca="1" si="432"/>
        <v>126263.89783281731</v>
      </c>
      <c r="CG210" s="88">
        <f t="shared" ca="1" si="432"/>
        <v>126263.89783281731</v>
      </c>
      <c r="CH210" s="88">
        <f t="shared" ca="1" si="432"/>
        <v>126263.89783281731</v>
      </c>
      <c r="CI210" s="88">
        <f t="shared" ca="1" si="432"/>
        <v>126263.89783281731</v>
      </c>
      <c r="CJ210" s="88">
        <f t="shared" ca="1" si="432"/>
        <v>126263.89783281731</v>
      </c>
      <c r="CK210" s="88">
        <f t="shared" ca="1" si="433"/>
        <v>126263.89783281731</v>
      </c>
      <c r="CL210" s="88">
        <f t="shared" ca="1" si="433"/>
        <v>126263.89783281731</v>
      </c>
      <c r="CM210" s="88">
        <f t="shared" ca="1" si="433"/>
        <v>126263.89783281731</v>
      </c>
      <c r="CN210" s="88">
        <f t="shared" ca="1" si="433"/>
        <v>126263.89783281731</v>
      </c>
      <c r="CO210" s="88">
        <f t="shared" ca="1" si="433"/>
        <v>126263.89783281731</v>
      </c>
      <c r="CP210" s="88">
        <f t="shared" ca="1" si="433"/>
        <v>126263.89783281731</v>
      </c>
      <c r="CQ210" s="88">
        <f t="shared" ca="1" si="433"/>
        <v>126263.89783281731</v>
      </c>
      <c r="CR210" s="88">
        <f t="shared" ca="1" si="433"/>
        <v>126263.89783281731</v>
      </c>
      <c r="CS210" s="88">
        <f t="shared" ca="1" si="433"/>
        <v>126263.89783281731</v>
      </c>
      <c r="CT210" s="88">
        <f t="shared" ca="1" si="433"/>
        <v>126263.89783281731</v>
      </c>
      <c r="CU210" s="88">
        <f t="shared" ca="1" si="434"/>
        <v>0</v>
      </c>
      <c r="CV210" s="88">
        <f t="shared" ca="1" si="434"/>
        <v>0</v>
      </c>
      <c r="CW210" s="88">
        <f t="shared" ca="1" si="434"/>
        <v>0</v>
      </c>
      <c r="CX210" s="88">
        <f t="shared" ca="1" si="434"/>
        <v>0</v>
      </c>
      <c r="CY210" s="88">
        <f t="shared" ca="1" si="434"/>
        <v>0</v>
      </c>
      <c r="CZ210" s="88">
        <f t="shared" ca="1" si="434"/>
        <v>0</v>
      </c>
      <c r="DA210" s="88">
        <f t="shared" ca="1" si="434"/>
        <v>0</v>
      </c>
      <c r="DB210" s="88">
        <f t="shared" ca="1" si="434"/>
        <v>0</v>
      </c>
      <c r="DC210" s="88">
        <f t="shared" ca="1" si="434"/>
        <v>0</v>
      </c>
      <c r="DD210" s="88">
        <f t="shared" ca="1" si="434"/>
        <v>0</v>
      </c>
      <c r="DE210" s="88">
        <f t="shared" ca="1" si="434"/>
        <v>0</v>
      </c>
      <c r="DF210" s="88">
        <f t="shared" ca="1" si="434"/>
        <v>0</v>
      </c>
      <c r="DG210" s="88">
        <f t="shared" ca="1" si="434"/>
        <v>0</v>
      </c>
      <c r="DH210" s="88">
        <f t="shared" ca="1" si="434"/>
        <v>0</v>
      </c>
      <c r="DI210" s="88">
        <f t="shared" ca="1" si="434"/>
        <v>0</v>
      </c>
      <c r="DJ210" s="169"/>
      <c r="DK210" s="88">
        <f t="shared" ca="1" si="435"/>
        <v>0</v>
      </c>
      <c r="DL210" s="88">
        <f t="shared" ca="1" si="435"/>
        <v>0</v>
      </c>
      <c r="DM210" s="88">
        <f t="shared" ca="1" si="435"/>
        <v>29.33948863636363</v>
      </c>
      <c r="DN210" s="88">
        <f t="shared" ca="1" si="435"/>
        <v>29.33948863636363</v>
      </c>
      <c r="DO210" s="88">
        <f t="shared" ca="1" si="435"/>
        <v>29.33948863636363</v>
      </c>
      <c r="DP210" s="88">
        <f t="shared" ca="1" si="435"/>
        <v>29.33948863636363</v>
      </c>
      <c r="DQ210" s="88">
        <f t="shared" ca="1" si="435"/>
        <v>29.33948863636363</v>
      </c>
      <c r="DR210" s="88">
        <f t="shared" ca="1" si="435"/>
        <v>29.33948863636363</v>
      </c>
      <c r="DS210" s="88">
        <f t="shared" ca="1" si="435"/>
        <v>29.33948863636363</v>
      </c>
      <c r="DT210" s="88">
        <f t="shared" ca="1" si="435"/>
        <v>29.33948863636363</v>
      </c>
      <c r="DU210" s="88">
        <f t="shared" ca="1" si="436"/>
        <v>29.33948863636363</v>
      </c>
      <c r="DV210" s="88">
        <f t="shared" ca="1" si="436"/>
        <v>29.33948863636363</v>
      </c>
      <c r="DW210" s="88">
        <f t="shared" ca="1" si="436"/>
        <v>29.33948863636363</v>
      </c>
      <c r="DX210" s="88">
        <f t="shared" ca="1" si="436"/>
        <v>29.33948863636363</v>
      </c>
      <c r="DY210" s="88">
        <f t="shared" ca="1" si="436"/>
        <v>29.33948863636363</v>
      </c>
      <c r="DZ210" s="88">
        <f t="shared" ca="1" si="436"/>
        <v>29.33948863636363</v>
      </c>
      <c r="EA210" s="88">
        <f t="shared" ca="1" si="436"/>
        <v>29.33948863636363</v>
      </c>
      <c r="EB210" s="88">
        <f t="shared" ca="1" si="436"/>
        <v>29.33948863636363</v>
      </c>
      <c r="EC210" s="88">
        <f t="shared" ca="1" si="436"/>
        <v>29.33948863636363</v>
      </c>
      <c r="ED210" s="88">
        <f t="shared" ca="1" si="436"/>
        <v>29.33948863636363</v>
      </c>
      <c r="EE210" s="88">
        <f t="shared" ca="1" si="437"/>
        <v>0</v>
      </c>
      <c r="EF210" s="88">
        <f t="shared" ca="1" si="437"/>
        <v>0</v>
      </c>
      <c r="EG210" s="88">
        <f t="shared" ca="1" si="437"/>
        <v>0</v>
      </c>
      <c r="EH210" s="88">
        <f t="shared" ca="1" si="437"/>
        <v>0</v>
      </c>
      <c r="EI210" s="88">
        <f t="shared" ca="1" si="437"/>
        <v>0</v>
      </c>
      <c r="EJ210" s="88">
        <f t="shared" ca="1" si="437"/>
        <v>0</v>
      </c>
      <c r="EK210" s="88">
        <f t="shared" ca="1" si="437"/>
        <v>0</v>
      </c>
      <c r="EL210" s="88">
        <f t="shared" ca="1" si="437"/>
        <v>0</v>
      </c>
      <c r="EM210" s="88">
        <f t="shared" ca="1" si="437"/>
        <v>0</v>
      </c>
      <c r="EN210" s="88">
        <f t="shared" ca="1" si="437"/>
        <v>0</v>
      </c>
      <c r="EO210" s="88">
        <f t="shared" ca="1" si="437"/>
        <v>0</v>
      </c>
      <c r="EP210" s="88">
        <f t="shared" ca="1" si="437"/>
        <v>0</v>
      </c>
      <c r="EQ210" s="88">
        <f t="shared" ca="1" si="437"/>
        <v>0</v>
      </c>
      <c r="ER210" s="88">
        <f t="shared" ca="1" si="437"/>
        <v>0</v>
      </c>
      <c r="ES210" s="88">
        <f t="shared" ca="1" si="437"/>
        <v>0</v>
      </c>
      <c r="ET210" s="169"/>
      <c r="EU210" s="88">
        <f t="shared" ca="1" si="438"/>
        <v>0</v>
      </c>
      <c r="EV210" s="88">
        <f t="shared" ca="1" si="438"/>
        <v>0</v>
      </c>
      <c r="EW210" s="88">
        <f t="shared" ca="1" si="438"/>
        <v>0</v>
      </c>
      <c r="EX210" s="88">
        <f t="shared" ca="1" si="438"/>
        <v>0</v>
      </c>
      <c r="EY210" s="88">
        <f t="shared" ca="1" si="438"/>
        <v>0</v>
      </c>
      <c r="EZ210" s="88">
        <f t="shared" ca="1" si="438"/>
        <v>0</v>
      </c>
      <c r="FA210" s="88">
        <f t="shared" ca="1" si="438"/>
        <v>0</v>
      </c>
      <c r="FB210" s="88">
        <f t="shared" ca="1" si="438"/>
        <v>0</v>
      </c>
      <c r="FC210" s="88">
        <f t="shared" ca="1" si="438"/>
        <v>0</v>
      </c>
      <c r="FD210" s="88">
        <f t="shared" ca="1" si="438"/>
        <v>0</v>
      </c>
      <c r="FE210" s="88">
        <f t="shared" ca="1" si="439"/>
        <v>0</v>
      </c>
      <c r="FF210" s="88">
        <f t="shared" ca="1" si="439"/>
        <v>0</v>
      </c>
      <c r="FG210" s="88">
        <f t="shared" ca="1" si="439"/>
        <v>0</v>
      </c>
      <c r="FH210" s="88">
        <f t="shared" ca="1" si="439"/>
        <v>0</v>
      </c>
      <c r="FI210" s="88">
        <f t="shared" ca="1" si="439"/>
        <v>0</v>
      </c>
      <c r="FJ210" s="88">
        <f t="shared" ca="1" si="439"/>
        <v>0</v>
      </c>
      <c r="FK210" s="88">
        <f t="shared" ca="1" si="439"/>
        <v>0</v>
      </c>
      <c r="FL210" s="88">
        <f t="shared" ca="1" si="439"/>
        <v>0</v>
      </c>
      <c r="FM210" s="88">
        <f t="shared" ca="1" si="439"/>
        <v>0</v>
      </c>
      <c r="FN210" s="88">
        <f t="shared" ca="1" si="439"/>
        <v>0</v>
      </c>
      <c r="FO210" s="88">
        <f t="shared" ca="1" si="440"/>
        <v>0</v>
      </c>
      <c r="FP210" s="88">
        <f t="shared" ca="1" si="440"/>
        <v>0</v>
      </c>
      <c r="FQ210" s="88">
        <f t="shared" ca="1" si="440"/>
        <v>0</v>
      </c>
      <c r="FR210" s="88">
        <f t="shared" ca="1" si="440"/>
        <v>0</v>
      </c>
      <c r="FS210" s="88">
        <f t="shared" ca="1" si="440"/>
        <v>0</v>
      </c>
      <c r="FT210" s="88">
        <f t="shared" ca="1" si="440"/>
        <v>0</v>
      </c>
      <c r="FU210" s="88">
        <f t="shared" ca="1" si="440"/>
        <v>0</v>
      </c>
      <c r="FV210" s="88">
        <f t="shared" ca="1" si="440"/>
        <v>0</v>
      </c>
      <c r="FW210" s="88">
        <f t="shared" ca="1" si="440"/>
        <v>0</v>
      </c>
      <c r="FX210" s="88">
        <f t="shared" ca="1" si="440"/>
        <v>0</v>
      </c>
      <c r="FY210" s="88">
        <f t="shared" ca="1" si="440"/>
        <v>0</v>
      </c>
      <c r="FZ210" s="88">
        <f t="shared" ca="1" si="440"/>
        <v>0</v>
      </c>
      <c r="GA210" s="88">
        <f t="shared" ca="1" si="440"/>
        <v>0</v>
      </c>
      <c r="GB210" s="88">
        <f t="shared" ca="1" si="440"/>
        <v>0</v>
      </c>
      <c r="GC210" s="88">
        <f t="shared" ca="1" si="440"/>
        <v>0</v>
      </c>
      <c r="GD210" s="60"/>
    </row>
    <row r="211" spans="1:186" s="54" customFormat="1" ht="14.45" customHeight="1">
      <c r="A211" s="61"/>
      <c r="B211" s="100" t="str">
        <f t="shared" si="418"/>
        <v>Residential_High Efficiency HVAC_0_Heat Pump Water Heater_2019</v>
      </c>
      <c r="C211" s="100">
        <f>INDEX('Measure Inputs'!$D:$D,MATCH($B211,'Measure Inputs'!$B:$B,0))</f>
        <v>163</v>
      </c>
      <c r="D211" s="101" t="s">
        <v>2</v>
      </c>
      <c r="E211" s="101" t="s">
        <v>250</v>
      </c>
      <c r="F211" s="101">
        <v>0</v>
      </c>
      <c r="G211" s="101" t="s">
        <v>260</v>
      </c>
      <c r="H211" s="101">
        <v>2019</v>
      </c>
      <c r="I211" s="55"/>
      <c r="J211" s="58">
        <f t="shared" ca="1" si="229"/>
        <v>0.6185011446321671</v>
      </c>
      <c r="K211" s="58">
        <f t="shared" ca="1" si="246"/>
        <v>2.4245244869580951</v>
      </c>
      <c r="L211" s="58">
        <f t="shared" ca="1" si="230"/>
        <v>2.6218903311791664</v>
      </c>
      <c r="M211" s="58">
        <f t="shared" ca="1" si="231"/>
        <v>0.84212078596324058</v>
      </c>
      <c r="N211" s="58">
        <f t="shared" ca="1" si="232"/>
        <v>0.23589893798265887</v>
      </c>
      <c r="O211" s="55"/>
      <c r="P211" s="175">
        <f ca="1">IFERROR(($AW211+AV211)/SUMPRODUCT($CA211:$DI211,'General Inputs'!$F$51:$AN$51),"n/a")</f>
        <v>1.3646332130194255E-2</v>
      </c>
      <c r="Q211" s="175">
        <f t="shared" ca="1" si="386"/>
        <v>0.11215656092154104</v>
      </c>
      <c r="R211" s="56">
        <f t="shared" ca="1" si="428"/>
        <v>231.81880566209813</v>
      </c>
      <c r="S211" s="55"/>
      <c r="T211" s="56">
        <f ca="1">INDEX(OFFSET('Measure Inputs'!$L$7,,,InputRows),$C211)</f>
        <v>10</v>
      </c>
      <c r="U211" s="134">
        <f ca="1">INDEX(OFFSET('Measure Inputs'!$T$7,,,InputRows),$C211)</f>
        <v>1</v>
      </c>
      <c r="V211" s="134">
        <f ca="1">INDEX(OFFSET('Measure Inputs'!$U$7,,,InputRows),$C211)</f>
        <v>1</v>
      </c>
      <c r="W211" s="55"/>
      <c r="X211" s="96">
        <f ca="1">INDEX(OFFSET('Measure Inputs'!$V$7,,,InputRows),$C211)*$T211*$V211*$U211</f>
        <v>17832.2158201614</v>
      </c>
      <c r="Y211" s="96">
        <f ca="1">INDEX(OFFSET('Measure Inputs'!$W$7,,,InputRows),$C211)*$T211*$V211*$U211</f>
        <v>0.84479506451613418</v>
      </c>
      <c r="Z211" s="96">
        <f ca="1">INDEX(OFFSET('Measure Inputs'!$X$7,,,InputRows),$C211)*$T211*$V211*$U211</f>
        <v>0</v>
      </c>
      <c r="AA211" s="55"/>
      <c r="AB211" s="96">
        <f ca="1">INDEX(OFFSET('Measure Inputs'!$Z$7,,,InputRows),$C211)*$T211*$V211*$U211</f>
        <v>0</v>
      </c>
      <c r="AC211" s="96">
        <f ca="1">INDEX(OFFSET('Measure Inputs'!$AA$7,,,InputRows),$C211)*$T211*$V211*$U211</f>
        <v>0</v>
      </c>
      <c r="AD211" s="96">
        <f ca="1">INDEX(OFFSET('Measure Inputs'!$AB$7,,,InputRows),$C211)*$T211*$V211*$U211</f>
        <v>0</v>
      </c>
      <c r="AE211" s="55"/>
      <c r="AF211" s="57">
        <f ca="1">INDEX(OFFSET('Measure Inputs'!$Q$7,,,InputRows),$C211)*$T211</f>
        <v>0</v>
      </c>
      <c r="AG211" s="57">
        <f ca="1">INDEX(OFFSET('Measure Inputs'!$P$7,,,InputRows),$C211)*$T211*$V211</f>
        <v>7840</v>
      </c>
      <c r="AH211" s="57">
        <f ca="1">INDEX(OFFSET('Measure Inputs'!$R$7,,,InputRows),$C211)*$T211*$V211</f>
        <v>0</v>
      </c>
      <c r="AI211" s="57">
        <f ca="1">INDEX(OFFSET('Measure Inputs'!$O$7,,,InputRows),$C211)*$T211</f>
        <v>2000</v>
      </c>
      <c r="AJ211" s="57">
        <f ca="1">INDEX(OFFSET('Measure Inputs'!$S$7,,,InputRows),$C211)*$T211</f>
        <v>0</v>
      </c>
      <c r="AK211" s="63">
        <f ca="1">INDEX(OFFSET('Measure Inputs'!$M$7,,,InputRows),$C211)</f>
        <v>13</v>
      </c>
      <c r="AL211" s="88">
        <f ca="1">INDEX(OFFSET('Measure Inputs'!$N$7,,,InputRows),$C211)</f>
        <v>0</v>
      </c>
      <c r="AM211" s="57">
        <f ca="1">SUMIFS(OFFSET('Program Inputs'!$N$5,,,TotalPrograms),OFFSET('Program Inputs'!$B$5,,,TotalPrograms),SUBSTITUTE($B211,"All","*"))+AF211</f>
        <v>0</v>
      </c>
      <c r="AN211" s="57">
        <f t="shared" ca="1" si="429"/>
        <v>2000</v>
      </c>
      <c r="AO211" s="55"/>
      <c r="AP211" s="59">
        <f t="shared" ca="1" si="430"/>
        <v>4093.3558793302268</v>
      </c>
      <c r="AQ211" s="59">
        <f t="shared" ca="1" si="431"/>
        <v>6618.1864251271736</v>
      </c>
      <c r="AR211" s="59">
        <f ca="1">SUMPRODUCT($CA211:$DI211,'General Inputs'!$F$32:$AN$32,'General Inputs'!$F$51:$AN$51)/(1-Loss_ElectricEnergy)</f>
        <v>3958.4698437819952</v>
      </c>
      <c r="AS211" s="59">
        <f ca="1">SUMPRODUCT($DK211:$ES211,'General Inputs'!$F$33:$AN$33,'General Inputs'!$F$51:$AN$51)/(1-Loss_ElectricDemand)</f>
        <v>134.88603554823158</v>
      </c>
      <c r="AT211" s="59">
        <f ca="1">SUMPRODUCT($EU211:$GC211,'General Inputs'!$F$34:$AN$34,'General Inputs'!$F$51:$AN$51)/(1-Loss_GasEnergy)</f>
        <v>0</v>
      </c>
      <c r="AU211" s="59">
        <f ca="1">INDEX('General Inputs'!$F$51:$AN$51,MATCH($H211,'General Inputs'!$F$50:$AN$50,0))*$AJ211</f>
        <v>0</v>
      </c>
      <c r="AV211" s="59">
        <f ca="1">INDEX('General Inputs'!$F$51:$AN$51,MATCH($H211,'General Inputs'!$F$50:$AN$50,0))*$AI211</f>
        <v>1688.3128635528503</v>
      </c>
      <c r="AW211" s="59">
        <f ca="1">INDEX('General Inputs'!$F$51:$AN$51,MATCH($H211,'General Inputs'!$F$50:$AN$50,0))*$AM211</f>
        <v>0</v>
      </c>
      <c r="AX211" s="59">
        <f ca="1">SUM(INDEX('General Inputs'!$F$51:$AN$51,MATCH($H211,'General Inputs'!$F$50:$AN$50,0))*$AG211,INDEX('General Inputs'!$F$51:$AN$51,MATCH($H211+$AL211,'General Inputs'!$F$50:$AN$50,0))*-$AH211)</f>
        <v>6618.1864251271736</v>
      </c>
      <c r="AY211" s="55"/>
      <c r="AZ211" s="59">
        <f ca="1">SUMPRODUCT($CA211:$DI211,'General Inputs'!$F$32:$AN$32,'General Inputs'!$F$52:$AN$52)/(1-Loss_ElectricEnergy)</f>
        <v>3958.4698437819952</v>
      </c>
      <c r="BA211" s="59">
        <f ca="1">SUMPRODUCT($DK211:$ES211,'General Inputs'!$F$33:$AN$33,'General Inputs'!$F$52:$AN$52)/(1-Loss_ElectricDemand)</f>
        <v>134.88603554823158</v>
      </c>
      <c r="BB211" s="59">
        <f ca="1">SUMPRODUCT($EU211:$GC211,'General Inputs'!$F$34:$AN$34,'General Inputs'!$F$52:$AN$52)/(1-Loss_GasEnergy)</f>
        <v>0</v>
      </c>
      <c r="BC211" s="59">
        <f ca="1">INDEX('General Inputs'!$F$52:$AN$52,MATCH($H211,'General Inputs'!$F$50:$AN$50,0))*$AI211</f>
        <v>1688.3128635528503</v>
      </c>
      <c r="BD211" s="59">
        <f ca="1">INDEX('General Inputs'!$F$52:$AN$52,MATCH($H211,'General Inputs'!$F$50:$AN$50,0))*$AM211</f>
        <v>0</v>
      </c>
      <c r="BE211" s="55"/>
      <c r="BF211" s="59">
        <f ca="1">SUMPRODUCT($CA211:$DI211,OFFSET('General Inputs'!$F$40:$AN$40,MATCH($D211&amp;" Electric ($/kWh)",'General Inputs'!$E$40:$E$46,0),),'General Inputs'!$F$54:$AN$54)</f>
        <v>15663.846134429295</v>
      </c>
      <c r="BG211" s="59">
        <f ca="1">SUMPRODUCT($EU211:$GC211,OFFSET('General Inputs'!$F$40:$AN$40,MATCH($D211&amp;" Natural Gas ($/therm)",'General Inputs'!$E$40:$E$46,0),),'General Inputs'!$F$54:$AN$54)</f>
        <v>0</v>
      </c>
      <c r="BH211" s="59">
        <f ca="1">INDEX('General Inputs'!$F$54:$AN$54,MATCH($H211,'General Inputs'!$F$50:$AN$50,0))*$AI211</f>
        <v>1688.3128635528503</v>
      </c>
      <c r="BI211" s="59">
        <f ca="1">SUM(INDEX('General Inputs'!$F$54:$AN$54,MATCH($H211,'General Inputs'!$F$50:$AN$50,0))*$AG211,INDEX('General Inputs'!$F$51:$AN$51,MATCH($H211+$AL211,'General Inputs'!$F$50:$AN$50,0))*-$AH211)</f>
        <v>6618.1864251271736</v>
      </c>
      <c r="BJ211" s="55"/>
      <c r="BK211" s="59">
        <f ca="1">SUMPRODUCT($CA211:$DI211,'General Inputs'!$F$32:$AN$32,'General Inputs'!$F$53:$AN$53)/(1-Loss_ElectricEnergy)</f>
        <v>3958.4698437819952</v>
      </c>
      <c r="BL211" s="59">
        <f ca="1">SUMPRODUCT($DK211:$ES211,'General Inputs'!$F$33:$AN$33,'General Inputs'!$F$53:$AN$53)/(1-Loss_ElectricDemand)</f>
        <v>134.88603554823158</v>
      </c>
      <c r="BM211" s="59">
        <f ca="1">SUMPRODUCT($EU211:$GC211,'General Inputs'!$F$34:$AN$34,'General Inputs'!$F$53:$AN$53)/(1-Loss_GasEnergy)</f>
        <v>0</v>
      </c>
      <c r="BN211" s="59">
        <f ca="1">INDEX('General Inputs'!$F$53:$AN$53,MATCH($H211,'General Inputs'!$F$50:$AN$50,0))*$AJ211</f>
        <v>0</v>
      </c>
      <c r="BO211" s="59">
        <f ca="1">SUMPRODUCT($CA211:$DI211,'General Inputs'!$F$35:$AN$35,'General Inputs'!$F$53:$AN$53)/(1-Loss_ElectricEnergy)</f>
        <v>1479.956474649118</v>
      </c>
      <c r="BP211" s="59">
        <f ca="1">INDEX('General Inputs'!$F$51:$AN$51,MATCH($H211,'General Inputs'!$F$50:$AN$50,0))*$AM211</f>
        <v>0</v>
      </c>
      <c r="BQ211" s="59">
        <f ca="1">SUM(INDEX('General Inputs'!$F$53:$AN$53,MATCH($H211,'General Inputs'!$F$50:$AN$50,0))*$AG211,INDEX('General Inputs'!$F$53:$AN$53,MATCH($H211+$AL211,'General Inputs'!$F$50:$AN$50,0))*-$AH211)</f>
        <v>6618.1864251271736</v>
      </c>
      <c r="BR211" s="55"/>
      <c r="BS211" s="59">
        <f ca="1">SUMPRODUCT($CA211:$DI211,'General Inputs'!$F$32:$AN$32,'General Inputs'!$F$55:$AN$55)/(1-Loss_ElectricEnergy)</f>
        <v>3958.4698437819952</v>
      </c>
      <c r="BT211" s="59">
        <f ca="1">SUMPRODUCT($DK211:$ES211,'General Inputs'!$F$33:$AN$33,'General Inputs'!$F$55:$AN$55)/(1-Loss_ElectricDemand)</f>
        <v>134.88603554823158</v>
      </c>
      <c r="BU211" s="59">
        <f ca="1">SUMPRODUCT($EU211:$GC211,'General Inputs'!$F$34:$AN$34,'General Inputs'!$F$55:$AN$55)/(1-Loss_GasEnergy)</f>
        <v>0</v>
      </c>
      <c r="BV211" s="59">
        <f ca="1">SUMPRODUCT($CA211:$DI211,OFFSET('General Inputs'!$F$40:$AN$40,MATCH($D211&amp;" Electric ($/kWh)",'General Inputs'!$E$40:$E$46,0),),'General Inputs'!$F$55:$AN$55)</f>
        <v>15663.846134429295</v>
      </c>
      <c r="BW211" s="59">
        <f ca="1">SUMPRODUCT($EU211:$GC211,OFFSET('General Inputs'!$F$40:$AN$40,MATCH($D211&amp;" Natural Gas ($/therm)",'General Inputs'!$E$40:$E$46,0),),'General Inputs'!$F$55:$AN$55)</f>
        <v>0</v>
      </c>
      <c r="BX211" s="59">
        <f ca="1">INDEX('General Inputs'!$F$55:$AN$55,MATCH($H211,'General Inputs'!$F$50:$AN$50,0))*$AI211</f>
        <v>1688.3128635528503</v>
      </c>
      <c r="BY211" s="59">
        <f ca="1">INDEX('General Inputs'!$F$51:$AN$51,MATCH($H211,'General Inputs'!$F$50:$AN$50,0))*$AM211</f>
        <v>0</v>
      </c>
      <c r="BZ211" s="55"/>
      <c r="CA211" s="88">
        <f t="shared" ca="1" si="432"/>
        <v>0</v>
      </c>
      <c r="CB211" s="88">
        <f t="shared" ca="1" si="432"/>
        <v>0</v>
      </c>
      <c r="CC211" s="88">
        <f t="shared" ca="1" si="432"/>
        <v>17832.2158201614</v>
      </c>
      <c r="CD211" s="88">
        <f t="shared" ca="1" si="432"/>
        <v>17832.2158201614</v>
      </c>
      <c r="CE211" s="88">
        <f t="shared" ca="1" si="432"/>
        <v>17832.2158201614</v>
      </c>
      <c r="CF211" s="88">
        <f t="shared" ca="1" si="432"/>
        <v>17832.2158201614</v>
      </c>
      <c r="CG211" s="88">
        <f t="shared" ca="1" si="432"/>
        <v>17832.2158201614</v>
      </c>
      <c r="CH211" s="88">
        <f t="shared" ca="1" si="432"/>
        <v>17832.2158201614</v>
      </c>
      <c r="CI211" s="88">
        <f t="shared" ca="1" si="432"/>
        <v>17832.2158201614</v>
      </c>
      <c r="CJ211" s="88">
        <f t="shared" ca="1" si="432"/>
        <v>17832.2158201614</v>
      </c>
      <c r="CK211" s="88">
        <f t="shared" ca="1" si="433"/>
        <v>17832.2158201614</v>
      </c>
      <c r="CL211" s="88">
        <f t="shared" ca="1" si="433"/>
        <v>17832.2158201614</v>
      </c>
      <c r="CM211" s="88">
        <f t="shared" ca="1" si="433"/>
        <v>17832.2158201614</v>
      </c>
      <c r="CN211" s="88">
        <f t="shared" ca="1" si="433"/>
        <v>17832.2158201614</v>
      </c>
      <c r="CO211" s="88">
        <f t="shared" ca="1" si="433"/>
        <v>17832.2158201614</v>
      </c>
      <c r="CP211" s="88">
        <f t="shared" ca="1" si="433"/>
        <v>0</v>
      </c>
      <c r="CQ211" s="88">
        <f t="shared" ca="1" si="433"/>
        <v>0</v>
      </c>
      <c r="CR211" s="88">
        <f t="shared" ca="1" si="433"/>
        <v>0</v>
      </c>
      <c r="CS211" s="88">
        <f t="shared" ca="1" si="433"/>
        <v>0</v>
      </c>
      <c r="CT211" s="88">
        <f t="shared" ca="1" si="433"/>
        <v>0</v>
      </c>
      <c r="CU211" s="88">
        <f t="shared" ca="1" si="434"/>
        <v>0</v>
      </c>
      <c r="CV211" s="88">
        <f t="shared" ca="1" si="434"/>
        <v>0</v>
      </c>
      <c r="CW211" s="88">
        <f t="shared" ca="1" si="434"/>
        <v>0</v>
      </c>
      <c r="CX211" s="88">
        <f t="shared" ca="1" si="434"/>
        <v>0</v>
      </c>
      <c r="CY211" s="88">
        <f t="shared" ca="1" si="434"/>
        <v>0</v>
      </c>
      <c r="CZ211" s="88">
        <f t="shared" ca="1" si="434"/>
        <v>0</v>
      </c>
      <c r="DA211" s="88">
        <f t="shared" ca="1" si="434"/>
        <v>0</v>
      </c>
      <c r="DB211" s="88">
        <f t="shared" ca="1" si="434"/>
        <v>0</v>
      </c>
      <c r="DC211" s="88">
        <f t="shared" ca="1" si="434"/>
        <v>0</v>
      </c>
      <c r="DD211" s="88">
        <f t="shared" ca="1" si="434"/>
        <v>0</v>
      </c>
      <c r="DE211" s="88">
        <f t="shared" ca="1" si="434"/>
        <v>0</v>
      </c>
      <c r="DF211" s="88">
        <f t="shared" ca="1" si="434"/>
        <v>0</v>
      </c>
      <c r="DG211" s="88">
        <f t="shared" ca="1" si="434"/>
        <v>0</v>
      </c>
      <c r="DH211" s="88">
        <f t="shared" ca="1" si="434"/>
        <v>0</v>
      </c>
      <c r="DI211" s="88">
        <f t="shared" ca="1" si="434"/>
        <v>0</v>
      </c>
      <c r="DJ211" s="169"/>
      <c r="DK211" s="88">
        <f t="shared" ca="1" si="435"/>
        <v>0</v>
      </c>
      <c r="DL211" s="88">
        <f t="shared" ca="1" si="435"/>
        <v>0</v>
      </c>
      <c r="DM211" s="88">
        <f t="shared" ca="1" si="435"/>
        <v>0.84479506451613418</v>
      </c>
      <c r="DN211" s="88">
        <f t="shared" ca="1" si="435"/>
        <v>0.84479506451613418</v>
      </c>
      <c r="DO211" s="88">
        <f t="shared" ca="1" si="435"/>
        <v>0.84479506451613418</v>
      </c>
      <c r="DP211" s="88">
        <f t="shared" ca="1" si="435"/>
        <v>0.84479506451613418</v>
      </c>
      <c r="DQ211" s="88">
        <f t="shared" ca="1" si="435"/>
        <v>0.84479506451613418</v>
      </c>
      <c r="DR211" s="88">
        <f t="shared" ca="1" si="435"/>
        <v>0.84479506451613418</v>
      </c>
      <c r="DS211" s="88">
        <f t="shared" ca="1" si="435"/>
        <v>0.84479506451613418</v>
      </c>
      <c r="DT211" s="88">
        <f t="shared" ca="1" si="435"/>
        <v>0.84479506451613418</v>
      </c>
      <c r="DU211" s="88">
        <f t="shared" ca="1" si="436"/>
        <v>0.84479506451613418</v>
      </c>
      <c r="DV211" s="88">
        <f t="shared" ca="1" si="436"/>
        <v>0.84479506451613418</v>
      </c>
      <c r="DW211" s="88">
        <f t="shared" ca="1" si="436"/>
        <v>0.84479506451613418</v>
      </c>
      <c r="DX211" s="88">
        <f t="shared" ca="1" si="436"/>
        <v>0.84479506451613418</v>
      </c>
      <c r="DY211" s="88">
        <f t="shared" ca="1" si="436"/>
        <v>0.84479506451613418</v>
      </c>
      <c r="DZ211" s="88">
        <f t="shared" ca="1" si="436"/>
        <v>0</v>
      </c>
      <c r="EA211" s="88">
        <f t="shared" ca="1" si="436"/>
        <v>0</v>
      </c>
      <c r="EB211" s="88">
        <f t="shared" ca="1" si="436"/>
        <v>0</v>
      </c>
      <c r="EC211" s="88">
        <f t="shared" ca="1" si="436"/>
        <v>0</v>
      </c>
      <c r="ED211" s="88">
        <f t="shared" ca="1" si="436"/>
        <v>0</v>
      </c>
      <c r="EE211" s="88">
        <f t="shared" ca="1" si="437"/>
        <v>0</v>
      </c>
      <c r="EF211" s="88">
        <f t="shared" ca="1" si="437"/>
        <v>0</v>
      </c>
      <c r="EG211" s="88">
        <f t="shared" ca="1" si="437"/>
        <v>0</v>
      </c>
      <c r="EH211" s="88">
        <f t="shared" ca="1" si="437"/>
        <v>0</v>
      </c>
      <c r="EI211" s="88">
        <f t="shared" ca="1" si="437"/>
        <v>0</v>
      </c>
      <c r="EJ211" s="88">
        <f t="shared" ca="1" si="437"/>
        <v>0</v>
      </c>
      <c r="EK211" s="88">
        <f t="shared" ca="1" si="437"/>
        <v>0</v>
      </c>
      <c r="EL211" s="88">
        <f t="shared" ca="1" si="437"/>
        <v>0</v>
      </c>
      <c r="EM211" s="88">
        <f t="shared" ca="1" si="437"/>
        <v>0</v>
      </c>
      <c r="EN211" s="88">
        <f t="shared" ca="1" si="437"/>
        <v>0</v>
      </c>
      <c r="EO211" s="88">
        <f t="shared" ca="1" si="437"/>
        <v>0</v>
      </c>
      <c r="EP211" s="88">
        <f t="shared" ca="1" si="437"/>
        <v>0</v>
      </c>
      <c r="EQ211" s="88">
        <f t="shared" ca="1" si="437"/>
        <v>0</v>
      </c>
      <c r="ER211" s="88">
        <f t="shared" ca="1" si="437"/>
        <v>0</v>
      </c>
      <c r="ES211" s="88">
        <f t="shared" ca="1" si="437"/>
        <v>0</v>
      </c>
      <c r="ET211" s="169"/>
      <c r="EU211" s="88">
        <f t="shared" ca="1" si="438"/>
        <v>0</v>
      </c>
      <c r="EV211" s="88">
        <f t="shared" ca="1" si="438"/>
        <v>0</v>
      </c>
      <c r="EW211" s="88">
        <f t="shared" ca="1" si="438"/>
        <v>0</v>
      </c>
      <c r="EX211" s="88">
        <f t="shared" ca="1" si="438"/>
        <v>0</v>
      </c>
      <c r="EY211" s="88">
        <f t="shared" ca="1" si="438"/>
        <v>0</v>
      </c>
      <c r="EZ211" s="88">
        <f t="shared" ca="1" si="438"/>
        <v>0</v>
      </c>
      <c r="FA211" s="88">
        <f t="shared" ca="1" si="438"/>
        <v>0</v>
      </c>
      <c r="FB211" s="88">
        <f t="shared" ca="1" si="438"/>
        <v>0</v>
      </c>
      <c r="FC211" s="88">
        <f t="shared" ca="1" si="438"/>
        <v>0</v>
      </c>
      <c r="FD211" s="88">
        <f t="shared" ca="1" si="438"/>
        <v>0</v>
      </c>
      <c r="FE211" s="88">
        <f t="shared" ca="1" si="439"/>
        <v>0</v>
      </c>
      <c r="FF211" s="88">
        <f t="shared" ca="1" si="439"/>
        <v>0</v>
      </c>
      <c r="FG211" s="88">
        <f t="shared" ca="1" si="439"/>
        <v>0</v>
      </c>
      <c r="FH211" s="88">
        <f t="shared" ca="1" si="439"/>
        <v>0</v>
      </c>
      <c r="FI211" s="88">
        <f t="shared" ca="1" si="439"/>
        <v>0</v>
      </c>
      <c r="FJ211" s="88">
        <f t="shared" ca="1" si="439"/>
        <v>0</v>
      </c>
      <c r="FK211" s="88">
        <f t="shared" ca="1" si="439"/>
        <v>0</v>
      </c>
      <c r="FL211" s="88">
        <f t="shared" ca="1" si="439"/>
        <v>0</v>
      </c>
      <c r="FM211" s="88">
        <f t="shared" ca="1" si="439"/>
        <v>0</v>
      </c>
      <c r="FN211" s="88">
        <f t="shared" ca="1" si="439"/>
        <v>0</v>
      </c>
      <c r="FO211" s="88">
        <f t="shared" ca="1" si="440"/>
        <v>0</v>
      </c>
      <c r="FP211" s="88">
        <f t="shared" ca="1" si="440"/>
        <v>0</v>
      </c>
      <c r="FQ211" s="88">
        <f t="shared" ca="1" si="440"/>
        <v>0</v>
      </c>
      <c r="FR211" s="88">
        <f t="shared" ca="1" si="440"/>
        <v>0</v>
      </c>
      <c r="FS211" s="88">
        <f t="shared" ca="1" si="440"/>
        <v>0</v>
      </c>
      <c r="FT211" s="88">
        <f t="shared" ca="1" si="440"/>
        <v>0</v>
      </c>
      <c r="FU211" s="88">
        <f t="shared" ca="1" si="440"/>
        <v>0</v>
      </c>
      <c r="FV211" s="88">
        <f t="shared" ca="1" si="440"/>
        <v>0</v>
      </c>
      <c r="FW211" s="88">
        <f t="shared" ca="1" si="440"/>
        <v>0</v>
      </c>
      <c r="FX211" s="88">
        <f t="shared" ca="1" si="440"/>
        <v>0</v>
      </c>
      <c r="FY211" s="88">
        <f t="shared" ca="1" si="440"/>
        <v>0</v>
      </c>
      <c r="FZ211" s="88">
        <f t="shared" ca="1" si="440"/>
        <v>0</v>
      </c>
      <c r="GA211" s="88">
        <f t="shared" ca="1" si="440"/>
        <v>0</v>
      </c>
      <c r="GB211" s="88">
        <f t="shared" ca="1" si="440"/>
        <v>0</v>
      </c>
      <c r="GC211" s="88">
        <f t="shared" ca="1" si="440"/>
        <v>0</v>
      </c>
      <c r="GD211" s="60"/>
    </row>
    <row r="212" spans="1:186" s="54" customFormat="1" ht="14.45" customHeight="1">
      <c r="A212" s="61"/>
      <c r="B212" s="100" t="str">
        <f t="shared" si="418"/>
        <v>Residential_High Efficiency HVAC_0_Geothermal EER ≥17.1, COP ≥3.6_2019</v>
      </c>
      <c r="C212" s="100">
        <f>INDEX('Measure Inputs'!$D:$D,MATCH($B212,'Measure Inputs'!$B:$B,0))</f>
        <v>164</v>
      </c>
      <c r="D212" s="101" t="s">
        <v>2</v>
      </c>
      <c r="E212" s="101" t="s">
        <v>250</v>
      </c>
      <c r="F212" s="101">
        <v>0</v>
      </c>
      <c r="G212" s="101" t="s">
        <v>610</v>
      </c>
      <c r="H212" s="101">
        <v>2019</v>
      </c>
      <c r="I212" s="55"/>
      <c r="J212" s="58" t="str">
        <f t="shared" ca="1" si="229"/>
        <v>n/a</v>
      </c>
      <c r="K212" s="58" t="str">
        <f t="shared" ca="1" si="246"/>
        <v>n/a</v>
      </c>
      <c r="L212" s="58" t="str">
        <f t="shared" ca="1" si="230"/>
        <v>n/a</v>
      </c>
      <c r="M212" s="58" t="str">
        <f t="shared" ca="1" si="231"/>
        <v>n/a</v>
      </c>
      <c r="N212" s="58" t="str">
        <f t="shared" ca="1" si="232"/>
        <v>n/a</v>
      </c>
      <c r="O212" s="55"/>
      <c r="P212" s="175" t="str">
        <f ca="1">IFERROR(($AW212+AV212)/SUMPRODUCT($CA212:$DI212,'General Inputs'!$F$51:$AN$51),"n/a")</f>
        <v>n/a</v>
      </c>
      <c r="Q212" s="175" t="str">
        <f t="shared" ca="1" si="386"/>
        <v>n/a</v>
      </c>
      <c r="R212" s="56">
        <f t="shared" ca="1" si="428"/>
        <v>0</v>
      </c>
      <c r="S212" s="55"/>
      <c r="T212" s="56">
        <f ca="1">INDEX(OFFSET('Measure Inputs'!$L$7,,,InputRows),$C212)</f>
        <v>0</v>
      </c>
      <c r="U212" s="134">
        <f ca="1">INDEX(OFFSET('Measure Inputs'!$T$7,,,InputRows),$C212)</f>
        <v>1</v>
      </c>
      <c r="V212" s="134">
        <f ca="1">INDEX(OFFSET('Measure Inputs'!$U$7,,,InputRows),$C212)</f>
        <v>1</v>
      </c>
      <c r="W212" s="55"/>
      <c r="X212" s="96">
        <f ca="1">INDEX(OFFSET('Measure Inputs'!$V$7,,,InputRows),$C212)*$T212*$V212*$U212</f>
        <v>0</v>
      </c>
      <c r="Y212" s="96">
        <f ca="1">INDEX(OFFSET('Measure Inputs'!$W$7,,,InputRows),$C212)*$T212*$V212*$U212</f>
        <v>0</v>
      </c>
      <c r="Z212" s="96">
        <f ca="1">INDEX(OFFSET('Measure Inputs'!$X$7,,,InputRows),$C212)*$T212*$V212*$U212</f>
        <v>0</v>
      </c>
      <c r="AA212" s="55"/>
      <c r="AB212" s="96">
        <f ca="1">INDEX(OFFSET('Measure Inputs'!$Z$7,,,InputRows),$C212)*$T212*$V212*$U212</f>
        <v>0</v>
      </c>
      <c r="AC212" s="96">
        <f ca="1">INDEX(OFFSET('Measure Inputs'!$AA$7,,,InputRows),$C212)*$T212*$V212*$U212</f>
        <v>0</v>
      </c>
      <c r="AD212" s="96">
        <f ca="1">INDEX(OFFSET('Measure Inputs'!$AB$7,,,InputRows),$C212)*$T212*$V212*$U212</f>
        <v>0</v>
      </c>
      <c r="AE212" s="55"/>
      <c r="AF212" s="57">
        <f ca="1">INDEX(OFFSET('Measure Inputs'!$Q$7,,,InputRows),$C212)*$T212</f>
        <v>0</v>
      </c>
      <c r="AG212" s="57">
        <f ca="1">INDEX(OFFSET('Measure Inputs'!$P$7,,,InputRows),$C212)*$T212*$V212</f>
        <v>0</v>
      </c>
      <c r="AH212" s="57">
        <f ca="1">INDEX(OFFSET('Measure Inputs'!$R$7,,,InputRows),$C212)*$T212*$V212</f>
        <v>0</v>
      </c>
      <c r="AI212" s="57">
        <f ca="1">INDEX(OFFSET('Measure Inputs'!$O$7,,,InputRows),$C212)*$T212</f>
        <v>0</v>
      </c>
      <c r="AJ212" s="57">
        <f ca="1">INDEX(OFFSET('Measure Inputs'!$S$7,,,InputRows),$C212)*$T212</f>
        <v>0</v>
      </c>
      <c r="AK212" s="63">
        <f ca="1">INDEX(OFFSET('Measure Inputs'!$M$7,,,InputRows),$C212)</f>
        <v>25</v>
      </c>
      <c r="AL212" s="88">
        <f ca="1">INDEX(OFFSET('Measure Inputs'!$N$7,,,InputRows),$C212)</f>
        <v>0</v>
      </c>
      <c r="AM212" s="57">
        <f ca="1">SUMIFS(OFFSET('Program Inputs'!$N$5,,,TotalPrograms),OFFSET('Program Inputs'!$B$5,,,TotalPrograms),SUBSTITUTE($B212,"All","*"))+AF212</f>
        <v>0</v>
      </c>
      <c r="AN212" s="57">
        <f t="shared" ca="1" si="429"/>
        <v>0</v>
      </c>
      <c r="AO212" s="55"/>
      <c r="AP212" s="59">
        <f t="shared" ca="1" si="430"/>
        <v>0</v>
      </c>
      <c r="AQ212" s="59">
        <f t="shared" ca="1" si="431"/>
        <v>0</v>
      </c>
      <c r="AR212" s="59">
        <f ca="1">SUMPRODUCT($CA212:$DI212,'General Inputs'!$F$32:$AN$32,'General Inputs'!$F$51:$AN$51)/(1-Loss_ElectricEnergy)</f>
        <v>0</v>
      </c>
      <c r="AS212" s="59">
        <f ca="1">SUMPRODUCT($DK212:$ES212,'General Inputs'!$F$33:$AN$33,'General Inputs'!$F$51:$AN$51)/(1-Loss_ElectricDemand)</f>
        <v>0</v>
      </c>
      <c r="AT212" s="59">
        <f ca="1">SUMPRODUCT($EU212:$GC212,'General Inputs'!$F$34:$AN$34,'General Inputs'!$F$51:$AN$51)/(1-Loss_GasEnergy)</f>
        <v>0</v>
      </c>
      <c r="AU212" s="59">
        <f ca="1">INDEX('General Inputs'!$F$51:$AN$51,MATCH($H212,'General Inputs'!$F$50:$AN$50,0))*$AJ212</f>
        <v>0</v>
      </c>
      <c r="AV212" s="59">
        <f ca="1">INDEX('General Inputs'!$F$51:$AN$51,MATCH($H212,'General Inputs'!$F$50:$AN$50,0))*$AI212</f>
        <v>0</v>
      </c>
      <c r="AW212" s="59">
        <f ca="1">INDEX('General Inputs'!$F$51:$AN$51,MATCH($H212,'General Inputs'!$F$50:$AN$50,0))*$AM212</f>
        <v>0</v>
      </c>
      <c r="AX212" s="59">
        <f ca="1">SUM(INDEX('General Inputs'!$F$51:$AN$51,MATCH($H212,'General Inputs'!$F$50:$AN$50,0))*$AG212,INDEX('General Inputs'!$F$51:$AN$51,MATCH($H212+$AL212,'General Inputs'!$F$50:$AN$50,0))*-$AH212)</f>
        <v>0</v>
      </c>
      <c r="AY212" s="55"/>
      <c r="AZ212" s="59">
        <f ca="1">SUMPRODUCT($CA212:$DI212,'General Inputs'!$F$32:$AN$32,'General Inputs'!$F$52:$AN$52)/(1-Loss_ElectricEnergy)</f>
        <v>0</v>
      </c>
      <c r="BA212" s="59">
        <f ca="1">SUMPRODUCT($DK212:$ES212,'General Inputs'!$F$33:$AN$33,'General Inputs'!$F$52:$AN$52)/(1-Loss_ElectricDemand)</f>
        <v>0</v>
      </c>
      <c r="BB212" s="59">
        <f ca="1">SUMPRODUCT($EU212:$GC212,'General Inputs'!$F$34:$AN$34,'General Inputs'!$F$52:$AN$52)/(1-Loss_GasEnergy)</f>
        <v>0</v>
      </c>
      <c r="BC212" s="59">
        <f ca="1">INDEX('General Inputs'!$F$52:$AN$52,MATCH($H212,'General Inputs'!$F$50:$AN$50,0))*$AI212</f>
        <v>0</v>
      </c>
      <c r="BD212" s="59">
        <f ca="1">INDEX('General Inputs'!$F$52:$AN$52,MATCH($H212,'General Inputs'!$F$50:$AN$50,0))*$AM212</f>
        <v>0</v>
      </c>
      <c r="BE212" s="55"/>
      <c r="BF212" s="59">
        <f ca="1">SUMPRODUCT($CA212:$DI212,OFFSET('General Inputs'!$F$40:$AN$40,MATCH($D212&amp;" Electric ($/kWh)",'General Inputs'!$E$40:$E$46,0),),'General Inputs'!$F$54:$AN$54)</f>
        <v>0</v>
      </c>
      <c r="BG212" s="59">
        <f ca="1">SUMPRODUCT($EU212:$GC212,OFFSET('General Inputs'!$F$40:$AN$40,MATCH($D212&amp;" Natural Gas ($/therm)",'General Inputs'!$E$40:$E$46,0),),'General Inputs'!$F$54:$AN$54)</f>
        <v>0</v>
      </c>
      <c r="BH212" s="59">
        <f ca="1">INDEX('General Inputs'!$F$54:$AN$54,MATCH($H212,'General Inputs'!$F$50:$AN$50,0))*$AI212</f>
        <v>0</v>
      </c>
      <c r="BI212" s="59">
        <f ca="1">SUM(INDEX('General Inputs'!$F$54:$AN$54,MATCH($H212,'General Inputs'!$F$50:$AN$50,0))*$AG212,INDEX('General Inputs'!$F$51:$AN$51,MATCH($H212+$AL212,'General Inputs'!$F$50:$AN$50,0))*-$AH212)</f>
        <v>0</v>
      </c>
      <c r="BJ212" s="55"/>
      <c r="BK212" s="59">
        <f ca="1">SUMPRODUCT($CA212:$DI212,'General Inputs'!$F$32:$AN$32,'General Inputs'!$F$53:$AN$53)/(1-Loss_ElectricEnergy)</f>
        <v>0</v>
      </c>
      <c r="BL212" s="59">
        <f ca="1">SUMPRODUCT($DK212:$ES212,'General Inputs'!$F$33:$AN$33,'General Inputs'!$F$53:$AN$53)/(1-Loss_ElectricDemand)</f>
        <v>0</v>
      </c>
      <c r="BM212" s="59">
        <f ca="1">SUMPRODUCT($EU212:$GC212,'General Inputs'!$F$34:$AN$34,'General Inputs'!$F$53:$AN$53)/(1-Loss_GasEnergy)</f>
        <v>0</v>
      </c>
      <c r="BN212" s="59">
        <f ca="1">INDEX('General Inputs'!$F$53:$AN$53,MATCH($H212,'General Inputs'!$F$50:$AN$50,0))*$AJ212</f>
        <v>0</v>
      </c>
      <c r="BO212" s="59">
        <f ca="1">SUMPRODUCT($CA212:$DI212,'General Inputs'!$F$35:$AN$35,'General Inputs'!$F$53:$AN$53)/(1-Loss_ElectricEnergy)</f>
        <v>0</v>
      </c>
      <c r="BP212" s="59">
        <f ca="1">INDEX('General Inputs'!$F$51:$AN$51,MATCH($H212,'General Inputs'!$F$50:$AN$50,0))*$AM212</f>
        <v>0</v>
      </c>
      <c r="BQ212" s="59">
        <f ca="1">SUM(INDEX('General Inputs'!$F$53:$AN$53,MATCH($H212,'General Inputs'!$F$50:$AN$50,0))*$AG212,INDEX('General Inputs'!$F$53:$AN$53,MATCH($H212+$AL212,'General Inputs'!$F$50:$AN$50,0))*-$AH212)</f>
        <v>0</v>
      </c>
      <c r="BR212" s="55"/>
      <c r="BS212" s="59">
        <f ca="1">SUMPRODUCT($CA212:$DI212,'General Inputs'!$F$32:$AN$32,'General Inputs'!$F$55:$AN$55)/(1-Loss_ElectricEnergy)</f>
        <v>0</v>
      </c>
      <c r="BT212" s="59">
        <f ca="1">SUMPRODUCT($DK212:$ES212,'General Inputs'!$F$33:$AN$33,'General Inputs'!$F$55:$AN$55)/(1-Loss_ElectricDemand)</f>
        <v>0</v>
      </c>
      <c r="BU212" s="59">
        <f ca="1">SUMPRODUCT($EU212:$GC212,'General Inputs'!$F$34:$AN$34,'General Inputs'!$F$55:$AN$55)/(1-Loss_GasEnergy)</f>
        <v>0</v>
      </c>
      <c r="BV212" s="59">
        <f ca="1">SUMPRODUCT($CA212:$DI212,OFFSET('General Inputs'!$F$40:$AN$40,MATCH($D212&amp;" Electric ($/kWh)",'General Inputs'!$E$40:$E$46,0),),'General Inputs'!$F$55:$AN$55)</f>
        <v>0</v>
      </c>
      <c r="BW212" s="59">
        <f ca="1">SUMPRODUCT($EU212:$GC212,OFFSET('General Inputs'!$F$40:$AN$40,MATCH($D212&amp;" Natural Gas ($/therm)",'General Inputs'!$E$40:$E$46,0),),'General Inputs'!$F$55:$AN$55)</f>
        <v>0</v>
      </c>
      <c r="BX212" s="59">
        <f ca="1">INDEX('General Inputs'!$F$55:$AN$55,MATCH($H212,'General Inputs'!$F$50:$AN$50,0))*$AI212</f>
        <v>0</v>
      </c>
      <c r="BY212" s="59">
        <f ca="1">INDEX('General Inputs'!$F$51:$AN$51,MATCH($H212,'General Inputs'!$F$50:$AN$50,0))*$AM212</f>
        <v>0</v>
      </c>
      <c r="BZ212" s="55"/>
      <c r="CA212" s="88">
        <f t="shared" ca="1" si="432"/>
        <v>0</v>
      </c>
      <c r="CB212" s="88">
        <f t="shared" ca="1" si="432"/>
        <v>0</v>
      </c>
      <c r="CC212" s="88">
        <f t="shared" ca="1" si="432"/>
        <v>0</v>
      </c>
      <c r="CD212" s="88">
        <f t="shared" ca="1" si="432"/>
        <v>0</v>
      </c>
      <c r="CE212" s="88">
        <f t="shared" ca="1" si="432"/>
        <v>0</v>
      </c>
      <c r="CF212" s="88">
        <f t="shared" ca="1" si="432"/>
        <v>0</v>
      </c>
      <c r="CG212" s="88">
        <f t="shared" ca="1" si="432"/>
        <v>0</v>
      </c>
      <c r="CH212" s="88">
        <f t="shared" ca="1" si="432"/>
        <v>0</v>
      </c>
      <c r="CI212" s="88">
        <f t="shared" ca="1" si="432"/>
        <v>0</v>
      </c>
      <c r="CJ212" s="88">
        <f t="shared" ca="1" si="432"/>
        <v>0</v>
      </c>
      <c r="CK212" s="88">
        <f t="shared" ca="1" si="433"/>
        <v>0</v>
      </c>
      <c r="CL212" s="88">
        <f t="shared" ca="1" si="433"/>
        <v>0</v>
      </c>
      <c r="CM212" s="88">
        <f t="shared" ca="1" si="433"/>
        <v>0</v>
      </c>
      <c r="CN212" s="88">
        <f t="shared" ca="1" si="433"/>
        <v>0</v>
      </c>
      <c r="CO212" s="88">
        <f t="shared" ca="1" si="433"/>
        <v>0</v>
      </c>
      <c r="CP212" s="88">
        <f t="shared" ca="1" si="433"/>
        <v>0</v>
      </c>
      <c r="CQ212" s="88">
        <f t="shared" ca="1" si="433"/>
        <v>0</v>
      </c>
      <c r="CR212" s="88">
        <f t="shared" ca="1" si="433"/>
        <v>0</v>
      </c>
      <c r="CS212" s="88">
        <f t="shared" ca="1" si="433"/>
        <v>0</v>
      </c>
      <c r="CT212" s="88">
        <f t="shared" ca="1" si="433"/>
        <v>0</v>
      </c>
      <c r="CU212" s="88">
        <f t="shared" ca="1" si="434"/>
        <v>0</v>
      </c>
      <c r="CV212" s="88">
        <f t="shared" ca="1" si="434"/>
        <v>0</v>
      </c>
      <c r="CW212" s="88">
        <f t="shared" ca="1" si="434"/>
        <v>0</v>
      </c>
      <c r="CX212" s="88">
        <f t="shared" ca="1" si="434"/>
        <v>0</v>
      </c>
      <c r="CY212" s="88">
        <f t="shared" ca="1" si="434"/>
        <v>0</v>
      </c>
      <c r="CZ212" s="88">
        <f t="shared" ca="1" si="434"/>
        <v>0</v>
      </c>
      <c r="DA212" s="88">
        <f t="shared" ca="1" si="434"/>
        <v>0</v>
      </c>
      <c r="DB212" s="88">
        <f t="shared" ca="1" si="434"/>
        <v>0</v>
      </c>
      <c r="DC212" s="88">
        <f t="shared" ca="1" si="434"/>
        <v>0</v>
      </c>
      <c r="DD212" s="88">
        <f t="shared" ca="1" si="434"/>
        <v>0</v>
      </c>
      <c r="DE212" s="88">
        <f t="shared" ca="1" si="434"/>
        <v>0</v>
      </c>
      <c r="DF212" s="88">
        <f t="shared" ca="1" si="434"/>
        <v>0</v>
      </c>
      <c r="DG212" s="88">
        <f t="shared" ca="1" si="434"/>
        <v>0</v>
      </c>
      <c r="DH212" s="88">
        <f t="shared" ca="1" si="434"/>
        <v>0</v>
      </c>
      <c r="DI212" s="88">
        <f t="shared" ca="1" si="434"/>
        <v>0</v>
      </c>
      <c r="DJ212" s="169"/>
      <c r="DK212" s="88">
        <f t="shared" ca="1" si="435"/>
        <v>0</v>
      </c>
      <c r="DL212" s="88">
        <f t="shared" ca="1" si="435"/>
        <v>0</v>
      </c>
      <c r="DM212" s="88">
        <f t="shared" ca="1" si="435"/>
        <v>0</v>
      </c>
      <c r="DN212" s="88">
        <f t="shared" ca="1" si="435"/>
        <v>0</v>
      </c>
      <c r="DO212" s="88">
        <f t="shared" ca="1" si="435"/>
        <v>0</v>
      </c>
      <c r="DP212" s="88">
        <f t="shared" ca="1" si="435"/>
        <v>0</v>
      </c>
      <c r="DQ212" s="88">
        <f t="shared" ca="1" si="435"/>
        <v>0</v>
      </c>
      <c r="DR212" s="88">
        <f t="shared" ca="1" si="435"/>
        <v>0</v>
      </c>
      <c r="DS212" s="88">
        <f t="shared" ca="1" si="435"/>
        <v>0</v>
      </c>
      <c r="DT212" s="88">
        <f t="shared" ca="1" si="435"/>
        <v>0</v>
      </c>
      <c r="DU212" s="88">
        <f t="shared" ca="1" si="436"/>
        <v>0</v>
      </c>
      <c r="DV212" s="88">
        <f t="shared" ca="1" si="436"/>
        <v>0</v>
      </c>
      <c r="DW212" s="88">
        <f t="shared" ca="1" si="436"/>
        <v>0</v>
      </c>
      <c r="DX212" s="88">
        <f t="shared" ca="1" si="436"/>
        <v>0</v>
      </c>
      <c r="DY212" s="88">
        <f t="shared" ca="1" si="436"/>
        <v>0</v>
      </c>
      <c r="DZ212" s="88">
        <f t="shared" ca="1" si="436"/>
        <v>0</v>
      </c>
      <c r="EA212" s="88">
        <f t="shared" ca="1" si="436"/>
        <v>0</v>
      </c>
      <c r="EB212" s="88">
        <f t="shared" ca="1" si="436"/>
        <v>0</v>
      </c>
      <c r="EC212" s="88">
        <f t="shared" ca="1" si="436"/>
        <v>0</v>
      </c>
      <c r="ED212" s="88">
        <f t="shared" ca="1" si="436"/>
        <v>0</v>
      </c>
      <c r="EE212" s="88">
        <f t="shared" ca="1" si="437"/>
        <v>0</v>
      </c>
      <c r="EF212" s="88">
        <f t="shared" ca="1" si="437"/>
        <v>0</v>
      </c>
      <c r="EG212" s="88">
        <f t="shared" ca="1" si="437"/>
        <v>0</v>
      </c>
      <c r="EH212" s="88">
        <f t="shared" ca="1" si="437"/>
        <v>0</v>
      </c>
      <c r="EI212" s="88">
        <f t="shared" ca="1" si="437"/>
        <v>0</v>
      </c>
      <c r="EJ212" s="88">
        <f t="shared" ca="1" si="437"/>
        <v>0</v>
      </c>
      <c r="EK212" s="88">
        <f t="shared" ca="1" si="437"/>
        <v>0</v>
      </c>
      <c r="EL212" s="88">
        <f t="shared" ca="1" si="437"/>
        <v>0</v>
      </c>
      <c r="EM212" s="88">
        <f t="shared" ca="1" si="437"/>
        <v>0</v>
      </c>
      <c r="EN212" s="88">
        <f t="shared" ca="1" si="437"/>
        <v>0</v>
      </c>
      <c r="EO212" s="88">
        <f t="shared" ca="1" si="437"/>
        <v>0</v>
      </c>
      <c r="EP212" s="88">
        <f t="shared" ca="1" si="437"/>
        <v>0</v>
      </c>
      <c r="EQ212" s="88">
        <f t="shared" ca="1" si="437"/>
        <v>0</v>
      </c>
      <c r="ER212" s="88">
        <f t="shared" ca="1" si="437"/>
        <v>0</v>
      </c>
      <c r="ES212" s="88">
        <f t="shared" ca="1" si="437"/>
        <v>0</v>
      </c>
      <c r="ET212" s="169"/>
      <c r="EU212" s="88">
        <f t="shared" ca="1" si="438"/>
        <v>0</v>
      </c>
      <c r="EV212" s="88">
        <f t="shared" ca="1" si="438"/>
        <v>0</v>
      </c>
      <c r="EW212" s="88">
        <f t="shared" ca="1" si="438"/>
        <v>0</v>
      </c>
      <c r="EX212" s="88">
        <f t="shared" ca="1" si="438"/>
        <v>0</v>
      </c>
      <c r="EY212" s="88">
        <f t="shared" ca="1" si="438"/>
        <v>0</v>
      </c>
      <c r="EZ212" s="88">
        <f t="shared" ca="1" si="438"/>
        <v>0</v>
      </c>
      <c r="FA212" s="88">
        <f t="shared" ca="1" si="438"/>
        <v>0</v>
      </c>
      <c r="FB212" s="88">
        <f t="shared" ca="1" si="438"/>
        <v>0</v>
      </c>
      <c r="FC212" s="88">
        <f t="shared" ca="1" si="438"/>
        <v>0</v>
      </c>
      <c r="FD212" s="88">
        <f t="shared" ca="1" si="438"/>
        <v>0</v>
      </c>
      <c r="FE212" s="88">
        <f t="shared" ca="1" si="439"/>
        <v>0</v>
      </c>
      <c r="FF212" s="88">
        <f t="shared" ca="1" si="439"/>
        <v>0</v>
      </c>
      <c r="FG212" s="88">
        <f t="shared" ca="1" si="439"/>
        <v>0</v>
      </c>
      <c r="FH212" s="88">
        <f t="shared" ca="1" si="439"/>
        <v>0</v>
      </c>
      <c r="FI212" s="88">
        <f t="shared" ca="1" si="439"/>
        <v>0</v>
      </c>
      <c r="FJ212" s="88">
        <f t="shared" ca="1" si="439"/>
        <v>0</v>
      </c>
      <c r="FK212" s="88">
        <f t="shared" ca="1" si="439"/>
        <v>0</v>
      </c>
      <c r="FL212" s="88">
        <f t="shared" ca="1" si="439"/>
        <v>0</v>
      </c>
      <c r="FM212" s="88">
        <f t="shared" ca="1" si="439"/>
        <v>0</v>
      </c>
      <c r="FN212" s="88">
        <f t="shared" ca="1" si="439"/>
        <v>0</v>
      </c>
      <c r="FO212" s="88">
        <f t="shared" ca="1" si="440"/>
        <v>0</v>
      </c>
      <c r="FP212" s="88">
        <f t="shared" ca="1" si="440"/>
        <v>0</v>
      </c>
      <c r="FQ212" s="88">
        <f t="shared" ca="1" si="440"/>
        <v>0</v>
      </c>
      <c r="FR212" s="88">
        <f t="shared" ca="1" si="440"/>
        <v>0</v>
      </c>
      <c r="FS212" s="88">
        <f t="shared" ca="1" si="440"/>
        <v>0</v>
      </c>
      <c r="FT212" s="88">
        <f t="shared" ca="1" si="440"/>
        <v>0</v>
      </c>
      <c r="FU212" s="88">
        <f t="shared" ca="1" si="440"/>
        <v>0</v>
      </c>
      <c r="FV212" s="88">
        <f t="shared" ca="1" si="440"/>
        <v>0</v>
      </c>
      <c r="FW212" s="88">
        <f t="shared" ca="1" si="440"/>
        <v>0</v>
      </c>
      <c r="FX212" s="88">
        <f t="shared" ca="1" si="440"/>
        <v>0</v>
      </c>
      <c r="FY212" s="88">
        <f t="shared" ca="1" si="440"/>
        <v>0</v>
      </c>
      <c r="FZ212" s="88">
        <f t="shared" ca="1" si="440"/>
        <v>0</v>
      </c>
      <c r="GA212" s="88">
        <f t="shared" ca="1" si="440"/>
        <v>0</v>
      </c>
      <c r="GB212" s="88">
        <f t="shared" ca="1" si="440"/>
        <v>0</v>
      </c>
      <c r="GC212" s="88">
        <f t="shared" ca="1" si="440"/>
        <v>0</v>
      </c>
      <c r="GD212" s="60"/>
    </row>
    <row r="213" spans="1:186" s="54" customFormat="1" ht="14.45" customHeight="1">
      <c r="A213" s="61"/>
      <c r="B213" s="100" t="str">
        <f t="shared" si="418"/>
        <v>Residential_High Efficiency HVAC_0_Early Retirement Geothermal EER ≥17.1, COP ≥3.6_2019</v>
      </c>
      <c r="C213" s="100">
        <f>INDEX('Measure Inputs'!$D:$D,MATCH($B213,'Measure Inputs'!$B:$B,0))</f>
        <v>165</v>
      </c>
      <c r="D213" s="101" t="s">
        <v>2</v>
      </c>
      <c r="E213" s="101" t="s">
        <v>250</v>
      </c>
      <c r="F213" s="101">
        <v>0</v>
      </c>
      <c r="G213" s="101" t="s">
        <v>609</v>
      </c>
      <c r="H213" s="101">
        <v>2019</v>
      </c>
      <c r="I213" s="55"/>
      <c r="J213" s="58" t="str">
        <f t="shared" ca="1" si="229"/>
        <v>n/a</v>
      </c>
      <c r="K213" s="58" t="str">
        <f t="shared" ca="1" si="246"/>
        <v>n/a</v>
      </c>
      <c r="L213" s="58" t="str">
        <f t="shared" ca="1" si="230"/>
        <v>n/a</v>
      </c>
      <c r="M213" s="58" t="str">
        <f t="shared" ca="1" si="231"/>
        <v>n/a</v>
      </c>
      <c r="N213" s="58" t="str">
        <f t="shared" ca="1" si="232"/>
        <v>n/a</v>
      </c>
      <c r="O213" s="55"/>
      <c r="P213" s="175" t="str">
        <f ca="1">IFERROR(($AW213+AV213)/SUMPRODUCT($CA213:$DI213,'General Inputs'!$F$51:$AN$51),"n/a")</f>
        <v>n/a</v>
      </c>
      <c r="Q213" s="175" t="str">
        <f t="shared" ca="1" si="386"/>
        <v>n/a</v>
      </c>
      <c r="R213" s="56">
        <f t="shared" ca="1" si="428"/>
        <v>0</v>
      </c>
      <c r="S213" s="55"/>
      <c r="T213" s="56">
        <f ca="1">INDEX(OFFSET('Measure Inputs'!$L$7,,,InputRows),$C213)</f>
        <v>0</v>
      </c>
      <c r="U213" s="134">
        <f ca="1">INDEX(OFFSET('Measure Inputs'!$T$7,,,InputRows),$C213)</f>
        <v>1</v>
      </c>
      <c r="V213" s="134">
        <f ca="1">INDEX(OFFSET('Measure Inputs'!$U$7,,,InputRows),$C213)</f>
        <v>1</v>
      </c>
      <c r="W213" s="55"/>
      <c r="X213" s="96">
        <f ca="1">INDEX(OFFSET('Measure Inputs'!$V$7,,,InputRows),$C213)*$T213*$V213*$U213</f>
        <v>0</v>
      </c>
      <c r="Y213" s="96">
        <f ca="1">INDEX(OFFSET('Measure Inputs'!$W$7,,,InputRows),$C213)*$T213*$V213*$U213</f>
        <v>0</v>
      </c>
      <c r="Z213" s="96">
        <f ca="1">INDEX(OFFSET('Measure Inputs'!$X$7,,,InputRows),$C213)*$T213*$V213*$U213</f>
        <v>0</v>
      </c>
      <c r="AA213" s="55"/>
      <c r="AB213" s="96">
        <f ca="1">INDEX(OFFSET('Measure Inputs'!$Z$7,,,InputRows),$C213)*$T213*$V213*$U213</f>
        <v>0</v>
      </c>
      <c r="AC213" s="96">
        <f ca="1">INDEX(OFFSET('Measure Inputs'!$AA$7,,,InputRows),$C213)*$T213*$V213*$U213</f>
        <v>0</v>
      </c>
      <c r="AD213" s="96">
        <f ca="1">INDEX(OFFSET('Measure Inputs'!$AB$7,,,InputRows),$C213)*$T213*$V213*$U213</f>
        <v>0</v>
      </c>
      <c r="AE213" s="55"/>
      <c r="AF213" s="57">
        <f ca="1">INDEX(OFFSET('Measure Inputs'!$Q$7,,,InputRows),$C213)*$T213</f>
        <v>0</v>
      </c>
      <c r="AG213" s="57">
        <f ca="1">INDEX(OFFSET('Measure Inputs'!$P$7,,,InputRows),$C213)*$T213*$V213</f>
        <v>0</v>
      </c>
      <c r="AH213" s="57">
        <f ca="1">INDEX(OFFSET('Measure Inputs'!$R$7,,,InputRows),$C213)*$T213*$V213</f>
        <v>0</v>
      </c>
      <c r="AI213" s="57">
        <f ca="1">INDEX(OFFSET('Measure Inputs'!$O$7,,,InputRows),$C213)*$T213</f>
        <v>0</v>
      </c>
      <c r="AJ213" s="57">
        <f ca="1">INDEX(OFFSET('Measure Inputs'!$S$7,,,InputRows),$C213)*$T213</f>
        <v>0</v>
      </c>
      <c r="AK213" s="63">
        <f ca="1">INDEX(OFFSET('Measure Inputs'!$M$7,,,InputRows),$C213)</f>
        <v>25</v>
      </c>
      <c r="AL213" s="88">
        <f ca="1">INDEX(OFFSET('Measure Inputs'!$N$7,,,InputRows),$C213)</f>
        <v>8</v>
      </c>
      <c r="AM213" s="57">
        <f ca="1">SUMIFS(OFFSET('Program Inputs'!$N$5,,,TotalPrograms),OFFSET('Program Inputs'!$B$5,,,TotalPrograms),SUBSTITUTE($B213,"All","*"))+AF213</f>
        <v>0</v>
      </c>
      <c r="AN213" s="57">
        <f t="shared" ca="1" si="429"/>
        <v>0</v>
      </c>
      <c r="AO213" s="55"/>
      <c r="AP213" s="59">
        <f t="shared" ca="1" si="430"/>
        <v>0</v>
      </c>
      <c r="AQ213" s="59">
        <f t="shared" ca="1" si="431"/>
        <v>0</v>
      </c>
      <c r="AR213" s="59">
        <f ca="1">SUMPRODUCT($CA213:$DI213,'General Inputs'!$F$32:$AN$32,'General Inputs'!$F$51:$AN$51)/(1-Loss_ElectricEnergy)</f>
        <v>0</v>
      </c>
      <c r="AS213" s="59">
        <f ca="1">SUMPRODUCT($DK213:$ES213,'General Inputs'!$F$33:$AN$33,'General Inputs'!$F$51:$AN$51)/(1-Loss_ElectricDemand)</f>
        <v>0</v>
      </c>
      <c r="AT213" s="59">
        <f ca="1">SUMPRODUCT($EU213:$GC213,'General Inputs'!$F$34:$AN$34,'General Inputs'!$F$51:$AN$51)/(1-Loss_GasEnergy)</f>
        <v>0</v>
      </c>
      <c r="AU213" s="59">
        <f ca="1">INDEX('General Inputs'!$F$51:$AN$51,MATCH($H213,'General Inputs'!$F$50:$AN$50,0))*$AJ213</f>
        <v>0</v>
      </c>
      <c r="AV213" s="59">
        <f ca="1">INDEX('General Inputs'!$F$51:$AN$51,MATCH($H213,'General Inputs'!$F$50:$AN$50,0))*$AI213</f>
        <v>0</v>
      </c>
      <c r="AW213" s="59">
        <f ca="1">INDEX('General Inputs'!$F$51:$AN$51,MATCH($H213,'General Inputs'!$F$50:$AN$50,0))*$AM213</f>
        <v>0</v>
      </c>
      <c r="AX213" s="59">
        <f ca="1">SUM(INDEX('General Inputs'!$F$51:$AN$51,MATCH($H213,'General Inputs'!$F$50:$AN$50,0))*$AG213,INDEX('General Inputs'!$F$51:$AN$51,MATCH($H213+$AL213,'General Inputs'!$F$50:$AN$50,0))*-$AH213)</f>
        <v>0</v>
      </c>
      <c r="AY213" s="55"/>
      <c r="AZ213" s="59">
        <f ca="1">SUMPRODUCT($CA213:$DI213,'General Inputs'!$F$32:$AN$32,'General Inputs'!$F$52:$AN$52)/(1-Loss_ElectricEnergy)</f>
        <v>0</v>
      </c>
      <c r="BA213" s="59">
        <f ca="1">SUMPRODUCT($DK213:$ES213,'General Inputs'!$F$33:$AN$33,'General Inputs'!$F$52:$AN$52)/(1-Loss_ElectricDemand)</f>
        <v>0</v>
      </c>
      <c r="BB213" s="59">
        <f ca="1">SUMPRODUCT($EU213:$GC213,'General Inputs'!$F$34:$AN$34,'General Inputs'!$F$52:$AN$52)/(1-Loss_GasEnergy)</f>
        <v>0</v>
      </c>
      <c r="BC213" s="59">
        <f ca="1">INDEX('General Inputs'!$F$52:$AN$52,MATCH($H213,'General Inputs'!$F$50:$AN$50,0))*$AI213</f>
        <v>0</v>
      </c>
      <c r="BD213" s="59">
        <f ca="1">INDEX('General Inputs'!$F$52:$AN$52,MATCH($H213,'General Inputs'!$F$50:$AN$50,0))*$AM213</f>
        <v>0</v>
      </c>
      <c r="BE213" s="55"/>
      <c r="BF213" s="59">
        <f ca="1">SUMPRODUCT($CA213:$DI213,OFFSET('General Inputs'!$F$40:$AN$40,MATCH($D213&amp;" Electric ($/kWh)",'General Inputs'!$E$40:$E$46,0),),'General Inputs'!$F$54:$AN$54)</f>
        <v>0</v>
      </c>
      <c r="BG213" s="59">
        <f ca="1">SUMPRODUCT($EU213:$GC213,OFFSET('General Inputs'!$F$40:$AN$40,MATCH($D213&amp;" Natural Gas ($/therm)",'General Inputs'!$E$40:$E$46,0),),'General Inputs'!$F$54:$AN$54)</f>
        <v>0</v>
      </c>
      <c r="BH213" s="59">
        <f ca="1">INDEX('General Inputs'!$F$54:$AN$54,MATCH($H213,'General Inputs'!$F$50:$AN$50,0))*$AI213</f>
        <v>0</v>
      </c>
      <c r="BI213" s="59">
        <f ca="1">SUM(INDEX('General Inputs'!$F$54:$AN$54,MATCH($H213,'General Inputs'!$F$50:$AN$50,0))*$AG213,INDEX('General Inputs'!$F$51:$AN$51,MATCH($H213+$AL213,'General Inputs'!$F$50:$AN$50,0))*-$AH213)</f>
        <v>0</v>
      </c>
      <c r="BJ213" s="55"/>
      <c r="BK213" s="59">
        <f ca="1">SUMPRODUCT($CA213:$DI213,'General Inputs'!$F$32:$AN$32,'General Inputs'!$F$53:$AN$53)/(1-Loss_ElectricEnergy)</f>
        <v>0</v>
      </c>
      <c r="BL213" s="59">
        <f ca="1">SUMPRODUCT($DK213:$ES213,'General Inputs'!$F$33:$AN$33,'General Inputs'!$F$53:$AN$53)/(1-Loss_ElectricDemand)</f>
        <v>0</v>
      </c>
      <c r="BM213" s="59">
        <f ca="1">SUMPRODUCT($EU213:$GC213,'General Inputs'!$F$34:$AN$34,'General Inputs'!$F$53:$AN$53)/(1-Loss_GasEnergy)</f>
        <v>0</v>
      </c>
      <c r="BN213" s="59">
        <f ca="1">INDEX('General Inputs'!$F$53:$AN$53,MATCH($H213,'General Inputs'!$F$50:$AN$50,0))*$AJ213</f>
        <v>0</v>
      </c>
      <c r="BO213" s="59">
        <f ca="1">SUMPRODUCT($CA213:$DI213,'General Inputs'!$F$35:$AN$35,'General Inputs'!$F$53:$AN$53)/(1-Loss_ElectricEnergy)</f>
        <v>0</v>
      </c>
      <c r="BP213" s="59">
        <f ca="1">INDEX('General Inputs'!$F$51:$AN$51,MATCH($H213,'General Inputs'!$F$50:$AN$50,0))*$AM213</f>
        <v>0</v>
      </c>
      <c r="BQ213" s="59">
        <f ca="1">SUM(INDEX('General Inputs'!$F$53:$AN$53,MATCH($H213,'General Inputs'!$F$50:$AN$50,0))*$AG213,INDEX('General Inputs'!$F$53:$AN$53,MATCH($H213+$AL213,'General Inputs'!$F$50:$AN$50,0))*-$AH213)</f>
        <v>0</v>
      </c>
      <c r="BR213" s="55"/>
      <c r="BS213" s="59">
        <f ca="1">SUMPRODUCT($CA213:$DI213,'General Inputs'!$F$32:$AN$32,'General Inputs'!$F$55:$AN$55)/(1-Loss_ElectricEnergy)</f>
        <v>0</v>
      </c>
      <c r="BT213" s="59">
        <f ca="1">SUMPRODUCT($DK213:$ES213,'General Inputs'!$F$33:$AN$33,'General Inputs'!$F$55:$AN$55)/(1-Loss_ElectricDemand)</f>
        <v>0</v>
      </c>
      <c r="BU213" s="59">
        <f ca="1">SUMPRODUCT($EU213:$GC213,'General Inputs'!$F$34:$AN$34,'General Inputs'!$F$55:$AN$55)/(1-Loss_GasEnergy)</f>
        <v>0</v>
      </c>
      <c r="BV213" s="59">
        <f ca="1">SUMPRODUCT($CA213:$DI213,OFFSET('General Inputs'!$F$40:$AN$40,MATCH($D213&amp;" Electric ($/kWh)",'General Inputs'!$E$40:$E$46,0),),'General Inputs'!$F$55:$AN$55)</f>
        <v>0</v>
      </c>
      <c r="BW213" s="59">
        <f ca="1">SUMPRODUCT($EU213:$GC213,OFFSET('General Inputs'!$F$40:$AN$40,MATCH($D213&amp;" Natural Gas ($/therm)",'General Inputs'!$E$40:$E$46,0),),'General Inputs'!$F$55:$AN$55)</f>
        <v>0</v>
      </c>
      <c r="BX213" s="59">
        <f ca="1">INDEX('General Inputs'!$F$55:$AN$55,MATCH($H213,'General Inputs'!$F$50:$AN$50,0))*$AI213</f>
        <v>0</v>
      </c>
      <c r="BY213" s="59">
        <f ca="1">INDEX('General Inputs'!$F$51:$AN$51,MATCH($H213,'General Inputs'!$F$50:$AN$50,0))*$AM213</f>
        <v>0</v>
      </c>
      <c r="BZ213" s="55"/>
      <c r="CA213" s="88">
        <f t="shared" ca="1" si="432"/>
        <v>0</v>
      </c>
      <c r="CB213" s="88">
        <f t="shared" ca="1" si="432"/>
        <v>0</v>
      </c>
      <c r="CC213" s="88">
        <f t="shared" ca="1" si="432"/>
        <v>0</v>
      </c>
      <c r="CD213" s="88">
        <f t="shared" ca="1" si="432"/>
        <v>0</v>
      </c>
      <c r="CE213" s="88">
        <f t="shared" ca="1" si="432"/>
        <v>0</v>
      </c>
      <c r="CF213" s="88">
        <f t="shared" ca="1" si="432"/>
        <v>0</v>
      </c>
      <c r="CG213" s="88">
        <f t="shared" ca="1" si="432"/>
        <v>0</v>
      </c>
      <c r="CH213" s="88">
        <f t="shared" ca="1" si="432"/>
        <v>0</v>
      </c>
      <c r="CI213" s="88">
        <f t="shared" ca="1" si="432"/>
        <v>0</v>
      </c>
      <c r="CJ213" s="88">
        <f t="shared" ca="1" si="432"/>
        <v>0</v>
      </c>
      <c r="CK213" s="88">
        <f t="shared" ca="1" si="433"/>
        <v>0</v>
      </c>
      <c r="CL213" s="88">
        <f t="shared" ca="1" si="433"/>
        <v>0</v>
      </c>
      <c r="CM213" s="88">
        <f t="shared" ca="1" si="433"/>
        <v>0</v>
      </c>
      <c r="CN213" s="88">
        <f t="shared" ca="1" si="433"/>
        <v>0</v>
      </c>
      <c r="CO213" s="88">
        <f t="shared" ca="1" si="433"/>
        <v>0</v>
      </c>
      <c r="CP213" s="88">
        <f t="shared" ca="1" si="433"/>
        <v>0</v>
      </c>
      <c r="CQ213" s="88">
        <f t="shared" ca="1" si="433"/>
        <v>0</v>
      </c>
      <c r="CR213" s="88">
        <f t="shared" ca="1" si="433"/>
        <v>0</v>
      </c>
      <c r="CS213" s="88">
        <f t="shared" ca="1" si="433"/>
        <v>0</v>
      </c>
      <c r="CT213" s="88">
        <f t="shared" ca="1" si="433"/>
        <v>0</v>
      </c>
      <c r="CU213" s="88">
        <f t="shared" ca="1" si="434"/>
        <v>0</v>
      </c>
      <c r="CV213" s="88">
        <f t="shared" ca="1" si="434"/>
        <v>0</v>
      </c>
      <c r="CW213" s="88">
        <f t="shared" ca="1" si="434"/>
        <v>0</v>
      </c>
      <c r="CX213" s="88">
        <f t="shared" ca="1" si="434"/>
        <v>0</v>
      </c>
      <c r="CY213" s="88">
        <f t="shared" ca="1" si="434"/>
        <v>0</v>
      </c>
      <c r="CZ213" s="88">
        <f t="shared" ca="1" si="434"/>
        <v>0</v>
      </c>
      <c r="DA213" s="88">
        <f t="shared" ca="1" si="434"/>
        <v>0</v>
      </c>
      <c r="DB213" s="88">
        <f t="shared" ca="1" si="434"/>
        <v>0</v>
      </c>
      <c r="DC213" s="88">
        <f t="shared" ca="1" si="434"/>
        <v>0</v>
      </c>
      <c r="DD213" s="88">
        <f t="shared" ca="1" si="434"/>
        <v>0</v>
      </c>
      <c r="DE213" s="88">
        <f t="shared" ca="1" si="434"/>
        <v>0</v>
      </c>
      <c r="DF213" s="88">
        <f t="shared" ca="1" si="434"/>
        <v>0</v>
      </c>
      <c r="DG213" s="88">
        <f t="shared" ca="1" si="434"/>
        <v>0</v>
      </c>
      <c r="DH213" s="88">
        <f t="shared" ca="1" si="434"/>
        <v>0</v>
      </c>
      <c r="DI213" s="88">
        <f t="shared" ca="1" si="434"/>
        <v>0</v>
      </c>
      <c r="DJ213" s="169"/>
      <c r="DK213" s="88">
        <f t="shared" ca="1" si="435"/>
        <v>0</v>
      </c>
      <c r="DL213" s="88">
        <f t="shared" ca="1" si="435"/>
        <v>0</v>
      </c>
      <c r="DM213" s="88">
        <f t="shared" ca="1" si="435"/>
        <v>0</v>
      </c>
      <c r="DN213" s="88">
        <f t="shared" ca="1" si="435"/>
        <v>0</v>
      </c>
      <c r="DO213" s="88">
        <f t="shared" ca="1" si="435"/>
        <v>0</v>
      </c>
      <c r="DP213" s="88">
        <f t="shared" ca="1" si="435"/>
        <v>0</v>
      </c>
      <c r="DQ213" s="88">
        <f t="shared" ca="1" si="435"/>
        <v>0</v>
      </c>
      <c r="DR213" s="88">
        <f t="shared" ca="1" si="435"/>
        <v>0</v>
      </c>
      <c r="DS213" s="88">
        <f t="shared" ca="1" si="435"/>
        <v>0</v>
      </c>
      <c r="DT213" s="88">
        <f t="shared" ca="1" si="435"/>
        <v>0</v>
      </c>
      <c r="DU213" s="88">
        <f t="shared" ca="1" si="436"/>
        <v>0</v>
      </c>
      <c r="DV213" s="88">
        <f t="shared" ca="1" si="436"/>
        <v>0</v>
      </c>
      <c r="DW213" s="88">
        <f t="shared" ca="1" si="436"/>
        <v>0</v>
      </c>
      <c r="DX213" s="88">
        <f t="shared" ca="1" si="436"/>
        <v>0</v>
      </c>
      <c r="DY213" s="88">
        <f t="shared" ca="1" si="436"/>
        <v>0</v>
      </c>
      <c r="DZ213" s="88">
        <f t="shared" ca="1" si="436"/>
        <v>0</v>
      </c>
      <c r="EA213" s="88">
        <f t="shared" ca="1" si="436"/>
        <v>0</v>
      </c>
      <c r="EB213" s="88">
        <f t="shared" ca="1" si="436"/>
        <v>0</v>
      </c>
      <c r="EC213" s="88">
        <f t="shared" ca="1" si="436"/>
        <v>0</v>
      </c>
      <c r="ED213" s="88">
        <f t="shared" ca="1" si="436"/>
        <v>0</v>
      </c>
      <c r="EE213" s="88">
        <f t="shared" ca="1" si="437"/>
        <v>0</v>
      </c>
      <c r="EF213" s="88">
        <f t="shared" ca="1" si="437"/>
        <v>0</v>
      </c>
      <c r="EG213" s="88">
        <f t="shared" ca="1" si="437"/>
        <v>0</v>
      </c>
      <c r="EH213" s="88">
        <f t="shared" ca="1" si="437"/>
        <v>0</v>
      </c>
      <c r="EI213" s="88">
        <f t="shared" ca="1" si="437"/>
        <v>0</v>
      </c>
      <c r="EJ213" s="88">
        <f t="shared" ca="1" si="437"/>
        <v>0</v>
      </c>
      <c r="EK213" s="88">
        <f t="shared" ca="1" si="437"/>
        <v>0</v>
      </c>
      <c r="EL213" s="88">
        <f t="shared" ca="1" si="437"/>
        <v>0</v>
      </c>
      <c r="EM213" s="88">
        <f t="shared" ca="1" si="437"/>
        <v>0</v>
      </c>
      <c r="EN213" s="88">
        <f t="shared" ca="1" si="437"/>
        <v>0</v>
      </c>
      <c r="EO213" s="88">
        <f t="shared" ca="1" si="437"/>
        <v>0</v>
      </c>
      <c r="EP213" s="88">
        <f t="shared" ca="1" si="437"/>
        <v>0</v>
      </c>
      <c r="EQ213" s="88">
        <f t="shared" ca="1" si="437"/>
        <v>0</v>
      </c>
      <c r="ER213" s="88">
        <f t="shared" ca="1" si="437"/>
        <v>0</v>
      </c>
      <c r="ES213" s="88">
        <f t="shared" ca="1" si="437"/>
        <v>0</v>
      </c>
      <c r="ET213" s="169"/>
      <c r="EU213" s="88">
        <f t="shared" ca="1" si="438"/>
        <v>0</v>
      </c>
      <c r="EV213" s="88">
        <f t="shared" ca="1" si="438"/>
        <v>0</v>
      </c>
      <c r="EW213" s="88">
        <f t="shared" ca="1" si="438"/>
        <v>0</v>
      </c>
      <c r="EX213" s="88">
        <f t="shared" ca="1" si="438"/>
        <v>0</v>
      </c>
      <c r="EY213" s="88">
        <f t="shared" ca="1" si="438"/>
        <v>0</v>
      </c>
      <c r="EZ213" s="88">
        <f t="shared" ca="1" si="438"/>
        <v>0</v>
      </c>
      <c r="FA213" s="88">
        <f t="shared" ca="1" si="438"/>
        <v>0</v>
      </c>
      <c r="FB213" s="88">
        <f t="shared" ca="1" si="438"/>
        <v>0</v>
      </c>
      <c r="FC213" s="88">
        <f t="shared" ca="1" si="438"/>
        <v>0</v>
      </c>
      <c r="FD213" s="88">
        <f t="shared" ca="1" si="438"/>
        <v>0</v>
      </c>
      <c r="FE213" s="88">
        <f t="shared" ca="1" si="439"/>
        <v>0</v>
      </c>
      <c r="FF213" s="88">
        <f t="shared" ca="1" si="439"/>
        <v>0</v>
      </c>
      <c r="FG213" s="88">
        <f t="shared" ca="1" si="439"/>
        <v>0</v>
      </c>
      <c r="FH213" s="88">
        <f t="shared" ca="1" si="439"/>
        <v>0</v>
      </c>
      <c r="FI213" s="88">
        <f t="shared" ca="1" si="439"/>
        <v>0</v>
      </c>
      <c r="FJ213" s="88">
        <f t="shared" ca="1" si="439"/>
        <v>0</v>
      </c>
      <c r="FK213" s="88">
        <f t="shared" ca="1" si="439"/>
        <v>0</v>
      </c>
      <c r="FL213" s="88">
        <f t="shared" ca="1" si="439"/>
        <v>0</v>
      </c>
      <c r="FM213" s="88">
        <f t="shared" ca="1" si="439"/>
        <v>0</v>
      </c>
      <c r="FN213" s="88">
        <f t="shared" ca="1" si="439"/>
        <v>0</v>
      </c>
      <c r="FO213" s="88">
        <f t="shared" ca="1" si="440"/>
        <v>0</v>
      </c>
      <c r="FP213" s="88">
        <f t="shared" ca="1" si="440"/>
        <v>0</v>
      </c>
      <c r="FQ213" s="88">
        <f t="shared" ca="1" si="440"/>
        <v>0</v>
      </c>
      <c r="FR213" s="88">
        <f t="shared" ca="1" si="440"/>
        <v>0</v>
      </c>
      <c r="FS213" s="88">
        <f t="shared" ca="1" si="440"/>
        <v>0</v>
      </c>
      <c r="FT213" s="88">
        <f t="shared" ca="1" si="440"/>
        <v>0</v>
      </c>
      <c r="FU213" s="88">
        <f t="shared" ca="1" si="440"/>
        <v>0</v>
      </c>
      <c r="FV213" s="88">
        <f t="shared" ca="1" si="440"/>
        <v>0</v>
      </c>
      <c r="FW213" s="88">
        <f t="shared" ca="1" si="440"/>
        <v>0</v>
      </c>
      <c r="FX213" s="88">
        <f t="shared" ca="1" si="440"/>
        <v>0</v>
      </c>
      <c r="FY213" s="88">
        <f t="shared" ca="1" si="440"/>
        <v>0</v>
      </c>
      <c r="FZ213" s="88">
        <f t="shared" ca="1" si="440"/>
        <v>0</v>
      </c>
      <c r="GA213" s="88">
        <f t="shared" ca="1" si="440"/>
        <v>0</v>
      </c>
      <c r="GB213" s="88">
        <f t="shared" ca="1" si="440"/>
        <v>0</v>
      </c>
      <c r="GC213" s="88">
        <f t="shared" ca="1" si="440"/>
        <v>0</v>
      </c>
      <c r="GD213" s="60"/>
    </row>
    <row r="214" spans="1:186" s="54" customFormat="1" ht="14.45" customHeight="1">
      <c r="A214" s="61"/>
      <c r="B214" s="100" t="str">
        <f t="shared" si="418"/>
        <v>Residential_Whole House Efficiency_0_Air Sealing (Electric Heat)_2019</v>
      </c>
      <c r="C214" s="100">
        <f>INDEX('Measure Inputs'!$D:$D,MATCH($B214,'Measure Inputs'!$B:$B,0))</f>
        <v>166</v>
      </c>
      <c r="D214" s="101" t="s">
        <v>2</v>
      </c>
      <c r="E214" s="101" t="s">
        <v>219</v>
      </c>
      <c r="F214" s="101">
        <v>0</v>
      </c>
      <c r="G214" s="101" t="s">
        <v>263</v>
      </c>
      <c r="H214" s="101">
        <v>2019</v>
      </c>
      <c r="I214" s="55"/>
      <c r="J214" s="58" t="str">
        <f t="shared" ca="1" si="229"/>
        <v>n/a</v>
      </c>
      <c r="K214" s="58" t="str">
        <f t="shared" ca="1" si="246"/>
        <v>n/a</v>
      </c>
      <c r="L214" s="58" t="str">
        <f t="shared" ca="1" si="230"/>
        <v>n/a</v>
      </c>
      <c r="M214" s="58" t="str">
        <f t="shared" ca="1" si="231"/>
        <v>n/a</v>
      </c>
      <c r="N214" s="58">
        <f t="shared" ca="1" si="232"/>
        <v>0.27064128553558053</v>
      </c>
      <c r="O214" s="55"/>
      <c r="P214" s="175">
        <f ca="1">IFERROR(($AW214+AV214)/SUMPRODUCT($CA214:$DI214,'General Inputs'!$F$51:$AN$51),"n/a")</f>
        <v>0</v>
      </c>
      <c r="Q214" s="175">
        <f t="shared" ca="1" si="386"/>
        <v>0</v>
      </c>
      <c r="R214" s="56">
        <f t="shared" ref="R214:R270" ca="1" si="441">SUM(CA214:DI214)/1000</f>
        <v>150.50036194671148</v>
      </c>
      <c r="S214" s="55"/>
      <c r="T214" s="56">
        <f ca="1">INDEX(OFFSET('Measure Inputs'!$L$7,,,InputRows),$C214)</f>
        <v>7.5</v>
      </c>
      <c r="U214" s="134">
        <f ca="1">INDEX(OFFSET('Measure Inputs'!$T$7,,,InputRows),$C214)</f>
        <v>1</v>
      </c>
      <c r="V214" s="134">
        <f ca="1">INDEX(OFFSET('Measure Inputs'!$U$7,,,InputRows),$C214)</f>
        <v>1</v>
      </c>
      <c r="W214" s="55"/>
      <c r="X214" s="96">
        <f ca="1">INDEX(OFFSET('Measure Inputs'!$V$7,,,InputRows),$C214)*$T214*$V214*$U214</f>
        <v>10033.3574631141</v>
      </c>
      <c r="Y214" s="96">
        <f ca="1">INDEX(OFFSET('Measure Inputs'!$W$7,,,InputRows),$C214)*$T214*$V214*$U214</f>
        <v>0.98956312745267994</v>
      </c>
      <c r="Z214" s="96">
        <f ca="1">INDEX(OFFSET('Measure Inputs'!$X$7,,,InputRows),$C214)*$T214*$V214*$U214</f>
        <v>0</v>
      </c>
      <c r="AA214" s="55"/>
      <c r="AB214" s="96">
        <f ca="1">INDEX(OFFSET('Measure Inputs'!$Z$7,,,InputRows),$C214)*$T214*$V214*$U214</f>
        <v>0</v>
      </c>
      <c r="AC214" s="96">
        <f ca="1">INDEX(OFFSET('Measure Inputs'!$AA$7,,,InputRows),$C214)*$T214*$V214*$U214</f>
        <v>0</v>
      </c>
      <c r="AD214" s="96">
        <f ca="1">INDEX(OFFSET('Measure Inputs'!$AB$7,,,InputRows),$C214)*$T214*$V214*$U214</f>
        <v>0</v>
      </c>
      <c r="AE214" s="55"/>
      <c r="AF214" s="57">
        <f ca="1">INDEX(OFFSET('Measure Inputs'!$Q$7,,,InputRows),$C214)*$T214</f>
        <v>0</v>
      </c>
      <c r="AG214" s="57">
        <f ca="1">INDEX(OFFSET('Measure Inputs'!$P$7,,,InputRows),$C214)*$T214*$V214</f>
        <v>0</v>
      </c>
      <c r="AH214" s="57">
        <f ca="1">INDEX(OFFSET('Measure Inputs'!$R$7,,,InputRows),$C214)*$T214*$V214</f>
        <v>0</v>
      </c>
      <c r="AI214" s="57">
        <f ca="1">INDEX(OFFSET('Measure Inputs'!$O$7,,,InputRows),$C214)*$T214</f>
        <v>0</v>
      </c>
      <c r="AJ214" s="57">
        <f ca="1">INDEX(OFFSET('Measure Inputs'!$S$7,,,InputRows),$C214)*$T214</f>
        <v>0</v>
      </c>
      <c r="AK214" s="63">
        <f ca="1">INDEX(OFFSET('Measure Inputs'!$M$7,,,InputRows),$C214)</f>
        <v>15</v>
      </c>
      <c r="AL214" s="88">
        <f ca="1">INDEX(OFFSET('Measure Inputs'!$N$7,,,InputRows),$C214)</f>
        <v>0</v>
      </c>
      <c r="AM214" s="57">
        <f ca="1">SUMIFS(OFFSET('Program Inputs'!$N$5,,,TotalPrograms),OFFSET('Program Inputs'!$B$5,,,TotalPrograms),SUBSTITUTE($B214,"All","*"))+AF214</f>
        <v>0</v>
      </c>
      <c r="AN214" s="57">
        <f t="shared" ref="AN214:AN270" ca="1" si="442">AM214+AI214</f>
        <v>0</v>
      </c>
      <c r="AO214" s="55"/>
      <c r="AP214" s="59">
        <f t="shared" ref="AP214:AP270" ca="1" si="443">SUMIFS(AR214:AX214,$AR$7:$AX$7,"BENEFIT")</f>
        <v>2595.5027965708264</v>
      </c>
      <c r="AQ214" s="59">
        <f t="shared" ref="AQ214:AQ270" ca="1" si="444">SUMIFS(AR214:AX214,$AR$7:$AX$7,"COST")</f>
        <v>0</v>
      </c>
      <c r="AR214" s="59">
        <f ca="1">SUMPRODUCT($CA214:$DI214,'General Inputs'!$F$32:$AN$32,'General Inputs'!$F$51:$AN$51)/(1-Loss_ElectricEnergy)</f>
        <v>2423.5745640855484</v>
      </c>
      <c r="AS214" s="59">
        <f ca="1">SUMPRODUCT($DK214:$ES214,'General Inputs'!$F$33:$AN$33,'General Inputs'!$F$51:$AN$51)/(1-Loss_ElectricDemand)</f>
        <v>171.92823248527799</v>
      </c>
      <c r="AT214" s="59">
        <f ca="1">SUMPRODUCT($EU214:$GC214,'General Inputs'!$F$34:$AN$34,'General Inputs'!$F$51:$AN$51)/(1-Loss_GasEnergy)</f>
        <v>0</v>
      </c>
      <c r="AU214" s="59">
        <f ca="1">INDEX('General Inputs'!$F$51:$AN$51,MATCH($H214,'General Inputs'!$F$50:$AN$50,0))*$AJ214</f>
        <v>0</v>
      </c>
      <c r="AV214" s="59">
        <f ca="1">INDEX('General Inputs'!$F$51:$AN$51,MATCH($H214,'General Inputs'!$F$50:$AN$50,0))*$AI214</f>
        <v>0</v>
      </c>
      <c r="AW214" s="59">
        <f ca="1">INDEX('General Inputs'!$F$51:$AN$51,MATCH($H214,'General Inputs'!$F$50:$AN$50,0))*$AM214</f>
        <v>0</v>
      </c>
      <c r="AX214" s="59">
        <f ca="1">SUM(INDEX('General Inputs'!$F$51:$AN$51,MATCH($H214,'General Inputs'!$F$50:$AN$50,0))*$AG214,INDEX('General Inputs'!$F$51:$AN$51,MATCH($H214+$AL214,'General Inputs'!$F$50:$AN$50,0))*-$AH214)</f>
        <v>0</v>
      </c>
      <c r="AY214" s="55"/>
      <c r="AZ214" s="59">
        <f ca="1">SUMPRODUCT($CA214:$DI214,'General Inputs'!$F$32:$AN$32,'General Inputs'!$F$52:$AN$52)/(1-Loss_ElectricEnergy)</f>
        <v>2423.5745640855484</v>
      </c>
      <c r="BA214" s="59">
        <f ca="1">SUMPRODUCT($DK214:$ES214,'General Inputs'!$F$33:$AN$33,'General Inputs'!$F$52:$AN$52)/(1-Loss_ElectricDemand)</f>
        <v>171.92823248527799</v>
      </c>
      <c r="BB214" s="59">
        <f ca="1">SUMPRODUCT($EU214:$GC214,'General Inputs'!$F$34:$AN$34,'General Inputs'!$F$52:$AN$52)/(1-Loss_GasEnergy)</f>
        <v>0</v>
      </c>
      <c r="BC214" s="59">
        <f ca="1">INDEX('General Inputs'!$F$52:$AN$52,MATCH($H214,'General Inputs'!$F$50:$AN$50,0))*$AI214</f>
        <v>0</v>
      </c>
      <c r="BD214" s="59">
        <f ca="1">INDEX('General Inputs'!$F$52:$AN$52,MATCH($H214,'General Inputs'!$F$50:$AN$50,0))*$AM214</f>
        <v>0</v>
      </c>
      <c r="BE214" s="55"/>
      <c r="BF214" s="59">
        <f ca="1">SUMPRODUCT($CA214:$DI214,OFFSET('General Inputs'!$F$40:$AN$40,MATCH($D214&amp;" Electric ($/kWh)",'General Inputs'!$E$40:$E$46,0),),'General Inputs'!$F$54:$AN$54)</f>
        <v>9590.1953444926348</v>
      </c>
      <c r="BG214" s="59">
        <f ca="1">SUMPRODUCT($EU214:$GC214,OFFSET('General Inputs'!$F$40:$AN$40,MATCH($D214&amp;" Natural Gas ($/therm)",'General Inputs'!$E$40:$E$46,0),),'General Inputs'!$F$54:$AN$54)</f>
        <v>0</v>
      </c>
      <c r="BH214" s="59">
        <f ca="1">INDEX('General Inputs'!$F$54:$AN$54,MATCH($H214,'General Inputs'!$F$50:$AN$50,0))*$AI214</f>
        <v>0</v>
      </c>
      <c r="BI214" s="59">
        <f ca="1">SUM(INDEX('General Inputs'!$F$54:$AN$54,MATCH($H214,'General Inputs'!$F$50:$AN$50,0))*$AG214,INDEX('General Inputs'!$F$51:$AN$51,MATCH($H214+$AL214,'General Inputs'!$F$50:$AN$50,0))*-$AH214)</f>
        <v>0</v>
      </c>
      <c r="BJ214" s="55"/>
      <c r="BK214" s="59">
        <f ca="1">SUMPRODUCT($CA214:$DI214,'General Inputs'!$F$32:$AN$32,'General Inputs'!$F$53:$AN$53)/(1-Loss_ElectricEnergy)</f>
        <v>2423.5745640855484</v>
      </c>
      <c r="BL214" s="59">
        <f ca="1">SUMPRODUCT($DK214:$ES214,'General Inputs'!$F$33:$AN$33,'General Inputs'!$F$53:$AN$53)/(1-Loss_ElectricDemand)</f>
        <v>171.92823248527799</v>
      </c>
      <c r="BM214" s="59">
        <f ca="1">SUMPRODUCT($EU214:$GC214,'General Inputs'!$F$34:$AN$34,'General Inputs'!$F$53:$AN$53)/(1-Loss_GasEnergy)</f>
        <v>0</v>
      </c>
      <c r="BN214" s="59">
        <f ca="1">INDEX('General Inputs'!$F$53:$AN$53,MATCH($H214,'General Inputs'!$F$50:$AN$50,0))*$AJ214</f>
        <v>0</v>
      </c>
      <c r="BO214" s="59">
        <f ca="1">SUMPRODUCT($CA214:$DI214,'General Inputs'!$F$35:$AN$35,'General Inputs'!$F$53:$AN$53)/(1-Loss_ElectricEnergy)</f>
        <v>897.3357524812443</v>
      </c>
      <c r="BP214" s="59">
        <f ca="1">INDEX('General Inputs'!$F$51:$AN$51,MATCH($H214,'General Inputs'!$F$50:$AN$50,0))*$AM214</f>
        <v>0</v>
      </c>
      <c r="BQ214" s="59">
        <f ca="1">SUM(INDEX('General Inputs'!$F$53:$AN$53,MATCH($H214,'General Inputs'!$F$50:$AN$50,0))*$AG214,INDEX('General Inputs'!$F$53:$AN$53,MATCH($H214+$AL214,'General Inputs'!$F$50:$AN$50,0))*-$AH214)</f>
        <v>0</v>
      </c>
      <c r="BR214" s="55"/>
      <c r="BS214" s="59">
        <f ca="1">SUMPRODUCT($CA214:$DI214,'General Inputs'!$F$32:$AN$32,'General Inputs'!$F$55:$AN$55)/(1-Loss_ElectricEnergy)</f>
        <v>2423.5745640855484</v>
      </c>
      <c r="BT214" s="59">
        <f ca="1">SUMPRODUCT($DK214:$ES214,'General Inputs'!$F$33:$AN$33,'General Inputs'!$F$55:$AN$55)/(1-Loss_ElectricDemand)</f>
        <v>171.92823248527799</v>
      </c>
      <c r="BU214" s="59">
        <f ca="1">SUMPRODUCT($EU214:$GC214,'General Inputs'!$F$34:$AN$34,'General Inputs'!$F$55:$AN$55)/(1-Loss_GasEnergy)</f>
        <v>0</v>
      </c>
      <c r="BV214" s="59">
        <f ca="1">SUMPRODUCT($CA214:$DI214,OFFSET('General Inputs'!$F$40:$AN$40,MATCH($D214&amp;" Electric ($/kWh)",'General Inputs'!$E$40:$E$46,0),),'General Inputs'!$F$55:$AN$55)</f>
        <v>9590.1953444926348</v>
      </c>
      <c r="BW214" s="59">
        <f ca="1">SUMPRODUCT($EU214:$GC214,OFFSET('General Inputs'!$F$40:$AN$40,MATCH($D214&amp;" Natural Gas ($/therm)",'General Inputs'!$E$40:$E$46,0),),'General Inputs'!$F$55:$AN$55)</f>
        <v>0</v>
      </c>
      <c r="BX214" s="59">
        <f ca="1">INDEX('General Inputs'!$F$55:$AN$55,MATCH($H214,'General Inputs'!$F$50:$AN$50,0))*$AI214</f>
        <v>0</v>
      </c>
      <c r="BY214" s="59">
        <f ca="1">INDEX('General Inputs'!$F$51:$AN$51,MATCH($H214,'General Inputs'!$F$50:$AN$50,0))*$AM214</f>
        <v>0</v>
      </c>
      <c r="BZ214" s="55"/>
      <c r="CA214" s="88">
        <f t="shared" ca="1" si="432"/>
        <v>0</v>
      </c>
      <c r="CB214" s="88">
        <f t="shared" ca="1" si="432"/>
        <v>0</v>
      </c>
      <c r="CC214" s="88">
        <f t="shared" ca="1" si="432"/>
        <v>10033.3574631141</v>
      </c>
      <c r="CD214" s="88">
        <f t="shared" ca="1" si="432"/>
        <v>10033.3574631141</v>
      </c>
      <c r="CE214" s="88">
        <f t="shared" ca="1" si="432"/>
        <v>10033.3574631141</v>
      </c>
      <c r="CF214" s="88">
        <f t="shared" ca="1" si="432"/>
        <v>10033.3574631141</v>
      </c>
      <c r="CG214" s="88">
        <f t="shared" ca="1" si="432"/>
        <v>10033.3574631141</v>
      </c>
      <c r="CH214" s="88">
        <f t="shared" ca="1" si="432"/>
        <v>10033.3574631141</v>
      </c>
      <c r="CI214" s="88">
        <f t="shared" ca="1" si="432"/>
        <v>10033.3574631141</v>
      </c>
      <c r="CJ214" s="88">
        <f t="shared" ca="1" si="432"/>
        <v>10033.3574631141</v>
      </c>
      <c r="CK214" s="88">
        <f t="shared" ca="1" si="433"/>
        <v>10033.3574631141</v>
      </c>
      <c r="CL214" s="88">
        <f t="shared" ca="1" si="433"/>
        <v>10033.3574631141</v>
      </c>
      <c r="CM214" s="88">
        <f t="shared" ca="1" si="433"/>
        <v>10033.3574631141</v>
      </c>
      <c r="CN214" s="88">
        <f t="shared" ca="1" si="433"/>
        <v>10033.3574631141</v>
      </c>
      <c r="CO214" s="88">
        <f t="shared" ca="1" si="433"/>
        <v>10033.3574631141</v>
      </c>
      <c r="CP214" s="88">
        <f t="shared" ca="1" si="433"/>
        <v>10033.3574631141</v>
      </c>
      <c r="CQ214" s="88">
        <f t="shared" ca="1" si="433"/>
        <v>10033.3574631141</v>
      </c>
      <c r="CR214" s="88">
        <f t="shared" ca="1" si="433"/>
        <v>0</v>
      </c>
      <c r="CS214" s="88">
        <f t="shared" ca="1" si="433"/>
        <v>0</v>
      </c>
      <c r="CT214" s="88">
        <f t="shared" ca="1" si="433"/>
        <v>0</v>
      </c>
      <c r="CU214" s="88">
        <f t="shared" ca="1" si="434"/>
        <v>0</v>
      </c>
      <c r="CV214" s="88">
        <f t="shared" ca="1" si="434"/>
        <v>0</v>
      </c>
      <c r="CW214" s="88">
        <f t="shared" ca="1" si="434"/>
        <v>0</v>
      </c>
      <c r="CX214" s="88">
        <f t="shared" ca="1" si="434"/>
        <v>0</v>
      </c>
      <c r="CY214" s="88">
        <f t="shared" ca="1" si="434"/>
        <v>0</v>
      </c>
      <c r="CZ214" s="88">
        <f t="shared" ca="1" si="434"/>
        <v>0</v>
      </c>
      <c r="DA214" s="88">
        <f t="shared" ca="1" si="434"/>
        <v>0</v>
      </c>
      <c r="DB214" s="88">
        <f t="shared" ca="1" si="434"/>
        <v>0</v>
      </c>
      <c r="DC214" s="88">
        <f t="shared" ca="1" si="434"/>
        <v>0</v>
      </c>
      <c r="DD214" s="88">
        <f t="shared" ca="1" si="434"/>
        <v>0</v>
      </c>
      <c r="DE214" s="88">
        <f t="shared" ca="1" si="434"/>
        <v>0</v>
      </c>
      <c r="DF214" s="88">
        <f t="shared" ca="1" si="434"/>
        <v>0</v>
      </c>
      <c r="DG214" s="88">
        <f t="shared" ca="1" si="434"/>
        <v>0</v>
      </c>
      <c r="DH214" s="88">
        <f t="shared" ca="1" si="434"/>
        <v>0</v>
      </c>
      <c r="DI214" s="88">
        <f t="shared" ca="1" si="434"/>
        <v>0</v>
      </c>
      <c r="DJ214" s="169"/>
      <c r="DK214" s="88">
        <f t="shared" ca="1" si="435"/>
        <v>0</v>
      </c>
      <c r="DL214" s="88">
        <f t="shared" ca="1" si="435"/>
        <v>0</v>
      </c>
      <c r="DM214" s="88">
        <f t="shared" ca="1" si="435"/>
        <v>0.98956312745267994</v>
      </c>
      <c r="DN214" s="88">
        <f t="shared" ca="1" si="435"/>
        <v>0.98956312745267994</v>
      </c>
      <c r="DO214" s="88">
        <f t="shared" ca="1" si="435"/>
        <v>0.98956312745267994</v>
      </c>
      <c r="DP214" s="88">
        <f t="shared" ca="1" si="435"/>
        <v>0.98956312745267994</v>
      </c>
      <c r="DQ214" s="88">
        <f t="shared" ca="1" si="435"/>
        <v>0.98956312745267994</v>
      </c>
      <c r="DR214" s="88">
        <f t="shared" ca="1" si="435"/>
        <v>0.98956312745267994</v>
      </c>
      <c r="DS214" s="88">
        <f t="shared" ca="1" si="435"/>
        <v>0.98956312745267994</v>
      </c>
      <c r="DT214" s="88">
        <f t="shared" ca="1" si="435"/>
        <v>0.98956312745267994</v>
      </c>
      <c r="DU214" s="88">
        <f t="shared" ca="1" si="436"/>
        <v>0.98956312745267994</v>
      </c>
      <c r="DV214" s="88">
        <f t="shared" ca="1" si="436"/>
        <v>0.98956312745267994</v>
      </c>
      <c r="DW214" s="88">
        <f t="shared" ca="1" si="436"/>
        <v>0.98956312745267994</v>
      </c>
      <c r="DX214" s="88">
        <f t="shared" ca="1" si="436"/>
        <v>0.98956312745267994</v>
      </c>
      <c r="DY214" s="88">
        <f t="shared" ca="1" si="436"/>
        <v>0.98956312745267994</v>
      </c>
      <c r="DZ214" s="88">
        <f t="shared" ca="1" si="436"/>
        <v>0.98956312745267994</v>
      </c>
      <c r="EA214" s="88">
        <f t="shared" ca="1" si="436"/>
        <v>0.98956312745267994</v>
      </c>
      <c r="EB214" s="88">
        <f t="shared" ca="1" si="436"/>
        <v>0</v>
      </c>
      <c r="EC214" s="88">
        <f t="shared" ca="1" si="436"/>
        <v>0</v>
      </c>
      <c r="ED214" s="88">
        <f t="shared" ca="1" si="436"/>
        <v>0</v>
      </c>
      <c r="EE214" s="88">
        <f t="shared" ca="1" si="437"/>
        <v>0</v>
      </c>
      <c r="EF214" s="88">
        <f t="shared" ca="1" si="437"/>
        <v>0</v>
      </c>
      <c r="EG214" s="88">
        <f t="shared" ca="1" si="437"/>
        <v>0</v>
      </c>
      <c r="EH214" s="88">
        <f t="shared" ca="1" si="437"/>
        <v>0</v>
      </c>
      <c r="EI214" s="88">
        <f t="shared" ca="1" si="437"/>
        <v>0</v>
      </c>
      <c r="EJ214" s="88">
        <f t="shared" ca="1" si="437"/>
        <v>0</v>
      </c>
      <c r="EK214" s="88">
        <f t="shared" ca="1" si="437"/>
        <v>0</v>
      </c>
      <c r="EL214" s="88">
        <f t="shared" ca="1" si="437"/>
        <v>0</v>
      </c>
      <c r="EM214" s="88">
        <f t="shared" ca="1" si="437"/>
        <v>0</v>
      </c>
      <c r="EN214" s="88">
        <f t="shared" ca="1" si="437"/>
        <v>0</v>
      </c>
      <c r="EO214" s="88">
        <f t="shared" ca="1" si="437"/>
        <v>0</v>
      </c>
      <c r="EP214" s="88">
        <f t="shared" ca="1" si="437"/>
        <v>0</v>
      </c>
      <c r="EQ214" s="88">
        <f t="shared" ca="1" si="437"/>
        <v>0</v>
      </c>
      <c r="ER214" s="88">
        <f t="shared" ca="1" si="437"/>
        <v>0</v>
      </c>
      <c r="ES214" s="88">
        <f t="shared" ca="1" si="437"/>
        <v>0</v>
      </c>
      <c r="ET214" s="169"/>
      <c r="EU214" s="88">
        <f t="shared" ca="1" si="438"/>
        <v>0</v>
      </c>
      <c r="EV214" s="88">
        <f t="shared" ca="1" si="438"/>
        <v>0</v>
      </c>
      <c r="EW214" s="88">
        <f t="shared" ca="1" si="438"/>
        <v>0</v>
      </c>
      <c r="EX214" s="88">
        <f t="shared" ca="1" si="438"/>
        <v>0</v>
      </c>
      <c r="EY214" s="88">
        <f t="shared" ca="1" si="438"/>
        <v>0</v>
      </c>
      <c r="EZ214" s="88">
        <f t="shared" ca="1" si="438"/>
        <v>0</v>
      </c>
      <c r="FA214" s="88">
        <f t="shared" ca="1" si="438"/>
        <v>0</v>
      </c>
      <c r="FB214" s="88">
        <f t="shared" ca="1" si="438"/>
        <v>0</v>
      </c>
      <c r="FC214" s="88">
        <f t="shared" ca="1" si="438"/>
        <v>0</v>
      </c>
      <c r="FD214" s="88">
        <f t="shared" ca="1" si="438"/>
        <v>0</v>
      </c>
      <c r="FE214" s="88">
        <f t="shared" ca="1" si="439"/>
        <v>0</v>
      </c>
      <c r="FF214" s="88">
        <f t="shared" ca="1" si="439"/>
        <v>0</v>
      </c>
      <c r="FG214" s="88">
        <f t="shared" ca="1" si="439"/>
        <v>0</v>
      </c>
      <c r="FH214" s="88">
        <f t="shared" ca="1" si="439"/>
        <v>0</v>
      </c>
      <c r="FI214" s="88">
        <f t="shared" ca="1" si="439"/>
        <v>0</v>
      </c>
      <c r="FJ214" s="88">
        <f t="shared" ca="1" si="439"/>
        <v>0</v>
      </c>
      <c r="FK214" s="88">
        <f t="shared" ca="1" si="439"/>
        <v>0</v>
      </c>
      <c r="FL214" s="88">
        <f t="shared" ca="1" si="439"/>
        <v>0</v>
      </c>
      <c r="FM214" s="88">
        <f t="shared" ca="1" si="439"/>
        <v>0</v>
      </c>
      <c r="FN214" s="88">
        <f t="shared" ca="1" si="439"/>
        <v>0</v>
      </c>
      <c r="FO214" s="88">
        <f t="shared" ca="1" si="440"/>
        <v>0</v>
      </c>
      <c r="FP214" s="88">
        <f t="shared" ca="1" si="440"/>
        <v>0</v>
      </c>
      <c r="FQ214" s="88">
        <f t="shared" ca="1" si="440"/>
        <v>0</v>
      </c>
      <c r="FR214" s="88">
        <f t="shared" ca="1" si="440"/>
        <v>0</v>
      </c>
      <c r="FS214" s="88">
        <f t="shared" ca="1" si="440"/>
        <v>0</v>
      </c>
      <c r="FT214" s="88">
        <f t="shared" ca="1" si="440"/>
        <v>0</v>
      </c>
      <c r="FU214" s="88">
        <f t="shared" ca="1" si="440"/>
        <v>0</v>
      </c>
      <c r="FV214" s="88">
        <f t="shared" ca="1" si="440"/>
        <v>0</v>
      </c>
      <c r="FW214" s="88">
        <f t="shared" ca="1" si="440"/>
        <v>0</v>
      </c>
      <c r="FX214" s="88">
        <f t="shared" ca="1" si="440"/>
        <v>0</v>
      </c>
      <c r="FY214" s="88">
        <f t="shared" ca="1" si="440"/>
        <v>0</v>
      </c>
      <c r="FZ214" s="88">
        <f t="shared" ca="1" si="440"/>
        <v>0</v>
      </c>
      <c r="GA214" s="88">
        <f t="shared" ca="1" si="440"/>
        <v>0</v>
      </c>
      <c r="GB214" s="88">
        <f t="shared" ca="1" si="440"/>
        <v>0</v>
      </c>
      <c r="GC214" s="88">
        <f t="shared" ca="1" si="440"/>
        <v>0</v>
      </c>
      <c r="GD214" s="60"/>
    </row>
    <row r="215" spans="1:186" s="54" customFormat="1" ht="14.45" customHeight="1">
      <c r="A215" s="61"/>
      <c r="B215" s="100" t="str">
        <f t="shared" si="418"/>
        <v>Residential_Whole House Efficiency_0_Air Sealing (Gas Heat)_2019</v>
      </c>
      <c r="C215" s="100">
        <f>INDEX('Measure Inputs'!$D:$D,MATCH($B215,'Measure Inputs'!$B:$B,0))</f>
        <v>167</v>
      </c>
      <c r="D215" s="101" t="s">
        <v>2</v>
      </c>
      <c r="E215" s="101" t="s">
        <v>219</v>
      </c>
      <c r="F215" s="101">
        <v>0</v>
      </c>
      <c r="G215" s="101" t="s">
        <v>264</v>
      </c>
      <c r="H215" s="101">
        <v>2019</v>
      </c>
      <c r="I215" s="55"/>
      <c r="J215" s="58" t="str">
        <f t="shared" ca="1" si="229"/>
        <v>n/a</v>
      </c>
      <c r="K215" s="58" t="str">
        <f t="shared" ca="1" si="246"/>
        <v>n/a</v>
      </c>
      <c r="L215" s="58" t="str">
        <f t="shared" ca="1" si="230"/>
        <v>n/a</v>
      </c>
      <c r="M215" s="58" t="str">
        <f t="shared" ca="1" si="231"/>
        <v>n/a</v>
      </c>
      <c r="N215" s="58">
        <f t="shared" ca="1" si="232"/>
        <v>0.25271378496761654</v>
      </c>
      <c r="O215" s="55"/>
      <c r="P215" s="175">
        <f ca="1">IFERROR(($AW215+AV215)/SUMPRODUCT($CA215:$DI215,'General Inputs'!$F$51:$AN$51),"n/a")</f>
        <v>0</v>
      </c>
      <c r="Q215" s="175">
        <f t="shared" ca="1" si="386"/>
        <v>0</v>
      </c>
      <c r="R215" s="56">
        <f t="shared" ca="1" si="441"/>
        <v>36.675683411214941</v>
      </c>
      <c r="S215" s="55"/>
      <c r="T215" s="56">
        <f ca="1">INDEX(OFFSET('Measure Inputs'!$L$7,,,InputRows),$C215)</f>
        <v>22.5</v>
      </c>
      <c r="U215" s="134">
        <f ca="1">INDEX(OFFSET('Measure Inputs'!$T$7,,,InputRows),$C215)</f>
        <v>1</v>
      </c>
      <c r="V215" s="134">
        <f ca="1">INDEX(OFFSET('Measure Inputs'!$U$7,,,InputRows),$C215)</f>
        <v>1</v>
      </c>
      <c r="W215" s="55"/>
      <c r="X215" s="96">
        <f ca="1">INDEX(OFFSET('Measure Inputs'!$V$7,,,InputRows),$C215)*$T215*$V215*$U215</f>
        <v>2445.0455607476633</v>
      </c>
      <c r="Y215" s="96">
        <f ca="1">INDEX(OFFSET('Measure Inputs'!$W$7,,,InputRows),$C215)*$T215*$V215*$U215</f>
        <v>0</v>
      </c>
      <c r="Z215" s="96">
        <f ca="1">INDEX(OFFSET('Measure Inputs'!$X$7,,,InputRows),$C215)*$T215*$V215*$U215</f>
        <v>0</v>
      </c>
      <c r="AA215" s="55"/>
      <c r="AB215" s="96">
        <f ca="1">INDEX(OFFSET('Measure Inputs'!$Z$7,,,InputRows),$C215)*$T215*$V215*$U215</f>
        <v>0</v>
      </c>
      <c r="AC215" s="96">
        <f ca="1">INDEX(OFFSET('Measure Inputs'!$AA$7,,,InputRows),$C215)*$T215*$V215*$U215</f>
        <v>0</v>
      </c>
      <c r="AD215" s="96">
        <f ca="1">INDEX(OFFSET('Measure Inputs'!$AB$7,,,InputRows),$C215)*$T215*$V215*$U215</f>
        <v>0</v>
      </c>
      <c r="AE215" s="55"/>
      <c r="AF215" s="57">
        <f ca="1">INDEX(OFFSET('Measure Inputs'!$Q$7,,,InputRows),$C215)*$T215</f>
        <v>0</v>
      </c>
      <c r="AG215" s="57">
        <f ca="1">INDEX(OFFSET('Measure Inputs'!$P$7,,,InputRows),$C215)*$T215*$V215</f>
        <v>0</v>
      </c>
      <c r="AH215" s="57">
        <f ca="1">INDEX(OFFSET('Measure Inputs'!$R$7,,,InputRows),$C215)*$T215*$V215</f>
        <v>0</v>
      </c>
      <c r="AI215" s="57">
        <f ca="1">INDEX(OFFSET('Measure Inputs'!$O$7,,,InputRows),$C215)*$T215</f>
        <v>0</v>
      </c>
      <c r="AJ215" s="57">
        <f ca="1">INDEX(OFFSET('Measure Inputs'!$S$7,,,InputRows),$C215)*$T215</f>
        <v>0</v>
      </c>
      <c r="AK215" s="63">
        <f ca="1">INDEX(OFFSET('Measure Inputs'!$M$7,,,InputRows),$C215)</f>
        <v>15</v>
      </c>
      <c r="AL215" s="88">
        <f ca="1">INDEX(OFFSET('Measure Inputs'!$N$7,,,InputRows),$C215)</f>
        <v>0</v>
      </c>
      <c r="AM215" s="57">
        <f ca="1">SUMIFS(OFFSET('Program Inputs'!$N$5,,,TotalPrograms),OFFSET('Program Inputs'!$B$5,,,TotalPrograms),SUBSTITUTE($B215,"All","*"))+AF215</f>
        <v>0</v>
      </c>
      <c r="AN215" s="57">
        <f t="shared" ca="1" si="442"/>
        <v>0</v>
      </c>
      <c r="AO215" s="55"/>
      <c r="AP215" s="59">
        <f t="shared" ca="1" si="443"/>
        <v>590.60491473998798</v>
      </c>
      <c r="AQ215" s="59">
        <f t="shared" ca="1" si="444"/>
        <v>0</v>
      </c>
      <c r="AR215" s="59">
        <f ca="1">SUMPRODUCT($CA215:$DI215,'General Inputs'!$F$32:$AN$32,'General Inputs'!$F$51:$AN$51)/(1-Loss_ElectricEnergy)</f>
        <v>590.60491473998798</v>
      </c>
      <c r="AS215" s="59">
        <f ca="1">SUMPRODUCT($DK215:$ES215,'General Inputs'!$F$33:$AN$33,'General Inputs'!$F$51:$AN$51)/(1-Loss_ElectricDemand)</f>
        <v>0</v>
      </c>
      <c r="AT215" s="59">
        <f ca="1">SUMPRODUCT($EU215:$GC215,'General Inputs'!$F$34:$AN$34,'General Inputs'!$F$51:$AN$51)/(1-Loss_GasEnergy)</f>
        <v>0</v>
      </c>
      <c r="AU215" s="59">
        <f ca="1">INDEX('General Inputs'!$F$51:$AN$51,MATCH($H215,'General Inputs'!$F$50:$AN$50,0))*$AJ215</f>
        <v>0</v>
      </c>
      <c r="AV215" s="59">
        <f ca="1">INDEX('General Inputs'!$F$51:$AN$51,MATCH($H215,'General Inputs'!$F$50:$AN$50,0))*$AI215</f>
        <v>0</v>
      </c>
      <c r="AW215" s="59">
        <f ca="1">INDEX('General Inputs'!$F$51:$AN$51,MATCH($H215,'General Inputs'!$F$50:$AN$50,0))*$AM215</f>
        <v>0</v>
      </c>
      <c r="AX215" s="59">
        <f ca="1">SUM(INDEX('General Inputs'!$F$51:$AN$51,MATCH($H215,'General Inputs'!$F$50:$AN$50,0))*$AG215,INDEX('General Inputs'!$F$51:$AN$51,MATCH($H215+$AL215,'General Inputs'!$F$50:$AN$50,0))*-$AH215)</f>
        <v>0</v>
      </c>
      <c r="AY215" s="55"/>
      <c r="AZ215" s="59">
        <f ca="1">SUMPRODUCT($CA215:$DI215,'General Inputs'!$F$32:$AN$32,'General Inputs'!$F$52:$AN$52)/(1-Loss_ElectricEnergy)</f>
        <v>590.60491473998798</v>
      </c>
      <c r="BA215" s="59">
        <f ca="1">SUMPRODUCT($DK215:$ES215,'General Inputs'!$F$33:$AN$33,'General Inputs'!$F$52:$AN$52)/(1-Loss_ElectricDemand)</f>
        <v>0</v>
      </c>
      <c r="BB215" s="59">
        <f ca="1">SUMPRODUCT($EU215:$GC215,'General Inputs'!$F$34:$AN$34,'General Inputs'!$F$52:$AN$52)/(1-Loss_GasEnergy)</f>
        <v>0</v>
      </c>
      <c r="BC215" s="59">
        <f ca="1">INDEX('General Inputs'!$F$52:$AN$52,MATCH($H215,'General Inputs'!$F$50:$AN$50,0))*$AI215</f>
        <v>0</v>
      </c>
      <c r="BD215" s="59">
        <f ca="1">INDEX('General Inputs'!$F$52:$AN$52,MATCH($H215,'General Inputs'!$F$50:$AN$50,0))*$AM215</f>
        <v>0</v>
      </c>
      <c r="BE215" s="55"/>
      <c r="BF215" s="59">
        <f ca="1">SUMPRODUCT($CA215:$DI215,OFFSET('General Inputs'!$F$40:$AN$40,MATCH($D215&amp;" Electric ($/kWh)",'General Inputs'!$E$40:$E$46,0),),'General Inputs'!$F$54:$AN$54)</f>
        <v>2337.050647299156</v>
      </c>
      <c r="BG215" s="59">
        <f ca="1">SUMPRODUCT($EU215:$GC215,OFFSET('General Inputs'!$F$40:$AN$40,MATCH($D215&amp;" Natural Gas ($/therm)",'General Inputs'!$E$40:$E$46,0),),'General Inputs'!$F$54:$AN$54)</f>
        <v>0</v>
      </c>
      <c r="BH215" s="59">
        <f ca="1">INDEX('General Inputs'!$F$54:$AN$54,MATCH($H215,'General Inputs'!$F$50:$AN$50,0))*$AI215</f>
        <v>0</v>
      </c>
      <c r="BI215" s="59">
        <f ca="1">SUM(INDEX('General Inputs'!$F$54:$AN$54,MATCH($H215,'General Inputs'!$F$50:$AN$50,0))*$AG215,INDEX('General Inputs'!$F$51:$AN$51,MATCH($H215+$AL215,'General Inputs'!$F$50:$AN$50,0))*-$AH215)</f>
        <v>0</v>
      </c>
      <c r="BJ215" s="55"/>
      <c r="BK215" s="59">
        <f ca="1">SUMPRODUCT($CA215:$DI215,'General Inputs'!$F$32:$AN$32,'General Inputs'!$F$53:$AN$53)/(1-Loss_ElectricEnergy)</f>
        <v>590.60491473998798</v>
      </c>
      <c r="BL215" s="59">
        <f ca="1">SUMPRODUCT($DK215:$ES215,'General Inputs'!$F$33:$AN$33,'General Inputs'!$F$53:$AN$53)/(1-Loss_ElectricDemand)</f>
        <v>0</v>
      </c>
      <c r="BM215" s="59">
        <f ca="1">SUMPRODUCT($EU215:$GC215,'General Inputs'!$F$34:$AN$34,'General Inputs'!$F$53:$AN$53)/(1-Loss_GasEnergy)</f>
        <v>0</v>
      </c>
      <c r="BN215" s="59">
        <f ca="1">INDEX('General Inputs'!$F$53:$AN$53,MATCH($H215,'General Inputs'!$F$50:$AN$50,0))*$AJ215</f>
        <v>0</v>
      </c>
      <c r="BO215" s="59">
        <f ca="1">SUMPRODUCT($CA215:$DI215,'General Inputs'!$F$35:$AN$35,'General Inputs'!$F$53:$AN$53)/(1-Loss_ElectricEnergy)</f>
        <v>218.67324135219843</v>
      </c>
      <c r="BP215" s="59">
        <f ca="1">INDEX('General Inputs'!$F$51:$AN$51,MATCH($H215,'General Inputs'!$F$50:$AN$50,0))*$AM215</f>
        <v>0</v>
      </c>
      <c r="BQ215" s="59">
        <f ca="1">SUM(INDEX('General Inputs'!$F$53:$AN$53,MATCH($H215,'General Inputs'!$F$50:$AN$50,0))*$AG215,INDEX('General Inputs'!$F$53:$AN$53,MATCH($H215+$AL215,'General Inputs'!$F$50:$AN$50,0))*-$AH215)</f>
        <v>0</v>
      </c>
      <c r="BR215" s="55"/>
      <c r="BS215" s="59">
        <f ca="1">SUMPRODUCT($CA215:$DI215,'General Inputs'!$F$32:$AN$32,'General Inputs'!$F$55:$AN$55)/(1-Loss_ElectricEnergy)</f>
        <v>590.60491473998798</v>
      </c>
      <c r="BT215" s="59">
        <f ca="1">SUMPRODUCT($DK215:$ES215,'General Inputs'!$F$33:$AN$33,'General Inputs'!$F$55:$AN$55)/(1-Loss_ElectricDemand)</f>
        <v>0</v>
      </c>
      <c r="BU215" s="59">
        <f ca="1">SUMPRODUCT($EU215:$GC215,'General Inputs'!$F$34:$AN$34,'General Inputs'!$F$55:$AN$55)/(1-Loss_GasEnergy)</f>
        <v>0</v>
      </c>
      <c r="BV215" s="59">
        <f ca="1">SUMPRODUCT($CA215:$DI215,OFFSET('General Inputs'!$F$40:$AN$40,MATCH($D215&amp;" Electric ($/kWh)",'General Inputs'!$E$40:$E$46,0),),'General Inputs'!$F$55:$AN$55)</f>
        <v>2337.050647299156</v>
      </c>
      <c r="BW215" s="59">
        <f ca="1">SUMPRODUCT($EU215:$GC215,OFFSET('General Inputs'!$F$40:$AN$40,MATCH($D215&amp;" Natural Gas ($/therm)",'General Inputs'!$E$40:$E$46,0),),'General Inputs'!$F$55:$AN$55)</f>
        <v>0</v>
      </c>
      <c r="BX215" s="59">
        <f ca="1">INDEX('General Inputs'!$F$55:$AN$55,MATCH($H215,'General Inputs'!$F$50:$AN$50,0))*$AI215</f>
        <v>0</v>
      </c>
      <c r="BY215" s="59">
        <f ca="1">INDEX('General Inputs'!$F$51:$AN$51,MATCH($H215,'General Inputs'!$F$50:$AN$50,0))*$AM215</f>
        <v>0</v>
      </c>
      <c r="BZ215" s="55"/>
      <c r="CA215" s="88">
        <f t="shared" ca="1" si="432"/>
        <v>0</v>
      </c>
      <c r="CB215" s="88">
        <f t="shared" ca="1" si="432"/>
        <v>0</v>
      </c>
      <c r="CC215" s="88">
        <f t="shared" ca="1" si="432"/>
        <v>2445.0455607476633</v>
      </c>
      <c r="CD215" s="88">
        <f t="shared" ca="1" si="432"/>
        <v>2445.0455607476633</v>
      </c>
      <c r="CE215" s="88">
        <f t="shared" ca="1" si="432"/>
        <v>2445.0455607476633</v>
      </c>
      <c r="CF215" s="88">
        <f t="shared" ca="1" si="432"/>
        <v>2445.0455607476633</v>
      </c>
      <c r="CG215" s="88">
        <f t="shared" ca="1" si="432"/>
        <v>2445.0455607476633</v>
      </c>
      <c r="CH215" s="88">
        <f t="shared" ca="1" si="432"/>
        <v>2445.0455607476633</v>
      </c>
      <c r="CI215" s="88">
        <f t="shared" ca="1" si="432"/>
        <v>2445.0455607476633</v>
      </c>
      <c r="CJ215" s="88">
        <f t="shared" ca="1" si="432"/>
        <v>2445.0455607476633</v>
      </c>
      <c r="CK215" s="88">
        <f t="shared" ca="1" si="433"/>
        <v>2445.0455607476633</v>
      </c>
      <c r="CL215" s="88">
        <f t="shared" ca="1" si="433"/>
        <v>2445.0455607476633</v>
      </c>
      <c r="CM215" s="88">
        <f t="shared" ca="1" si="433"/>
        <v>2445.0455607476633</v>
      </c>
      <c r="CN215" s="88">
        <f t="shared" ca="1" si="433"/>
        <v>2445.0455607476633</v>
      </c>
      <c r="CO215" s="88">
        <f t="shared" ca="1" si="433"/>
        <v>2445.0455607476633</v>
      </c>
      <c r="CP215" s="88">
        <f t="shared" ca="1" si="433"/>
        <v>2445.0455607476633</v>
      </c>
      <c r="CQ215" s="88">
        <f t="shared" ca="1" si="433"/>
        <v>2445.0455607476633</v>
      </c>
      <c r="CR215" s="88">
        <f t="shared" ca="1" si="433"/>
        <v>0</v>
      </c>
      <c r="CS215" s="88">
        <f t="shared" ca="1" si="433"/>
        <v>0</v>
      </c>
      <c r="CT215" s="88">
        <f t="shared" ca="1" si="433"/>
        <v>0</v>
      </c>
      <c r="CU215" s="88">
        <f t="shared" ca="1" si="434"/>
        <v>0</v>
      </c>
      <c r="CV215" s="88">
        <f t="shared" ca="1" si="434"/>
        <v>0</v>
      </c>
      <c r="CW215" s="88">
        <f t="shared" ca="1" si="434"/>
        <v>0</v>
      </c>
      <c r="CX215" s="88">
        <f t="shared" ca="1" si="434"/>
        <v>0</v>
      </c>
      <c r="CY215" s="88">
        <f t="shared" ca="1" si="434"/>
        <v>0</v>
      </c>
      <c r="CZ215" s="88">
        <f t="shared" ca="1" si="434"/>
        <v>0</v>
      </c>
      <c r="DA215" s="88">
        <f t="shared" ca="1" si="434"/>
        <v>0</v>
      </c>
      <c r="DB215" s="88">
        <f t="shared" ca="1" si="434"/>
        <v>0</v>
      </c>
      <c r="DC215" s="88">
        <f t="shared" ca="1" si="434"/>
        <v>0</v>
      </c>
      <c r="DD215" s="88">
        <f t="shared" ca="1" si="434"/>
        <v>0</v>
      </c>
      <c r="DE215" s="88">
        <f t="shared" ca="1" si="434"/>
        <v>0</v>
      </c>
      <c r="DF215" s="88">
        <f t="shared" ca="1" si="434"/>
        <v>0</v>
      </c>
      <c r="DG215" s="88">
        <f t="shared" ca="1" si="434"/>
        <v>0</v>
      </c>
      <c r="DH215" s="88">
        <f t="shared" ca="1" si="434"/>
        <v>0</v>
      </c>
      <c r="DI215" s="88">
        <f t="shared" ca="1" si="434"/>
        <v>0</v>
      </c>
      <c r="DJ215" s="169"/>
      <c r="DK215" s="88">
        <f t="shared" ca="1" si="435"/>
        <v>0</v>
      </c>
      <c r="DL215" s="88">
        <f t="shared" ca="1" si="435"/>
        <v>0</v>
      </c>
      <c r="DM215" s="88">
        <f t="shared" ca="1" si="435"/>
        <v>0</v>
      </c>
      <c r="DN215" s="88">
        <f t="shared" ca="1" si="435"/>
        <v>0</v>
      </c>
      <c r="DO215" s="88">
        <f t="shared" ca="1" si="435"/>
        <v>0</v>
      </c>
      <c r="DP215" s="88">
        <f t="shared" ca="1" si="435"/>
        <v>0</v>
      </c>
      <c r="DQ215" s="88">
        <f t="shared" ca="1" si="435"/>
        <v>0</v>
      </c>
      <c r="DR215" s="88">
        <f t="shared" ca="1" si="435"/>
        <v>0</v>
      </c>
      <c r="DS215" s="88">
        <f t="shared" ca="1" si="435"/>
        <v>0</v>
      </c>
      <c r="DT215" s="88">
        <f t="shared" ca="1" si="435"/>
        <v>0</v>
      </c>
      <c r="DU215" s="88">
        <f t="shared" ca="1" si="436"/>
        <v>0</v>
      </c>
      <c r="DV215" s="88">
        <f t="shared" ca="1" si="436"/>
        <v>0</v>
      </c>
      <c r="DW215" s="88">
        <f t="shared" ca="1" si="436"/>
        <v>0</v>
      </c>
      <c r="DX215" s="88">
        <f t="shared" ca="1" si="436"/>
        <v>0</v>
      </c>
      <c r="DY215" s="88">
        <f t="shared" ca="1" si="436"/>
        <v>0</v>
      </c>
      <c r="DZ215" s="88">
        <f t="shared" ca="1" si="436"/>
        <v>0</v>
      </c>
      <c r="EA215" s="88">
        <f t="shared" ca="1" si="436"/>
        <v>0</v>
      </c>
      <c r="EB215" s="88">
        <f t="shared" ca="1" si="436"/>
        <v>0</v>
      </c>
      <c r="EC215" s="88">
        <f t="shared" ca="1" si="436"/>
        <v>0</v>
      </c>
      <c r="ED215" s="88">
        <f t="shared" ca="1" si="436"/>
        <v>0</v>
      </c>
      <c r="EE215" s="88">
        <f t="shared" ca="1" si="437"/>
        <v>0</v>
      </c>
      <c r="EF215" s="88">
        <f t="shared" ca="1" si="437"/>
        <v>0</v>
      </c>
      <c r="EG215" s="88">
        <f t="shared" ca="1" si="437"/>
        <v>0</v>
      </c>
      <c r="EH215" s="88">
        <f t="shared" ca="1" si="437"/>
        <v>0</v>
      </c>
      <c r="EI215" s="88">
        <f t="shared" ca="1" si="437"/>
        <v>0</v>
      </c>
      <c r="EJ215" s="88">
        <f t="shared" ca="1" si="437"/>
        <v>0</v>
      </c>
      <c r="EK215" s="88">
        <f t="shared" ca="1" si="437"/>
        <v>0</v>
      </c>
      <c r="EL215" s="88">
        <f t="shared" ca="1" si="437"/>
        <v>0</v>
      </c>
      <c r="EM215" s="88">
        <f t="shared" ca="1" si="437"/>
        <v>0</v>
      </c>
      <c r="EN215" s="88">
        <f t="shared" ca="1" si="437"/>
        <v>0</v>
      </c>
      <c r="EO215" s="88">
        <f t="shared" ca="1" si="437"/>
        <v>0</v>
      </c>
      <c r="EP215" s="88">
        <f t="shared" ca="1" si="437"/>
        <v>0</v>
      </c>
      <c r="EQ215" s="88">
        <f t="shared" ca="1" si="437"/>
        <v>0</v>
      </c>
      <c r="ER215" s="88">
        <f t="shared" ca="1" si="437"/>
        <v>0</v>
      </c>
      <c r="ES215" s="88">
        <f t="shared" ca="1" si="437"/>
        <v>0</v>
      </c>
      <c r="ET215" s="169"/>
      <c r="EU215" s="88">
        <f t="shared" ca="1" si="438"/>
        <v>0</v>
      </c>
      <c r="EV215" s="88">
        <f t="shared" ca="1" si="438"/>
        <v>0</v>
      </c>
      <c r="EW215" s="88">
        <f t="shared" ca="1" si="438"/>
        <v>0</v>
      </c>
      <c r="EX215" s="88">
        <f t="shared" ca="1" si="438"/>
        <v>0</v>
      </c>
      <c r="EY215" s="88">
        <f t="shared" ca="1" si="438"/>
        <v>0</v>
      </c>
      <c r="EZ215" s="88">
        <f t="shared" ca="1" si="438"/>
        <v>0</v>
      </c>
      <c r="FA215" s="88">
        <f t="shared" ca="1" si="438"/>
        <v>0</v>
      </c>
      <c r="FB215" s="88">
        <f t="shared" ca="1" si="438"/>
        <v>0</v>
      </c>
      <c r="FC215" s="88">
        <f t="shared" ca="1" si="438"/>
        <v>0</v>
      </c>
      <c r="FD215" s="88">
        <f t="shared" ca="1" si="438"/>
        <v>0</v>
      </c>
      <c r="FE215" s="88">
        <f t="shared" ca="1" si="439"/>
        <v>0</v>
      </c>
      <c r="FF215" s="88">
        <f t="shared" ca="1" si="439"/>
        <v>0</v>
      </c>
      <c r="FG215" s="88">
        <f t="shared" ca="1" si="439"/>
        <v>0</v>
      </c>
      <c r="FH215" s="88">
        <f t="shared" ca="1" si="439"/>
        <v>0</v>
      </c>
      <c r="FI215" s="88">
        <f t="shared" ca="1" si="439"/>
        <v>0</v>
      </c>
      <c r="FJ215" s="88">
        <f t="shared" ca="1" si="439"/>
        <v>0</v>
      </c>
      <c r="FK215" s="88">
        <f t="shared" ca="1" si="439"/>
        <v>0</v>
      </c>
      <c r="FL215" s="88">
        <f t="shared" ca="1" si="439"/>
        <v>0</v>
      </c>
      <c r="FM215" s="88">
        <f t="shared" ca="1" si="439"/>
        <v>0</v>
      </c>
      <c r="FN215" s="88">
        <f t="shared" ca="1" si="439"/>
        <v>0</v>
      </c>
      <c r="FO215" s="88">
        <f t="shared" ca="1" si="440"/>
        <v>0</v>
      </c>
      <c r="FP215" s="88">
        <f t="shared" ca="1" si="440"/>
        <v>0</v>
      </c>
      <c r="FQ215" s="88">
        <f t="shared" ca="1" si="440"/>
        <v>0</v>
      </c>
      <c r="FR215" s="88">
        <f t="shared" ca="1" si="440"/>
        <v>0</v>
      </c>
      <c r="FS215" s="88">
        <f t="shared" ca="1" si="440"/>
        <v>0</v>
      </c>
      <c r="FT215" s="88">
        <f t="shared" ca="1" si="440"/>
        <v>0</v>
      </c>
      <c r="FU215" s="88">
        <f t="shared" ca="1" si="440"/>
        <v>0</v>
      </c>
      <c r="FV215" s="88">
        <f t="shared" ca="1" si="440"/>
        <v>0</v>
      </c>
      <c r="FW215" s="88">
        <f t="shared" ca="1" si="440"/>
        <v>0</v>
      </c>
      <c r="FX215" s="88">
        <f t="shared" ca="1" si="440"/>
        <v>0</v>
      </c>
      <c r="FY215" s="88">
        <f t="shared" ca="1" si="440"/>
        <v>0</v>
      </c>
      <c r="FZ215" s="88">
        <f t="shared" ca="1" si="440"/>
        <v>0</v>
      </c>
      <c r="GA215" s="88">
        <f t="shared" ca="1" si="440"/>
        <v>0</v>
      </c>
      <c r="GB215" s="88">
        <f t="shared" ca="1" si="440"/>
        <v>0</v>
      </c>
      <c r="GC215" s="88">
        <f t="shared" ca="1" si="440"/>
        <v>0</v>
      </c>
      <c r="GD215" s="60"/>
    </row>
    <row r="216" spans="1:186" s="54" customFormat="1" ht="14.45" customHeight="1">
      <c r="A216" s="61"/>
      <c r="B216" s="100" t="str">
        <f t="shared" si="418"/>
        <v>Residential_Whole House Efficiency_0_Hot Water Pipe Insulation_2019</v>
      </c>
      <c r="C216" s="100">
        <f>INDEX('Measure Inputs'!$D:$D,MATCH($B216,'Measure Inputs'!$B:$B,0))</f>
        <v>168</v>
      </c>
      <c r="D216" s="101" t="s">
        <v>2</v>
      </c>
      <c r="E216" s="101" t="s">
        <v>219</v>
      </c>
      <c r="F216" s="101">
        <v>0</v>
      </c>
      <c r="G216" s="101" t="s">
        <v>265</v>
      </c>
      <c r="H216" s="101">
        <v>2019</v>
      </c>
      <c r="I216" s="55"/>
      <c r="J216" s="58" t="str">
        <f t="shared" ca="1" si="229"/>
        <v>n/a</v>
      </c>
      <c r="K216" s="58" t="str">
        <f t="shared" ca="1" si="246"/>
        <v>n/a</v>
      </c>
      <c r="L216" s="58" t="str">
        <f t="shared" ca="1" si="230"/>
        <v>n/a</v>
      </c>
      <c r="M216" s="58" t="str">
        <f t="shared" ca="1" si="231"/>
        <v>n/a</v>
      </c>
      <c r="N216" s="58">
        <f t="shared" ca="1" si="232"/>
        <v>0.2734638001882867</v>
      </c>
      <c r="O216" s="55"/>
      <c r="P216" s="175">
        <f ca="1">IFERROR(($AW216+AV216)/SUMPRODUCT($CA216:$DI216,'General Inputs'!$F$51:$AN$51),"n/a")</f>
        <v>0</v>
      </c>
      <c r="Q216" s="175">
        <f t="shared" ca="1" si="386"/>
        <v>0</v>
      </c>
      <c r="R216" s="56">
        <f t="shared" ca="1" si="441"/>
        <v>47.123820685613836</v>
      </c>
      <c r="S216" s="55"/>
      <c r="T216" s="56">
        <f ca="1">INDEX(OFFSET('Measure Inputs'!$L$7,,,InputRows),$C216)</f>
        <v>25.5</v>
      </c>
      <c r="U216" s="134">
        <f ca="1">INDEX(OFFSET('Measure Inputs'!$T$7,,,InputRows),$C216)</f>
        <v>1</v>
      </c>
      <c r="V216" s="134">
        <f ca="1">INDEX(OFFSET('Measure Inputs'!$U$7,,,InputRows),$C216)</f>
        <v>1</v>
      </c>
      <c r="W216" s="55"/>
      <c r="X216" s="96">
        <f ca="1">INDEX(OFFSET('Measure Inputs'!$V$7,,,InputRows),$C216)*$T216*$V216*$U216</f>
        <v>3141.5880457075887</v>
      </c>
      <c r="Y216" s="96">
        <f ca="1">INDEX(OFFSET('Measure Inputs'!$W$7,,,InputRows),$C216)*$T216*$V216*$U216</f>
        <v>0.3586287723410489</v>
      </c>
      <c r="Z216" s="96">
        <f ca="1">INDEX(OFFSET('Measure Inputs'!$X$7,,,InputRows),$C216)*$T216*$V216*$U216</f>
        <v>0</v>
      </c>
      <c r="AA216" s="55"/>
      <c r="AB216" s="96">
        <f ca="1">INDEX(OFFSET('Measure Inputs'!$Z$7,,,InputRows),$C216)*$T216*$V216*$U216</f>
        <v>0</v>
      </c>
      <c r="AC216" s="96">
        <f ca="1">INDEX(OFFSET('Measure Inputs'!$AA$7,,,InputRows),$C216)*$T216*$V216*$U216</f>
        <v>0</v>
      </c>
      <c r="AD216" s="96">
        <f ca="1">INDEX(OFFSET('Measure Inputs'!$AB$7,,,InputRows),$C216)*$T216*$V216*$U216</f>
        <v>0</v>
      </c>
      <c r="AE216" s="55"/>
      <c r="AF216" s="57">
        <f ca="1">INDEX(OFFSET('Measure Inputs'!$Q$7,,,InputRows),$C216)*$T216</f>
        <v>0</v>
      </c>
      <c r="AG216" s="57">
        <f ca="1">INDEX(OFFSET('Measure Inputs'!$P$7,,,InputRows),$C216)*$T216*$V216</f>
        <v>0</v>
      </c>
      <c r="AH216" s="57">
        <f ca="1">INDEX(OFFSET('Measure Inputs'!$R$7,,,InputRows),$C216)*$T216*$V216</f>
        <v>0</v>
      </c>
      <c r="AI216" s="57">
        <f ca="1">INDEX(OFFSET('Measure Inputs'!$O$7,,,InputRows),$C216)*$T216</f>
        <v>0</v>
      </c>
      <c r="AJ216" s="57">
        <f ca="1">INDEX(OFFSET('Measure Inputs'!$S$7,,,InputRows),$C216)*$T216</f>
        <v>0</v>
      </c>
      <c r="AK216" s="63">
        <f ca="1">INDEX(OFFSET('Measure Inputs'!$M$7,,,InputRows),$C216)</f>
        <v>15</v>
      </c>
      <c r="AL216" s="88">
        <f ca="1">INDEX(OFFSET('Measure Inputs'!$N$7,,,InputRows),$C216)</f>
        <v>0</v>
      </c>
      <c r="AM216" s="57">
        <f ca="1">SUMIFS(OFFSET('Program Inputs'!$N$5,,,TotalPrograms),OFFSET('Program Inputs'!$B$5,,,TotalPrograms),SUBSTITUTE($B216,"All","*"))+AF216</f>
        <v>0</v>
      </c>
      <c r="AN216" s="57">
        <f t="shared" ca="1" si="442"/>
        <v>0</v>
      </c>
      <c r="AO216" s="55"/>
      <c r="AP216" s="59">
        <f t="shared" ca="1" si="443"/>
        <v>821.16465605551275</v>
      </c>
      <c r="AQ216" s="59">
        <f t="shared" ca="1" si="444"/>
        <v>0</v>
      </c>
      <c r="AR216" s="59">
        <f ca="1">SUMPRODUCT($CA216:$DI216,'General Inputs'!$F$32:$AN$32,'General Inputs'!$F$51:$AN$51)/(1-Loss_ElectricEnergy)</f>
        <v>758.85593694864588</v>
      </c>
      <c r="AS216" s="59">
        <f ca="1">SUMPRODUCT($DK216:$ES216,'General Inputs'!$F$33:$AN$33,'General Inputs'!$F$51:$AN$51)/(1-Loss_ElectricDemand)</f>
        <v>62.308719106866825</v>
      </c>
      <c r="AT216" s="59">
        <f ca="1">SUMPRODUCT($EU216:$GC216,'General Inputs'!$F$34:$AN$34,'General Inputs'!$F$51:$AN$51)/(1-Loss_GasEnergy)</f>
        <v>0</v>
      </c>
      <c r="AU216" s="59">
        <f ca="1">INDEX('General Inputs'!$F$51:$AN$51,MATCH($H216,'General Inputs'!$F$50:$AN$50,0))*$AJ216</f>
        <v>0</v>
      </c>
      <c r="AV216" s="59">
        <f ca="1">INDEX('General Inputs'!$F$51:$AN$51,MATCH($H216,'General Inputs'!$F$50:$AN$50,0))*$AI216</f>
        <v>0</v>
      </c>
      <c r="AW216" s="59">
        <f ca="1">INDEX('General Inputs'!$F$51:$AN$51,MATCH($H216,'General Inputs'!$F$50:$AN$50,0))*$AM216</f>
        <v>0</v>
      </c>
      <c r="AX216" s="59">
        <f ca="1">SUM(INDEX('General Inputs'!$F$51:$AN$51,MATCH($H216,'General Inputs'!$F$50:$AN$50,0))*$AG216,INDEX('General Inputs'!$F$51:$AN$51,MATCH($H216+$AL216,'General Inputs'!$F$50:$AN$50,0))*-$AH216)</f>
        <v>0</v>
      </c>
      <c r="AY216" s="55"/>
      <c r="AZ216" s="59">
        <f ca="1">SUMPRODUCT($CA216:$DI216,'General Inputs'!$F$32:$AN$32,'General Inputs'!$F$52:$AN$52)/(1-Loss_ElectricEnergy)</f>
        <v>758.85593694864588</v>
      </c>
      <c r="BA216" s="59">
        <f ca="1">SUMPRODUCT($DK216:$ES216,'General Inputs'!$F$33:$AN$33,'General Inputs'!$F$52:$AN$52)/(1-Loss_ElectricDemand)</f>
        <v>62.308719106866825</v>
      </c>
      <c r="BB216" s="59">
        <f ca="1">SUMPRODUCT($EU216:$GC216,'General Inputs'!$F$34:$AN$34,'General Inputs'!$F$52:$AN$52)/(1-Loss_GasEnergy)</f>
        <v>0</v>
      </c>
      <c r="BC216" s="59">
        <f ca="1">INDEX('General Inputs'!$F$52:$AN$52,MATCH($H216,'General Inputs'!$F$50:$AN$50,0))*$AI216</f>
        <v>0</v>
      </c>
      <c r="BD216" s="59">
        <f ca="1">INDEX('General Inputs'!$F$52:$AN$52,MATCH($H216,'General Inputs'!$F$50:$AN$50,0))*$AM216</f>
        <v>0</v>
      </c>
      <c r="BE216" s="55"/>
      <c r="BF216" s="59">
        <f ca="1">SUMPRODUCT($CA216:$DI216,OFFSET('General Inputs'!$F$40:$AN$40,MATCH($D216&amp;" Electric ($/kWh)",'General Inputs'!$E$40:$E$46,0),),'General Inputs'!$F$54:$AN$54)</f>
        <v>3002.8276338225396</v>
      </c>
      <c r="BG216" s="59">
        <f ca="1">SUMPRODUCT($EU216:$GC216,OFFSET('General Inputs'!$F$40:$AN$40,MATCH($D216&amp;" Natural Gas ($/therm)",'General Inputs'!$E$40:$E$46,0),),'General Inputs'!$F$54:$AN$54)</f>
        <v>0</v>
      </c>
      <c r="BH216" s="59">
        <f ca="1">INDEX('General Inputs'!$F$54:$AN$54,MATCH($H216,'General Inputs'!$F$50:$AN$50,0))*$AI216</f>
        <v>0</v>
      </c>
      <c r="BI216" s="59">
        <f ca="1">SUM(INDEX('General Inputs'!$F$54:$AN$54,MATCH($H216,'General Inputs'!$F$50:$AN$50,0))*$AG216,INDEX('General Inputs'!$F$51:$AN$51,MATCH($H216+$AL216,'General Inputs'!$F$50:$AN$50,0))*-$AH216)</f>
        <v>0</v>
      </c>
      <c r="BJ216" s="55"/>
      <c r="BK216" s="59">
        <f ca="1">SUMPRODUCT($CA216:$DI216,'General Inputs'!$F$32:$AN$32,'General Inputs'!$F$53:$AN$53)/(1-Loss_ElectricEnergy)</f>
        <v>758.85593694864588</v>
      </c>
      <c r="BL216" s="59">
        <f ca="1">SUMPRODUCT($DK216:$ES216,'General Inputs'!$F$33:$AN$33,'General Inputs'!$F$53:$AN$53)/(1-Loss_ElectricDemand)</f>
        <v>62.308719106866825</v>
      </c>
      <c r="BM216" s="59">
        <f ca="1">SUMPRODUCT($EU216:$GC216,'General Inputs'!$F$34:$AN$34,'General Inputs'!$F$53:$AN$53)/(1-Loss_GasEnergy)</f>
        <v>0</v>
      </c>
      <c r="BN216" s="59">
        <f ca="1">INDEX('General Inputs'!$F$53:$AN$53,MATCH($H216,'General Inputs'!$F$50:$AN$50,0))*$AJ216</f>
        <v>0</v>
      </c>
      <c r="BO216" s="59">
        <f ca="1">SUMPRODUCT($CA216:$DI216,'General Inputs'!$F$35:$AN$35,'General Inputs'!$F$53:$AN$53)/(1-Loss_ElectricEnergy)</f>
        <v>280.96868703670572</v>
      </c>
      <c r="BP216" s="59">
        <f ca="1">INDEX('General Inputs'!$F$51:$AN$51,MATCH($H216,'General Inputs'!$F$50:$AN$50,0))*$AM216</f>
        <v>0</v>
      </c>
      <c r="BQ216" s="59">
        <f ca="1">SUM(INDEX('General Inputs'!$F$53:$AN$53,MATCH($H216,'General Inputs'!$F$50:$AN$50,0))*$AG216,INDEX('General Inputs'!$F$53:$AN$53,MATCH($H216+$AL216,'General Inputs'!$F$50:$AN$50,0))*-$AH216)</f>
        <v>0</v>
      </c>
      <c r="BR216" s="55"/>
      <c r="BS216" s="59">
        <f ca="1">SUMPRODUCT($CA216:$DI216,'General Inputs'!$F$32:$AN$32,'General Inputs'!$F$55:$AN$55)/(1-Loss_ElectricEnergy)</f>
        <v>758.85593694864588</v>
      </c>
      <c r="BT216" s="59">
        <f ca="1">SUMPRODUCT($DK216:$ES216,'General Inputs'!$F$33:$AN$33,'General Inputs'!$F$55:$AN$55)/(1-Loss_ElectricDemand)</f>
        <v>62.308719106866825</v>
      </c>
      <c r="BU216" s="59">
        <f ca="1">SUMPRODUCT($EU216:$GC216,'General Inputs'!$F$34:$AN$34,'General Inputs'!$F$55:$AN$55)/(1-Loss_GasEnergy)</f>
        <v>0</v>
      </c>
      <c r="BV216" s="59">
        <f ca="1">SUMPRODUCT($CA216:$DI216,OFFSET('General Inputs'!$F$40:$AN$40,MATCH($D216&amp;" Electric ($/kWh)",'General Inputs'!$E$40:$E$46,0),),'General Inputs'!$F$55:$AN$55)</f>
        <v>3002.8276338225396</v>
      </c>
      <c r="BW216" s="59">
        <f ca="1">SUMPRODUCT($EU216:$GC216,OFFSET('General Inputs'!$F$40:$AN$40,MATCH($D216&amp;" Natural Gas ($/therm)",'General Inputs'!$E$40:$E$46,0),),'General Inputs'!$F$55:$AN$55)</f>
        <v>0</v>
      </c>
      <c r="BX216" s="59">
        <f ca="1">INDEX('General Inputs'!$F$55:$AN$55,MATCH($H216,'General Inputs'!$F$50:$AN$50,0))*$AI216</f>
        <v>0</v>
      </c>
      <c r="BY216" s="59">
        <f ca="1">INDEX('General Inputs'!$F$51:$AN$51,MATCH($H216,'General Inputs'!$F$50:$AN$50,0))*$AM216</f>
        <v>0</v>
      </c>
      <c r="BZ216" s="55"/>
      <c r="CA216" s="88">
        <f t="shared" ca="1" si="432"/>
        <v>0</v>
      </c>
      <c r="CB216" s="88">
        <f t="shared" ca="1" si="432"/>
        <v>0</v>
      </c>
      <c r="CC216" s="88">
        <f t="shared" ca="1" si="432"/>
        <v>3141.5880457075887</v>
      </c>
      <c r="CD216" s="88">
        <f t="shared" ca="1" si="432"/>
        <v>3141.5880457075887</v>
      </c>
      <c r="CE216" s="88">
        <f t="shared" ca="1" si="432"/>
        <v>3141.5880457075887</v>
      </c>
      <c r="CF216" s="88">
        <f t="shared" ca="1" si="432"/>
        <v>3141.5880457075887</v>
      </c>
      <c r="CG216" s="88">
        <f t="shared" ca="1" si="432"/>
        <v>3141.5880457075887</v>
      </c>
      <c r="CH216" s="88">
        <f t="shared" ca="1" si="432"/>
        <v>3141.5880457075887</v>
      </c>
      <c r="CI216" s="88">
        <f t="shared" ca="1" si="432"/>
        <v>3141.5880457075887</v>
      </c>
      <c r="CJ216" s="88">
        <f t="shared" ca="1" si="432"/>
        <v>3141.5880457075887</v>
      </c>
      <c r="CK216" s="88">
        <f t="shared" ca="1" si="433"/>
        <v>3141.5880457075887</v>
      </c>
      <c r="CL216" s="88">
        <f t="shared" ca="1" si="433"/>
        <v>3141.5880457075887</v>
      </c>
      <c r="CM216" s="88">
        <f t="shared" ca="1" si="433"/>
        <v>3141.5880457075887</v>
      </c>
      <c r="CN216" s="88">
        <f t="shared" ca="1" si="433"/>
        <v>3141.5880457075887</v>
      </c>
      <c r="CO216" s="88">
        <f t="shared" ca="1" si="433"/>
        <v>3141.5880457075887</v>
      </c>
      <c r="CP216" s="88">
        <f t="shared" ca="1" si="433"/>
        <v>3141.5880457075887</v>
      </c>
      <c r="CQ216" s="88">
        <f t="shared" ca="1" si="433"/>
        <v>3141.5880457075887</v>
      </c>
      <c r="CR216" s="88">
        <f t="shared" ca="1" si="433"/>
        <v>0</v>
      </c>
      <c r="CS216" s="88">
        <f t="shared" ca="1" si="433"/>
        <v>0</v>
      </c>
      <c r="CT216" s="88">
        <f t="shared" ca="1" si="433"/>
        <v>0</v>
      </c>
      <c r="CU216" s="88">
        <f t="shared" ca="1" si="434"/>
        <v>0</v>
      </c>
      <c r="CV216" s="88">
        <f t="shared" ca="1" si="434"/>
        <v>0</v>
      </c>
      <c r="CW216" s="88">
        <f t="shared" ca="1" si="434"/>
        <v>0</v>
      </c>
      <c r="CX216" s="88">
        <f t="shared" ca="1" si="434"/>
        <v>0</v>
      </c>
      <c r="CY216" s="88">
        <f t="shared" ca="1" si="434"/>
        <v>0</v>
      </c>
      <c r="CZ216" s="88">
        <f t="shared" ca="1" si="434"/>
        <v>0</v>
      </c>
      <c r="DA216" s="88">
        <f t="shared" ca="1" si="434"/>
        <v>0</v>
      </c>
      <c r="DB216" s="88">
        <f t="shared" ca="1" si="434"/>
        <v>0</v>
      </c>
      <c r="DC216" s="88">
        <f t="shared" ca="1" si="434"/>
        <v>0</v>
      </c>
      <c r="DD216" s="88">
        <f t="shared" ca="1" si="434"/>
        <v>0</v>
      </c>
      <c r="DE216" s="88">
        <f t="shared" ca="1" si="434"/>
        <v>0</v>
      </c>
      <c r="DF216" s="88">
        <f t="shared" ca="1" si="434"/>
        <v>0</v>
      </c>
      <c r="DG216" s="88">
        <f t="shared" ca="1" si="434"/>
        <v>0</v>
      </c>
      <c r="DH216" s="88">
        <f t="shared" ca="1" si="434"/>
        <v>0</v>
      </c>
      <c r="DI216" s="88">
        <f t="shared" ca="1" si="434"/>
        <v>0</v>
      </c>
      <c r="DJ216" s="169"/>
      <c r="DK216" s="88">
        <f t="shared" ca="1" si="435"/>
        <v>0</v>
      </c>
      <c r="DL216" s="88">
        <f t="shared" ca="1" si="435"/>
        <v>0</v>
      </c>
      <c r="DM216" s="88">
        <f t="shared" ca="1" si="435"/>
        <v>0.3586287723410489</v>
      </c>
      <c r="DN216" s="88">
        <f t="shared" ca="1" si="435"/>
        <v>0.3586287723410489</v>
      </c>
      <c r="DO216" s="88">
        <f t="shared" ca="1" si="435"/>
        <v>0.3586287723410489</v>
      </c>
      <c r="DP216" s="88">
        <f t="shared" ca="1" si="435"/>
        <v>0.3586287723410489</v>
      </c>
      <c r="DQ216" s="88">
        <f t="shared" ca="1" si="435"/>
        <v>0.3586287723410489</v>
      </c>
      <c r="DR216" s="88">
        <f t="shared" ca="1" si="435"/>
        <v>0.3586287723410489</v>
      </c>
      <c r="DS216" s="88">
        <f t="shared" ca="1" si="435"/>
        <v>0.3586287723410489</v>
      </c>
      <c r="DT216" s="88">
        <f t="shared" ca="1" si="435"/>
        <v>0.3586287723410489</v>
      </c>
      <c r="DU216" s="88">
        <f t="shared" ca="1" si="436"/>
        <v>0.3586287723410489</v>
      </c>
      <c r="DV216" s="88">
        <f t="shared" ca="1" si="436"/>
        <v>0.3586287723410489</v>
      </c>
      <c r="DW216" s="88">
        <f t="shared" ca="1" si="436"/>
        <v>0.3586287723410489</v>
      </c>
      <c r="DX216" s="88">
        <f t="shared" ca="1" si="436"/>
        <v>0.3586287723410489</v>
      </c>
      <c r="DY216" s="88">
        <f t="shared" ca="1" si="436"/>
        <v>0.3586287723410489</v>
      </c>
      <c r="DZ216" s="88">
        <f t="shared" ca="1" si="436"/>
        <v>0.3586287723410489</v>
      </c>
      <c r="EA216" s="88">
        <f t="shared" ca="1" si="436"/>
        <v>0.3586287723410489</v>
      </c>
      <c r="EB216" s="88">
        <f t="shared" ca="1" si="436"/>
        <v>0</v>
      </c>
      <c r="EC216" s="88">
        <f t="shared" ca="1" si="436"/>
        <v>0</v>
      </c>
      <c r="ED216" s="88">
        <f t="shared" ca="1" si="436"/>
        <v>0</v>
      </c>
      <c r="EE216" s="88">
        <f t="shared" ca="1" si="437"/>
        <v>0</v>
      </c>
      <c r="EF216" s="88">
        <f t="shared" ca="1" si="437"/>
        <v>0</v>
      </c>
      <c r="EG216" s="88">
        <f t="shared" ca="1" si="437"/>
        <v>0</v>
      </c>
      <c r="EH216" s="88">
        <f t="shared" ca="1" si="437"/>
        <v>0</v>
      </c>
      <c r="EI216" s="88">
        <f t="shared" ca="1" si="437"/>
        <v>0</v>
      </c>
      <c r="EJ216" s="88">
        <f t="shared" ca="1" si="437"/>
        <v>0</v>
      </c>
      <c r="EK216" s="88">
        <f t="shared" ca="1" si="437"/>
        <v>0</v>
      </c>
      <c r="EL216" s="88">
        <f t="shared" ca="1" si="437"/>
        <v>0</v>
      </c>
      <c r="EM216" s="88">
        <f t="shared" ca="1" si="437"/>
        <v>0</v>
      </c>
      <c r="EN216" s="88">
        <f t="shared" ca="1" si="437"/>
        <v>0</v>
      </c>
      <c r="EO216" s="88">
        <f t="shared" ca="1" si="437"/>
        <v>0</v>
      </c>
      <c r="EP216" s="88">
        <f t="shared" ca="1" si="437"/>
        <v>0</v>
      </c>
      <c r="EQ216" s="88">
        <f t="shared" ca="1" si="437"/>
        <v>0</v>
      </c>
      <c r="ER216" s="88">
        <f t="shared" ca="1" si="437"/>
        <v>0</v>
      </c>
      <c r="ES216" s="88">
        <f t="shared" ca="1" si="437"/>
        <v>0</v>
      </c>
      <c r="ET216" s="169"/>
      <c r="EU216" s="88">
        <f t="shared" ca="1" si="438"/>
        <v>0</v>
      </c>
      <c r="EV216" s="88">
        <f t="shared" ca="1" si="438"/>
        <v>0</v>
      </c>
      <c r="EW216" s="88">
        <f t="shared" ca="1" si="438"/>
        <v>0</v>
      </c>
      <c r="EX216" s="88">
        <f t="shared" ca="1" si="438"/>
        <v>0</v>
      </c>
      <c r="EY216" s="88">
        <f t="shared" ca="1" si="438"/>
        <v>0</v>
      </c>
      <c r="EZ216" s="88">
        <f t="shared" ca="1" si="438"/>
        <v>0</v>
      </c>
      <c r="FA216" s="88">
        <f t="shared" ca="1" si="438"/>
        <v>0</v>
      </c>
      <c r="FB216" s="88">
        <f t="shared" ca="1" si="438"/>
        <v>0</v>
      </c>
      <c r="FC216" s="88">
        <f t="shared" ca="1" si="438"/>
        <v>0</v>
      </c>
      <c r="FD216" s="88">
        <f t="shared" ca="1" si="438"/>
        <v>0</v>
      </c>
      <c r="FE216" s="88">
        <f t="shared" ca="1" si="439"/>
        <v>0</v>
      </c>
      <c r="FF216" s="88">
        <f t="shared" ca="1" si="439"/>
        <v>0</v>
      </c>
      <c r="FG216" s="88">
        <f t="shared" ca="1" si="439"/>
        <v>0</v>
      </c>
      <c r="FH216" s="88">
        <f t="shared" ca="1" si="439"/>
        <v>0</v>
      </c>
      <c r="FI216" s="88">
        <f t="shared" ca="1" si="439"/>
        <v>0</v>
      </c>
      <c r="FJ216" s="88">
        <f t="shared" ca="1" si="439"/>
        <v>0</v>
      </c>
      <c r="FK216" s="88">
        <f t="shared" ca="1" si="439"/>
        <v>0</v>
      </c>
      <c r="FL216" s="88">
        <f t="shared" ca="1" si="439"/>
        <v>0</v>
      </c>
      <c r="FM216" s="88">
        <f t="shared" ca="1" si="439"/>
        <v>0</v>
      </c>
      <c r="FN216" s="88">
        <f t="shared" ca="1" si="439"/>
        <v>0</v>
      </c>
      <c r="FO216" s="88">
        <f t="shared" ca="1" si="440"/>
        <v>0</v>
      </c>
      <c r="FP216" s="88">
        <f t="shared" ca="1" si="440"/>
        <v>0</v>
      </c>
      <c r="FQ216" s="88">
        <f t="shared" ca="1" si="440"/>
        <v>0</v>
      </c>
      <c r="FR216" s="88">
        <f t="shared" ca="1" si="440"/>
        <v>0</v>
      </c>
      <c r="FS216" s="88">
        <f t="shared" ca="1" si="440"/>
        <v>0</v>
      </c>
      <c r="FT216" s="88">
        <f t="shared" ca="1" si="440"/>
        <v>0</v>
      </c>
      <c r="FU216" s="88">
        <f t="shared" ca="1" si="440"/>
        <v>0</v>
      </c>
      <c r="FV216" s="88">
        <f t="shared" ca="1" si="440"/>
        <v>0</v>
      </c>
      <c r="FW216" s="88">
        <f t="shared" ca="1" si="440"/>
        <v>0</v>
      </c>
      <c r="FX216" s="88">
        <f t="shared" ca="1" si="440"/>
        <v>0</v>
      </c>
      <c r="FY216" s="88">
        <f t="shared" ca="1" si="440"/>
        <v>0</v>
      </c>
      <c r="FZ216" s="88">
        <f t="shared" ca="1" si="440"/>
        <v>0</v>
      </c>
      <c r="GA216" s="88">
        <f t="shared" ca="1" si="440"/>
        <v>0</v>
      </c>
      <c r="GB216" s="88">
        <f t="shared" ca="1" si="440"/>
        <v>0</v>
      </c>
      <c r="GC216" s="88">
        <f t="shared" ca="1" si="440"/>
        <v>0</v>
      </c>
      <c r="GD216" s="60"/>
    </row>
    <row r="217" spans="1:186" s="54" customFormat="1" ht="14.45" customHeight="1">
      <c r="A217" s="61"/>
      <c r="B217" s="100" t="str">
        <f t="shared" si="418"/>
        <v>Residential_Whole House Efficiency_0_Water Heater Tank Wrap_2019</v>
      </c>
      <c r="C217" s="100">
        <f>INDEX('Measure Inputs'!$D:$D,MATCH($B217,'Measure Inputs'!$B:$B,0))</f>
        <v>169</v>
      </c>
      <c r="D217" s="101" t="s">
        <v>2</v>
      </c>
      <c r="E217" s="101" t="s">
        <v>219</v>
      </c>
      <c r="F217" s="101">
        <v>0</v>
      </c>
      <c r="G217" s="101" t="s">
        <v>266</v>
      </c>
      <c r="H217" s="101">
        <v>2019</v>
      </c>
      <c r="I217" s="55"/>
      <c r="J217" s="58" t="str">
        <f t="shared" ca="1" si="229"/>
        <v>n/a</v>
      </c>
      <c r="K217" s="58" t="str">
        <f t="shared" ca="1" si="246"/>
        <v>n/a</v>
      </c>
      <c r="L217" s="58" t="str">
        <f t="shared" ca="1" si="230"/>
        <v>n/a</v>
      </c>
      <c r="M217" s="58" t="str">
        <f t="shared" ca="1" si="231"/>
        <v>n/a</v>
      </c>
      <c r="N217" s="58">
        <f t="shared" ca="1" si="232"/>
        <v>0.27356014990931138</v>
      </c>
      <c r="O217" s="55"/>
      <c r="P217" s="175">
        <f ca="1">IFERROR(($AW217+AV217)/SUMPRODUCT($CA217:$DI217,'General Inputs'!$F$51:$AN$51),"n/a")</f>
        <v>0</v>
      </c>
      <c r="Q217" s="175">
        <f t="shared" ca="1" si="386"/>
        <v>0</v>
      </c>
      <c r="R217" s="56">
        <f t="shared" ca="1" si="441"/>
        <v>21.45</v>
      </c>
      <c r="S217" s="55"/>
      <c r="T217" s="56">
        <f ca="1">INDEX(OFFSET('Measure Inputs'!$L$7,,,InputRows),$C217)</f>
        <v>30</v>
      </c>
      <c r="U217" s="134">
        <f ca="1">INDEX(OFFSET('Measure Inputs'!$T$7,,,InputRows),$C217)</f>
        <v>1</v>
      </c>
      <c r="V217" s="134">
        <f ca="1">INDEX(OFFSET('Measure Inputs'!$U$7,,,InputRows),$C217)</f>
        <v>1</v>
      </c>
      <c r="W217" s="55"/>
      <c r="X217" s="96">
        <f ca="1">INDEX(OFFSET('Measure Inputs'!$V$7,,,InputRows),$C217)*$T217*$V217*$U217</f>
        <v>4290</v>
      </c>
      <c r="Y217" s="96">
        <f ca="1">INDEX(OFFSET('Measure Inputs'!$W$7,,,InputRows),$C217)*$T217*$V217*$U217</f>
        <v>0.49200000000000005</v>
      </c>
      <c r="Z217" s="96">
        <f ca="1">INDEX(OFFSET('Measure Inputs'!$X$7,,,InputRows),$C217)*$T217*$V217*$U217</f>
        <v>0</v>
      </c>
      <c r="AA217" s="55"/>
      <c r="AB217" s="96">
        <f ca="1">INDEX(OFFSET('Measure Inputs'!$Z$7,,,InputRows),$C217)*$T217*$V217*$U217</f>
        <v>0</v>
      </c>
      <c r="AC217" s="96">
        <f ca="1">INDEX(OFFSET('Measure Inputs'!$AA$7,,,InputRows),$C217)*$T217*$V217*$U217</f>
        <v>0</v>
      </c>
      <c r="AD217" s="96">
        <f ca="1">INDEX(OFFSET('Measure Inputs'!$AB$7,,,InputRows),$C217)*$T217*$V217*$U217</f>
        <v>0</v>
      </c>
      <c r="AE217" s="55"/>
      <c r="AF217" s="57">
        <f ca="1">INDEX(OFFSET('Measure Inputs'!$Q$7,,,InputRows),$C217)*$T217</f>
        <v>0</v>
      </c>
      <c r="AG217" s="57">
        <f ca="1">INDEX(OFFSET('Measure Inputs'!$P$7,,,InputRows),$C217)*$T217*$V217</f>
        <v>0</v>
      </c>
      <c r="AH217" s="57">
        <f ca="1">INDEX(OFFSET('Measure Inputs'!$R$7,,,InputRows),$C217)*$T217*$V217</f>
        <v>0</v>
      </c>
      <c r="AI217" s="57">
        <f ca="1">INDEX(OFFSET('Measure Inputs'!$O$7,,,InputRows),$C217)*$T217</f>
        <v>0</v>
      </c>
      <c r="AJ217" s="57">
        <f ca="1">INDEX(OFFSET('Measure Inputs'!$S$7,,,InputRows),$C217)*$T217</f>
        <v>0</v>
      </c>
      <c r="AK217" s="63">
        <f ca="1">INDEX(OFFSET('Measure Inputs'!$M$7,,,InputRows),$C217)</f>
        <v>5</v>
      </c>
      <c r="AL217" s="88">
        <f ca="1">INDEX(OFFSET('Measure Inputs'!$N$7,,,InputRows),$C217)</f>
        <v>0</v>
      </c>
      <c r="AM217" s="57">
        <f ca="1">SUMIFS(OFFSET('Program Inputs'!$N$5,,,TotalPrograms),OFFSET('Program Inputs'!$B$5,,,TotalPrograms),SUBSTITUTE($B217,"All","*"))+AF217</f>
        <v>0</v>
      </c>
      <c r="AN217" s="57">
        <f t="shared" ca="1" si="442"/>
        <v>0</v>
      </c>
      <c r="AO217" s="55"/>
      <c r="AP217" s="59">
        <f t="shared" ca="1" si="443"/>
        <v>509.23226756328336</v>
      </c>
      <c r="AQ217" s="59">
        <f t="shared" ca="1" si="444"/>
        <v>0</v>
      </c>
      <c r="AR217" s="59">
        <f ca="1">SUMPRODUCT($CA217:$DI217,'General Inputs'!$F$32:$AN$32,'General Inputs'!$F$51:$AN$51)/(1-Loss_ElectricEnergy)</f>
        <v>470.42675552788552</v>
      </c>
      <c r="AS217" s="59">
        <f ca="1">SUMPRODUCT($DK217:$ES217,'General Inputs'!$F$33:$AN$33,'General Inputs'!$F$51:$AN$51)/(1-Loss_ElectricDemand)</f>
        <v>38.805512035397811</v>
      </c>
      <c r="AT217" s="59">
        <f ca="1">SUMPRODUCT($EU217:$GC217,'General Inputs'!$F$34:$AN$34,'General Inputs'!$F$51:$AN$51)/(1-Loss_GasEnergy)</f>
        <v>0</v>
      </c>
      <c r="AU217" s="59">
        <f ca="1">INDEX('General Inputs'!$F$51:$AN$51,MATCH($H217,'General Inputs'!$F$50:$AN$50,0))*$AJ217</f>
        <v>0</v>
      </c>
      <c r="AV217" s="59">
        <f ca="1">INDEX('General Inputs'!$F$51:$AN$51,MATCH($H217,'General Inputs'!$F$50:$AN$50,0))*$AI217</f>
        <v>0</v>
      </c>
      <c r="AW217" s="59">
        <f ca="1">INDEX('General Inputs'!$F$51:$AN$51,MATCH($H217,'General Inputs'!$F$50:$AN$50,0))*$AM217</f>
        <v>0</v>
      </c>
      <c r="AX217" s="59">
        <f ca="1">SUM(INDEX('General Inputs'!$F$51:$AN$51,MATCH($H217,'General Inputs'!$F$50:$AN$50,0))*$AG217,INDEX('General Inputs'!$F$51:$AN$51,MATCH($H217+$AL217,'General Inputs'!$F$50:$AN$50,0))*-$AH217)</f>
        <v>0</v>
      </c>
      <c r="AY217" s="55"/>
      <c r="AZ217" s="59">
        <f ca="1">SUMPRODUCT($CA217:$DI217,'General Inputs'!$F$32:$AN$32,'General Inputs'!$F$52:$AN$52)/(1-Loss_ElectricEnergy)</f>
        <v>470.42675552788552</v>
      </c>
      <c r="BA217" s="59">
        <f ca="1">SUMPRODUCT($DK217:$ES217,'General Inputs'!$F$33:$AN$33,'General Inputs'!$F$52:$AN$52)/(1-Loss_ElectricDemand)</f>
        <v>38.805512035397811</v>
      </c>
      <c r="BB217" s="59">
        <f ca="1">SUMPRODUCT($EU217:$GC217,'General Inputs'!$F$34:$AN$34,'General Inputs'!$F$52:$AN$52)/(1-Loss_GasEnergy)</f>
        <v>0</v>
      </c>
      <c r="BC217" s="59">
        <f ca="1">INDEX('General Inputs'!$F$52:$AN$52,MATCH($H217,'General Inputs'!$F$50:$AN$50,0))*$AI217</f>
        <v>0</v>
      </c>
      <c r="BD217" s="59">
        <f ca="1">INDEX('General Inputs'!$F$52:$AN$52,MATCH($H217,'General Inputs'!$F$50:$AN$50,0))*$AM217</f>
        <v>0</v>
      </c>
      <c r="BE217" s="55"/>
      <c r="BF217" s="59">
        <f ca="1">SUMPRODUCT($CA217:$DI217,OFFSET('General Inputs'!$F$40:$AN$40,MATCH($D217&amp;" Electric ($/kWh)",'General Inputs'!$E$40:$E$46,0),),'General Inputs'!$F$54:$AN$54)</f>
        <v>1861.5001773178597</v>
      </c>
      <c r="BG217" s="59">
        <f ca="1">SUMPRODUCT($EU217:$GC217,OFFSET('General Inputs'!$F$40:$AN$40,MATCH($D217&amp;" Natural Gas ($/therm)",'General Inputs'!$E$40:$E$46,0),),'General Inputs'!$F$54:$AN$54)</f>
        <v>0</v>
      </c>
      <c r="BH217" s="59">
        <f ca="1">INDEX('General Inputs'!$F$54:$AN$54,MATCH($H217,'General Inputs'!$F$50:$AN$50,0))*$AI217</f>
        <v>0</v>
      </c>
      <c r="BI217" s="59">
        <f ca="1">SUM(INDEX('General Inputs'!$F$54:$AN$54,MATCH($H217,'General Inputs'!$F$50:$AN$50,0))*$AG217,INDEX('General Inputs'!$F$51:$AN$51,MATCH($H217+$AL217,'General Inputs'!$F$50:$AN$50,0))*-$AH217)</f>
        <v>0</v>
      </c>
      <c r="BJ217" s="55"/>
      <c r="BK217" s="59">
        <f ca="1">SUMPRODUCT($CA217:$DI217,'General Inputs'!$F$32:$AN$32,'General Inputs'!$F$53:$AN$53)/(1-Loss_ElectricEnergy)</f>
        <v>470.42675552788552</v>
      </c>
      <c r="BL217" s="59">
        <f ca="1">SUMPRODUCT($DK217:$ES217,'General Inputs'!$F$33:$AN$33,'General Inputs'!$F$53:$AN$53)/(1-Loss_ElectricDemand)</f>
        <v>38.805512035397811</v>
      </c>
      <c r="BM217" s="59">
        <f ca="1">SUMPRODUCT($EU217:$GC217,'General Inputs'!$F$34:$AN$34,'General Inputs'!$F$53:$AN$53)/(1-Loss_GasEnergy)</f>
        <v>0</v>
      </c>
      <c r="BN217" s="59">
        <f ca="1">INDEX('General Inputs'!$F$53:$AN$53,MATCH($H217,'General Inputs'!$F$50:$AN$50,0))*$AJ217</f>
        <v>0</v>
      </c>
      <c r="BO217" s="59">
        <f ca="1">SUMPRODUCT($CA217:$DI217,'General Inputs'!$F$35:$AN$35,'General Inputs'!$F$53:$AN$53)/(1-Loss_ElectricEnergy)</f>
        <v>184.16054581657383</v>
      </c>
      <c r="BP217" s="59">
        <f ca="1">INDEX('General Inputs'!$F$51:$AN$51,MATCH($H217,'General Inputs'!$F$50:$AN$50,0))*$AM217</f>
        <v>0</v>
      </c>
      <c r="BQ217" s="59">
        <f ca="1">SUM(INDEX('General Inputs'!$F$53:$AN$53,MATCH($H217,'General Inputs'!$F$50:$AN$50,0))*$AG217,INDEX('General Inputs'!$F$53:$AN$53,MATCH($H217+$AL217,'General Inputs'!$F$50:$AN$50,0))*-$AH217)</f>
        <v>0</v>
      </c>
      <c r="BR217" s="55"/>
      <c r="BS217" s="59">
        <f ca="1">SUMPRODUCT($CA217:$DI217,'General Inputs'!$F$32:$AN$32,'General Inputs'!$F$55:$AN$55)/(1-Loss_ElectricEnergy)</f>
        <v>470.42675552788552</v>
      </c>
      <c r="BT217" s="59">
        <f ca="1">SUMPRODUCT($DK217:$ES217,'General Inputs'!$F$33:$AN$33,'General Inputs'!$F$55:$AN$55)/(1-Loss_ElectricDemand)</f>
        <v>38.805512035397811</v>
      </c>
      <c r="BU217" s="59">
        <f ca="1">SUMPRODUCT($EU217:$GC217,'General Inputs'!$F$34:$AN$34,'General Inputs'!$F$55:$AN$55)/(1-Loss_GasEnergy)</f>
        <v>0</v>
      </c>
      <c r="BV217" s="59">
        <f ca="1">SUMPRODUCT($CA217:$DI217,OFFSET('General Inputs'!$F$40:$AN$40,MATCH($D217&amp;" Electric ($/kWh)",'General Inputs'!$E$40:$E$46,0),),'General Inputs'!$F$55:$AN$55)</f>
        <v>1861.5001773178597</v>
      </c>
      <c r="BW217" s="59">
        <f ca="1">SUMPRODUCT($EU217:$GC217,OFFSET('General Inputs'!$F$40:$AN$40,MATCH($D217&amp;" Natural Gas ($/therm)",'General Inputs'!$E$40:$E$46,0),),'General Inputs'!$F$55:$AN$55)</f>
        <v>0</v>
      </c>
      <c r="BX217" s="59">
        <f ca="1">INDEX('General Inputs'!$F$55:$AN$55,MATCH($H217,'General Inputs'!$F$50:$AN$50,0))*$AI217</f>
        <v>0</v>
      </c>
      <c r="BY217" s="59">
        <f ca="1">INDEX('General Inputs'!$F$51:$AN$51,MATCH($H217,'General Inputs'!$F$50:$AN$50,0))*$AM217</f>
        <v>0</v>
      </c>
      <c r="BZ217" s="55"/>
      <c r="CA217" s="88">
        <f t="shared" ref="CA217:CJ226" ca="1" si="445">IF(AND($H217&lt;=CA$8,$H217+$AK217&gt;CA$8),IF(AND($H217+$AL217&lt;=CA$8,$AL217&gt;0),$AB217,$X217),0)</f>
        <v>0</v>
      </c>
      <c r="CB217" s="88">
        <f t="shared" ca="1" si="445"/>
        <v>0</v>
      </c>
      <c r="CC217" s="88">
        <f t="shared" ca="1" si="445"/>
        <v>4290</v>
      </c>
      <c r="CD217" s="88">
        <f t="shared" ca="1" si="445"/>
        <v>4290</v>
      </c>
      <c r="CE217" s="88">
        <f t="shared" ca="1" si="445"/>
        <v>4290</v>
      </c>
      <c r="CF217" s="88">
        <f t="shared" ca="1" si="445"/>
        <v>4290</v>
      </c>
      <c r="CG217" s="88">
        <f t="shared" ca="1" si="445"/>
        <v>4290</v>
      </c>
      <c r="CH217" s="88">
        <f t="shared" ca="1" si="445"/>
        <v>0</v>
      </c>
      <c r="CI217" s="88">
        <f t="shared" ca="1" si="445"/>
        <v>0</v>
      </c>
      <c r="CJ217" s="88">
        <f t="shared" ca="1" si="445"/>
        <v>0</v>
      </c>
      <c r="CK217" s="88">
        <f t="shared" ref="CK217:CT226" ca="1" si="446">IF(AND($H217&lt;=CK$8,$H217+$AK217&gt;CK$8),IF(AND($H217+$AL217&lt;=CK$8,$AL217&gt;0),$AB217,$X217),0)</f>
        <v>0</v>
      </c>
      <c r="CL217" s="88">
        <f t="shared" ca="1" si="446"/>
        <v>0</v>
      </c>
      <c r="CM217" s="88">
        <f t="shared" ca="1" si="446"/>
        <v>0</v>
      </c>
      <c r="CN217" s="88">
        <f t="shared" ca="1" si="446"/>
        <v>0</v>
      </c>
      <c r="CO217" s="88">
        <f t="shared" ca="1" si="446"/>
        <v>0</v>
      </c>
      <c r="CP217" s="88">
        <f t="shared" ca="1" si="446"/>
        <v>0</v>
      </c>
      <c r="CQ217" s="88">
        <f t="shared" ca="1" si="446"/>
        <v>0</v>
      </c>
      <c r="CR217" s="88">
        <f t="shared" ca="1" si="446"/>
        <v>0</v>
      </c>
      <c r="CS217" s="88">
        <f t="shared" ca="1" si="446"/>
        <v>0</v>
      </c>
      <c r="CT217" s="88">
        <f t="shared" ca="1" si="446"/>
        <v>0</v>
      </c>
      <c r="CU217" s="88">
        <f t="shared" ref="CU217:DI226" ca="1" si="447">IF(AND($H217&lt;=CU$8,$H217+$AK217&gt;CU$8),IF(AND($H217+$AL217&lt;=CU$8,$AL217&gt;0),$AB217,$X217),0)</f>
        <v>0</v>
      </c>
      <c r="CV217" s="88">
        <f t="shared" ca="1" si="447"/>
        <v>0</v>
      </c>
      <c r="CW217" s="88">
        <f t="shared" ca="1" si="447"/>
        <v>0</v>
      </c>
      <c r="CX217" s="88">
        <f t="shared" ca="1" si="447"/>
        <v>0</v>
      </c>
      <c r="CY217" s="88">
        <f t="shared" ca="1" si="447"/>
        <v>0</v>
      </c>
      <c r="CZ217" s="88">
        <f t="shared" ca="1" si="447"/>
        <v>0</v>
      </c>
      <c r="DA217" s="88">
        <f t="shared" ca="1" si="447"/>
        <v>0</v>
      </c>
      <c r="DB217" s="88">
        <f t="shared" ca="1" si="447"/>
        <v>0</v>
      </c>
      <c r="DC217" s="88">
        <f t="shared" ca="1" si="447"/>
        <v>0</v>
      </c>
      <c r="DD217" s="88">
        <f t="shared" ca="1" si="447"/>
        <v>0</v>
      </c>
      <c r="DE217" s="88">
        <f t="shared" ca="1" si="447"/>
        <v>0</v>
      </c>
      <c r="DF217" s="88">
        <f t="shared" ca="1" si="447"/>
        <v>0</v>
      </c>
      <c r="DG217" s="88">
        <f t="shared" ca="1" si="447"/>
        <v>0</v>
      </c>
      <c r="DH217" s="88">
        <f t="shared" ca="1" si="447"/>
        <v>0</v>
      </c>
      <c r="DI217" s="88">
        <f t="shared" ca="1" si="447"/>
        <v>0</v>
      </c>
      <c r="DJ217" s="169"/>
      <c r="DK217" s="88">
        <f t="shared" ref="DK217:DT226" ca="1" si="448">IF(AND($H217&lt;=DK$8,$H217+$AK217&gt;DK$8),IF(AND($H217+$AL217&lt;=DK$8,$AL217&gt;0),$AC217,$Y217),0)</f>
        <v>0</v>
      </c>
      <c r="DL217" s="88">
        <f t="shared" ca="1" si="448"/>
        <v>0</v>
      </c>
      <c r="DM217" s="88">
        <f t="shared" ca="1" si="448"/>
        <v>0.49200000000000005</v>
      </c>
      <c r="DN217" s="88">
        <f t="shared" ca="1" si="448"/>
        <v>0.49200000000000005</v>
      </c>
      <c r="DO217" s="88">
        <f t="shared" ca="1" si="448"/>
        <v>0.49200000000000005</v>
      </c>
      <c r="DP217" s="88">
        <f t="shared" ca="1" si="448"/>
        <v>0.49200000000000005</v>
      </c>
      <c r="DQ217" s="88">
        <f t="shared" ca="1" si="448"/>
        <v>0.49200000000000005</v>
      </c>
      <c r="DR217" s="88">
        <f t="shared" ca="1" si="448"/>
        <v>0</v>
      </c>
      <c r="DS217" s="88">
        <f t="shared" ca="1" si="448"/>
        <v>0</v>
      </c>
      <c r="DT217" s="88">
        <f t="shared" ca="1" si="448"/>
        <v>0</v>
      </c>
      <c r="DU217" s="88">
        <f t="shared" ref="DU217:ED226" ca="1" si="449">IF(AND($H217&lt;=DU$8,$H217+$AK217&gt;DU$8),IF(AND($H217+$AL217&lt;=DU$8,$AL217&gt;0),$AC217,$Y217),0)</f>
        <v>0</v>
      </c>
      <c r="DV217" s="88">
        <f t="shared" ca="1" si="449"/>
        <v>0</v>
      </c>
      <c r="DW217" s="88">
        <f t="shared" ca="1" si="449"/>
        <v>0</v>
      </c>
      <c r="DX217" s="88">
        <f t="shared" ca="1" si="449"/>
        <v>0</v>
      </c>
      <c r="DY217" s="88">
        <f t="shared" ca="1" si="449"/>
        <v>0</v>
      </c>
      <c r="DZ217" s="88">
        <f t="shared" ca="1" si="449"/>
        <v>0</v>
      </c>
      <c r="EA217" s="88">
        <f t="shared" ca="1" si="449"/>
        <v>0</v>
      </c>
      <c r="EB217" s="88">
        <f t="shared" ca="1" si="449"/>
        <v>0</v>
      </c>
      <c r="EC217" s="88">
        <f t="shared" ca="1" si="449"/>
        <v>0</v>
      </c>
      <c r="ED217" s="88">
        <f t="shared" ca="1" si="449"/>
        <v>0</v>
      </c>
      <c r="EE217" s="88">
        <f t="shared" ref="EE217:ES226" ca="1" si="450">IF(AND($H217&lt;=EE$8,$H217+$AK217&gt;EE$8),IF(AND($H217+$AL217&lt;=EE$8,$AL217&gt;0),$AC217,$Y217),0)</f>
        <v>0</v>
      </c>
      <c r="EF217" s="88">
        <f t="shared" ca="1" si="450"/>
        <v>0</v>
      </c>
      <c r="EG217" s="88">
        <f t="shared" ca="1" si="450"/>
        <v>0</v>
      </c>
      <c r="EH217" s="88">
        <f t="shared" ca="1" si="450"/>
        <v>0</v>
      </c>
      <c r="EI217" s="88">
        <f t="shared" ca="1" si="450"/>
        <v>0</v>
      </c>
      <c r="EJ217" s="88">
        <f t="shared" ca="1" si="450"/>
        <v>0</v>
      </c>
      <c r="EK217" s="88">
        <f t="shared" ca="1" si="450"/>
        <v>0</v>
      </c>
      <c r="EL217" s="88">
        <f t="shared" ca="1" si="450"/>
        <v>0</v>
      </c>
      <c r="EM217" s="88">
        <f t="shared" ca="1" si="450"/>
        <v>0</v>
      </c>
      <c r="EN217" s="88">
        <f t="shared" ca="1" si="450"/>
        <v>0</v>
      </c>
      <c r="EO217" s="88">
        <f t="shared" ca="1" si="450"/>
        <v>0</v>
      </c>
      <c r="EP217" s="88">
        <f t="shared" ca="1" si="450"/>
        <v>0</v>
      </c>
      <c r="EQ217" s="88">
        <f t="shared" ca="1" si="450"/>
        <v>0</v>
      </c>
      <c r="ER217" s="88">
        <f t="shared" ca="1" si="450"/>
        <v>0</v>
      </c>
      <c r="ES217" s="88">
        <f t="shared" ca="1" si="450"/>
        <v>0</v>
      </c>
      <c r="ET217" s="169"/>
      <c r="EU217" s="88">
        <f t="shared" ref="EU217:FD226" ca="1" si="451">IF(AND($H217&lt;=EU$8,$H217+$AK217&gt;EU$8),IF(AND($H217+$AL217&lt;=EU$8,$AL217&gt;0),$AD217,$Z217),0)</f>
        <v>0</v>
      </c>
      <c r="EV217" s="88">
        <f t="shared" ca="1" si="451"/>
        <v>0</v>
      </c>
      <c r="EW217" s="88">
        <f t="shared" ca="1" si="451"/>
        <v>0</v>
      </c>
      <c r="EX217" s="88">
        <f t="shared" ca="1" si="451"/>
        <v>0</v>
      </c>
      <c r="EY217" s="88">
        <f t="shared" ca="1" si="451"/>
        <v>0</v>
      </c>
      <c r="EZ217" s="88">
        <f t="shared" ca="1" si="451"/>
        <v>0</v>
      </c>
      <c r="FA217" s="88">
        <f t="shared" ca="1" si="451"/>
        <v>0</v>
      </c>
      <c r="FB217" s="88">
        <f t="shared" ca="1" si="451"/>
        <v>0</v>
      </c>
      <c r="FC217" s="88">
        <f t="shared" ca="1" si="451"/>
        <v>0</v>
      </c>
      <c r="FD217" s="88">
        <f t="shared" ca="1" si="451"/>
        <v>0</v>
      </c>
      <c r="FE217" s="88">
        <f t="shared" ref="FE217:FN226" ca="1" si="452">IF(AND($H217&lt;=FE$8,$H217+$AK217&gt;FE$8),IF(AND($H217+$AL217&lt;=FE$8,$AL217&gt;0),$AD217,$Z217),0)</f>
        <v>0</v>
      </c>
      <c r="FF217" s="88">
        <f t="shared" ca="1" si="452"/>
        <v>0</v>
      </c>
      <c r="FG217" s="88">
        <f t="shared" ca="1" si="452"/>
        <v>0</v>
      </c>
      <c r="FH217" s="88">
        <f t="shared" ca="1" si="452"/>
        <v>0</v>
      </c>
      <c r="FI217" s="88">
        <f t="shared" ca="1" si="452"/>
        <v>0</v>
      </c>
      <c r="FJ217" s="88">
        <f t="shared" ca="1" si="452"/>
        <v>0</v>
      </c>
      <c r="FK217" s="88">
        <f t="shared" ca="1" si="452"/>
        <v>0</v>
      </c>
      <c r="FL217" s="88">
        <f t="shared" ca="1" si="452"/>
        <v>0</v>
      </c>
      <c r="FM217" s="88">
        <f t="shared" ca="1" si="452"/>
        <v>0</v>
      </c>
      <c r="FN217" s="88">
        <f t="shared" ca="1" si="452"/>
        <v>0</v>
      </c>
      <c r="FO217" s="88">
        <f t="shared" ref="FO217:GC226" ca="1" si="453">IF(AND($H217&lt;=FO$8,$H217+$AK217&gt;FO$8),IF(AND($H217+$AL217&lt;=FO$8,$AL217&gt;0),$AD217,$Z217),0)</f>
        <v>0</v>
      </c>
      <c r="FP217" s="88">
        <f t="shared" ca="1" si="453"/>
        <v>0</v>
      </c>
      <c r="FQ217" s="88">
        <f t="shared" ca="1" si="453"/>
        <v>0</v>
      </c>
      <c r="FR217" s="88">
        <f t="shared" ca="1" si="453"/>
        <v>0</v>
      </c>
      <c r="FS217" s="88">
        <f t="shared" ca="1" si="453"/>
        <v>0</v>
      </c>
      <c r="FT217" s="88">
        <f t="shared" ca="1" si="453"/>
        <v>0</v>
      </c>
      <c r="FU217" s="88">
        <f t="shared" ca="1" si="453"/>
        <v>0</v>
      </c>
      <c r="FV217" s="88">
        <f t="shared" ca="1" si="453"/>
        <v>0</v>
      </c>
      <c r="FW217" s="88">
        <f t="shared" ca="1" si="453"/>
        <v>0</v>
      </c>
      <c r="FX217" s="88">
        <f t="shared" ca="1" si="453"/>
        <v>0</v>
      </c>
      <c r="FY217" s="88">
        <f t="shared" ca="1" si="453"/>
        <v>0</v>
      </c>
      <c r="FZ217" s="88">
        <f t="shared" ca="1" si="453"/>
        <v>0</v>
      </c>
      <c r="GA217" s="88">
        <f t="shared" ca="1" si="453"/>
        <v>0</v>
      </c>
      <c r="GB217" s="88">
        <f t="shared" ca="1" si="453"/>
        <v>0</v>
      </c>
      <c r="GC217" s="88">
        <f t="shared" ca="1" si="453"/>
        <v>0</v>
      </c>
      <c r="GD217" s="60"/>
    </row>
    <row r="218" spans="1:186" s="54" customFormat="1" ht="14.45" customHeight="1">
      <c r="A218" s="61"/>
      <c r="B218" s="100" t="str">
        <f t="shared" si="418"/>
        <v>Residential_Whole House Efficiency_0_LED_2019</v>
      </c>
      <c r="C218" s="100">
        <f>INDEX('Measure Inputs'!$D:$D,MATCH($B218,'Measure Inputs'!$B:$B,0))</f>
        <v>170</v>
      </c>
      <c r="D218" s="101" t="s">
        <v>2</v>
      </c>
      <c r="E218" s="101" t="s">
        <v>219</v>
      </c>
      <c r="F218" s="101">
        <v>0</v>
      </c>
      <c r="G218" s="101" t="s">
        <v>216</v>
      </c>
      <c r="H218" s="101">
        <v>2019</v>
      </c>
      <c r="I218" s="55"/>
      <c r="J218" s="58" t="str">
        <f t="shared" ca="1" si="229"/>
        <v>n/a</v>
      </c>
      <c r="K218" s="58" t="str">
        <f t="shared" ca="1" si="246"/>
        <v>n/a</v>
      </c>
      <c r="L218" s="58" t="str">
        <f t="shared" ca="1" si="230"/>
        <v>n/a</v>
      </c>
      <c r="M218" s="58" t="str">
        <f t="shared" ca="1" si="231"/>
        <v>n/a</v>
      </c>
      <c r="N218" s="58">
        <f t="shared" ca="1" si="232"/>
        <v>0.26866943777996122</v>
      </c>
      <c r="O218" s="55"/>
      <c r="P218" s="175">
        <f ca="1">IFERROR(($AW218+AV218)/SUMPRODUCT($CA218:$DI218,'General Inputs'!$F$51:$AN$51),"n/a")</f>
        <v>0</v>
      </c>
      <c r="Q218" s="175">
        <f t="shared" ca="1" si="386"/>
        <v>0</v>
      </c>
      <c r="R218" s="56">
        <f t="shared" ca="1" si="441"/>
        <v>48.700450259999997</v>
      </c>
      <c r="S218" s="55"/>
      <c r="T218" s="56">
        <f ca="1">INDEX(OFFSET('Measure Inputs'!$L$7,,,InputRows),$C218)</f>
        <v>150</v>
      </c>
      <c r="U218" s="134">
        <f ca="1">INDEX(OFFSET('Measure Inputs'!$T$7,,,InputRows),$C218)</f>
        <v>1</v>
      </c>
      <c r="V218" s="134">
        <f ca="1">INDEX(OFFSET('Measure Inputs'!$U$7,,,InputRows),$C218)</f>
        <v>1</v>
      </c>
      <c r="W218" s="55"/>
      <c r="X218" s="96">
        <f ca="1">INDEX(OFFSET('Measure Inputs'!$V$7,,,InputRows),$C218)*$T218*$V218*$U218</f>
        <v>4870.0450259999998</v>
      </c>
      <c r="Y218" s="96">
        <f ca="1">INDEX(OFFSET('Measure Inputs'!$W$7,,,InputRows),$C218)*$T218*$V218*$U218</f>
        <v>0.42748908299999994</v>
      </c>
      <c r="Z218" s="96">
        <f ca="1">INDEX(OFFSET('Measure Inputs'!$X$7,,,InputRows),$C218)*$T218*$V218*$U218</f>
        <v>0</v>
      </c>
      <c r="AA218" s="55"/>
      <c r="AB218" s="96">
        <f ca="1">INDEX(OFFSET('Measure Inputs'!$Z$7,,,InputRows),$C218)*$T218*$V218*$U218</f>
        <v>0</v>
      </c>
      <c r="AC218" s="96">
        <f ca="1">INDEX(OFFSET('Measure Inputs'!$AA$7,,,InputRows),$C218)*$T218*$V218*$U218</f>
        <v>0</v>
      </c>
      <c r="AD218" s="96">
        <f ca="1">INDEX(OFFSET('Measure Inputs'!$AB$7,,,InputRows),$C218)*$T218*$V218*$U218</f>
        <v>0</v>
      </c>
      <c r="AE218" s="55"/>
      <c r="AF218" s="57">
        <f ca="1">INDEX(OFFSET('Measure Inputs'!$Q$7,,,InputRows),$C218)*$T218</f>
        <v>0</v>
      </c>
      <c r="AG218" s="57">
        <f ca="1">INDEX(OFFSET('Measure Inputs'!$P$7,,,InputRows),$C218)*$T218*$V218</f>
        <v>0</v>
      </c>
      <c r="AH218" s="57">
        <f ca="1">INDEX(OFFSET('Measure Inputs'!$R$7,,,InputRows),$C218)*$T218*$V218</f>
        <v>0</v>
      </c>
      <c r="AI218" s="57">
        <f ca="1">INDEX(OFFSET('Measure Inputs'!$O$7,,,InputRows),$C218)*$T218</f>
        <v>0</v>
      </c>
      <c r="AJ218" s="57">
        <f ca="1">INDEX(OFFSET('Measure Inputs'!$S$7,,,InputRows),$C218)*$T218</f>
        <v>0</v>
      </c>
      <c r="AK218" s="63">
        <f ca="1">INDEX(OFFSET('Measure Inputs'!$M$7,,,InputRows),$C218)</f>
        <v>10</v>
      </c>
      <c r="AL218" s="88">
        <f ca="1">INDEX(OFFSET('Measure Inputs'!$N$7,,,InputRows),$C218)</f>
        <v>0</v>
      </c>
      <c r="AM218" s="57">
        <f ca="1">SUMIFS(OFFSET('Program Inputs'!$N$5,,,TotalPrograms),OFFSET('Program Inputs'!$B$5,,,TotalPrograms),SUBSTITUTE($B218,"All","*"))+AF218</f>
        <v>0</v>
      </c>
      <c r="AN218" s="57">
        <f t="shared" ca="1" si="442"/>
        <v>0</v>
      </c>
      <c r="AO218" s="55"/>
      <c r="AP218" s="59">
        <f t="shared" ca="1" si="443"/>
        <v>968.19642635940932</v>
      </c>
      <c r="AQ218" s="59">
        <f t="shared" ca="1" si="444"/>
        <v>0</v>
      </c>
      <c r="AR218" s="59">
        <f ca="1">SUMPRODUCT($CA218:$DI218,'General Inputs'!$F$32:$AN$32,'General Inputs'!$F$51:$AN$51)/(1-Loss_ElectricEnergy)</f>
        <v>910.69749324370594</v>
      </c>
      <c r="AS218" s="59">
        <f ca="1">SUMPRODUCT($DK218:$ES218,'General Inputs'!$F$33:$AN$33,'General Inputs'!$F$51:$AN$51)/(1-Loss_ElectricDemand)</f>
        <v>57.498933115703323</v>
      </c>
      <c r="AT218" s="59">
        <f ca="1">SUMPRODUCT($EU218:$GC218,'General Inputs'!$F$34:$AN$34,'General Inputs'!$F$51:$AN$51)/(1-Loss_GasEnergy)</f>
        <v>0</v>
      </c>
      <c r="AU218" s="59">
        <f ca="1">INDEX('General Inputs'!$F$51:$AN$51,MATCH($H218,'General Inputs'!$F$50:$AN$50,0))*$AJ218</f>
        <v>0</v>
      </c>
      <c r="AV218" s="59">
        <f ca="1">INDEX('General Inputs'!$F$51:$AN$51,MATCH($H218,'General Inputs'!$F$50:$AN$50,0))*$AI218</f>
        <v>0</v>
      </c>
      <c r="AW218" s="59">
        <f ca="1">INDEX('General Inputs'!$F$51:$AN$51,MATCH($H218,'General Inputs'!$F$50:$AN$50,0))*$AM218</f>
        <v>0</v>
      </c>
      <c r="AX218" s="59">
        <f ca="1">SUM(INDEX('General Inputs'!$F$51:$AN$51,MATCH($H218,'General Inputs'!$F$50:$AN$50,0))*$AG218,INDEX('General Inputs'!$F$51:$AN$51,MATCH($H218+$AL218,'General Inputs'!$F$50:$AN$50,0))*-$AH218)</f>
        <v>0</v>
      </c>
      <c r="AY218" s="55"/>
      <c r="AZ218" s="59">
        <f ca="1">SUMPRODUCT($CA218:$DI218,'General Inputs'!$F$32:$AN$32,'General Inputs'!$F$52:$AN$52)/(1-Loss_ElectricEnergy)</f>
        <v>910.69749324370594</v>
      </c>
      <c r="BA218" s="59">
        <f ca="1">SUMPRODUCT($DK218:$ES218,'General Inputs'!$F$33:$AN$33,'General Inputs'!$F$52:$AN$52)/(1-Loss_ElectricDemand)</f>
        <v>57.498933115703323</v>
      </c>
      <c r="BB218" s="59">
        <f ca="1">SUMPRODUCT($EU218:$GC218,'General Inputs'!$F$34:$AN$34,'General Inputs'!$F$52:$AN$52)/(1-Loss_GasEnergy)</f>
        <v>0</v>
      </c>
      <c r="BC218" s="59">
        <f ca="1">INDEX('General Inputs'!$F$52:$AN$52,MATCH($H218,'General Inputs'!$F$50:$AN$50,0))*$AI218</f>
        <v>0</v>
      </c>
      <c r="BD218" s="59">
        <f ca="1">INDEX('General Inputs'!$F$52:$AN$52,MATCH($H218,'General Inputs'!$F$50:$AN$50,0))*$AM218</f>
        <v>0</v>
      </c>
      <c r="BE218" s="55"/>
      <c r="BF218" s="59">
        <f ca="1">SUMPRODUCT($CA218:$DI218,OFFSET('General Inputs'!$F$40:$AN$40,MATCH($D218&amp;" Electric ($/kWh)",'General Inputs'!$E$40:$E$46,0),),'General Inputs'!$F$54:$AN$54)</f>
        <v>3603.671613562376</v>
      </c>
      <c r="BG218" s="59">
        <f ca="1">SUMPRODUCT($EU218:$GC218,OFFSET('General Inputs'!$F$40:$AN$40,MATCH($D218&amp;" Natural Gas ($/therm)",'General Inputs'!$E$40:$E$46,0),),'General Inputs'!$F$54:$AN$54)</f>
        <v>0</v>
      </c>
      <c r="BH218" s="59">
        <f ca="1">INDEX('General Inputs'!$F$54:$AN$54,MATCH($H218,'General Inputs'!$F$50:$AN$50,0))*$AI218</f>
        <v>0</v>
      </c>
      <c r="BI218" s="59">
        <f ca="1">SUM(INDEX('General Inputs'!$F$54:$AN$54,MATCH($H218,'General Inputs'!$F$50:$AN$50,0))*$AG218,INDEX('General Inputs'!$F$51:$AN$51,MATCH($H218+$AL218,'General Inputs'!$F$50:$AN$50,0))*-$AH218)</f>
        <v>0</v>
      </c>
      <c r="BJ218" s="55"/>
      <c r="BK218" s="59">
        <f ca="1">SUMPRODUCT($CA218:$DI218,'General Inputs'!$F$32:$AN$32,'General Inputs'!$F$53:$AN$53)/(1-Loss_ElectricEnergy)</f>
        <v>910.69749324370594</v>
      </c>
      <c r="BL218" s="59">
        <f ca="1">SUMPRODUCT($DK218:$ES218,'General Inputs'!$F$33:$AN$33,'General Inputs'!$F$53:$AN$53)/(1-Loss_ElectricDemand)</f>
        <v>57.498933115703323</v>
      </c>
      <c r="BM218" s="59">
        <f ca="1">SUMPRODUCT($EU218:$GC218,'General Inputs'!$F$34:$AN$34,'General Inputs'!$F$53:$AN$53)/(1-Loss_GasEnergy)</f>
        <v>0</v>
      </c>
      <c r="BN218" s="59">
        <f ca="1">INDEX('General Inputs'!$F$53:$AN$53,MATCH($H218,'General Inputs'!$F$50:$AN$50,0))*$AJ218</f>
        <v>0</v>
      </c>
      <c r="BO218" s="59">
        <f ca="1">SUMPRODUCT($CA218:$DI218,'General Inputs'!$F$35:$AN$35,'General Inputs'!$F$53:$AN$53)/(1-Loss_ElectricEnergy)</f>
        <v>345.93736819582898</v>
      </c>
      <c r="BP218" s="59">
        <f ca="1">INDEX('General Inputs'!$F$51:$AN$51,MATCH($H218,'General Inputs'!$F$50:$AN$50,0))*$AM218</f>
        <v>0</v>
      </c>
      <c r="BQ218" s="59">
        <f ca="1">SUM(INDEX('General Inputs'!$F$53:$AN$53,MATCH($H218,'General Inputs'!$F$50:$AN$50,0))*$AG218,INDEX('General Inputs'!$F$53:$AN$53,MATCH($H218+$AL218,'General Inputs'!$F$50:$AN$50,0))*-$AH218)</f>
        <v>0</v>
      </c>
      <c r="BR218" s="55"/>
      <c r="BS218" s="59">
        <f ca="1">SUMPRODUCT($CA218:$DI218,'General Inputs'!$F$32:$AN$32,'General Inputs'!$F$55:$AN$55)/(1-Loss_ElectricEnergy)</f>
        <v>910.69749324370594</v>
      </c>
      <c r="BT218" s="59">
        <f ca="1">SUMPRODUCT($DK218:$ES218,'General Inputs'!$F$33:$AN$33,'General Inputs'!$F$55:$AN$55)/(1-Loss_ElectricDemand)</f>
        <v>57.498933115703323</v>
      </c>
      <c r="BU218" s="59">
        <f ca="1">SUMPRODUCT($EU218:$GC218,'General Inputs'!$F$34:$AN$34,'General Inputs'!$F$55:$AN$55)/(1-Loss_GasEnergy)</f>
        <v>0</v>
      </c>
      <c r="BV218" s="59">
        <f ca="1">SUMPRODUCT($CA218:$DI218,OFFSET('General Inputs'!$F$40:$AN$40,MATCH($D218&amp;" Electric ($/kWh)",'General Inputs'!$E$40:$E$46,0),),'General Inputs'!$F$55:$AN$55)</f>
        <v>3603.671613562376</v>
      </c>
      <c r="BW218" s="59">
        <f ca="1">SUMPRODUCT($EU218:$GC218,OFFSET('General Inputs'!$F$40:$AN$40,MATCH($D218&amp;" Natural Gas ($/therm)",'General Inputs'!$E$40:$E$46,0),),'General Inputs'!$F$55:$AN$55)</f>
        <v>0</v>
      </c>
      <c r="BX218" s="59">
        <f ca="1">INDEX('General Inputs'!$F$55:$AN$55,MATCH($H218,'General Inputs'!$F$50:$AN$50,0))*$AI218</f>
        <v>0</v>
      </c>
      <c r="BY218" s="59">
        <f ca="1">INDEX('General Inputs'!$F$51:$AN$51,MATCH($H218,'General Inputs'!$F$50:$AN$50,0))*$AM218</f>
        <v>0</v>
      </c>
      <c r="BZ218" s="55"/>
      <c r="CA218" s="88">
        <f t="shared" ca="1" si="445"/>
        <v>0</v>
      </c>
      <c r="CB218" s="88">
        <f t="shared" ca="1" si="445"/>
        <v>0</v>
      </c>
      <c r="CC218" s="88">
        <f t="shared" ca="1" si="445"/>
        <v>4870.0450259999998</v>
      </c>
      <c r="CD218" s="88">
        <f t="shared" ca="1" si="445"/>
        <v>4870.0450259999998</v>
      </c>
      <c r="CE218" s="88">
        <f t="shared" ca="1" si="445"/>
        <v>4870.0450259999998</v>
      </c>
      <c r="CF218" s="88">
        <f t="shared" ca="1" si="445"/>
        <v>4870.0450259999998</v>
      </c>
      <c r="CG218" s="88">
        <f t="shared" ca="1" si="445"/>
        <v>4870.0450259999998</v>
      </c>
      <c r="CH218" s="88">
        <f t="shared" ca="1" si="445"/>
        <v>4870.0450259999998</v>
      </c>
      <c r="CI218" s="88">
        <f t="shared" ca="1" si="445"/>
        <v>4870.0450259999998</v>
      </c>
      <c r="CJ218" s="88">
        <f t="shared" ca="1" si="445"/>
        <v>4870.0450259999998</v>
      </c>
      <c r="CK218" s="88">
        <f t="shared" ca="1" si="446"/>
        <v>4870.0450259999998</v>
      </c>
      <c r="CL218" s="88">
        <f t="shared" ca="1" si="446"/>
        <v>4870.0450259999998</v>
      </c>
      <c r="CM218" s="88">
        <f t="shared" ca="1" si="446"/>
        <v>0</v>
      </c>
      <c r="CN218" s="88">
        <f t="shared" ca="1" si="446"/>
        <v>0</v>
      </c>
      <c r="CO218" s="88">
        <f t="shared" ca="1" si="446"/>
        <v>0</v>
      </c>
      <c r="CP218" s="88">
        <f t="shared" ca="1" si="446"/>
        <v>0</v>
      </c>
      <c r="CQ218" s="88">
        <f t="shared" ca="1" si="446"/>
        <v>0</v>
      </c>
      <c r="CR218" s="88">
        <f t="shared" ca="1" si="446"/>
        <v>0</v>
      </c>
      <c r="CS218" s="88">
        <f t="shared" ca="1" si="446"/>
        <v>0</v>
      </c>
      <c r="CT218" s="88">
        <f t="shared" ca="1" si="446"/>
        <v>0</v>
      </c>
      <c r="CU218" s="88">
        <f t="shared" ca="1" si="447"/>
        <v>0</v>
      </c>
      <c r="CV218" s="88">
        <f t="shared" ca="1" si="447"/>
        <v>0</v>
      </c>
      <c r="CW218" s="88">
        <f t="shared" ca="1" si="447"/>
        <v>0</v>
      </c>
      <c r="CX218" s="88">
        <f t="shared" ca="1" si="447"/>
        <v>0</v>
      </c>
      <c r="CY218" s="88">
        <f t="shared" ca="1" si="447"/>
        <v>0</v>
      </c>
      <c r="CZ218" s="88">
        <f t="shared" ca="1" si="447"/>
        <v>0</v>
      </c>
      <c r="DA218" s="88">
        <f t="shared" ca="1" si="447"/>
        <v>0</v>
      </c>
      <c r="DB218" s="88">
        <f t="shared" ca="1" si="447"/>
        <v>0</v>
      </c>
      <c r="DC218" s="88">
        <f t="shared" ca="1" si="447"/>
        <v>0</v>
      </c>
      <c r="DD218" s="88">
        <f t="shared" ca="1" si="447"/>
        <v>0</v>
      </c>
      <c r="DE218" s="88">
        <f t="shared" ca="1" si="447"/>
        <v>0</v>
      </c>
      <c r="DF218" s="88">
        <f t="shared" ca="1" si="447"/>
        <v>0</v>
      </c>
      <c r="DG218" s="88">
        <f t="shared" ca="1" si="447"/>
        <v>0</v>
      </c>
      <c r="DH218" s="88">
        <f t="shared" ca="1" si="447"/>
        <v>0</v>
      </c>
      <c r="DI218" s="88">
        <f t="shared" ca="1" si="447"/>
        <v>0</v>
      </c>
      <c r="DJ218" s="169"/>
      <c r="DK218" s="88">
        <f t="shared" ca="1" si="448"/>
        <v>0</v>
      </c>
      <c r="DL218" s="88">
        <f t="shared" ca="1" si="448"/>
        <v>0</v>
      </c>
      <c r="DM218" s="88">
        <f t="shared" ca="1" si="448"/>
        <v>0.42748908299999994</v>
      </c>
      <c r="DN218" s="88">
        <f t="shared" ca="1" si="448"/>
        <v>0.42748908299999994</v>
      </c>
      <c r="DO218" s="88">
        <f t="shared" ca="1" si="448"/>
        <v>0.42748908299999994</v>
      </c>
      <c r="DP218" s="88">
        <f t="shared" ca="1" si="448"/>
        <v>0.42748908299999994</v>
      </c>
      <c r="DQ218" s="88">
        <f t="shared" ca="1" si="448"/>
        <v>0.42748908299999994</v>
      </c>
      <c r="DR218" s="88">
        <f t="shared" ca="1" si="448"/>
        <v>0.42748908299999994</v>
      </c>
      <c r="DS218" s="88">
        <f t="shared" ca="1" si="448"/>
        <v>0.42748908299999994</v>
      </c>
      <c r="DT218" s="88">
        <f t="shared" ca="1" si="448"/>
        <v>0.42748908299999994</v>
      </c>
      <c r="DU218" s="88">
        <f t="shared" ca="1" si="449"/>
        <v>0.42748908299999994</v>
      </c>
      <c r="DV218" s="88">
        <f t="shared" ca="1" si="449"/>
        <v>0.42748908299999994</v>
      </c>
      <c r="DW218" s="88">
        <f t="shared" ca="1" si="449"/>
        <v>0</v>
      </c>
      <c r="DX218" s="88">
        <f t="shared" ca="1" si="449"/>
        <v>0</v>
      </c>
      <c r="DY218" s="88">
        <f t="shared" ca="1" si="449"/>
        <v>0</v>
      </c>
      <c r="DZ218" s="88">
        <f t="shared" ca="1" si="449"/>
        <v>0</v>
      </c>
      <c r="EA218" s="88">
        <f t="shared" ca="1" si="449"/>
        <v>0</v>
      </c>
      <c r="EB218" s="88">
        <f t="shared" ca="1" si="449"/>
        <v>0</v>
      </c>
      <c r="EC218" s="88">
        <f t="shared" ca="1" si="449"/>
        <v>0</v>
      </c>
      <c r="ED218" s="88">
        <f t="shared" ca="1" si="449"/>
        <v>0</v>
      </c>
      <c r="EE218" s="88">
        <f t="shared" ca="1" si="450"/>
        <v>0</v>
      </c>
      <c r="EF218" s="88">
        <f t="shared" ca="1" si="450"/>
        <v>0</v>
      </c>
      <c r="EG218" s="88">
        <f t="shared" ca="1" si="450"/>
        <v>0</v>
      </c>
      <c r="EH218" s="88">
        <f t="shared" ca="1" si="450"/>
        <v>0</v>
      </c>
      <c r="EI218" s="88">
        <f t="shared" ca="1" si="450"/>
        <v>0</v>
      </c>
      <c r="EJ218" s="88">
        <f t="shared" ca="1" si="450"/>
        <v>0</v>
      </c>
      <c r="EK218" s="88">
        <f t="shared" ca="1" si="450"/>
        <v>0</v>
      </c>
      <c r="EL218" s="88">
        <f t="shared" ca="1" si="450"/>
        <v>0</v>
      </c>
      <c r="EM218" s="88">
        <f t="shared" ca="1" si="450"/>
        <v>0</v>
      </c>
      <c r="EN218" s="88">
        <f t="shared" ca="1" si="450"/>
        <v>0</v>
      </c>
      <c r="EO218" s="88">
        <f t="shared" ca="1" si="450"/>
        <v>0</v>
      </c>
      <c r="EP218" s="88">
        <f t="shared" ca="1" si="450"/>
        <v>0</v>
      </c>
      <c r="EQ218" s="88">
        <f t="shared" ca="1" si="450"/>
        <v>0</v>
      </c>
      <c r="ER218" s="88">
        <f t="shared" ca="1" si="450"/>
        <v>0</v>
      </c>
      <c r="ES218" s="88">
        <f t="shared" ca="1" si="450"/>
        <v>0</v>
      </c>
      <c r="ET218" s="169"/>
      <c r="EU218" s="88">
        <f t="shared" ca="1" si="451"/>
        <v>0</v>
      </c>
      <c r="EV218" s="88">
        <f t="shared" ca="1" si="451"/>
        <v>0</v>
      </c>
      <c r="EW218" s="88">
        <f t="shared" ca="1" si="451"/>
        <v>0</v>
      </c>
      <c r="EX218" s="88">
        <f t="shared" ca="1" si="451"/>
        <v>0</v>
      </c>
      <c r="EY218" s="88">
        <f t="shared" ca="1" si="451"/>
        <v>0</v>
      </c>
      <c r="EZ218" s="88">
        <f t="shared" ca="1" si="451"/>
        <v>0</v>
      </c>
      <c r="FA218" s="88">
        <f t="shared" ca="1" si="451"/>
        <v>0</v>
      </c>
      <c r="FB218" s="88">
        <f t="shared" ca="1" si="451"/>
        <v>0</v>
      </c>
      <c r="FC218" s="88">
        <f t="shared" ca="1" si="451"/>
        <v>0</v>
      </c>
      <c r="FD218" s="88">
        <f t="shared" ca="1" si="451"/>
        <v>0</v>
      </c>
      <c r="FE218" s="88">
        <f t="shared" ca="1" si="452"/>
        <v>0</v>
      </c>
      <c r="FF218" s="88">
        <f t="shared" ca="1" si="452"/>
        <v>0</v>
      </c>
      <c r="FG218" s="88">
        <f t="shared" ca="1" si="452"/>
        <v>0</v>
      </c>
      <c r="FH218" s="88">
        <f t="shared" ca="1" si="452"/>
        <v>0</v>
      </c>
      <c r="FI218" s="88">
        <f t="shared" ca="1" si="452"/>
        <v>0</v>
      </c>
      <c r="FJ218" s="88">
        <f t="shared" ca="1" si="452"/>
        <v>0</v>
      </c>
      <c r="FK218" s="88">
        <f t="shared" ca="1" si="452"/>
        <v>0</v>
      </c>
      <c r="FL218" s="88">
        <f t="shared" ca="1" si="452"/>
        <v>0</v>
      </c>
      <c r="FM218" s="88">
        <f t="shared" ca="1" si="452"/>
        <v>0</v>
      </c>
      <c r="FN218" s="88">
        <f t="shared" ca="1" si="452"/>
        <v>0</v>
      </c>
      <c r="FO218" s="88">
        <f t="shared" ca="1" si="453"/>
        <v>0</v>
      </c>
      <c r="FP218" s="88">
        <f t="shared" ca="1" si="453"/>
        <v>0</v>
      </c>
      <c r="FQ218" s="88">
        <f t="shared" ca="1" si="453"/>
        <v>0</v>
      </c>
      <c r="FR218" s="88">
        <f t="shared" ca="1" si="453"/>
        <v>0</v>
      </c>
      <c r="FS218" s="88">
        <f t="shared" ca="1" si="453"/>
        <v>0</v>
      </c>
      <c r="FT218" s="88">
        <f t="shared" ca="1" si="453"/>
        <v>0</v>
      </c>
      <c r="FU218" s="88">
        <f t="shared" ca="1" si="453"/>
        <v>0</v>
      </c>
      <c r="FV218" s="88">
        <f t="shared" ca="1" si="453"/>
        <v>0</v>
      </c>
      <c r="FW218" s="88">
        <f t="shared" ca="1" si="453"/>
        <v>0</v>
      </c>
      <c r="FX218" s="88">
        <f t="shared" ca="1" si="453"/>
        <v>0</v>
      </c>
      <c r="FY218" s="88">
        <f t="shared" ca="1" si="453"/>
        <v>0</v>
      </c>
      <c r="FZ218" s="88">
        <f t="shared" ca="1" si="453"/>
        <v>0</v>
      </c>
      <c r="GA218" s="88">
        <f t="shared" ca="1" si="453"/>
        <v>0</v>
      </c>
      <c r="GB218" s="88">
        <f t="shared" ca="1" si="453"/>
        <v>0</v>
      </c>
      <c r="GC218" s="88">
        <f t="shared" ca="1" si="453"/>
        <v>0</v>
      </c>
      <c r="GD218" s="60"/>
    </row>
    <row r="219" spans="1:186" s="54" customFormat="1" ht="14.45" customHeight="1">
      <c r="A219" s="61"/>
      <c r="B219" s="100" t="str">
        <f t="shared" si="418"/>
        <v>Residential_Whole House Efficiency_0_Faucet Aerator_2019</v>
      </c>
      <c r="C219" s="100">
        <f>INDEX('Measure Inputs'!$D:$D,MATCH($B219,'Measure Inputs'!$B:$B,0))</f>
        <v>171</v>
      </c>
      <c r="D219" s="101" t="s">
        <v>2</v>
      </c>
      <c r="E219" s="101" t="s">
        <v>219</v>
      </c>
      <c r="F219" s="101">
        <v>0</v>
      </c>
      <c r="G219" s="29" t="s">
        <v>525</v>
      </c>
      <c r="H219" s="101">
        <v>2019</v>
      </c>
      <c r="I219" s="55"/>
      <c r="J219" s="58" t="str">
        <f t="shared" ca="1" si="229"/>
        <v>n/a</v>
      </c>
      <c r="K219" s="58" t="str">
        <f t="shared" ca="1" si="246"/>
        <v>n/a</v>
      </c>
      <c r="L219" s="58" t="str">
        <f t="shared" ca="1" si="230"/>
        <v>n/a</v>
      </c>
      <c r="M219" s="58" t="str">
        <f t="shared" ca="1" si="231"/>
        <v>n/a</v>
      </c>
      <c r="N219" s="58">
        <f t="shared" ca="1" si="232"/>
        <v>0.32961653368545429</v>
      </c>
      <c r="O219" s="55"/>
      <c r="P219" s="175">
        <f ca="1">IFERROR(($AW219+AV219)/SUMPRODUCT($CA219:$DI219,'General Inputs'!$F$51:$AN$51),"n/a")</f>
        <v>0</v>
      </c>
      <c r="Q219" s="175">
        <f t="shared" ca="1" si="386"/>
        <v>0</v>
      </c>
      <c r="R219" s="56">
        <f t="shared" ca="1" si="441"/>
        <v>37.043314784348901</v>
      </c>
      <c r="S219" s="55"/>
      <c r="T219" s="56">
        <f ca="1">INDEX(OFFSET('Measure Inputs'!$L$7,,,InputRows),$C219)</f>
        <v>60</v>
      </c>
      <c r="U219" s="134">
        <f ca="1">INDEX(OFFSET('Measure Inputs'!$T$7,,,InputRows),$C219)</f>
        <v>1</v>
      </c>
      <c r="V219" s="134">
        <f ca="1">INDEX(OFFSET('Measure Inputs'!$U$7,,,InputRows),$C219)</f>
        <v>1</v>
      </c>
      <c r="W219" s="55"/>
      <c r="X219" s="96">
        <f ca="1">INDEX(OFFSET('Measure Inputs'!$V$7,,,InputRows),$C219)*$T219*$V219*$U219</f>
        <v>4115.9238649276558</v>
      </c>
      <c r="Y219" s="96">
        <f ca="1">INDEX(OFFSET('Measure Inputs'!$W$7,,,InputRows),$C219)*$T219*$V219*$U219</f>
        <v>1.74135240439247</v>
      </c>
      <c r="Z219" s="96">
        <f ca="1">INDEX(OFFSET('Measure Inputs'!$X$7,,,InputRows),$C219)*$T219*$V219*$U219</f>
        <v>0</v>
      </c>
      <c r="AA219" s="55"/>
      <c r="AB219" s="96">
        <f ca="1">INDEX(OFFSET('Measure Inputs'!$Z$7,,,InputRows),$C219)*$T219*$V219*$U219</f>
        <v>0</v>
      </c>
      <c r="AC219" s="96">
        <f ca="1">INDEX(OFFSET('Measure Inputs'!$AA$7,,,InputRows),$C219)*$T219*$V219*$U219</f>
        <v>0</v>
      </c>
      <c r="AD219" s="96">
        <f ca="1">INDEX(OFFSET('Measure Inputs'!$AB$7,,,InputRows),$C219)*$T219*$V219*$U219</f>
        <v>0</v>
      </c>
      <c r="AE219" s="55"/>
      <c r="AF219" s="57">
        <f ca="1">INDEX(OFFSET('Measure Inputs'!$Q$7,,,InputRows),$C219)*$T219</f>
        <v>0</v>
      </c>
      <c r="AG219" s="57">
        <f ca="1">INDEX(OFFSET('Measure Inputs'!$P$7,,,InputRows),$C219)*$T219*$V219</f>
        <v>0</v>
      </c>
      <c r="AH219" s="57">
        <f ca="1">INDEX(OFFSET('Measure Inputs'!$R$7,,,InputRows),$C219)*$T219*$V219</f>
        <v>0</v>
      </c>
      <c r="AI219" s="57">
        <f ca="1">INDEX(OFFSET('Measure Inputs'!$O$7,,,InputRows),$C219)*$T219</f>
        <v>0</v>
      </c>
      <c r="AJ219" s="57">
        <f ca="1">INDEX(OFFSET('Measure Inputs'!$S$7,,,InputRows),$C219)*$T219</f>
        <v>0</v>
      </c>
      <c r="AK219" s="63">
        <f ca="1">INDEX(OFFSET('Measure Inputs'!$M$7,,,InputRows),$C219)</f>
        <v>9</v>
      </c>
      <c r="AL219" s="88">
        <f ca="1">INDEX(OFFSET('Measure Inputs'!$N$7,,,InputRows),$C219)</f>
        <v>0</v>
      </c>
      <c r="AM219" s="57">
        <f ca="1">SUMIFS(OFFSET('Program Inputs'!$N$5,,,TotalPrograms),OFFSET('Program Inputs'!$B$5,,,TotalPrograms),SUBSTITUTE($B219,"All","*"))+AF219</f>
        <v>0</v>
      </c>
      <c r="AN219" s="57">
        <f t="shared" ca="1" si="442"/>
        <v>0</v>
      </c>
      <c r="AO219" s="55"/>
      <c r="AP219" s="59">
        <f t="shared" ca="1" si="443"/>
        <v>932.02690627355003</v>
      </c>
      <c r="AQ219" s="59">
        <f t="shared" ca="1" si="444"/>
        <v>0</v>
      </c>
      <c r="AR219" s="59">
        <f ca="1">SUMPRODUCT($CA219:$DI219,'General Inputs'!$F$32:$AN$32,'General Inputs'!$F$51:$AN$51)/(1-Loss_ElectricEnergy)</f>
        <v>714.57594842864762</v>
      </c>
      <c r="AS219" s="59">
        <f ca="1">SUMPRODUCT($DK219:$ES219,'General Inputs'!$F$33:$AN$33,'General Inputs'!$F$51:$AN$51)/(1-Loss_ElectricDemand)</f>
        <v>217.45095784490238</v>
      </c>
      <c r="AT219" s="59">
        <f ca="1">SUMPRODUCT($EU219:$GC219,'General Inputs'!$F$34:$AN$34,'General Inputs'!$F$51:$AN$51)/(1-Loss_GasEnergy)</f>
        <v>0</v>
      </c>
      <c r="AU219" s="59">
        <f ca="1">INDEX('General Inputs'!$F$51:$AN$51,MATCH($H219,'General Inputs'!$F$50:$AN$50,0))*$AJ219</f>
        <v>0</v>
      </c>
      <c r="AV219" s="59">
        <f ca="1">INDEX('General Inputs'!$F$51:$AN$51,MATCH($H219,'General Inputs'!$F$50:$AN$50,0))*$AI219</f>
        <v>0</v>
      </c>
      <c r="AW219" s="59">
        <f ca="1">INDEX('General Inputs'!$F$51:$AN$51,MATCH($H219,'General Inputs'!$F$50:$AN$50,0))*$AM219</f>
        <v>0</v>
      </c>
      <c r="AX219" s="59">
        <f ca="1">SUM(INDEX('General Inputs'!$F$51:$AN$51,MATCH($H219,'General Inputs'!$F$50:$AN$50,0))*$AG219,INDEX('General Inputs'!$F$51:$AN$51,MATCH($H219+$AL219,'General Inputs'!$F$50:$AN$50,0))*-$AH219)</f>
        <v>0</v>
      </c>
      <c r="AY219" s="55"/>
      <c r="AZ219" s="59">
        <f ca="1">SUMPRODUCT($CA219:$DI219,'General Inputs'!$F$32:$AN$32,'General Inputs'!$F$52:$AN$52)/(1-Loss_ElectricEnergy)</f>
        <v>714.57594842864762</v>
      </c>
      <c r="BA219" s="59">
        <f ca="1">SUMPRODUCT($DK219:$ES219,'General Inputs'!$F$33:$AN$33,'General Inputs'!$F$52:$AN$52)/(1-Loss_ElectricDemand)</f>
        <v>217.45095784490238</v>
      </c>
      <c r="BB219" s="59">
        <f ca="1">SUMPRODUCT($EU219:$GC219,'General Inputs'!$F$34:$AN$34,'General Inputs'!$F$52:$AN$52)/(1-Loss_GasEnergy)</f>
        <v>0</v>
      </c>
      <c r="BC219" s="59">
        <f ca="1">INDEX('General Inputs'!$F$52:$AN$52,MATCH($H219,'General Inputs'!$F$50:$AN$50,0))*$AI219</f>
        <v>0</v>
      </c>
      <c r="BD219" s="59">
        <f ca="1">INDEX('General Inputs'!$F$52:$AN$52,MATCH($H219,'General Inputs'!$F$50:$AN$50,0))*$AM219</f>
        <v>0</v>
      </c>
      <c r="BE219" s="55"/>
      <c r="BF219" s="59">
        <f ca="1">SUMPRODUCT($CA219:$DI219,OFFSET('General Inputs'!$F$40:$AN$40,MATCH($D219&amp;" Electric ($/kWh)",'General Inputs'!$E$40:$E$46,0),),'General Inputs'!$F$54:$AN$54)</f>
        <v>2827.6096949765347</v>
      </c>
      <c r="BG219" s="59">
        <f ca="1">SUMPRODUCT($EU219:$GC219,OFFSET('General Inputs'!$F$40:$AN$40,MATCH($D219&amp;" Natural Gas ($/therm)",'General Inputs'!$E$40:$E$46,0),),'General Inputs'!$F$54:$AN$54)</f>
        <v>0</v>
      </c>
      <c r="BH219" s="59">
        <f ca="1">INDEX('General Inputs'!$F$54:$AN$54,MATCH($H219,'General Inputs'!$F$50:$AN$50,0))*$AI219</f>
        <v>0</v>
      </c>
      <c r="BI219" s="59">
        <f ca="1">SUM(INDEX('General Inputs'!$F$54:$AN$54,MATCH($H219,'General Inputs'!$F$50:$AN$50,0))*$AG219,INDEX('General Inputs'!$F$51:$AN$51,MATCH($H219+$AL219,'General Inputs'!$F$50:$AN$50,0))*-$AH219)</f>
        <v>0</v>
      </c>
      <c r="BJ219" s="55"/>
      <c r="BK219" s="59">
        <f ca="1">SUMPRODUCT($CA219:$DI219,'General Inputs'!$F$32:$AN$32,'General Inputs'!$F$53:$AN$53)/(1-Loss_ElectricEnergy)</f>
        <v>714.57594842864762</v>
      </c>
      <c r="BL219" s="59">
        <f ca="1">SUMPRODUCT($DK219:$ES219,'General Inputs'!$F$33:$AN$33,'General Inputs'!$F$53:$AN$53)/(1-Loss_ElectricDemand)</f>
        <v>217.45095784490238</v>
      </c>
      <c r="BM219" s="59">
        <f ca="1">SUMPRODUCT($EU219:$GC219,'General Inputs'!$F$34:$AN$34,'General Inputs'!$F$53:$AN$53)/(1-Loss_GasEnergy)</f>
        <v>0</v>
      </c>
      <c r="BN219" s="59">
        <f ca="1">INDEX('General Inputs'!$F$53:$AN$53,MATCH($H219,'General Inputs'!$F$50:$AN$50,0))*$AJ219</f>
        <v>0</v>
      </c>
      <c r="BO219" s="59">
        <f ca="1">SUMPRODUCT($CA219:$DI219,'General Inputs'!$F$35:$AN$35,'General Inputs'!$F$53:$AN$53)/(1-Loss_ElectricEnergy)</f>
        <v>272.97811125195659</v>
      </c>
      <c r="BP219" s="59">
        <f ca="1">INDEX('General Inputs'!$F$51:$AN$51,MATCH($H219,'General Inputs'!$F$50:$AN$50,0))*$AM219</f>
        <v>0</v>
      </c>
      <c r="BQ219" s="59">
        <f ca="1">SUM(INDEX('General Inputs'!$F$53:$AN$53,MATCH($H219,'General Inputs'!$F$50:$AN$50,0))*$AG219,INDEX('General Inputs'!$F$53:$AN$53,MATCH($H219+$AL219,'General Inputs'!$F$50:$AN$50,0))*-$AH219)</f>
        <v>0</v>
      </c>
      <c r="BR219" s="55"/>
      <c r="BS219" s="59">
        <f ca="1">SUMPRODUCT($CA219:$DI219,'General Inputs'!$F$32:$AN$32,'General Inputs'!$F$55:$AN$55)/(1-Loss_ElectricEnergy)</f>
        <v>714.57594842864762</v>
      </c>
      <c r="BT219" s="59">
        <f ca="1">SUMPRODUCT($DK219:$ES219,'General Inputs'!$F$33:$AN$33,'General Inputs'!$F$55:$AN$55)/(1-Loss_ElectricDemand)</f>
        <v>217.45095784490238</v>
      </c>
      <c r="BU219" s="59">
        <f ca="1">SUMPRODUCT($EU219:$GC219,'General Inputs'!$F$34:$AN$34,'General Inputs'!$F$55:$AN$55)/(1-Loss_GasEnergy)</f>
        <v>0</v>
      </c>
      <c r="BV219" s="59">
        <f ca="1">SUMPRODUCT($CA219:$DI219,OFFSET('General Inputs'!$F$40:$AN$40,MATCH($D219&amp;" Electric ($/kWh)",'General Inputs'!$E$40:$E$46,0),),'General Inputs'!$F$55:$AN$55)</f>
        <v>2827.6096949765347</v>
      </c>
      <c r="BW219" s="59">
        <f ca="1">SUMPRODUCT($EU219:$GC219,OFFSET('General Inputs'!$F$40:$AN$40,MATCH($D219&amp;" Natural Gas ($/therm)",'General Inputs'!$E$40:$E$46,0),),'General Inputs'!$F$55:$AN$55)</f>
        <v>0</v>
      </c>
      <c r="BX219" s="59">
        <f ca="1">INDEX('General Inputs'!$F$55:$AN$55,MATCH($H219,'General Inputs'!$F$50:$AN$50,0))*$AI219</f>
        <v>0</v>
      </c>
      <c r="BY219" s="59">
        <f ca="1">INDEX('General Inputs'!$F$51:$AN$51,MATCH($H219,'General Inputs'!$F$50:$AN$50,0))*$AM219</f>
        <v>0</v>
      </c>
      <c r="BZ219" s="55"/>
      <c r="CA219" s="88">
        <f t="shared" ca="1" si="445"/>
        <v>0</v>
      </c>
      <c r="CB219" s="88">
        <f t="shared" ca="1" si="445"/>
        <v>0</v>
      </c>
      <c r="CC219" s="88">
        <f t="shared" ca="1" si="445"/>
        <v>4115.9238649276558</v>
      </c>
      <c r="CD219" s="88">
        <f t="shared" ca="1" si="445"/>
        <v>4115.9238649276558</v>
      </c>
      <c r="CE219" s="88">
        <f t="shared" ca="1" si="445"/>
        <v>4115.9238649276558</v>
      </c>
      <c r="CF219" s="88">
        <f t="shared" ca="1" si="445"/>
        <v>4115.9238649276558</v>
      </c>
      <c r="CG219" s="88">
        <f t="shared" ca="1" si="445"/>
        <v>4115.9238649276558</v>
      </c>
      <c r="CH219" s="88">
        <f t="shared" ca="1" si="445"/>
        <v>4115.9238649276558</v>
      </c>
      <c r="CI219" s="88">
        <f t="shared" ca="1" si="445"/>
        <v>4115.9238649276558</v>
      </c>
      <c r="CJ219" s="88">
        <f t="shared" ca="1" si="445"/>
        <v>4115.9238649276558</v>
      </c>
      <c r="CK219" s="88">
        <f t="shared" ca="1" si="446"/>
        <v>4115.9238649276558</v>
      </c>
      <c r="CL219" s="88">
        <f t="shared" ca="1" si="446"/>
        <v>0</v>
      </c>
      <c r="CM219" s="88">
        <f t="shared" ca="1" si="446"/>
        <v>0</v>
      </c>
      <c r="CN219" s="88">
        <f t="shared" ca="1" si="446"/>
        <v>0</v>
      </c>
      <c r="CO219" s="88">
        <f t="shared" ca="1" si="446"/>
        <v>0</v>
      </c>
      <c r="CP219" s="88">
        <f t="shared" ca="1" si="446"/>
        <v>0</v>
      </c>
      <c r="CQ219" s="88">
        <f t="shared" ca="1" si="446"/>
        <v>0</v>
      </c>
      <c r="CR219" s="88">
        <f t="shared" ca="1" si="446"/>
        <v>0</v>
      </c>
      <c r="CS219" s="88">
        <f t="shared" ca="1" si="446"/>
        <v>0</v>
      </c>
      <c r="CT219" s="88">
        <f t="shared" ca="1" si="446"/>
        <v>0</v>
      </c>
      <c r="CU219" s="88">
        <f t="shared" ca="1" si="447"/>
        <v>0</v>
      </c>
      <c r="CV219" s="88">
        <f t="shared" ca="1" si="447"/>
        <v>0</v>
      </c>
      <c r="CW219" s="88">
        <f t="shared" ca="1" si="447"/>
        <v>0</v>
      </c>
      <c r="CX219" s="88">
        <f t="shared" ca="1" si="447"/>
        <v>0</v>
      </c>
      <c r="CY219" s="88">
        <f t="shared" ca="1" si="447"/>
        <v>0</v>
      </c>
      <c r="CZ219" s="88">
        <f t="shared" ca="1" si="447"/>
        <v>0</v>
      </c>
      <c r="DA219" s="88">
        <f t="shared" ca="1" si="447"/>
        <v>0</v>
      </c>
      <c r="DB219" s="88">
        <f t="shared" ca="1" si="447"/>
        <v>0</v>
      </c>
      <c r="DC219" s="88">
        <f t="shared" ca="1" si="447"/>
        <v>0</v>
      </c>
      <c r="DD219" s="88">
        <f t="shared" ca="1" si="447"/>
        <v>0</v>
      </c>
      <c r="DE219" s="88">
        <f t="shared" ca="1" si="447"/>
        <v>0</v>
      </c>
      <c r="DF219" s="88">
        <f t="shared" ca="1" si="447"/>
        <v>0</v>
      </c>
      <c r="DG219" s="88">
        <f t="shared" ca="1" si="447"/>
        <v>0</v>
      </c>
      <c r="DH219" s="88">
        <f t="shared" ca="1" si="447"/>
        <v>0</v>
      </c>
      <c r="DI219" s="88">
        <f t="shared" ca="1" si="447"/>
        <v>0</v>
      </c>
      <c r="DJ219" s="169"/>
      <c r="DK219" s="88">
        <f t="shared" ca="1" si="448"/>
        <v>0</v>
      </c>
      <c r="DL219" s="88">
        <f t="shared" ca="1" si="448"/>
        <v>0</v>
      </c>
      <c r="DM219" s="88">
        <f t="shared" ca="1" si="448"/>
        <v>1.74135240439247</v>
      </c>
      <c r="DN219" s="88">
        <f t="shared" ca="1" si="448"/>
        <v>1.74135240439247</v>
      </c>
      <c r="DO219" s="88">
        <f t="shared" ca="1" si="448"/>
        <v>1.74135240439247</v>
      </c>
      <c r="DP219" s="88">
        <f t="shared" ca="1" si="448"/>
        <v>1.74135240439247</v>
      </c>
      <c r="DQ219" s="88">
        <f t="shared" ca="1" si="448"/>
        <v>1.74135240439247</v>
      </c>
      <c r="DR219" s="88">
        <f t="shared" ca="1" si="448"/>
        <v>1.74135240439247</v>
      </c>
      <c r="DS219" s="88">
        <f t="shared" ca="1" si="448"/>
        <v>1.74135240439247</v>
      </c>
      <c r="DT219" s="88">
        <f t="shared" ca="1" si="448"/>
        <v>1.74135240439247</v>
      </c>
      <c r="DU219" s="88">
        <f t="shared" ca="1" si="449"/>
        <v>1.74135240439247</v>
      </c>
      <c r="DV219" s="88">
        <f t="shared" ca="1" si="449"/>
        <v>0</v>
      </c>
      <c r="DW219" s="88">
        <f t="shared" ca="1" si="449"/>
        <v>0</v>
      </c>
      <c r="DX219" s="88">
        <f t="shared" ca="1" si="449"/>
        <v>0</v>
      </c>
      <c r="DY219" s="88">
        <f t="shared" ca="1" si="449"/>
        <v>0</v>
      </c>
      <c r="DZ219" s="88">
        <f t="shared" ca="1" si="449"/>
        <v>0</v>
      </c>
      <c r="EA219" s="88">
        <f t="shared" ca="1" si="449"/>
        <v>0</v>
      </c>
      <c r="EB219" s="88">
        <f t="shared" ca="1" si="449"/>
        <v>0</v>
      </c>
      <c r="EC219" s="88">
        <f t="shared" ca="1" si="449"/>
        <v>0</v>
      </c>
      <c r="ED219" s="88">
        <f t="shared" ca="1" si="449"/>
        <v>0</v>
      </c>
      <c r="EE219" s="88">
        <f t="shared" ca="1" si="450"/>
        <v>0</v>
      </c>
      <c r="EF219" s="88">
        <f t="shared" ca="1" si="450"/>
        <v>0</v>
      </c>
      <c r="EG219" s="88">
        <f t="shared" ca="1" si="450"/>
        <v>0</v>
      </c>
      <c r="EH219" s="88">
        <f t="shared" ca="1" si="450"/>
        <v>0</v>
      </c>
      <c r="EI219" s="88">
        <f t="shared" ca="1" si="450"/>
        <v>0</v>
      </c>
      <c r="EJ219" s="88">
        <f t="shared" ca="1" si="450"/>
        <v>0</v>
      </c>
      <c r="EK219" s="88">
        <f t="shared" ca="1" si="450"/>
        <v>0</v>
      </c>
      <c r="EL219" s="88">
        <f t="shared" ca="1" si="450"/>
        <v>0</v>
      </c>
      <c r="EM219" s="88">
        <f t="shared" ca="1" si="450"/>
        <v>0</v>
      </c>
      <c r="EN219" s="88">
        <f t="shared" ca="1" si="450"/>
        <v>0</v>
      </c>
      <c r="EO219" s="88">
        <f t="shared" ca="1" si="450"/>
        <v>0</v>
      </c>
      <c r="EP219" s="88">
        <f t="shared" ca="1" si="450"/>
        <v>0</v>
      </c>
      <c r="EQ219" s="88">
        <f t="shared" ca="1" si="450"/>
        <v>0</v>
      </c>
      <c r="ER219" s="88">
        <f t="shared" ca="1" si="450"/>
        <v>0</v>
      </c>
      <c r="ES219" s="88">
        <f t="shared" ca="1" si="450"/>
        <v>0</v>
      </c>
      <c r="ET219" s="169"/>
      <c r="EU219" s="88">
        <f t="shared" ca="1" si="451"/>
        <v>0</v>
      </c>
      <c r="EV219" s="88">
        <f t="shared" ca="1" si="451"/>
        <v>0</v>
      </c>
      <c r="EW219" s="88">
        <f t="shared" ca="1" si="451"/>
        <v>0</v>
      </c>
      <c r="EX219" s="88">
        <f t="shared" ca="1" si="451"/>
        <v>0</v>
      </c>
      <c r="EY219" s="88">
        <f t="shared" ca="1" si="451"/>
        <v>0</v>
      </c>
      <c r="EZ219" s="88">
        <f t="shared" ca="1" si="451"/>
        <v>0</v>
      </c>
      <c r="FA219" s="88">
        <f t="shared" ca="1" si="451"/>
        <v>0</v>
      </c>
      <c r="FB219" s="88">
        <f t="shared" ca="1" si="451"/>
        <v>0</v>
      </c>
      <c r="FC219" s="88">
        <f t="shared" ca="1" si="451"/>
        <v>0</v>
      </c>
      <c r="FD219" s="88">
        <f t="shared" ca="1" si="451"/>
        <v>0</v>
      </c>
      <c r="FE219" s="88">
        <f t="shared" ca="1" si="452"/>
        <v>0</v>
      </c>
      <c r="FF219" s="88">
        <f t="shared" ca="1" si="452"/>
        <v>0</v>
      </c>
      <c r="FG219" s="88">
        <f t="shared" ca="1" si="452"/>
        <v>0</v>
      </c>
      <c r="FH219" s="88">
        <f t="shared" ca="1" si="452"/>
        <v>0</v>
      </c>
      <c r="FI219" s="88">
        <f t="shared" ca="1" si="452"/>
        <v>0</v>
      </c>
      <c r="FJ219" s="88">
        <f t="shared" ca="1" si="452"/>
        <v>0</v>
      </c>
      <c r="FK219" s="88">
        <f t="shared" ca="1" si="452"/>
        <v>0</v>
      </c>
      <c r="FL219" s="88">
        <f t="shared" ca="1" si="452"/>
        <v>0</v>
      </c>
      <c r="FM219" s="88">
        <f t="shared" ca="1" si="452"/>
        <v>0</v>
      </c>
      <c r="FN219" s="88">
        <f t="shared" ca="1" si="452"/>
        <v>0</v>
      </c>
      <c r="FO219" s="88">
        <f t="shared" ca="1" si="453"/>
        <v>0</v>
      </c>
      <c r="FP219" s="88">
        <f t="shared" ca="1" si="453"/>
        <v>0</v>
      </c>
      <c r="FQ219" s="88">
        <f t="shared" ca="1" si="453"/>
        <v>0</v>
      </c>
      <c r="FR219" s="88">
        <f t="shared" ca="1" si="453"/>
        <v>0</v>
      </c>
      <c r="FS219" s="88">
        <f t="shared" ca="1" si="453"/>
        <v>0</v>
      </c>
      <c r="FT219" s="88">
        <f t="shared" ca="1" si="453"/>
        <v>0</v>
      </c>
      <c r="FU219" s="88">
        <f t="shared" ca="1" si="453"/>
        <v>0</v>
      </c>
      <c r="FV219" s="88">
        <f t="shared" ca="1" si="453"/>
        <v>0</v>
      </c>
      <c r="FW219" s="88">
        <f t="shared" ca="1" si="453"/>
        <v>0</v>
      </c>
      <c r="FX219" s="88">
        <f t="shared" ca="1" si="453"/>
        <v>0</v>
      </c>
      <c r="FY219" s="88">
        <f t="shared" ca="1" si="453"/>
        <v>0</v>
      </c>
      <c r="FZ219" s="88">
        <f t="shared" ca="1" si="453"/>
        <v>0</v>
      </c>
      <c r="GA219" s="88">
        <f t="shared" ca="1" si="453"/>
        <v>0</v>
      </c>
      <c r="GB219" s="88">
        <f t="shared" ca="1" si="453"/>
        <v>0</v>
      </c>
      <c r="GC219" s="88">
        <f t="shared" ca="1" si="453"/>
        <v>0</v>
      </c>
      <c r="GD219" s="60"/>
    </row>
    <row r="220" spans="1:186" s="54" customFormat="1" ht="14.45" customHeight="1">
      <c r="A220" s="61"/>
      <c r="B220" s="100" t="str">
        <f t="shared" si="418"/>
        <v>Residential_Whole House Efficiency_0_Low Flow Showerhead_2019</v>
      </c>
      <c r="C220" s="100">
        <f>INDEX('Measure Inputs'!$D:$D,MATCH($B220,'Measure Inputs'!$B:$B,0))</f>
        <v>172</v>
      </c>
      <c r="D220" s="101" t="s">
        <v>2</v>
      </c>
      <c r="E220" s="101" t="s">
        <v>219</v>
      </c>
      <c r="F220" s="101">
        <v>0</v>
      </c>
      <c r="G220" s="101" t="s">
        <v>267</v>
      </c>
      <c r="H220" s="101">
        <v>2019</v>
      </c>
      <c r="I220" s="55"/>
      <c r="J220" s="58" t="str">
        <f t="shared" ca="1" si="229"/>
        <v>n/a</v>
      </c>
      <c r="K220" s="58" t="str">
        <f t="shared" ca="1" si="246"/>
        <v>n/a</v>
      </c>
      <c r="L220" s="58" t="str">
        <f t="shared" ca="1" si="230"/>
        <v>n/a</v>
      </c>
      <c r="M220" s="58" t="str">
        <f t="shared" ca="1" si="231"/>
        <v>n/a</v>
      </c>
      <c r="N220" s="58">
        <f t="shared" ca="1" si="232"/>
        <v>0.2694462674399985</v>
      </c>
      <c r="O220" s="55"/>
      <c r="P220" s="175">
        <f ca="1">IFERROR(($AW220+AV220)/SUMPRODUCT($CA220:$DI220,'General Inputs'!$F$51:$AN$51),"n/a")</f>
        <v>0</v>
      </c>
      <c r="Q220" s="175">
        <f t="shared" ca="1" si="386"/>
        <v>0</v>
      </c>
      <c r="R220" s="56">
        <f t="shared" ca="1" si="441"/>
        <v>58.742681608886194</v>
      </c>
      <c r="S220" s="55"/>
      <c r="T220" s="56">
        <f ca="1">INDEX(OFFSET('Measure Inputs'!$L$7,,,InputRows),$C220)</f>
        <v>60</v>
      </c>
      <c r="U220" s="134">
        <f ca="1">INDEX(OFFSET('Measure Inputs'!$T$7,,,InputRows),$C220)</f>
        <v>1</v>
      </c>
      <c r="V220" s="134">
        <f ca="1">INDEX(OFFSET('Measure Inputs'!$U$7,,,InputRows),$C220)</f>
        <v>1</v>
      </c>
      <c r="W220" s="55"/>
      <c r="X220" s="96">
        <f ca="1">INDEX(OFFSET('Measure Inputs'!$V$7,,,InputRows),$C220)*$T220*$V220*$U220</f>
        <v>5874.2681608886196</v>
      </c>
      <c r="Y220" s="96">
        <f ca="1">INDEX(OFFSET('Measure Inputs'!$W$7,,,InputRows),$C220)*$T220*$V220*$U220</f>
        <v>0.54074389030696568</v>
      </c>
      <c r="Z220" s="96">
        <f ca="1">INDEX(OFFSET('Measure Inputs'!$X$7,,,InputRows),$C220)*$T220*$V220*$U220</f>
        <v>0</v>
      </c>
      <c r="AA220" s="55"/>
      <c r="AB220" s="96">
        <f ca="1">INDEX(OFFSET('Measure Inputs'!$Z$7,,,InputRows),$C220)*$T220*$V220*$U220</f>
        <v>0</v>
      </c>
      <c r="AC220" s="96">
        <f ca="1">INDEX(OFFSET('Measure Inputs'!$AA$7,,,InputRows),$C220)*$T220*$V220*$U220</f>
        <v>0</v>
      </c>
      <c r="AD220" s="96">
        <f ca="1">INDEX(OFFSET('Measure Inputs'!$AB$7,,,InputRows),$C220)*$T220*$V220*$U220</f>
        <v>0</v>
      </c>
      <c r="AE220" s="55"/>
      <c r="AF220" s="57">
        <f ca="1">INDEX(OFFSET('Measure Inputs'!$Q$7,,,InputRows),$C220)*$T220</f>
        <v>0</v>
      </c>
      <c r="AG220" s="57">
        <f ca="1">INDEX(OFFSET('Measure Inputs'!$P$7,,,InputRows),$C220)*$T220*$V220</f>
        <v>0</v>
      </c>
      <c r="AH220" s="57">
        <f ca="1">INDEX(OFFSET('Measure Inputs'!$R$7,,,InputRows),$C220)*$T220*$V220</f>
        <v>0</v>
      </c>
      <c r="AI220" s="57">
        <f ca="1">INDEX(OFFSET('Measure Inputs'!$O$7,,,InputRows),$C220)*$T220</f>
        <v>0</v>
      </c>
      <c r="AJ220" s="57">
        <f ca="1">INDEX(OFFSET('Measure Inputs'!$S$7,,,InputRows),$C220)*$T220</f>
        <v>0</v>
      </c>
      <c r="AK220" s="63">
        <f ca="1">INDEX(OFFSET('Measure Inputs'!$M$7,,,InputRows),$C220)</f>
        <v>10</v>
      </c>
      <c r="AL220" s="88">
        <f ca="1">INDEX(OFFSET('Measure Inputs'!$N$7,,,InputRows),$C220)</f>
        <v>0</v>
      </c>
      <c r="AM220" s="57">
        <f ca="1">SUMIFS(OFFSET('Program Inputs'!$N$5,,,TotalPrograms),OFFSET('Program Inputs'!$B$5,,,TotalPrograms),SUBSTITUTE($B220,"All","*"))+AF220</f>
        <v>0</v>
      </c>
      <c r="AN220" s="57">
        <f t="shared" ca="1" si="442"/>
        <v>0</v>
      </c>
      <c r="AO220" s="55"/>
      <c r="AP220" s="59">
        <f t="shared" ca="1" si="443"/>
        <v>1171.2191706136121</v>
      </c>
      <c r="AQ220" s="59">
        <f t="shared" ca="1" si="444"/>
        <v>0</v>
      </c>
      <c r="AR220" s="59">
        <f ca="1">SUMPRODUCT($CA220:$DI220,'General Inputs'!$F$32:$AN$32,'General Inputs'!$F$51:$AN$51)/(1-Loss_ElectricEnergy)</f>
        <v>1098.4870283954085</v>
      </c>
      <c r="AS220" s="59">
        <f ca="1">SUMPRODUCT($DK220:$ES220,'General Inputs'!$F$33:$AN$33,'General Inputs'!$F$51:$AN$51)/(1-Loss_ElectricDemand)</f>
        <v>72.732142218203606</v>
      </c>
      <c r="AT220" s="59">
        <f ca="1">SUMPRODUCT($EU220:$GC220,'General Inputs'!$F$34:$AN$34,'General Inputs'!$F$51:$AN$51)/(1-Loss_GasEnergy)</f>
        <v>0</v>
      </c>
      <c r="AU220" s="59">
        <f ca="1">INDEX('General Inputs'!$F$51:$AN$51,MATCH($H220,'General Inputs'!$F$50:$AN$50,0))*$AJ220</f>
        <v>0</v>
      </c>
      <c r="AV220" s="59">
        <f ca="1">INDEX('General Inputs'!$F$51:$AN$51,MATCH($H220,'General Inputs'!$F$50:$AN$50,0))*$AI220</f>
        <v>0</v>
      </c>
      <c r="AW220" s="59">
        <f ca="1">INDEX('General Inputs'!$F$51:$AN$51,MATCH($H220,'General Inputs'!$F$50:$AN$50,0))*$AM220</f>
        <v>0</v>
      </c>
      <c r="AX220" s="59">
        <f ca="1">SUM(INDEX('General Inputs'!$F$51:$AN$51,MATCH($H220,'General Inputs'!$F$50:$AN$50,0))*$AG220,INDEX('General Inputs'!$F$51:$AN$51,MATCH($H220+$AL220,'General Inputs'!$F$50:$AN$50,0))*-$AH220)</f>
        <v>0</v>
      </c>
      <c r="AY220" s="55"/>
      <c r="AZ220" s="59">
        <f ca="1">SUMPRODUCT($CA220:$DI220,'General Inputs'!$F$32:$AN$32,'General Inputs'!$F$52:$AN$52)/(1-Loss_ElectricEnergy)</f>
        <v>1098.4870283954085</v>
      </c>
      <c r="BA220" s="59">
        <f ca="1">SUMPRODUCT($DK220:$ES220,'General Inputs'!$F$33:$AN$33,'General Inputs'!$F$52:$AN$52)/(1-Loss_ElectricDemand)</f>
        <v>72.732142218203606</v>
      </c>
      <c r="BB220" s="59">
        <f ca="1">SUMPRODUCT($EU220:$GC220,'General Inputs'!$F$34:$AN$34,'General Inputs'!$F$52:$AN$52)/(1-Loss_GasEnergy)</f>
        <v>0</v>
      </c>
      <c r="BC220" s="59">
        <f ca="1">INDEX('General Inputs'!$F$52:$AN$52,MATCH($H220,'General Inputs'!$F$50:$AN$50,0))*$AI220</f>
        <v>0</v>
      </c>
      <c r="BD220" s="59">
        <f ca="1">INDEX('General Inputs'!$F$52:$AN$52,MATCH($H220,'General Inputs'!$F$50:$AN$50,0))*$AM220</f>
        <v>0</v>
      </c>
      <c r="BE220" s="55"/>
      <c r="BF220" s="59">
        <f ca="1">SUMPRODUCT($CA220:$DI220,OFFSET('General Inputs'!$F$40:$AN$40,MATCH($D220&amp;" Electric ($/kWh)",'General Inputs'!$E$40:$E$46,0),),'General Inputs'!$F$54:$AN$54)</f>
        <v>4346.7633890101088</v>
      </c>
      <c r="BG220" s="59">
        <f ca="1">SUMPRODUCT($EU220:$GC220,OFFSET('General Inputs'!$F$40:$AN$40,MATCH($D220&amp;" Natural Gas ($/therm)",'General Inputs'!$E$40:$E$46,0),),'General Inputs'!$F$54:$AN$54)</f>
        <v>0</v>
      </c>
      <c r="BH220" s="59">
        <f ca="1">INDEX('General Inputs'!$F$54:$AN$54,MATCH($H220,'General Inputs'!$F$50:$AN$50,0))*$AI220</f>
        <v>0</v>
      </c>
      <c r="BI220" s="59">
        <f ca="1">SUM(INDEX('General Inputs'!$F$54:$AN$54,MATCH($H220,'General Inputs'!$F$50:$AN$50,0))*$AG220,INDEX('General Inputs'!$F$51:$AN$51,MATCH($H220+$AL220,'General Inputs'!$F$50:$AN$50,0))*-$AH220)</f>
        <v>0</v>
      </c>
      <c r="BJ220" s="55"/>
      <c r="BK220" s="59">
        <f ca="1">SUMPRODUCT($CA220:$DI220,'General Inputs'!$F$32:$AN$32,'General Inputs'!$F$53:$AN$53)/(1-Loss_ElectricEnergy)</f>
        <v>1098.4870283954085</v>
      </c>
      <c r="BL220" s="59">
        <f ca="1">SUMPRODUCT($DK220:$ES220,'General Inputs'!$F$33:$AN$33,'General Inputs'!$F$53:$AN$53)/(1-Loss_ElectricDemand)</f>
        <v>72.732142218203606</v>
      </c>
      <c r="BM220" s="59">
        <f ca="1">SUMPRODUCT($EU220:$GC220,'General Inputs'!$F$34:$AN$34,'General Inputs'!$F$53:$AN$53)/(1-Loss_GasEnergy)</f>
        <v>0</v>
      </c>
      <c r="BN220" s="59">
        <f ca="1">INDEX('General Inputs'!$F$53:$AN$53,MATCH($H220,'General Inputs'!$F$50:$AN$50,0))*$AJ220</f>
        <v>0</v>
      </c>
      <c r="BO220" s="59">
        <f ca="1">SUMPRODUCT($CA220:$DI220,'General Inputs'!$F$35:$AN$35,'General Inputs'!$F$53:$AN$53)/(1-Loss_ElectricEnergy)</f>
        <v>417.27106357442563</v>
      </c>
      <c r="BP220" s="59">
        <f ca="1">INDEX('General Inputs'!$F$51:$AN$51,MATCH($H220,'General Inputs'!$F$50:$AN$50,0))*$AM220</f>
        <v>0</v>
      </c>
      <c r="BQ220" s="59">
        <f ca="1">SUM(INDEX('General Inputs'!$F$53:$AN$53,MATCH($H220,'General Inputs'!$F$50:$AN$50,0))*$AG220,INDEX('General Inputs'!$F$53:$AN$53,MATCH($H220+$AL220,'General Inputs'!$F$50:$AN$50,0))*-$AH220)</f>
        <v>0</v>
      </c>
      <c r="BR220" s="55"/>
      <c r="BS220" s="59">
        <f ca="1">SUMPRODUCT($CA220:$DI220,'General Inputs'!$F$32:$AN$32,'General Inputs'!$F$55:$AN$55)/(1-Loss_ElectricEnergy)</f>
        <v>1098.4870283954085</v>
      </c>
      <c r="BT220" s="59">
        <f ca="1">SUMPRODUCT($DK220:$ES220,'General Inputs'!$F$33:$AN$33,'General Inputs'!$F$55:$AN$55)/(1-Loss_ElectricDemand)</f>
        <v>72.732142218203606</v>
      </c>
      <c r="BU220" s="59">
        <f ca="1">SUMPRODUCT($EU220:$GC220,'General Inputs'!$F$34:$AN$34,'General Inputs'!$F$55:$AN$55)/(1-Loss_GasEnergy)</f>
        <v>0</v>
      </c>
      <c r="BV220" s="59">
        <f ca="1">SUMPRODUCT($CA220:$DI220,OFFSET('General Inputs'!$F$40:$AN$40,MATCH($D220&amp;" Electric ($/kWh)",'General Inputs'!$E$40:$E$46,0),),'General Inputs'!$F$55:$AN$55)</f>
        <v>4346.7633890101088</v>
      </c>
      <c r="BW220" s="59">
        <f ca="1">SUMPRODUCT($EU220:$GC220,OFFSET('General Inputs'!$F$40:$AN$40,MATCH($D220&amp;" Natural Gas ($/therm)",'General Inputs'!$E$40:$E$46,0),),'General Inputs'!$F$55:$AN$55)</f>
        <v>0</v>
      </c>
      <c r="BX220" s="59">
        <f ca="1">INDEX('General Inputs'!$F$55:$AN$55,MATCH($H220,'General Inputs'!$F$50:$AN$50,0))*$AI220</f>
        <v>0</v>
      </c>
      <c r="BY220" s="59">
        <f ca="1">INDEX('General Inputs'!$F$51:$AN$51,MATCH($H220,'General Inputs'!$F$50:$AN$50,0))*$AM220</f>
        <v>0</v>
      </c>
      <c r="BZ220" s="55"/>
      <c r="CA220" s="88">
        <f t="shared" ca="1" si="445"/>
        <v>0</v>
      </c>
      <c r="CB220" s="88">
        <f t="shared" ca="1" si="445"/>
        <v>0</v>
      </c>
      <c r="CC220" s="88">
        <f t="shared" ca="1" si="445"/>
        <v>5874.2681608886196</v>
      </c>
      <c r="CD220" s="88">
        <f t="shared" ca="1" si="445"/>
        <v>5874.2681608886196</v>
      </c>
      <c r="CE220" s="88">
        <f t="shared" ca="1" si="445"/>
        <v>5874.2681608886196</v>
      </c>
      <c r="CF220" s="88">
        <f t="shared" ca="1" si="445"/>
        <v>5874.2681608886196</v>
      </c>
      <c r="CG220" s="88">
        <f t="shared" ca="1" si="445"/>
        <v>5874.2681608886196</v>
      </c>
      <c r="CH220" s="88">
        <f t="shared" ca="1" si="445"/>
        <v>5874.2681608886196</v>
      </c>
      <c r="CI220" s="88">
        <f t="shared" ca="1" si="445"/>
        <v>5874.2681608886196</v>
      </c>
      <c r="CJ220" s="88">
        <f t="shared" ca="1" si="445"/>
        <v>5874.2681608886196</v>
      </c>
      <c r="CK220" s="88">
        <f t="shared" ca="1" si="446"/>
        <v>5874.2681608886196</v>
      </c>
      <c r="CL220" s="88">
        <f t="shared" ca="1" si="446"/>
        <v>5874.2681608886196</v>
      </c>
      <c r="CM220" s="88">
        <f t="shared" ca="1" si="446"/>
        <v>0</v>
      </c>
      <c r="CN220" s="88">
        <f t="shared" ca="1" si="446"/>
        <v>0</v>
      </c>
      <c r="CO220" s="88">
        <f t="shared" ca="1" si="446"/>
        <v>0</v>
      </c>
      <c r="CP220" s="88">
        <f t="shared" ca="1" si="446"/>
        <v>0</v>
      </c>
      <c r="CQ220" s="88">
        <f t="shared" ca="1" si="446"/>
        <v>0</v>
      </c>
      <c r="CR220" s="88">
        <f t="shared" ca="1" si="446"/>
        <v>0</v>
      </c>
      <c r="CS220" s="88">
        <f t="shared" ca="1" si="446"/>
        <v>0</v>
      </c>
      <c r="CT220" s="88">
        <f t="shared" ca="1" si="446"/>
        <v>0</v>
      </c>
      <c r="CU220" s="88">
        <f t="shared" ca="1" si="447"/>
        <v>0</v>
      </c>
      <c r="CV220" s="88">
        <f t="shared" ca="1" si="447"/>
        <v>0</v>
      </c>
      <c r="CW220" s="88">
        <f t="shared" ca="1" si="447"/>
        <v>0</v>
      </c>
      <c r="CX220" s="88">
        <f t="shared" ca="1" si="447"/>
        <v>0</v>
      </c>
      <c r="CY220" s="88">
        <f t="shared" ca="1" si="447"/>
        <v>0</v>
      </c>
      <c r="CZ220" s="88">
        <f t="shared" ca="1" si="447"/>
        <v>0</v>
      </c>
      <c r="DA220" s="88">
        <f t="shared" ca="1" si="447"/>
        <v>0</v>
      </c>
      <c r="DB220" s="88">
        <f t="shared" ca="1" si="447"/>
        <v>0</v>
      </c>
      <c r="DC220" s="88">
        <f t="shared" ca="1" si="447"/>
        <v>0</v>
      </c>
      <c r="DD220" s="88">
        <f t="shared" ca="1" si="447"/>
        <v>0</v>
      </c>
      <c r="DE220" s="88">
        <f t="shared" ca="1" si="447"/>
        <v>0</v>
      </c>
      <c r="DF220" s="88">
        <f t="shared" ca="1" si="447"/>
        <v>0</v>
      </c>
      <c r="DG220" s="88">
        <f t="shared" ca="1" si="447"/>
        <v>0</v>
      </c>
      <c r="DH220" s="88">
        <f t="shared" ca="1" si="447"/>
        <v>0</v>
      </c>
      <c r="DI220" s="88">
        <f t="shared" ca="1" si="447"/>
        <v>0</v>
      </c>
      <c r="DJ220" s="169"/>
      <c r="DK220" s="88">
        <f t="shared" ca="1" si="448"/>
        <v>0</v>
      </c>
      <c r="DL220" s="88">
        <f t="shared" ca="1" si="448"/>
        <v>0</v>
      </c>
      <c r="DM220" s="88">
        <f t="shared" ca="1" si="448"/>
        <v>0.54074389030696568</v>
      </c>
      <c r="DN220" s="88">
        <f t="shared" ca="1" si="448"/>
        <v>0.54074389030696568</v>
      </c>
      <c r="DO220" s="88">
        <f t="shared" ca="1" si="448"/>
        <v>0.54074389030696568</v>
      </c>
      <c r="DP220" s="88">
        <f t="shared" ca="1" si="448"/>
        <v>0.54074389030696568</v>
      </c>
      <c r="DQ220" s="88">
        <f t="shared" ca="1" si="448"/>
        <v>0.54074389030696568</v>
      </c>
      <c r="DR220" s="88">
        <f t="shared" ca="1" si="448"/>
        <v>0.54074389030696568</v>
      </c>
      <c r="DS220" s="88">
        <f t="shared" ca="1" si="448"/>
        <v>0.54074389030696568</v>
      </c>
      <c r="DT220" s="88">
        <f t="shared" ca="1" si="448"/>
        <v>0.54074389030696568</v>
      </c>
      <c r="DU220" s="88">
        <f t="shared" ca="1" si="449"/>
        <v>0.54074389030696568</v>
      </c>
      <c r="DV220" s="88">
        <f t="shared" ca="1" si="449"/>
        <v>0.54074389030696568</v>
      </c>
      <c r="DW220" s="88">
        <f t="shared" ca="1" si="449"/>
        <v>0</v>
      </c>
      <c r="DX220" s="88">
        <f t="shared" ca="1" si="449"/>
        <v>0</v>
      </c>
      <c r="DY220" s="88">
        <f t="shared" ca="1" si="449"/>
        <v>0</v>
      </c>
      <c r="DZ220" s="88">
        <f t="shared" ca="1" si="449"/>
        <v>0</v>
      </c>
      <c r="EA220" s="88">
        <f t="shared" ca="1" si="449"/>
        <v>0</v>
      </c>
      <c r="EB220" s="88">
        <f t="shared" ca="1" si="449"/>
        <v>0</v>
      </c>
      <c r="EC220" s="88">
        <f t="shared" ca="1" si="449"/>
        <v>0</v>
      </c>
      <c r="ED220" s="88">
        <f t="shared" ca="1" si="449"/>
        <v>0</v>
      </c>
      <c r="EE220" s="88">
        <f t="shared" ca="1" si="450"/>
        <v>0</v>
      </c>
      <c r="EF220" s="88">
        <f t="shared" ca="1" si="450"/>
        <v>0</v>
      </c>
      <c r="EG220" s="88">
        <f t="shared" ca="1" si="450"/>
        <v>0</v>
      </c>
      <c r="EH220" s="88">
        <f t="shared" ca="1" si="450"/>
        <v>0</v>
      </c>
      <c r="EI220" s="88">
        <f t="shared" ca="1" si="450"/>
        <v>0</v>
      </c>
      <c r="EJ220" s="88">
        <f t="shared" ca="1" si="450"/>
        <v>0</v>
      </c>
      <c r="EK220" s="88">
        <f t="shared" ca="1" si="450"/>
        <v>0</v>
      </c>
      <c r="EL220" s="88">
        <f t="shared" ca="1" si="450"/>
        <v>0</v>
      </c>
      <c r="EM220" s="88">
        <f t="shared" ca="1" si="450"/>
        <v>0</v>
      </c>
      <c r="EN220" s="88">
        <f t="shared" ca="1" si="450"/>
        <v>0</v>
      </c>
      <c r="EO220" s="88">
        <f t="shared" ca="1" si="450"/>
        <v>0</v>
      </c>
      <c r="EP220" s="88">
        <f t="shared" ca="1" si="450"/>
        <v>0</v>
      </c>
      <c r="EQ220" s="88">
        <f t="shared" ca="1" si="450"/>
        <v>0</v>
      </c>
      <c r="ER220" s="88">
        <f t="shared" ca="1" si="450"/>
        <v>0</v>
      </c>
      <c r="ES220" s="88">
        <f t="shared" ca="1" si="450"/>
        <v>0</v>
      </c>
      <c r="ET220" s="169"/>
      <c r="EU220" s="88">
        <f t="shared" ca="1" si="451"/>
        <v>0</v>
      </c>
      <c r="EV220" s="88">
        <f t="shared" ca="1" si="451"/>
        <v>0</v>
      </c>
      <c r="EW220" s="88">
        <f t="shared" ca="1" si="451"/>
        <v>0</v>
      </c>
      <c r="EX220" s="88">
        <f t="shared" ca="1" si="451"/>
        <v>0</v>
      </c>
      <c r="EY220" s="88">
        <f t="shared" ca="1" si="451"/>
        <v>0</v>
      </c>
      <c r="EZ220" s="88">
        <f t="shared" ca="1" si="451"/>
        <v>0</v>
      </c>
      <c r="FA220" s="88">
        <f t="shared" ca="1" si="451"/>
        <v>0</v>
      </c>
      <c r="FB220" s="88">
        <f t="shared" ca="1" si="451"/>
        <v>0</v>
      </c>
      <c r="FC220" s="88">
        <f t="shared" ca="1" si="451"/>
        <v>0</v>
      </c>
      <c r="FD220" s="88">
        <f t="shared" ca="1" si="451"/>
        <v>0</v>
      </c>
      <c r="FE220" s="88">
        <f t="shared" ca="1" si="452"/>
        <v>0</v>
      </c>
      <c r="FF220" s="88">
        <f t="shared" ca="1" si="452"/>
        <v>0</v>
      </c>
      <c r="FG220" s="88">
        <f t="shared" ca="1" si="452"/>
        <v>0</v>
      </c>
      <c r="FH220" s="88">
        <f t="shared" ca="1" si="452"/>
        <v>0</v>
      </c>
      <c r="FI220" s="88">
        <f t="shared" ca="1" si="452"/>
        <v>0</v>
      </c>
      <c r="FJ220" s="88">
        <f t="shared" ca="1" si="452"/>
        <v>0</v>
      </c>
      <c r="FK220" s="88">
        <f t="shared" ca="1" si="452"/>
        <v>0</v>
      </c>
      <c r="FL220" s="88">
        <f t="shared" ca="1" si="452"/>
        <v>0</v>
      </c>
      <c r="FM220" s="88">
        <f t="shared" ca="1" si="452"/>
        <v>0</v>
      </c>
      <c r="FN220" s="88">
        <f t="shared" ca="1" si="452"/>
        <v>0</v>
      </c>
      <c r="FO220" s="88">
        <f t="shared" ca="1" si="453"/>
        <v>0</v>
      </c>
      <c r="FP220" s="88">
        <f t="shared" ca="1" si="453"/>
        <v>0</v>
      </c>
      <c r="FQ220" s="88">
        <f t="shared" ca="1" si="453"/>
        <v>0</v>
      </c>
      <c r="FR220" s="88">
        <f t="shared" ca="1" si="453"/>
        <v>0</v>
      </c>
      <c r="FS220" s="88">
        <f t="shared" ca="1" si="453"/>
        <v>0</v>
      </c>
      <c r="FT220" s="88">
        <f t="shared" ca="1" si="453"/>
        <v>0</v>
      </c>
      <c r="FU220" s="88">
        <f t="shared" ca="1" si="453"/>
        <v>0</v>
      </c>
      <c r="FV220" s="88">
        <f t="shared" ca="1" si="453"/>
        <v>0</v>
      </c>
      <c r="FW220" s="88">
        <f t="shared" ca="1" si="453"/>
        <v>0</v>
      </c>
      <c r="FX220" s="88">
        <f t="shared" ca="1" si="453"/>
        <v>0</v>
      </c>
      <c r="FY220" s="88">
        <f t="shared" ca="1" si="453"/>
        <v>0</v>
      </c>
      <c r="FZ220" s="88">
        <f t="shared" ca="1" si="453"/>
        <v>0</v>
      </c>
      <c r="GA220" s="88">
        <f t="shared" ca="1" si="453"/>
        <v>0</v>
      </c>
      <c r="GB220" s="88">
        <f t="shared" ca="1" si="453"/>
        <v>0</v>
      </c>
      <c r="GC220" s="88">
        <f t="shared" ca="1" si="453"/>
        <v>0</v>
      </c>
      <c r="GD220" s="60"/>
    </row>
    <row r="221" spans="1:186" s="54" customFormat="1" ht="14.45" customHeight="1">
      <c r="A221" s="61"/>
      <c r="B221" s="100" t="str">
        <f t="shared" si="418"/>
        <v>Residential_Residential Audit_0_Residential Audit_2019</v>
      </c>
      <c r="C221" s="100">
        <f>INDEX('Measure Inputs'!$D:$D,MATCH($B221,'Measure Inputs'!$B:$B,0))</f>
        <v>173</v>
      </c>
      <c r="D221" s="101" t="s">
        <v>2</v>
      </c>
      <c r="E221" s="101" t="s">
        <v>251</v>
      </c>
      <c r="F221" s="101">
        <v>0</v>
      </c>
      <c r="G221" s="101" t="s">
        <v>251</v>
      </c>
      <c r="H221" s="101">
        <v>2019</v>
      </c>
      <c r="I221" s="55"/>
      <c r="J221" s="58" t="str">
        <f t="shared" ca="1" si="229"/>
        <v>n/a</v>
      </c>
      <c r="K221" s="58" t="str">
        <f t="shared" ca="1" si="246"/>
        <v>n/a</v>
      </c>
      <c r="L221" s="58" t="str">
        <f t="shared" ca="1" si="230"/>
        <v>n/a</v>
      </c>
      <c r="M221" s="58" t="str">
        <f t="shared" ca="1" si="231"/>
        <v>n/a</v>
      </c>
      <c r="N221" s="58" t="str">
        <f t="shared" ca="1" si="232"/>
        <v>n/a</v>
      </c>
      <c r="O221" s="55"/>
      <c r="P221" s="175" t="str">
        <f ca="1">IFERROR(($AW221+AV221)/SUMPRODUCT($CA221:$DI221,'General Inputs'!$F$51:$AN$51),"n/a")</f>
        <v>n/a</v>
      </c>
      <c r="Q221" s="175" t="str">
        <f t="shared" ref="Q221:Q276" ca="1" si="454">IFERROR($AN221/X221,"n/a")</f>
        <v>n/a</v>
      </c>
      <c r="R221" s="56">
        <f t="shared" ca="1" si="441"/>
        <v>0</v>
      </c>
      <c r="S221" s="55"/>
      <c r="T221" s="56">
        <f ca="1">INDEX(OFFSET('Measure Inputs'!$L$7,,,InputRows),$C221)</f>
        <v>650</v>
      </c>
      <c r="U221" s="134">
        <f ca="1">INDEX(OFFSET('Measure Inputs'!$T$7,,,InputRows),$C221)</f>
        <v>1</v>
      </c>
      <c r="V221" s="134">
        <f ca="1">INDEX(OFFSET('Measure Inputs'!$U$7,,,InputRows),$C221)</f>
        <v>1</v>
      </c>
      <c r="W221" s="55"/>
      <c r="X221" s="96">
        <f ca="1">INDEX(OFFSET('Measure Inputs'!$V$7,,,InputRows),$C221)*$T221*$V221*$U221</f>
        <v>0</v>
      </c>
      <c r="Y221" s="96">
        <f ca="1">INDEX(OFFSET('Measure Inputs'!$W$7,,,InputRows),$C221)*$T221*$V221*$U221</f>
        <v>0</v>
      </c>
      <c r="Z221" s="96">
        <f ca="1">INDEX(OFFSET('Measure Inputs'!$X$7,,,InputRows),$C221)*$T221*$V221*$U221</f>
        <v>0</v>
      </c>
      <c r="AA221" s="55"/>
      <c r="AB221" s="96">
        <f ca="1">INDEX(OFFSET('Measure Inputs'!$Z$7,,,InputRows),$C221)*$T221*$V221*$U221</f>
        <v>0</v>
      </c>
      <c r="AC221" s="96">
        <f ca="1">INDEX(OFFSET('Measure Inputs'!$AA$7,,,InputRows),$C221)*$T221*$V221*$U221</f>
        <v>0</v>
      </c>
      <c r="AD221" s="96">
        <f ca="1">INDEX(OFFSET('Measure Inputs'!$AB$7,,,InputRows),$C221)*$T221*$V221*$U221</f>
        <v>0</v>
      </c>
      <c r="AE221" s="55"/>
      <c r="AF221" s="57">
        <f ca="1">INDEX(OFFSET('Measure Inputs'!$Q$7,,,InputRows),$C221)*$T221</f>
        <v>0</v>
      </c>
      <c r="AG221" s="57">
        <f ca="1">INDEX(OFFSET('Measure Inputs'!$P$7,,,InputRows),$C221)*$T221*$V221</f>
        <v>0</v>
      </c>
      <c r="AH221" s="57">
        <f ca="1">INDEX(OFFSET('Measure Inputs'!$R$7,,,InputRows),$C221)*$T221*$V221</f>
        <v>0</v>
      </c>
      <c r="AI221" s="57">
        <f ca="1">INDEX(OFFSET('Measure Inputs'!$O$7,,,InputRows),$C221)*$T221</f>
        <v>0</v>
      </c>
      <c r="AJ221" s="57">
        <f ca="1">INDEX(OFFSET('Measure Inputs'!$S$7,,,InputRows),$C221)*$T221</f>
        <v>0</v>
      </c>
      <c r="AK221" s="63">
        <f ca="1">INDEX(OFFSET('Measure Inputs'!$M$7,,,InputRows),$C221)</f>
        <v>1</v>
      </c>
      <c r="AL221" s="88">
        <f ca="1">INDEX(OFFSET('Measure Inputs'!$N$7,,,InputRows),$C221)</f>
        <v>0</v>
      </c>
      <c r="AM221" s="57">
        <f ca="1">SUMIFS(OFFSET('Program Inputs'!$N$5,,,TotalPrograms),OFFSET('Program Inputs'!$B$5,,,TotalPrograms),SUBSTITUTE($B221,"All","*"))+AF221</f>
        <v>0</v>
      </c>
      <c r="AN221" s="57">
        <f t="shared" ca="1" si="442"/>
        <v>0</v>
      </c>
      <c r="AO221" s="55"/>
      <c r="AP221" s="59">
        <f t="shared" ca="1" si="443"/>
        <v>0</v>
      </c>
      <c r="AQ221" s="59">
        <f t="shared" ca="1" si="444"/>
        <v>0</v>
      </c>
      <c r="AR221" s="59">
        <f ca="1">SUMPRODUCT($CA221:$DI221,'General Inputs'!$F$32:$AN$32,'General Inputs'!$F$51:$AN$51)/(1-Loss_ElectricEnergy)</f>
        <v>0</v>
      </c>
      <c r="AS221" s="59">
        <f ca="1">SUMPRODUCT($DK221:$ES221,'General Inputs'!$F$33:$AN$33,'General Inputs'!$F$51:$AN$51)/(1-Loss_ElectricDemand)</f>
        <v>0</v>
      </c>
      <c r="AT221" s="59">
        <f ca="1">SUMPRODUCT($EU221:$GC221,'General Inputs'!$F$34:$AN$34,'General Inputs'!$F$51:$AN$51)/(1-Loss_GasEnergy)</f>
        <v>0</v>
      </c>
      <c r="AU221" s="59">
        <f ca="1">INDEX('General Inputs'!$F$51:$AN$51,MATCH($H221,'General Inputs'!$F$50:$AN$50,0))*$AJ221</f>
        <v>0</v>
      </c>
      <c r="AV221" s="59">
        <f ca="1">INDEX('General Inputs'!$F$51:$AN$51,MATCH($H221,'General Inputs'!$F$50:$AN$50,0))*$AI221</f>
        <v>0</v>
      </c>
      <c r="AW221" s="59">
        <f ca="1">INDEX('General Inputs'!$F$51:$AN$51,MATCH($H221,'General Inputs'!$F$50:$AN$50,0))*$AM221</f>
        <v>0</v>
      </c>
      <c r="AX221" s="59">
        <f ca="1">SUM(INDEX('General Inputs'!$F$51:$AN$51,MATCH($H221,'General Inputs'!$F$50:$AN$50,0))*$AG221,INDEX('General Inputs'!$F$51:$AN$51,MATCH($H221+$AL221,'General Inputs'!$F$50:$AN$50,0))*-$AH221)</f>
        <v>0</v>
      </c>
      <c r="AY221" s="55"/>
      <c r="AZ221" s="59">
        <f ca="1">SUMPRODUCT($CA221:$DI221,'General Inputs'!$F$32:$AN$32,'General Inputs'!$F$52:$AN$52)/(1-Loss_ElectricEnergy)</f>
        <v>0</v>
      </c>
      <c r="BA221" s="59">
        <f ca="1">SUMPRODUCT($DK221:$ES221,'General Inputs'!$F$33:$AN$33,'General Inputs'!$F$52:$AN$52)/(1-Loss_ElectricDemand)</f>
        <v>0</v>
      </c>
      <c r="BB221" s="59">
        <f ca="1">SUMPRODUCT($EU221:$GC221,'General Inputs'!$F$34:$AN$34,'General Inputs'!$F$52:$AN$52)/(1-Loss_GasEnergy)</f>
        <v>0</v>
      </c>
      <c r="BC221" s="59">
        <f ca="1">INDEX('General Inputs'!$F$52:$AN$52,MATCH($H221,'General Inputs'!$F$50:$AN$50,0))*$AI221</f>
        <v>0</v>
      </c>
      <c r="BD221" s="59">
        <f ca="1">INDEX('General Inputs'!$F$52:$AN$52,MATCH($H221,'General Inputs'!$F$50:$AN$50,0))*$AM221</f>
        <v>0</v>
      </c>
      <c r="BE221" s="55"/>
      <c r="BF221" s="59">
        <f ca="1">SUMPRODUCT($CA221:$DI221,OFFSET('General Inputs'!$F$40:$AN$40,MATCH($D221&amp;" Electric ($/kWh)",'General Inputs'!$E$40:$E$46,0),),'General Inputs'!$F$54:$AN$54)</f>
        <v>0</v>
      </c>
      <c r="BG221" s="59">
        <f ca="1">SUMPRODUCT($EU221:$GC221,OFFSET('General Inputs'!$F$40:$AN$40,MATCH($D221&amp;" Natural Gas ($/therm)",'General Inputs'!$E$40:$E$46,0),),'General Inputs'!$F$54:$AN$54)</f>
        <v>0</v>
      </c>
      <c r="BH221" s="59">
        <f ca="1">INDEX('General Inputs'!$F$54:$AN$54,MATCH($H221,'General Inputs'!$F$50:$AN$50,0))*$AI221</f>
        <v>0</v>
      </c>
      <c r="BI221" s="59">
        <f ca="1">SUM(INDEX('General Inputs'!$F$54:$AN$54,MATCH($H221,'General Inputs'!$F$50:$AN$50,0))*$AG221,INDEX('General Inputs'!$F$51:$AN$51,MATCH($H221+$AL221,'General Inputs'!$F$50:$AN$50,0))*-$AH221)</f>
        <v>0</v>
      </c>
      <c r="BJ221" s="55"/>
      <c r="BK221" s="59">
        <f ca="1">SUMPRODUCT($CA221:$DI221,'General Inputs'!$F$32:$AN$32,'General Inputs'!$F$53:$AN$53)/(1-Loss_ElectricEnergy)</f>
        <v>0</v>
      </c>
      <c r="BL221" s="59">
        <f ca="1">SUMPRODUCT($DK221:$ES221,'General Inputs'!$F$33:$AN$33,'General Inputs'!$F$53:$AN$53)/(1-Loss_ElectricDemand)</f>
        <v>0</v>
      </c>
      <c r="BM221" s="59">
        <f ca="1">SUMPRODUCT($EU221:$GC221,'General Inputs'!$F$34:$AN$34,'General Inputs'!$F$53:$AN$53)/(1-Loss_GasEnergy)</f>
        <v>0</v>
      </c>
      <c r="BN221" s="59">
        <f ca="1">INDEX('General Inputs'!$F$53:$AN$53,MATCH($H221,'General Inputs'!$F$50:$AN$50,0))*$AJ221</f>
        <v>0</v>
      </c>
      <c r="BO221" s="59">
        <f ca="1">SUMPRODUCT($CA221:$DI221,'General Inputs'!$F$35:$AN$35,'General Inputs'!$F$53:$AN$53)/(1-Loss_ElectricEnergy)</f>
        <v>0</v>
      </c>
      <c r="BP221" s="59">
        <f ca="1">INDEX('General Inputs'!$F$51:$AN$51,MATCH($H221,'General Inputs'!$F$50:$AN$50,0))*$AM221</f>
        <v>0</v>
      </c>
      <c r="BQ221" s="59">
        <f ca="1">SUM(INDEX('General Inputs'!$F$53:$AN$53,MATCH($H221,'General Inputs'!$F$50:$AN$50,0))*$AG221,INDEX('General Inputs'!$F$53:$AN$53,MATCH($H221+$AL221,'General Inputs'!$F$50:$AN$50,0))*-$AH221)</f>
        <v>0</v>
      </c>
      <c r="BR221" s="55"/>
      <c r="BS221" s="59">
        <f ca="1">SUMPRODUCT($CA221:$DI221,'General Inputs'!$F$32:$AN$32,'General Inputs'!$F$55:$AN$55)/(1-Loss_ElectricEnergy)</f>
        <v>0</v>
      </c>
      <c r="BT221" s="59">
        <f ca="1">SUMPRODUCT($DK221:$ES221,'General Inputs'!$F$33:$AN$33,'General Inputs'!$F$55:$AN$55)/(1-Loss_ElectricDemand)</f>
        <v>0</v>
      </c>
      <c r="BU221" s="59">
        <f ca="1">SUMPRODUCT($EU221:$GC221,'General Inputs'!$F$34:$AN$34,'General Inputs'!$F$55:$AN$55)/(1-Loss_GasEnergy)</f>
        <v>0</v>
      </c>
      <c r="BV221" s="59">
        <f ca="1">SUMPRODUCT($CA221:$DI221,OFFSET('General Inputs'!$F$40:$AN$40,MATCH($D221&amp;" Electric ($/kWh)",'General Inputs'!$E$40:$E$46,0),),'General Inputs'!$F$55:$AN$55)</f>
        <v>0</v>
      </c>
      <c r="BW221" s="59">
        <f ca="1">SUMPRODUCT($EU221:$GC221,OFFSET('General Inputs'!$F$40:$AN$40,MATCH($D221&amp;" Natural Gas ($/therm)",'General Inputs'!$E$40:$E$46,0),),'General Inputs'!$F$55:$AN$55)</f>
        <v>0</v>
      </c>
      <c r="BX221" s="59">
        <f ca="1">INDEX('General Inputs'!$F$55:$AN$55,MATCH($H221,'General Inputs'!$F$50:$AN$50,0))*$AI221</f>
        <v>0</v>
      </c>
      <c r="BY221" s="59">
        <f ca="1">INDEX('General Inputs'!$F$51:$AN$51,MATCH($H221,'General Inputs'!$F$50:$AN$50,0))*$AM221</f>
        <v>0</v>
      </c>
      <c r="BZ221" s="55"/>
      <c r="CA221" s="88">
        <f t="shared" ca="1" si="445"/>
        <v>0</v>
      </c>
      <c r="CB221" s="88">
        <f t="shared" ca="1" si="445"/>
        <v>0</v>
      </c>
      <c r="CC221" s="88">
        <f t="shared" ca="1" si="445"/>
        <v>0</v>
      </c>
      <c r="CD221" s="88">
        <f t="shared" ca="1" si="445"/>
        <v>0</v>
      </c>
      <c r="CE221" s="88">
        <f t="shared" ca="1" si="445"/>
        <v>0</v>
      </c>
      <c r="CF221" s="88">
        <f t="shared" ca="1" si="445"/>
        <v>0</v>
      </c>
      <c r="CG221" s="88">
        <f t="shared" ca="1" si="445"/>
        <v>0</v>
      </c>
      <c r="CH221" s="88">
        <f t="shared" ca="1" si="445"/>
        <v>0</v>
      </c>
      <c r="CI221" s="88">
        <f t="shared" ca="1" si="445"/>
        <v>0</v>
      </c>
      <c r="CJ221" s="88">
        <f t="shared" ca="1" si="445"/>
        <v>0</v>
      </c>
      <c r="CK221" s="88">
        <f t="shared" ca="1" si="446"/>
        <v>0</v>
      </c>
      <c r="CL221" s="88">
        <f t="shared" ca="1" si="446"/>
        <v>0</v>
      </c>
      <c r="CM221" s="88">
        <f t="shared" ca="1" si="446"/>
        <v>0</v>
      </c>
      <c r="CN221" s="88">
        <f t="shared" ca="1" si="446"/>
        <v>0</v>
      </c>
      <c r="CO221" s="88">
        <f t="shared" ca="1" si="446"/>
        <v>0</v>
      </c>
      <c r="CP221" s="88">
        <f t="shared" ca="1" si="446"/>
        <v>0</v>
      </c>
      <c r="CQ221" s="88">
        <f t="shared" ca="1" si="446"/>
        <v>0</v>
      </c>
      <c r="CR221" s="88">
        <f t="shared" ca="1" si="446"/>
        <v>0</v>
      </c>
      <c r="CS221" s="88">
        <f t="shared" ca="1" si="446"/>
        <v>0</v>
      </c>
      <c r="CT221" s="88">
        <f t="shared" ca="1" si="446"/>
        <v>0</v>
      </c>
      <c r="CU221" s="88">
        <f t="shared" ca="1" si="447"/>
        <v>0</v>
      </c>
      <c r="CV221" s="88">
        <f t="shared" ca="1" si="447"/>
        <v>0</v>
      </c>
      <c r="CW221" s="88">
        <f t="shared" ca="1" si="447"/>
        <v>0</v>
      </c>
      <c r="CX221" s="88">
        <f t="shared" ca="1" si="447"/>
        <v>0</v>
      </c>
      <c r="CY221" s="88">
        <f t="shared" ca="1" si="447"/>
        <v>0</v>
      </c>
      <c r="CZ221" s="88">
        <f t="shared" ca="1" si="447"/>
        <v>0</v>
      </c>
      <c r="DA221" s="88">
        <f t="shared" ca="1" si="447"/>
        <v>0</v>
      </c>
      <c r="DB221" s="88">
        <f t="shared" ca="1" si="447"/>
        <v>0</v>
      </c>
      <c r="DC221" s="88">
        <f t="shared" ca="1" si="447"/>
        <v>0</v>
      </c>
      <c r="DD221" s="88">
        <f t="shared" ca="1" si="447"/>
        <v>0</v>
      </c>
      <c r="DE221" s="88">
        <f t="shared" ca="1" si="447"/>
        <v>0</v>
      </c>
      <c r="DF221" s="88">
        <f t="shared" ca="1" si="447"/>
        <v>0</v>
      </c>
      <c r="DG221" s="88">
        <f t="shared" ca="1" si="447"/>
        <v>0</v>
      </c>
      <c r="DH221" s="88">
        <f t="shared" ca="1" si="447"/>
        <v>0</v>
      </c>
      <c r="DI221" s="88">
        <f t="shared" ca="1" si="447"/>
        <v>0</v>
      </c>
      <c r="DJ221" s="169"/>
      <c r="DK221" s="88">
        <f t="shared" ca="1" si="448"/>
        <v>0</v>
      </c>
      <c r="DL221" s="88">
        <f t="shared" ca="1" si="448"/>
        <v>0</v>
      </c>
      <c r="DM221" s="88">
        <f t="shared" ca="1" si="448"/>
        <v>0</v>
      </c>
      <c r="DN221" s="88">
        <f t="shared" ca="1" si="448"/>
        <v>0</v>
      </c>
      <c r="DO221" s="88">
        <f t="shared" ca="1" si="448"/>
        <v>0</v>
      </c>
      <c r="DP221" s="88">
        <f t="shared" ca="1" si="448"/>
        <v>0</v>
      </c>
      <c r="DQ221" s="88">
        <f t="shared" ca="1" si="448"/>
        <v>0</v>
      </c>
      <c r="DR221" s="88">
        <f t="shared" ca="1" si="448"/>
        <v>0</v>
      </c>
      <c r="DS221" s="88">
        <f t="shared" ca="1" si="448"/>
        <v>0</v>
      </c>
      <c r="DT221" s="88">
        <f t="shared" ca="1" si="448"/>
        <v>0</v>
      </c>
      <c r="DU221" s="88">
        <f t="shared" ca="1" si="449"/>
        <v>0</v>
      </c>
      <c r="DV221" s="88">
        <f t="shared" ca="1" si="449"/>
        <v>0</v>
      </c>
      <c r="DW221" s="88">
        <f t="shared" ca="1" si="449"/>
        <v>0</v>
      </c>
      <c r="DX221" s="88">
        <f t="shared" ca="1" si="449"/>
        <v>0</v>
      </c>
      <c r="DY221" s="88">
        <f t="shared" ca="1" si="449"/>
        <v>0</v>
      </c>
      <c r="DZ221" s="88">
        <f t="shared" ca="1" si="449"/>
        <v>0</v>
      </c>
      <c r="EA221" s="88">
        <f t="shared" ca="1" si="449"/>
        <v>0</v>
      </c>
      <c r="EB221" s="88">
        <f t="shared" ca="1" si="449"/>
        <v>0</v>
      </c>
      <c r="EC221" s="88">
        <f t="shared" ca="1" si="449"/>
        <v>0</v>
      </c>
      <c r="ED221" s="88">
        <f t="shared" ca="1" si="449"/>
        <v>0</v>
      </c>
      <c r="EE221" s="88">
        <f t="shared" ca="1" si="450"/>
        <v>0</v>
      </c>
      <c r="EF221" s="88">
        <f t="shared" ca="1" si="450"/>
        <v>0</v>
      </c>
      <c r="EG221" s="88">
        <f t="shared" ca="1" si="450"/>
        <v>0</v>
      </c>
      <c r="EH221" s="88">
        <f t="shared" ca="1" si="450"/>
        <v>0</v>
      </c>
      <c r="EI221" s="88">
        <f t="shared" ca="1" si="450"/>
        <v>0</v>
      </c>
      <c r="EJ221" s="88">
        <f t="shared" ca="1" si="450"/>
        <v>0</v>
      </c>
      <c r="EK221" s="88">
        <f t="shared" ca="1" si="450"/>
        <v>0</v>
      </c>
      <c r="EL221" s="88">
        <f t="shared" ca="1" si="450"/>
        <v>0</v>
      </c>
      <c r="EM221" s="88">
        <f t="shared" ca="1" si="450"/>
        <v>0</v>
      </c>
      <c r="EN221" s="88">
        <f t="shared" ca="1" si="450"/>
        <v>0</v>
      </c>
      <c r="EO221" s="88">
        <f t="shared" ca="1" si="450"/>
        <v>0</v>
      </c>
      <c r="EP221" s="88">
        <f t="shared" ca="1" si="450"/>
        <v>0</v>
      </c>
      <c r="EQ221" s="88">
        <f t="shared" ca="1" si="450"/>
        <v>0</v>
      </c>
      <c r="ER221" s="88">
        <f t="shared" ca="1" si="450"/>
        <v>0</v>
      </c>
      <c r="ES221" s="88">
        <f t="shared" ca="1" si="450"/>
        <v>0</v>
      </c>
      <c r="ET221" s="169"/>
      <c r="EU221" s="88">
        <f t="shared" ca="1" si="451"/>
        <v>0</v>
      </c>
      <c r="EV221" s="88">
        <f t="shared" ca="1" si="451"/>
        <v>0</v>
      </c>
      <c r="EW221" s="88">
        <f t="shared" ca="1" si="451"/>
        <v>0</v>
      </c>
      <c r="EX221" s="88">
        <f t="shared" ca="1" si="451"/>
        <v>0</v>
      </c>
      <c r="EY221" s="88">
        <f t="shared" ca="1" si="451"/>
        <v>0</v>
      </c>
      <c r="EZ221" s="88">
        <f t="shared" ca="1" si="451"/>
        <v>0</v>
      </c>
      <c r="FA221" s="88">
        <f t="shared" ca="1" si="451"/>
        <v>0</v>
      </c>
      <c r="FB221" s="88">
        <f t="shared" ca="1" si="451"/>
        <v>0</v>
      </c>
      <c r="FC221" s="88">
        <f t="shared" ca="1" si="451"/>
        <v>0</v>
      </c>
      <c r="FD221" s="88">
        <f t="shared" ca="1" si="451"/>
        <v>0</v>
      </c>
      <c r="FE221" s="88">
        <f t="shared" ca="1" si="452"/>
        <v>0</v>
      </c>
      <c r="FF221" s="88">
        <f t="shared" ca="1" si="452"/>
        <v>0</v>
      </c>
      <c r="FG221" s="88">
        <f t="shared" ca="1" si="452"/>
        <v>0</v>
      </c>
      <c r="FH221" s="88">
        <f t="shared" ca="1" si="452"/>
        <v>0</v>
      </c>
      <c r="FI221" s="88">
        <f t="shared" ca="1" si="452"/>
        <v>0</v>
      </c>
      <c r="FJ221" s="88">
        <f t="shared" ca="1" si="452"/>
        <v>0</v>
      </c>
      <c r="FK221" s="88">
        <f t="shared" ca="1" si="452"/>
        <v>0</v>
      </c>
      <c r="FL221" s="88">
        <f t="shared" ca="1" si="452"/>
        <v>0</v>
      </c>
      <c r="FM221" s="88">
        <f t="shared" ca="1" si="452"/>
        <v>0</v>
      </c>
      <c r="FN221" s="88">
        <f t="shared" ca="1" si="452"/>
        <v>0</v>
      </c>
      <c r="FO221" s="88">
        <f t="shared" ca="1" si="453"/>
        <v>0</v>
      </c>
      <c r="FP221" s="88">
        <f t="shared" ca="1" si="453"/>
        <v>0</v>
      </c>
      <c r="FQ221" s="88">
        <f t="shared" ca="1" si="453"/>
        <v>0</v>
      </c>
      <c r="FR221" s="88">
        <f t="shared" ca="1" si="453"/>
        <v>0</v>
      </c>
      <c r="FS221" s="88">
        <f t="shared" ca="1" si="453"/>
        <v>0</v>
      </c>
      <c r="FT221" s="88">
        <f t="shared" ca="1" si="453"/>
        <v>0</v>
      </c>
      <c r="FU221" s="88">
        <f t="shared" ca="1" si="453"/>
        <v>0</v>
      </c>
      <c r="FV221" s="88">
        <f t="shared" ca="1" si="453"/>
        <v>0</v>
      </c>
      <c r="FW221" s="88">
        <f t="shared" ca="1" si="453"/>
        <v>0</v>
      </c>
      <c r="FX221" s="88">
        <f t="shared" ca="1" si="453"/>
        <v>0</v>
      </c>
      <c r="FY221" s="88">
        <f t="shared" ca="1" si="453"/>
        <v>0</v>
      </c>
      <c r="FZ221" s="88">
        <f t="shared" ca="1" si="453"/>
        <v>0</v>
      </c>
      <c r="GA221" s="88">
        <f t="shared" ca="1" si="453"/>
        <v>0</v>
      </c>
      <c r="GB221" s="88">
        <f t="shared" ca="1" si="453"/>
        <v>0</v>
      </c>
      <c r="GC221" s="88">
        <f t="shared" ca="1" si="453"/>
        <v>0</v>
      </c>
      <c r="GD221" s="60"/>
    </row>
    <row r="222" spans="1:186" s="54" customFormat="1" ht="14.45" customHeight="1">
      <c r="A222" s="61"/>
      <c r="B222" s="100" t="str">
        <f t="shared" si="418"/>
        <v>Residential_Residential Audit_0_LED_2019</v>
      </c>
      <c r="C222" s="100">
        <f>INDEX('Measure Inputs'!$D:$D,MATCH($B222,'Measure Inputs'!$B:$B,0))</f>
        <v>174</v>
      </c>
      <c r="D222" s="101" t="s">
        <v>2</v>
      </c>
      <c r="E222" s="101" t="s">
        <v>251</v>
      </c>
      <c r="F222" s="101">
        <v>0</v>
      </c>
      <c r="G222" s="101" t="s">
        <v>216</v>
      </c>
      <c r="H222" s="101">
        <v>2019</v>
      </c>
      <c r="I222" s="55"/>
      <c r="J222" s="58" t="str">
        <f t="shared" ca="1" si="229"/>
        <v>n/a</v>
      </c>
      <c r="K222" s="58" t="str">
        <f t="shared" ca="1" si="246"/>
        <v>n/a</v>
      </c>
      <c r="L222" s="58" t="str">
        <f t="shared" ca="1" si="230"/>
        <v>n/a</v>
      </c>
      <c r="M222" s="58" t="str">
        <f t="shared" ca="1" si="231"/>
        <v>n/a</v>
      </c>
      <c r="N222" s="58">
        <f t="shared" ca="1" si="232"/>
        <v>0.26866943777996122</v>
      </c>
      <c r="O222" s="55"/>
      <c r="P222" s="175">
        <f ca="1">IFERROR(($AW222+AV222)/SUMPRODUCT($CA222:$DI222,'General Inputs'!$F$51:$AN$51),"n/a")</f>
        <v>0</v>
      </c>
      <c r="Q222" s="175">
        <f t="shared" ca="1" si="454"/>
        <v>0</v>
      </c>
      <c r="R222" s="56">
        <f t="shared" ca="1" si="441"/>
        <v>422.07056892000003</v>
      </c>
      <c r="S222" s="55"/>
      <c r="T222" s="56">
        <f ca="1">INDEX(OFFSET('Measure Inputs'!$L$7,,,InputRows),$C222)</f>
        <v>1300</v>
      </c>
      <c r="U222" s="134">
        <f ca="1">INDEX(OFFSET('Measure Inputs'!$T$7,,,InputRows),$C222)</f>
        <v>1</v>
      </c>
      <c r="V222" s="134">
        <f ca="1">INDEX(OFFSET('Measure Inputs'!$U$7,,,InputRows),$C222)</f>
        <v>1</v>
      </c>
      <c r="W222" s="55"/>
      <c r="X222" s="96">
        <f ca="1">INDEX(OFFSET('Measure Inputs'!$V$7,,,InputRows),$C222)*$T222*$V222*$U222</f>
        <v>42207.056892000001</v>
      </c>
      <c r="Y222" s="96">
        <f ca="1">INDEX(OFFSET('Measure Inputs'!$W$7,,,InputRows),$C222)*$T222*$V222*$U222</f>
        <v>3.7049053859999992</v>
      </c>
      <c r="Z222" s="96">
        <f ca="1">INDEX(OFFSET('Measure Inputs'!$X$7,,,InputRows),$C222)*$T222*$V222*$U222</f>
        <v>0</v>
      </c>
      <c r="AA222" s="55"/>
      <c r="AB222" s="96">
        <f ca="1">INDEX(OFFSET('Measure Inputs'!$Z$7,,,InputRows),$C222)*$T222*$V222*$U222</f>
        <v>0</v>
      </c>
      <c r="AC222" s="96">
        <f ca="1">INDEX(OFFSET('Measure Inputs'!$AA$7,,,InputRows),$C222)*$T222*$V222*$U222</f>
        <v>0</v>
      </c>
      <c r="AD222" s="96">
        <f ca="1">INDEX(OFFSET('Measure Inputs'!$AB$7,,,InputRows),$C222)*$T222*$V222*$U222</f>
        <v>0</v>
      </c>
      <c r="AE222" s="55"/>
      <c r="AF222" s="57">
        <f ca="1">INDEX(OFFSET('Measure Inputs'!$Q$7,,,InputRows),$C222)*$T222</f>
        <v>0</v>
      </c>
      <c r="AG222" s="57">
        <f ca="1">INDEX(OFFSET('Measure Inputs'!$P$7,,,InputRows),$C222)*$T222*$V222</f>
        <v>0</v>
      </c>
      <c r="AH222" s="57">
        <f ca="1">INDEX(OFFSET('Measure Inputs'!$R$7,,,InputRows),$C222)*$T222*$V222</f>
        <v>0</v>
      </c>
      <c r="AI222" s="57">
        <f ca="1">INDEX(OFFSET('Measure Inputs'!$O$7,,,InputRows),$C222)*$T222</f>
        <v>0</v>
      </c>
      <c r="AJ222" s="57">
        <f ca="1">INDEX(OFFSET('Measure Inputs'!$S$7,,,InputRows),$C222)*$T222</f>
        <v>0</v>
      </c>
      <c r="AK222" s="63">
        <f ca="1">INDEX(OFFSET('Measure Inputs'!$M$7,,,InputRows),$C222)</f>
        <v>10</v>
      </c>
      <c r="AL222" s="88">
        <f ca="1">INDEX(OFFSET('Measure Inputs'!$N$7,,,InputRows),$C222)</f>
        <v>0</v>
      </c>
      <c r="AM222" s="57">
        <f ca="1">SUMIFS(OFFSET('Program Inputs'!$N$5,,,TotalPrograms),OFFSET('Program Inputs'!$B$5,,,TotalPrograms),SUBSTITUTE($B222,"All","*"))+AF222</f>
        <v>0</v>
      </c>
      <c r="AN222" s="57">
        <f t="shared" ca="1" si="442"/>
        <v>0</v>
      </c>
      <c r="AO222" s="55"/>
      <c r="AP222" s="59">
        <f t="shared" ca="1" si="443"/>
        <v>8391.0356951148788</v>
      </c>
      <c r="AQ222" s="59">
        <f t="shared" ca="1" si="444"/>
        <v>0</v>
      </c>
      <c r="AR222" s="59">
        <f ca="1">SUMPRODUCT($CA222:$DI222,'General Inputs'!$F$32:$AN$32,'General Inputs'!$F$51:$AN$51)/(1-Loss_ElectricEnergy)</f>
        <v>7892.7116081121158</v>
      </c>
      <c r="AS222" s="59">
        <f ca="1">SUMPRODUCT($DK222:$ES222,'General Inputs'!$F$33:$AN$33,'General Inputs'!$F$51:$AN$51)/(1-Loss_ElectricDemand)</f>
        <v>498.32408700276216</v>
      </c>
      <c r="AT222" s="59">
        <f ca="1">SUMPRODUCT($EU222:$GC222,'General Inputs'!$F$34:$AN$34,'General Inputs'!$F$51:$AN$51)/(1-Loss_GasEnergy)</f>
        <v>0</v>
      </c>
      <c r="AU222" s="59">
        <f ca="1">INDEX('General Inputs'!$F$51:$AN$51,MATCH($H222,'General Inputs'!$F$50:$AN$50,0))*$AJ222</f>
        <v>0</v>
      </c>
      <c r="AV222" s="59">
        <f ca="1">INDEX('General Inputs'!$F$51:$AN$51,MATCH($H222,'General Inputs'!$F$50:$AN$50,0))*$AI222</f>
        <v>0</v>
      </c>
      <c r="AW222" s="59">
        <f ca="1">INDEX('General Inputs'!$F$51:$AN$51,MATCH($H222,'General Inputs'!$F$50:$AN$50,0))*$AM222</f>
        <v>0</v>
      </c>
      <c r="AX222" s="59">
        <f ca="1">SUM(INDEX('General Inputs'!$F$51:$AN$51,MATCH($H222,'General Inputs'!$F$50:$AN$50,0))*$AG222,INDEX('General Inputs'!$F$51:$AN$51,MATCH($H222+$AL222,'General Inputs'!$F$50:$AN$50,0))*-$AH222)</f>
        <v>0</v>
      </c>
      <c r="AY222" s="55"/>
      <c r="AZ222" s="59">
        <f ca="1">SUMPRODUCT($CA222:$DI222,'General Inputs'!$F$32:$AN$32,'General Inputs'!$F$52:$AN$52)/(1-Loss_ElectricEnergy)</f>
        <v>7892.7116081121158</v>
      </c>
      <c r="BA222" s="59">
        <f ca="1">SUMPRODUCT($DK222:$ES222,'General Inputs'!$F$33:$AN$33,'General Inputs'!$F$52:$AN$52)/(1-Loss_ElectricDemand)</f>
        <v>498.32408700276216</v>
      </c>
      <c r="BB222" s="59">
        <f ca="1">SUMPRODUCT($EU222:$GC222,'General Inputs'!$F$34:$AN$34,'General Inputs'!$F$52:$AN$52)/(1-Loss_GasEnergy)</f>
        <v>0</v>
      </c>
      <c r="BC222" s="59">
        <f ca="1">INDEX('General Inputs'!$F$52:$AN$52,MATCH($H222,'General Inputs'!$F$50:$AN$50,0))*$AI222</f>
        <v>0</v>
      </c>
      <c r="BD222" s="59">
        <f ca="1">INDEX('General Inputs'!$F$52:$AN$52,MATCH($H222,'General Inputs'!$F$50:$AN$50,0))*$AM222</f>
        <v>0</v>
      </c>
      <c r="BE222" s="55"/>
      <c r="BF222" s="59">
        <f ca="1">SUMPRODUCT($CA222:$DI222,OFFSET('General Inputs'!$F$40:$AN$40,MATCH($D222&amp;" Electric ($/kWh)",'General Inputs'!$E$40:$E$46,0),),'General Inputs'!$F$54:$AN$54)</f>
        <v>31231.820650873924</v>
      </c>
      <c r="BG222" s="59">
        <f ca="1">SUMPRODUCT($EU222:$GC222,OFFSET('General Inputs'!$F$40:$AN$40,MATCH($D222&amp;" Natural Gas ($/therm)",'General Inputs'!$E$40:$E$46,0),),'General Inputs'!$F$54:$AN$54)</f>
        <v>0</v>
      </c>
      <c r="BH222" s="59">
        <f ca="1">INDEX('General Inputs'!$F$54:$AN$54,MATCH($H222,'General Inputs'!$F$50:$AN$50,0))*$AI222</f>
        <v>0</v>
      </c>
      <c r="BI222" s="59">
        <f ca="1">SUM(INDEX('General Inputs'!$F$54:$AN$54,MATCH($H222,'General Inputs'!$F$50:$AN$50,0))*$AG222,INDEX('General Inputs'!$F$51:$AN$51,MATCH($H222+$AL222,'General Inputs'!$F$50:$AN$50,0))*-$AH222)</f>
        <v>0</v>
      </c>
      <c r="BJ222" s="55"/>
      <c r="BK222" s="59">
        <f ca="1">SUMPRODUCT($CA222:$DI222,'General Inputs'!$F$32:$AN$32,'General Inputs'!$F$53:$AN$53)/(1-Loss_ElectricEnergy)</f>
        <v>7892.7116081121158</v>
      </c>
      <c r="BL222" s="59">
        <f ca="1">SUMPRODUCT($DK222:$ES222,'General Inputs'!$F$33:$AN$33,'General Inputs'!$F$53:$AN$53)/(1-Loss_ElectricDemand)</f>
        <v>498.32408700276216</v>
      </c>
      <c r="BM222" s="59">
        <f ca="1">SUMPRODUCT($EU222:$GC222,'General Inputs'!$F$34:$AN$34,'General Inputs'!$F$53:$AN$53)/(1-Loss_GasEnergy)</f>
        <v>0</v>
      </c>
      <c r="BN222" s="59">
        <f ca="1">INDEX('General Inputs'!$F$53:$AN$53,MATCH($H222,'General Inputs'!$F$50:$AN$50,0))*$AJ222</f>
        <v>0</v>
      </c>
      <c r="BO222" s="59">
        <f ca="1">SUMPRODUCT($CA222:$DI222,'General Inputs'!$F$35:$AN$35,'General Inputs'!$F$53:$AN$53)/(1-Loss_ElectricEnergy)</f>
        <v>2998.1238576971841</v>
      </c>
      <c r="BP222" s="59">
        <f ca="1">INDEX('General Inputs'!$F$51:$AN$51,MATCH($H222,'General Inputs'!$F$50:$AN$50,0))*$AM222</f>
        <v>0</v>
      </c>
      <c r="BQ222" s="59">
        <f ca="1">SUM(INDEX('General Inputs'!$F$53:$AN$53,MATCH($H222,'General Inputs'!$F$50:$AN$50,0))*$AG222,INDEX('General Inputs'!$F$53:$AN$53,MATCH($H222+$AL222,'General Inputs'!$F$50:$AN$50,0))*-$AH222)</f>
        <v>0</v>
      </c>
      <c r="BR222" s="55"/>
      <c r="BS222" s="59">
        <f ca="1">SUMPRODUCT($CA222:$DI222,'General Inputs'!$F$32:$AN$32,'General Inputs'!$F$55:$AN$55)/(1-Loss_ElectricEnergy)</f>
        <v>7892.7116081121158</v>
      </c>
      <c r="BT222" s="59">
        <f ca="1">SUMPRODUCT($DK222:$ES222,'General Inputs'!$F$33:$AN$33,'General Inputs'!$F$55:$AN$55)/(1-Loss_ElectricDemand)</f>
        <v>498.32408700276216</v>
      </c>
      <c r="BU222" s="59">
        <f ca="1">SUMPRODUCT($EU222:$GC222,'General Inputs'!$F$34:$AN$34,'General Inputs'!$F$55:$AN$55)/(1-Loss_GasEnergy)</f>
        <v>0</v>
      </c>
      <c r="BV222" s="59">
        <f ca="1">SUMPRODUCT($CA222:$DI222,OFFSET('General Inputs'!$F$40:$AN$40,MATCH($D222&amp;" Electric ($/kWh)",'General Inputs'!$E$40:$E$46,0),),'General Inputs'!$F$55:$AN$55)</f>
        <v>31231.820650873924</v>
      </c>
      <c r="BW222" s="59">
        <f ca="1">SUMPRODUCT($EU222:$GC222,OFFSET('General Inputs'!$F$40:$AN$40,MATCH($D222&amp;" Natural Gas ($/therm)",'General Inputs'!$E$40:$E$46,0),),'General Inputs'!$F$55:$AN$55)</f>
        <v>0</v>
      </c>
      <c r="BX222" s="59">
        <f ca="1">INDEX('General Inputs'!$F$55:$AN$55,MATCH($H222,'General Inputs'!$F$50:$AN$50,0))*$AI222</f>
        <v>0</v>
      </c>
      <c r="BY222" s="59">
        <f ca="1">INDEX('General Inputs'!$F$51:$AN$51,MATCH($H222,'General Inputs'!$F$50:$AN$50,0))*$AM222</f>
        <v>0</v>
      </c>
      <c r="BZ222" s="55"/>
      <c r="CA222" s="88">
        <f t="shared" ca="1" si="445"/>
        <v>0</v>
      </c>
      <c r="CB222" s="88">
        <f t="shared" ca="1" si="445"/>
        <v>0</v>
      </c>
      <c r="CC222" s="88">
        <f t="shared" ca="1" si="445"/>
        <v>42207.056892000001</v>
      </c>
      <c r="CD222" s="88">
        <f t="shared" ca="1" si="445"/>
        <v>42207.056892000001</v>
      </c>
      <c r="CE222" s="88">
        <f t="shared" ca="1" si="445"/>
        <v>42207.056892000001</v>
      </c>
      <c r="CF222" s="88">
        <f t="shared" ca="1" si="445"/>
        <v>42207.056892000001</v>
      </c>
      <c r="CG222" s="88">
        <f t="shared" ca="1" si="445"/>
        <v>42207.056892000001</v>
      </c>
      <c r="CH222" s="88">
        <f t="shared" ca="1" si="445"/>
        <v>42207.056892000001</v>
      </c>
      <c r="CI222" s="88">
        <f t="shared" ca="1" si="445"/>
        <v>42207.056892000001</v>
      </c>
      <c r="CJ222" s="88">
        <f t="shared" ca="1" si="445"/>
        <v>42207.056892000001</v>
      </c>
      <c r="CK222" s="88">
        <f t="shared" ca="1" si="446"/>
        <v>42207.056892000001</v>
      </c>
      <c r="CL222" s="88">
        <f t="shared" ca="1" si="446"/>
        <v>42207.056892000001</v>
      </c>
      <c r="CM222" s="88">
        <f t="shared" ca="1" si="446"/>
        <v>0</v>
      </c>
      <c r="CN222" s="88">
        <f t="shared" ca="1" si="446"/>
        <v>0</v>
      </c>
      <c r="CO222" s="88">
        <f t="shared" ca="1" si="446"/>
        <v>0</v>
      </c>
      <c r="CP222" s="88">
        <f t="shared" ca="1" si="446"/>
        <v>0</v>
      </c>
      <c r="CQ222" s="88">
        <f t="shared" ca="1" si="446"/>
        <v>0</v>
      </c>
      <c r="CR222" s="88">
        <f t="shared" ca="1" si="446"/>
        <v>0</v>
      </c>
      <c r="CS222" s="88">
        <f t="shared" ca="1" si="446"/>
        <v>0</v>
      </c>
      <c r="CT222" s="88">
        <f t="shared" ca="1" si="446"/>
        <v>0</v>
      </c>
      <c r="CU222" s="88">
        <f t="shared" ca="1" si="447"/>
        <v>0</v>
      </c>
      <c r="CV222" s="88">
        <f t="shared" ca="1" si="447"/>
        <v>0</v>
      </c>
      <c r="CW222" s="88">
        <f t="shared" ca="1" si="447"/>
        <v>0</v>
      </c>
      <c r="CX222" s="88">
        <f t="shared" ca="1" si="447"/>
        <v>0</v>
      </c>
      <c r="CY222" s="88">
        <f t="shared" ca="1" si="447"/>
        <v>0</v>
      </c>
      <c r="CZ222" s="88">
        <f t="shared" ca="1" si="447"/>
        <v>0</v>
      </c>
      <c r="DA222" s="88">
        <f t="shared" ca="1" si="447"/>
        <v>0</v>
      </c>
      <c r="DB222" s="88">
        <f t="shared" ca="1" si="447"/>
        <v>0</v>
      </c>
      <c r="DC222" s="88">
        <f t="shared" ca="1" si="447"/>
        <v>0</v>
      </c>
      <c r="DD222" s="88">
        <f t="shared" ca="1" si="447"/>
        <v>0</v>
      </c>
      <c r="DE222" s="88">
        <f t="shared" ca="1" si="447"/>
        <v>0</v>
      </c>
      <c r="DF222" s="88">
        <f t="shared" ca="1" si="447"/>
        <v>0</v>
      </c>
      <c r="DG222" s="88">
        <f t="shared" ca="1" si="447"/>
        <v>0</v>
      </c>
      <c r="DH222" s="88">
        <f t="shared" ca="1" si="447"/>
        <v>0</v>
      </c>
      <c r="DI222" s="88">
        <f t="shared" ca="1" si="447"/>
        <v>0</v>
      </c>
      <c r="DJ222" s="169"/>
      <c r="DK222" s="88">
        <f t="shared" ca="1" si="448"/>
        <v>0</v>
      </c>
      <c r="DL222" s="88">
        <f t="shared" ca="1" si="448"/>
        <v>0</v>
      </c>
      <c r="DM222" s="88">
        <f t="shared" ca="1" si="448"/>
        <v>3.7049053859999992</v>
      </c>
      <c r="DN222" s="88">
        <f t="shared" ca="1" si="448"/>
        <v>3.7049053859999992</v>
      </c>
      <c r="DO222" s="88">
        <f t="shared" ca="1" si="448"/>
        <v>3.7049053859999992</v>
      </c>
      <c r="DP222" s="88">
        <f t="shared" ca="1" si="448"/>
        <v>3.7049053859999992</v>
      </c>
      <c r="DQ222" s="88">
        <f t="shared" ca="1" si="448"/>
        <v>3.7049053859999992</v>
      </c>
      <c r="DR222" s="88">
        <f t="shared" ca="1" si="448"/>
        <v>3.7049053859999992</v>
      </c>
      <c r="DS222" s="88">
        <f t="shared" ca="1" si="448"/>
        <v>3.7049053859999992</v>
      </c>
      <c r="DT222" s="88">
        <f t="shared" ca="1" si="448"/>
        <v>3.7049053859999992</v>
      </c>
      <c r="DU222" s="88">
        <f t="shared" ca="1" si="449"/>
        <v>3.7049053859999992</v>
      </c>
      <c r="DV222" s="88">
        <f t="shared" ca="1" si="449"/>
        <v>3.7049053859999992</v>
      </c>
      <c r="DW222" s="88">
        <f t="shared" ca="1" si="449"/>
        <v>0</v>
      </c>
      <c r="DX222" s="88">
        <f t="shared" ca="1" si="449"/>
        <v>0</v>
      </c>
      <c r="DY222" s="88">
        <f t="shared" ca="1" si="449"/>
        <v>0</v>
      </c>
      <c r="DZ222" s="88">
        <f t="shared" ca="1" si="449"/>
        <v>0</v>
      </c>
      <c r="EA222" s="88">
        <f t="shared" ca="1" si="449"/>
        <v>0</v>
      </c>
      <c r="EB222" s="88">
        <f t="shared" ca="1" si="449"/>
        <v>0</v>
      </c>
      <c r="EC222" s="88">
        <f t="shared" ca="1" si="449"/>
        <v>0</v>
      </c>
      <c r="ED222" s="88">
        <f t="shared" ca="1" si="449"/>
        <v>0</v>
      </c>
      <c r="EE222" s="88">
        <f t="shared" ca="1" si="450"/>
        <v>0</v>
      </c>
      <c r="EF222" s="88">
        <f t="shared" ca="1" si="450"/>
        <v>0</v>
      </c>
      <c r="EG222" s="88">
        <f t="shared" ca="1" si="450"/>
        <v>0</v>
      </c>
      <c r="EH222" s="88">
        <f t="shared" ca="1" si="450"/>
        <v>0</v>
      </c>
      <c r="EI222" s="88">
        <f t="shared" ca="1" si="450"/>
        <v>0</v>
      </c>
      <c r="EJ222" s="88">
        <f t="shared" ca="1" si="450"/>
        <v>0</v>
      </c>
      <c r="EK222" s="88">
        <f t="shared" ca="1" si="450"/>
        <v>0</v>
      </c>
      <c r="EL222" s="88">
        <f t="shared" ca="1" si="450"/>
        <v>0</v>
      </c>
      <c r="EM222" s="88">
        <f t="shared" ca="1" si="450"/>
        <v>0</v>
      </c>
      <c r="EN222" s="88">
        <f t="shared" ca="1" si="450"/>
        <v>0</v>
      </c>
      <c r="EO222" s="88">
        <f t="shared" ca="1" si="450"/>
        <v>0</v>
      </c>
      <c r="EP222" s="88">
        <f t="shared" ca="1" si="450"/>
        <v>0</v>
      </c>
      <c r="EQ222" s="88">
        <f t="shared" ca="1" si="450"/>
        <v>0</v>
      </c>
      <c r="ER222" s="88">
        <f t="shared" ca="1" si="450"/>
        <v>0</v>
      </c>
      <c r="ES222" s="88">
        <f t="shared" ca="1" si="450"/>
        <v>0</v>
      </c>
      <c r="ET222" s="169"/>
      <c r="EU222" s="88">
        <f t="shared" ca="1" si="451"/>
        <v>0</v>
      </c>
      <c r="EV222" s="88">
        <f t="shared" ca="1" si="451"/>
        <v>0</v>
      </c>
      <c r="EW222" s="88">
        <f t="shared" ca="1" si="451"/>
        <v>0</v>
      </c>
      <c r="EX222" s="88">
        <f t="shared" ca="1" si="451"/>
        <v>0</v>
      </c>
      <c r="EY222" s="88">
        <f t="shared" ca="1" si="451"/>
        <v>0</v>
      </c>
      <c r="EZ222" s="88">
        <f t="shared" ca="1" si="451"/>
        <v>0</v>
      </c>
      <c r="FA222" s="88">
        <f t="shared" ca="1" si="451"/>
        <v>0</v>
      </c>
      <c r="FB222" s="88">
        <f t="shared" ca="1" si="451"/>
        <v>0</v>
      </c>
      <c r="FC222" s="88">
        <f t="shared" ca="1" si="451"/>
        <v>0</v>
      </c>
      <c r="FD222" s="88">
        <f t="shared" ca="1" si="451"/>
        <v>0</v>
      </c>
      <c r="FE222" s="88">
        <f t="shared" ca="1" si="452"/>
        <v>0</v>
      </c>
      <c r="FF222" s="88">
        <f t="shared" ca="1" si="452"/>
        <v>0</v>
      </c>
      <c r="FG222" s="88">
        <f t="shared" ca="1" si="452"/>
        <v>0</v>
      </c>
      <c r="FH222" s="88">
        <f t="shared" ca="1" si="452"/>
        <v>0</v>
      </c>
      <c r="FI222" s="88">
        <f t="shared" ca="1" si="452"/>
        <v>0</v>
      </c>
      <c r="FJ222" s="88">
        <f t="shared" ca="1" si="452"/>
        <v>0</v>
      </c>
      <c r="FK222" s="88">
        <f t="shared" ca="1" si="452"/>
        <v>0</v>
      </c>
      <c r="FL222" s="88">
        <f t="shared" ca="1" si="452"/>
        <v>0</v>
      </c>
      <c r="FM222" s="88">
        <f t="shared" ca="1" si="452"/>
        <v>0</v>
      </c>
      <c r="FN222" s="88">
        <f t="shared" ca="1" si="452"/>
        <v>0</v>
      </c>
      <c r="FO222" s="88">
        <f t="shared" ca="1" si="453"/>
        <v>0</v>
      </c>
      <c r="FP222" s="88">
        <f t="shared" ca="1" si="453"/>
        <v>0</v>
      </c>
      <c r="FQ222" s="88">
        <f t="shared" ca="1" si="453"/>
        <v>0</v>
      </c>
      <c r="FR222" s="88">
        <f t="shared" ca="1" si="453"/>
        <v>0</v>
      </c>
      <c r="FS222" s="88">
        <f t="shared" ca="1" si="453"/>
        <v>0</v>
      </c>
      <c r="FT222" s="88">
        <f t="shared" ca="1" si="453"/>
        <v>0</v>
      </c>
      <c r="FU222" s="88">
        <f t="shared" ca="1" si="453"/>
        <v>0</v>
      </c>
      <c r="FV222" s="88">
        <f t="shared" ca="1" si="453"/>
        <v>0</v>
      </c>
      <c r="FW222" s="88">
        <f t="shared" ca="1" si="453"/>
        <v>0</v>
      </c>
      <c r="FX222" s="88">
        <f t="shared" ca="1" si="453"/>
        <v>0</v>
      </c>
      <c r="FY222" s="88">
        <f t="shared" ca="1" si="453"/>
        <v>0</v>
      </c>
      <c r="FZ222" s="88">
        <f t="shared" ca="1" si="453"/>
        <v>0</v>
      </c>
      <c r="GA222" s="88">
        <f t="shared" ca="1" si="453"/>
        <v>0</v>
      </c>
      <c r="GB222" s="88">
        <f t="shared" ca="1" si="453"/>
        <v>0</v>
      </c>
      <c r="GC222" s="88">
        <f t="shared" ca="1" si="453"/>
        <v>0</v>
      </c>
      <c r="GD222" s="60"/>
    </row>
    <row r="223" spans="1:186" s="54" customFormat="1" ht="14.45" customHeight="1">
      <c r="A223" s="61"/>
      <c r="B223" s="100" t="str">
        <f t="shared" si="418"/>
        <v>Residential_Residential Audit_0_Faucet Aerator_2019</v>
      </c>
      <c r="C223" s="100">
        <f>INDEX('Measure Inputs'!$D:$D,MATCH($B223,'Measure Inputs'!$B:$B,0))</f>
        <v>175</v>
      </c>
      <c r="D223" s="101" t="s">
        <v>2</v>
      </c>
      <c r="E223" s="101" t="s">
        <v>251</v>
      </c>
      <c r="F223" s="101">
        <v>0</v>
      </c>
      <c r="G223" s="29" t="s">
        <v>525</v>
      </c>
      <c r="H223" s="101">
        <v>2019</v>
      </c>
      <c r="I223" s="55"/>
      <c r="J223" s="58" t="str">
        <f t="shared" ca="1" si="229"/>
        <v>n/a</v>
      </c>
      <c r="K223" s="58" t="str">
        <f t="shared" ca="1" si="246"/>
        <v>n/a</v>
      </c>
      <c r="L223" s="58" t="str">
        <f t="shared" ca="1" si="230"/>
        <v>n/a</v>
      </c>
      <c r="M223" s="58" t="str">
        <f t="shared" ca="1" si="231"/>
        <v>n/a</v>
      </c>
      <c r="N223" s="58">
        <f t="shared" ca="1" si="232"/>
        <v>0.32961653368545424</v>
      </c>
      <c r="O223" s="55"/>
      <c r="P223" s="175">
        <f ca="1">IFERROR(($AW223+AV223)/SUMPRODUCT($CA223:$DI223,'General Inputs'!$F$51:$AN$51),"n/a")</f>
        <v>0</v>
      </c>
      <c r="Q223" s="175">
        <f t="shared" ca="1" si="454"/>
        <v>0</v>
      </c>
      <c r="R223" s="56">
        <f t="shared" ca="1" si="441"/>
        <v>200.65128841522323</v>
      </c>
      <c r="S223" s="55"/>
      <c r="T223" s="56">
        <f ca="1">INDEX(OFFSET('Measure Inputs'!$L$7,,,InputRows),$C223)</f>
        <v>325</v>
      </c>
      <c r="U223" s="134">
        <f ca="1">INDEX(OFFSET('Measure Inputs'!$T$7,,,InputRows),$C223)</f>
        <v>1</v>
      </c>
      <c r="V223" s="134">
        <f ca="1">INDEX(OFFSET('Measure Inputs'!$U$7,,,InputRows),$C223)</f>
        <v>1</v>
      </c>
      <c r="W223" s="55"/>
      <c r="X223" s="96">
        <f ca="1">INDEX(OFFSET('Measure Inputs'!$V$7,,,InputRows),$C223)*$T223*$V223*$U223</f>
        <v>22294.58760169147</v>
      </c>
      <c r="Y223" s="96">
        <f ca="1">INDEX(OFFSET('Measure Inputs'!$W$7,,,InputRows),$C223)*$T223*$V223*$U223</f>
        <v>9.4323255237925459</v>
      </c>
      <c r="Z223" s="96">
        <f ca="1">INDEX(OFFSET('Measure Inputs'!$X$7,,,InputRows),$C223)*$T223*$V223*$U223</f>
        <v>0</v>
      </c>
      <c r="AA223" s="55"/>
      <c r="AB223" s="96">
        <f ca="1">INDEX(OFFSET('Measure Inputs'!$Z$7,,,InputRows),$C223)*$T223*$V223*$U223</f>
        <v>0</v>
      </c>
      <c r="AC223" s="96">
        <f ca="1">INDEX(OFFSET('Measure Inputs'!$AA$7,,,InputRows),$C223)*$T223*$V223*$U223</f>
        <v>0</v>
      </c>
      <c r="AD223" s="96">
        <f ca="1">INDEX(OFFSET('Measure Inputs'!$AB$7,,,InputRows),$C223)*$T223*$V223*$U223</f>
        <v>0</v>
      </c>
      <c r="AE223" s="55"/>
      <c r="AF223" s="57">
        <f ca="1">INDEX(OFFSET('Measure Inputs'!$Q$7,,,InputRows),$C223)*$T223</f>
        <v>0</v>
      </c>
      <c r="AG223" s="57">
        <f ca="1">INDEX(OFFSET('Measure Inputs'!$P$7,,,InputRows),$C223)*$T223*$V223</f>
        <v>0</v>
      </c>
      <c r="AH223" s="57">
        <f ca="1">INDEX(OFFSET('Measure Inputs'!$R$7,,,InputRows),$C223)*$T223*$V223</f>
        <v>0</v>
      </c>
      <c r="AI223" s="57">
        <f ca="1">INDEX(OFFSET('Measure Inputs'!$O$7,,,InputRows),$C223)*$T223</f>
        <v>0</v>
      </c>
      <c r="AJ223" s="57">
        <f ca="1">INDEX(OFFSET('Measure Inputs'!$S$7,,,InputRows),$C223)*$T223</f>
        <v>0</v>
      </c>
      <c r="AK223" s="63">
        <f ca="1">INDEX(OFFSET('Measure Inputs'!$M$7,,,InputRows),$C223)</f>
        <v>9</v>
      </c>
      <c r="AL223" s="88">
        <f ca="1">INDEX(OFFSET('Measure Inputs'!$N$7,,,InputRows),$C223)</f>
        <v>0</v>
      </c>
      <c r="AM223" s="57">
        <f ca="1">SUMIFS(OFFSET('Program Inputs'!$N$5,,,TotalPrograms),OFFSET('Program Inputs'!$B$5,,,TotalPrograms),SUBSTITUTE($B223,"All","*"))+AF223</f>
        <v>0</v>
      </c>
      <c r="AN223" s="57">
        <f t="shared" ca="1" si="442"/>
        <v>0</v>
      </c>
      <c r="AO223" s="55"/>
      <c r="AP223" s="59">
        <f t="shared" ca="1" si="443"/>
        <v>5048.4790756483962</v>
      </c>
      <c r="AQ223" s="59">
        <f t="shared" ca="1" si="444"/>
        <v>0</v>
      </c>
      <c r="AR223" s="59">
        <f ca="1">SUMPRODUCT($CA223:$DI223,'General Inputs'!$F$32:$AN$32,'General Inputs'!$F$51:$AN$51)/(1-Loss_ElectricEnergy)</f>
        <v>3870.6197206551751</v>
      </c>
      <c r="AS223" s="59">
        <f ca="1">SUMPRODUCT($DK223:$ES223,'General Inputs'!$F$33:$AN$33,'General Inputs'!$F$51:$AN$51)/(1-Loss_ElectricDemand)</f>
        <v>1177.8593549932211</v>
      </c>
      <c r="AT223" s="59">
        <f ca="1">SUMPRODUCT($EU223:$GC223,'General Inputs'!$F$34:$AN$34,'General Inputs'!$F$51:$AN$51)/(1-Loss_GasEnergy)</f>
        <v>0</v>
      </c>
      <c r="AU223" s="59">
        <f ca="1">INDEX('General Inputs'!$F$51:$AN$51,MATCH($H223,'General Inputs'!$F$50:$AN$50,0))*$AJ223</f>
        <v>0</v>
      </c>
      <c r="AV223" s="59">
        <f ca="1">INDEX('General Inputs'!$F$51:$AN$51,MATCH($H223,'General Inputs'!$F$50:$AN$50,0))*$AI223</f>
        <v>0</v>
      </c>
      <c r="AW223" s="59">
        <f ca="1">INDEX('General Inputs'!$F$51:$AN$51,MATCH($H223,'General Inputs'!$F$50:$AN$50,0))*$AM223</f>
        <v>0</v>
      </c>
      <c r="AX223" s="59">
        <f ca="1">SUM(INDEX('General Inputs'!$F$51:$AN$51,MATCH($H223,'General Inputs'!$F$50:$AN$50,0))*$AG223,INDEX('General Inputs'!$F$51:$AN$51,MATCH($H223+$AL223,'General Inputs'!$F$50:$AN$50,0))*-$AH223)</f>
        <v>0</v>
      </c>
      <c r="AY223" s="55"/>
      <c r="AZ223" s="59">
        <f ca="1">SUMPRODUCT($CA223:$DI223,'General Inputs'!$F$32:$AN$32,'General Inputs'!$F$52:$AN$52)/(1-Loss_ElectricEnergy)</f>
        <v>3870.6197206551751</v>
      </c>
      <c r="BA223" s="59">
        <f ca="1">SUMPRODUCT($DK223:$ES223,'General Inputs'!$F$33:$AN$33,'General Inputs'!$F$52:$AN$52)/(1-Loss_ElectricDemand)</f>
        <v>1177.8593549932211</v>
      </c>
      <c r="BB223" s="59">
        <f ca="1">SUMPRODUCT($EU223:$GC223,'General Inputs'!$F$34:$AN$34,'General Inputs'!$F$52:$AN$52)/(1-Loss_GasEnergy)</f>
        <v>0</v>
      </c>
      <c r="BC223" s="59">
        <f ca="1">INDEX('General Inputs'!$F$52:$AN$52,MATCH($H223,'General Inputs'!$F$50:$AN$50,0))*$AI223</f>
        <v>0</v>
      </c>
      <c r="BD223" s="59">
        <f ca="1">INDEX('General Inputs'!$F$52:$AN$52,MATCH($H223,'General Inputs'!$F$50:$AN$50,0))*$AM223</f>
        <v>0</v>
      </c>
      <c r="BE223" s="55"/>
      <c r="BF223" s="59">
        <f ca="1">SUMPRODUCT($CA223:$DI223,OFFSET('General Inputs'!$F$40:$AN$40,MATCH($D223&amp;" Electric ($/kWh)",'General Inputs'!$E$40:$E$46,0),),'General Inputs'!$F$54:$AN$54)</f>
        <v>15316.219181122899</v>
      </c>
      <c r="BG223" s="59">
        <f ca="1">SUMPRODUCT($EU223:$GC223,OFFSET('General Inputs'!$F$40:$AN$40,MATCH($D223&amp;" Natural Gas ($/therm)",'General Inputs'!$E$40:$E$46,0),),'General Inputs'!$F$54:$AN$54)</f>
        <v>0</v>
      </c>
      <c r="BH223" s="59">
        <f ca="1">INDEX('General Inputs'!$F$54:$AN$54,MATCH($H223,'General Inputs'!$F$50:$AN$50,0))*$AI223</f>
        <v>0</v>
      </c>
      <c r="BI223" s="59">
        <f ca="1">SUM(INDEX('General Inputs'!$F$54:$AN$54,MATCH($H223,'General Inputs'!$F$50:$AN$50,0))*$AG223,INDEX('General Inputs'!$F$51:$AN$51,MATCH($H223+$AL223,'General Inputs'!$F$50:$AN$50,0))*-$AH223)</f>
        <v>0</v>
      </c>
      <c r="BJ223" s="55"/>
      <c r="BK223" s="59">
        <f ca="1">SUMPRODUCT($CA223:$DI223,'General Inputs'!$F$32:$AN$32,'General Inputs'!$F$53:$AN$53)/(1-Loss_ElectricEnergy)</f>
        <v>3870.6197206551751</v>
      </c>
      <c r="BL223" s="59">
        <f ca="1">SUMPRODUCT($DK223:$ES223,'General Inputs'!$F$33:$AN$33,'General Inputs'!$F$53:$AN$53)/(1-Loss_ElectricDemand)</f>
        <v>1177.8593549932211</v>
      </c>
      <c r="BM223" s="59">
        <f ca="1">SUMPRODUCT($EU223:$GC223,'General Inputs'!$F$34:$AN$34,'General Inputs'!$F$53:$AN$53)/(1-Loss_GasEnergy)</f>
        <v>0</v>
      </c>
      <c r="BN223" s="59">
        <f ca="1">INDEX('General Inputs'!$F$53:$AN$53,MATCH($H223,'General Inputs'!$F$50:$AN$50,0))*$AJ223</f>
        <v>0</v>
      </c>
      <c r="BO223" s="59">
        <f ca="1">SUMPRODUCT($CA223:$DI223,'General Inputs'!$F$35:$AN$35,'General Inputs'!$F$53:$AN$53)/(1-Loss_ElectricEnergy)</f>
        <v>1478.631435948098</v>
      </c>
      <c r="BP223" s="59">
        <f ca="1">INDEX('General Inputs'!$F$51:$AN$51,MATCH($H223,'General Inputs'!$F$50:$AN$50,0))*$AM223</f>
        <v>0</v>
      </c>
      <c r="BQ223" s="59">
        <f ca="1">SUM(INDEX('General Inputs'!$F$53:$AN$53,MATCH($H223,'General Inputs'!$F$50:$AN$50,0))*$AG223,INDEX('General Inputs'!$F$53:$AN$53,MATCH($H223+$AL223,'General Inputs'!$F$50:$AN$50,0))*-$AH223)</f>
        <v>0</v>
      </c>
      <c r="BR223" s="55"/>
      <c r="BS223" s="59">
        <f ca="1">SUMPRODUCT($CA223:$DI223,'General Inputs'!$F$32:$AN$32,'General Inputs'!$F$55:$AN$55)/(1-Loss_ElectricEnergy)</f>
        <v>3870.6197206551751</v>
      </c>
      <c r="BT223" s="59">
        <f ca="1">SUMPRODUCT($DK223:$ES223,'General Inputs'!$F$33:$AN$33,'General Inputs'!$F$55:$AN$55)/(1-Loss_ElectricDemand)</f>
        <v>1177.8593549932211</v>
      </c>
      <c r="BU223" s="59">
        <f ca="1">SUMPRODUCT($EU223:$GC223,'General Inputs'!$F$34:$AN$34,'General Inputs'!$F$55:$AN$55)/(1-Loss_GasEnergy)</f>
        <v>0</v>
      </c>
      <c r="BV223" s="59">
        <f ca="1">SUMPRODUCT($CA223:$DI223,OFFSET('General Inputs'!$F$40:$AN$40,MATCH($D223&amp;" Electric ($/kWh)",'General Inputs'!$E$40:$E$46,0),),'General Inputs'!$F$55:$AN$55)</f>
        <v>15316.219181122899</v>
      </c>
      <c r="BW223" s="59">
        <f ca="1">SUMPRODUCT($EU223:$GC223,OFFSET('General Inputs'!$F$40:$AN$40,MATCH($D223&amp;" Natural Gas ($/therm)",'General Inputs'!$E$40:$E$46,0),),'General Inputs'!$F$55:$AN$55)</f>
        <v>0</v>
      </c>
      <c r="BX223" s="59">
        <f ca="1">INDEX('General Inputs'!$F$55:$AN$55,MATCH($H223,'General Inputs'!$F$50:$AN$50,0))*$AI223</f>
        <v>0</v>
      </c>
      <c r="BY223" s="59">
        <f ca="1">INDEX('General Inputs'!$F$51:$AN$51,MATCH($H223,'General Inputs'!$F$50:$AN$50,0))*$AM223</f>
        <v>0</v>
      </c>
      <c r="BZ223" s="55"/>
      <c r="CA223" s="88">
        <f t="shared" ca="1" si="445"/>
        <v>0</v>
      </c>
      <c r="CB223" s="88">
        <f t="shared" ca="1" si="445"/>
        <v>0</v>
      </c>
      <c r="CC223" s="88">
        <f t="shared" ca="1" si="445"/>
        <v>22294.58760169147</v>
      </c>
      <c r="CD223" s="88">
        <f t="shared" ca="1" si="445"/>
        <v>22294.58760169147</v>
      </c>
      <c r="CE223" s="88">
        <f t="shared" ca="1" si="445"/>
        <v>22294.58760169147</v>
      </c>
      <c r="CF223" s="88">
        <f t="shared" ca="1" si="445"/>
        <v>22294.58760169147</v>
      </c>
      <c r="CG223" s="88">
        <f t="shared" ca="1" si="445"/>
        <v>22294.58760169147</v>
      </c>
      <c r="CH223" s="88">
        <f t="shared" ca="1" si="445"/>
        <v>22294.58760169147</v>
      </c>
      <c r="CI223" s="88">
        <f t="shared" ca="1" si="445"/>
        <v>22294.58760169147</v>
      </c>
      <c r="CJ223" s="88">
        <f t="shared" ca="1" si="445"/>
        <v>22294.58760169147</v>
      </c>
      <c r="CK223" s="88">
        <f t="shared" ca="1" si="446"/>
        <v>22294.58760169147</v>
      </c>
      <c r="CL223" s="88">
        <f t="shared" ca="1" si="446"/>
        <v>0</v>
      </c>
      <c r="CM223" s="88">
        <f t="shared" ca="1" si="446"/>
        <v>0</v>
      </c>
      <c r="CN223" s="88">
        <f t="shared" ca="1" si="446"/>
        <v>0</v>
      </c>
      <c r="CO223" s="88">
        <f t="shared" ca="1" si="446"/>
        <v>0</v>
      </c>
      <c r="CP223" s="88">
        <f t="shared" ca="1" si="446"/>
        <v>0</v>
      </c>
      <c r="CQ223" s="88">
        <f t="shared" ca="1" si="446"/>
        <v>0</v>
      </c>
      <c r="CR223" s="88">
        <f t="shared" ca="1" si="446"/>
        <v>0</v>
      </c>
      <c r="CS223" s="88">
        <f t="shared" ca="1" si="446"/>
        <v>0</v>
      </c>
      <c r="CT223" s="88">
        <f t="shared" ca="1" si="446"/>
        <v>0</v>
      </c>
      <c r="CU223" s="88">
        <f t="shared" ca="1" si="447"/>
        <v>0</v>
      </c>
      <c r="CV223" s="88">
        <f t="shared" ca="1" si="447"/>
        <v>0</v>
      </c>
      <c r="CW223" s="88">
        <f t="shared" ca="1" si="447"/>
        <v>0</v>
      </c>
      <c r="CX223" s="88">
        <f t="shared" ca="1" si="447"/>
        <v>0</v>
      </c>
      <c r="CY223" s="88">
        <f t="shared" ca="1" si="447"/>
        <v>0</v>
      </c>
      <c r="CZ223" s="88">
        <f t="shared" ca="1" si="447"/>
        <v>0</v>
      </c>
      <c r="DA223" s="88">
        <f t="shared" ca="1" si="447"/>
        <v>0</v>
      </c>
      <c r="DB223" s="88">
        <f t="shared" ca="1" si="447"/>
        <v>0</v>
      </c>
      <c r="DC223" s="88">
        <f t="shared" ca="1" si="447"/>
        <v>0</v>
      </c>
      <c r="DD223" s="88">
        <f t="shared" ca="1" si="447"/>
        <v>0</v>
      </c>
      <c r="DE223" s="88">
        <f t="shared" ca="1" si="447"/>
        <v>0</v>
      </c>
      <c r="DF223" s="88">
        <f t="shared" ca="1" si="447"/>
        <v>0</v>
      </c>
      <c r="DG223" s="88">
        <f t="shared" ca="1" si="447"/>
        <v>0</v>
      </c>
      <c r="DH223" s="88">
        <f t="shared" ca="1" si="447"/>
        <v>0</v>
      </c>
      <c r="DI223" s="88">
        <f t="shared" ca="1" si="447"/>
        <v>0</v>
      </c>
      <c r="DJ223" s="169"/>
      <c r="DK223" s="88">
        <f t="shared" ca="1" si="448"/>
        <v>0</v>
      </c>
      <c r="DL223" s="88">
        <f t="shared" ca="1" si="448"/>
        <v>0</v>
      </c>
      <c r="DM223" s="88">
        <f t="shared" ca="1" si="448"/>
        <v>9.4323255237925459</v>
      </c>
      <c r="DN223" s="88">
        <f t="shared" ca="1" si="448"/>
        <v>9.4323255237925459</v>
      </c>
      <c r="DO223" s="88">
        <f t="shared" ca="1" si="448"/>
        <v>9.4323255237925459</v>
      </c>
      <c r="DP223" s="88">
        <f t="shared" ca="1" si="448"/>
        <v>9.4323255237925459</v>
      </c>
      <c r="DQ223" s="88">
        <f t="shared" ca="1" si="448"/>
        <v>9.4323255237925459</v>
      </c>
      <c r="DR223" s="88">
        <f t="shared" ca="1" si="448"/>
        <v>9.4323255237925459</v>
      </c>
      <c r="DS223" s="88">
        <f t="shared" ca="1" si="448"/>
        <v>9.4323255237925459</v>
      </c>
      <c r="DT223" s="88">
        <f t="shared" ca="1" si="448"/>
        <v>9.4323255237925459</v>
      </c>
      <c r="DU223" s="88">
        <f t="shared" ca="1" si="449"/>
        <v>9.4323255237925459</v>
      </c>
      <c r="DV223" s="88">
        <f t="shared" ca="1" si="449"/>
        <v>0</v>
      </c>
      <c r="DW223" s="88">
        <f t="shared" ca="1" si="449"/>
        <v>0</v>
      </c>
      <c r="DX223" s="88">
        <f t="shared" ca="1" si="449"/>
        <v>0</v>
      </c>
      <c r="DY223" s="88">
        <f t="shared" ca="1" si="449"/>
        <v>0</v>
      </c>
      <c r="DZ223" s="88">
        <f t="shared" ca="1" si="449"/>
        <v>0</v>
      </c>
      <c r="EA223" s="88">
        <f t="shared" ca="1" si="449"/>
        <v>0</v>
      </c>
      <c r="EB223" s="88">
        <f t="shared" ca="1" si="449"/>
        <v>0</v>
      </c>
      <c r="EC223" s="88">
        <f t="shared" ca="1" si="449"/>
        <v>0</v>
      </c>
      <c r="ED223" s="88">
        <f t="shared" ca="1" si="449"/>
        <v>0</v>
      </c>
      <c r="EE223" s="88">
        <f t="shared" ca="1" si="450"/>
        <v>0</v>
      </c>
      <c r="EF223" s="88">
        <f t="shared" ca="1" si="450"/>
        <v>0</v>
      </c>
      <c r="EG223" s="88">
        <f t="shared" ca="1" si="450"/>
        <v>0</v>
      </c>
      <c r="EH223" s="88">
        <f t="shared" ca="1" si="450"/>
        <v>0</v>
      </c>
      <c r="EI223" s="88">
        <f t="shared" ca="1" si="450"/>
        <v>0</v>
      </c>
      <c r="EJ223" s="88">
        <f t="shared" ca="1" si="450"/>
        <v>0</v>
      </c>
      <c r="EK223" s="88">
        <f t="shared" ca="1" si="450"/>
        <v>0</v>
      </c>
      <c r="EL223" s="88">
        <f t="shared" ca="1" si="450"/>
        <v>0</v>
      </c>
      <c r="EM223" s="88">
        <f t="shared" ca="1" si="450"/>
        <v>0</v>
      </c>
      <c r="EN223" s="88">
        <f t="shared" ca="1" si="450"/>
        <v>0</v>
      </c>
      <c r="EO223" s="88">
        <f t="shared" ca="1" si="450"/>
        <v>0</v>
      </c>
      <c r="EP223" s="88">
        <f t="shared" ca="1" si="450"/>
        <v>0</v>
      </c>
      <c r="EQ223" s="88">
        <f t="shared" ca="1" si="450"/>
        <v>0</v>
      </c>
      <c r="ER223" s="88">
        <f t="shared" ca="1" si="450"/>
        <v>0</v>
      </c>
      <c r="ES223" s="88">
        <f t="shared" ca="1" si="450"/>
        <v>0</v>
      </c>
      <c r="ET223" s="169"/>
      <c r="EU223" s="88">
        <f t="shared" ca="1" si="451"/>
        <v>0</v>
      </c>
      <c r="EV223" s="88">
        <f t="shared" ca="1" si="451"/>
        <v>0</v>
      </c>
      <c r="EW223" s="88">
        <f t="shared" ca="1" si="451"/>
        <v>0</v>
      </c>
      <c r="EX223" s="88">
        <f t="shared" ca="1" si="451"/>
        <v>0</v>
      </c>
      <c r="EY223" s="88">
        <f t="shared" ca="1" si="451"/>
        <v>0</v>
      </c>
      <c r="EZ223" s="88">
        <f t="shared" ca="1" si="451"/>
        <v>0</v>
      </c>
      <c r="FA223" s="88">
        <f t="shared" ca="1" si="451"/>
        <v>0</v>
      </c>
      <c r="FB223" s="88">
        <f t="shared" ca="1" si="451"/>
        <v>0</v>
      </c>
      <c r="FC223" s="88">
        <f t="shared" ca="1" si="451"/>
        <v>0</v>
      </c>
      <c r="FD223" s="88">
        <f t="shared" ca="1" si="451"/>
        <v>0</v>
      </c>
      <c r="FE223" s="88">
        <f t="shared" ca="1" si="452"/>
        <v>0</v>
      </c>
      <c r="FF223" s="88">
        <f t="shared" ca="1" si="452"/>
        <v>0</v>
      </c>
      <c r="FG223" s="88">
        <f t="shared" ca="1" si="452"/>
        <v>0</v>
      </c>
      <c r="FH223" s="88">
        <f t="shared" ca="1" si="452"/>
        <v>0</v>
      </c>
      <c r="FI223" s="88">
        <f t="shared" ca="1" si="452"/>
        <v>0</v>
      </c>
      <c r="FJ223" s="88">
        <f t="shared" ca="1" si="452"/>
        <v>0</v>
      </c>
      <c r="FK223" s="88">
        <f t="shared" ca="1" si="452"/>
        <v>0</v>
      </c>
      <c r="FL223" s="88">
        <f t="shared" ca="1" si="452"/>
        <v>0</v>
      </c>
      <c r="FM223" s="88">
        <f t="shared" ca="1" si="452"/>
        <v>0</v>
      </c>
      <c r="FN223" s="88">
        <f t="shared" ca="1" si="452"/>
        <v>0</v>
      </c>
      <c r="FO223" s="88">
        <f t="shared" ca="1" si="453"/>
        <v>0</v>
      </c>
      <c r="FP223" s="88">
        <f t="shared" ca="1" si="453"/>
        <v>0</v>
      </c>
      <c r="FQ223" s="88">
        <f t="shared" ca="1" si="453"/>
        <v>0</v>
      </c>
      <c r="FR223" s="88">
        <f t="shared" ca="1" si="453"/>
        <v>0</v>
      </c>
      <c r="FS223" s="88">
        <f t="shared" ca="1" si="453"/>
        <v>0</v>
      </c>
      <c r="FT223" s="88">
        <f t="shared" ca="1" si="453"/>
        <v>0</v>
      </c>
      <c r="FU223" s="88">
        <f t="shared" ca="1" si="453"/>
        <v>0</v>
      </c>
      <c r="FV223" s="88">
        <f t="shared" ca="1" si="453"/>
        <v>0</v>
      </c>
      <c r="FW223" s="88">
        <f t="shared" ca="1" si="453"/>
        <v>0</v>
      </c>
      <c r="FX223" s="88">
        <f t="shared" ca="1" si="453"/>
        <v>0</v>
      </c>
      <c r="FY223" s="88">
        <f t="shared" ca="1" si="453"/>
        <v>0</v>
      </c>
      <c r="FZ223" s="88">
        <f t="shared" ca="1" si="453"/>
        <v>0</v>
      </c>
      <c r="GA223" s="88">
        <f t="shared" ca="1" si="453"/>
        <v>0</v>
      </c>
      <c r="GB223" s="88">
        <f t="shared" ca="1" si="453"/>
        <v>0</v>
      </c>
      <c r="GC223" s="88">
        <f t="shared" ca="1" si="453"/>
        <v>0</v>
      </c>
      <c r="GD223" s="60"/>
    </row>
    <row r="224" spans="1:186" s="54" customFormat="1" ht="14.45" customHeight="1">
      <c r="A224" s="61"/>
      <c r="B224" s="100" t="str">
        <f t="shared" si="418"/>
        <v>Residential_Residential Audit_0_Low Flow Showerhead_2019</v>
      </c>
      <c r="C224" s="100">
        <f>INDEX('Measure Inputs'!$D:$D,MATCH($B224,'Measure Inputs'!$B:$B,0))</f>
        <v>176</v>
      </c>
      <c r="D224" s="101" t="s">
        <v>2</v>
      </c>
      <c r="E224" s="101" t="s">
        <v>251</v>
      </c>
      <c r="F224" s="101">
        <v>0</v>
      </c>
      <c r="G224" s="101" t="s">
        <v>267</v>
      </c>
      <c r="H224" s="101">
        <v>2019</v>
      </c>
      <c r="I224" s="55"/>
      <c r="J224" s="58" t="str">
        <f t="shared" ca="1" si="229"/>
        <v>n/a</v>
      </c>
      <c r="K224" s="58" t="str">
        <f t="shared" ca="1" si="246"/>
        <v>n/a</v>
      </c>
      <c r="L224" s="58" t="str">
        <f t="shared" ca="1" si="230"/>
        <v>n/a</v>
      </c>
      <c r="M224" s="58" t="str">
        <f t="shared" ca="1" si="231"/>
        <v>n/a</v>
      </c>
      <c r="N224" s="58">
        <f t="shared" ca="1" si="232"/>
        <v>0.2694462674399985</v>
      </c>
      <c r="O224" s="55"/>
      <c r="P224" s="175">
        <f ca="1">IFERROR(($AW224+AV224)/SUMPRODUCT($CA224:$DI224,'General Inputs'!$F$51:$AN$51),"n/a")</f>
        <v>0</v>
      </c>
      <c r="Q224" s="175">
        <f t="shared" ca="1" si="454"/>
        <v>0</v>
      </c>
      <c r="R224" s="56">
        <f t="shared" ca="1" si="441"/>
        <v>318.18952538146692</v>
      </c>
      <c r="S224" s="55"/>
      <c r="T224" s="56">
        <f ca="1">INDEX(OFFSET('Measure Inputs'!$L$7,,,InputRows),$C224)</f>
        <v>325</v>
      </c>
      <c r="U224" s="134">
        <f ca="1">INDEX(OFFSET('Measure Inputs'!$T$7,,,InputRows),$C224)</f>
        <v>1</v>
      </c>
      <c r="V224" s="134">
        <f ca="1">INDEX(OFFSET('Measure Inputs'!$U$7,,,InputRows),$C224)</f>
        <v>1</v>
      </c>
      <c r="W224" s="55"/>
      <c r="X224" s="96">
        <f ca="1">INDEX(OFFSET('Measure Inputs'!$V$7,,,InputRows),$C224)*$T224*$V224*$U224</f>
        <v>31818.952538146692</v>
      </c>
      <c r="Y224" s="96">
        <f ca="1">INDEX(OFFSET('Measure Inputs'!$W$7,,,InputRows),$C224)*$T224*$V224*$U224</f>
        <v>2.9290294058293975</v>
      </c>
      <c r="Z224" s="96">
        <f ca="1">INDEX(OFFSET('Measure Inputs'!$X$7,,,InputRows),$C224)*$T224*$V224*$U224</f>
        <v>0</v>
      </c>
      <c r="AA224" s="55"/>
      <c r="AB224" s="96">
        <f ca="1">INDEX(OFFSET('Measure Inputs'!$Z$7,,,InputRows),$C224)*$T224*$V224*$U224</f>
        <v>0</v>
      </c>
      <c r="AC224" s="96">
        <f ca="1">INDEX(OFFSET('Measure Inputs'!$AA$7,,,InputRows),$C224)*$T224*$V224*$U224</f>
        <v>0</v>
      </c>
      <c r="AD224" s="96">
        <f ca="1">INDEX(OFFSET('Measure Inputs'!$AB$7,,,InputRows),$C224)*$T224*$V224*$U224</f>
        <v>0</v>
      </c>
      <c r="AE224" s="55"/>
      <c r="AF224" s="57">
        <f ca="1">INDEX(OFFSET('Measure Inputs'!$Q$7,,,InputRows),$C224)*$T224</f>
        <v>0</v>
      </c>
      <c r="AG224" s="57">
        <f ca="1">INDEX(OFFSET('Measure Inputs'!$P$7,,,InputRows),$C224)*$T224*$V224</f>
        <v>0</v>
      </c>
      <c r="AH224" s="57">
        <f ca="1">INDEX(OFFSET('Measure Inputs'!$R$7,,,InputRows),$C224)*$T224*$V224</f>
        <v>0</v>
      </c>
      <c r="AI224" s="57">
        <f ca="1">INDEX(OFFSET('Measure Inputs'!$O$7,,,InputRows),$C224)*$T224</f>
        <v>0</v>
      </c>
      <c r="AJ224" s="57">
        <f ca="1">INDEX(OFFSET('Measure Inputs'!$S$7,,,InputRows),$C224)*$T224</f>
        <v>0</v>
      </c>
      <c r="AK224" s="63">
        <f ca="1">INDEX(OFFSET('Measure Inputs'!$M$7,,,InputRows),$C224)</f>
        <v>10</v>
      </c>
      <c r="AL224" s="88">
        <f ca="1">INDEX(OFFSET('Measure Inputs'!$N$7,,,InputRows),$C224)</f>
        <v>0</v>
      </c>
      <c r="AM224" s="57">
        <f ca="1">SUMIFS(OFFSET('Program Inputs'!$N$5,,,TotalPrograms),OFFSET('Program Inputs'!$B$5,,,TotalPrograms),SUBSTITUTE($B224,"All","*"))+AF224</f>
        <v>0</v>
      </c>
      <c r="AN224" s="57">
        <f t="shared" ca="1" si="442"/>
        <v>0</v>
      </c>
      <c r="AO224" s="55"/>
      <c r="AP224" s="59">
        <f t="shared" ca="1" si="443"/>
        <v>6344.1038408237318</v>
      </c>
      <c r="AQ224" s="59">
        <f t="shared" ca="1" si="444"/>
        <v>0</v>
      </c>
      <c r="AR224" s="59">
        <f ca="1">SUMPRODUCT($CA224:$DI224,'General Inputs'!$F$32:$AN$32,'General Inputs'!$F$51:$AN$51)/(1-Loss_ElectricEnergy)</f>
        <v>5950.1380704751291</v>
      </c>
      <c r="AS224" s="59">
        <f ca="1">SUMPRODUCT($DK224:$ES224,'General Inputs'!$F$33:$AN$33,'General Inputs'!$F$51:$AN$51)/(1-Loss_ElectricDemand)</f>
        <v>393.96577034860292</v>
      </c>
      <c r="AT224" s="59">
        <f ca="1">SUMPRODUCT($EU224:$GC224,'General Inputs'!$F$34:$AN$34,'General Inputs'!$F$51:$AN$51)/(1-Loss_GasEnergy)</f>
        <v>0</v>
      </c>
      <c r="AU224" s="59">
        <f ca="1">INDEX('General Inputs'!$F$51:$AN$51,MATCH($H224,'General Inputs'!$F$50:$AN$50,0))*$AJ224</f>
        <v>0</v>
      </c>
      <c r="AV224" s="59">
        <f ca="1">INDEX('General Inputs'!$F$51:$AN$51,MATCH($H224,'General Inputs'!$F$50:$AN$50,0))*$AI224</f>
        <v>0</v>
      </c>
      <c r="AW224" s="59">
        <f ca="1">INDEX('General Inputs'!$F$51:$AN$51,MATCH($H224,'General Inputs'!$F$50:$AN$50,0))*$AM224</f>
        <v>0</v>
      </c>
      <c r="AX224" s="59">
        <f ca="1">SUM(INDEX('General Inputs'!$F$51:$AN$51,MATCH($H224,'General Inputs'!$F$50:$AN$50,0))*$AG224,INDEX('General Inputs'!$F$51:$AN$51,MATCH($H224+$AL224,'General Inputs'!$F$50:$AN$50,0))*-$AH224)</f>
        <v>0</v>
      </c>
      <c r="AY224" s="55"/>
      <c r="AZ224" s="59">
        <f ca="1">SUMPRODUCT($CA224:$DI224,'General Inputs'!$F$32:$AN$32,'General Inputs'!$F$52:$AN$52)/(1-Loss_ElectricEnergy)</f>
        <v>5950.1380704751291</v>
      </c>
      <c r="BA224" s="59">
        <f ca="1">SUMPRODUCT($DK224:$ES224,'General Inputs'!$F$33:$AN$33,'General Inputs'!$F$52:$AN$52)/(1-Loss_ElectricDemand)</f>
        <v>393.96577034860292</v>
      </c>
      <c r="BB224" s="59">
        <f ca="1">SUMPRODUCT($EU224:$GC224,'General Inputs'!$F$34:$AN$34,'General Inputs'!$F$52:$AN$52)/(1-Loss_GasEnergy)</f>
        <v>0</v>
      </c>
      <c r="BC224" s="59">
        <f ca="1">INDEX('General Inputs'!$F$52:$AN$52,MATCH($H224,'General Inputs'!$F$50:$AN$50,0))*$AI224</f>
        <v>0</v>
      </c>
      <c r="BD224" s="59">
        <f ca="1">INDEX('General Inputs'!$F$52:$AN$52,MATCH($H224,'General Inputs'!$F$50:$AN$50,0))*$AM224</f>
        <v>0</v>
      </c>
      <c r="BE224" s="55"/>
      <c r="BF224" s="59">
        <f ca="1">SUMPRODUCT($CA224:$DI224,OFFSET('General Inputs'!$F$40:$AN$40,MATCH($D224&amp;" Electric ($/kWh)",'General Inputs'!$E$40:$E$46,0),),'General Inputs'!$F$54:$AN$54)</f>
        <v>23544.968357138088</v>
      </c>
      <c r="BG224" s="59">
        <f ca="1">SUMPRODUCT($EU224:$GC224,OFFSET('General Inputs'!$F$40:$AN$40,MATCH($D224&amp;" Natural Gas ($/therm)",'General Inputs'!$E$40:$E$46,0),),'General Inputs'!$F$54:$AN$54)</f>
        <v>0</v>
      </c>
      <c r="BH224" s="59">
        <f ca="1">INDEX('General Inputs'!$F$54:$AN$54,MATCH($H224,'General Inputs'!$F$50:$AN$50,0))*$AI224</f>
        <v>0</v>
      </c>
      <c r="BI224" s="59">
        <f ca="1">SUM(INDEX('General Inputs'!$F$54:$AN$54,MATCH($H224,'General Inputs'!$F$50:$AN$50,0))*$AG224,INDEX('General Inputs'!$F$51:$AN$51,MATCH($H224+$AL224,'General Inputs'!$F$50:$AN$50,0))*-$AH224)</f>
        <v>0</v>
      </c>
      <c r="BJ224" s="55"/>
      <c r="BK224" s="59">
        <f ca="1">SUMPRODUCT($CA224:$DI224,'General Inputs'!$F$32:$AN$32,'General Inputs'!$F$53:$AN$53)/(1-Loss_ElectricEnergy)</f>
        <v>5950.1380704751291</v>
      </c>
      <c r="BL224" s="59">
        <f ca="1">SUMPRODUCT($DK224:$ES224,'General Inputs'!$F$33:$AN$33,'General Inputs'!$F$53:$AN$53)/(1-Loss_ElectricDemand)</f>
        <v>393.96577034860292</v>
      </c>
      <c r="BM224" s="59">
        <f ca="1">SUMPRODUCT($EU224:$GC224,'General Inputs'!$F$34:$AN$34,'General Inputs'!$F$53:$AN$53)/(1-Loss_GasEnergy)</f>
        <v>0</v>
      </c>
      <c r="BN224" s="59">
        <f ca="1">INDEX('General Inputs'!$F$53:$AN$53,MATCH($H224,'General Inputs'!$F$50:$AN$50,0))*$AJ224</f>
        <v>0</v>
      </c>
      <c r="BO224" s="59">
        <f ca="1">SUMPRODUCT($CA224:$DI224,'General Inputs'!$F$35:$AN$35,'General Inputs'!$F$53:$AN$53)/(1-Loss_ElectricEnergy)</f>
        <v>2260.2182610281388</v>
      </c>
      <c r="BP224" s="59">
        <f ca="1">INDEX('General Inputs'!$F$51:$AN$51,MATCH($H224,'General Inputs'!$F$50:$AN$50,0))*$AM224</f>
        <v>0</v>
      </c>
      <c r="BQ224" s="59">
        <f ca="1">SUM(INDEX('General Inputs'!$F$53:$AN$53,MATCH($H224,'General Inputs'!$F$50:$AN$50,0))*$AG224,INDEX('General Inputs'!$F$53:$AN$53,MATCH($H224+$AL224,'General Inputs'!$F$50:$AN$50,0))*-$AH224)</f>
        <v>0</v>
      </c>
      <c r="BR224" s="55"/>
      <c r="BS224" s="59">
        <f ca="1">SUMPRODUCT($CA224:$DI224,'General Inputs'!$F$32:$AN$32,'General Inputs'!$F$55:$AN$55)/(1-Loss_ElectricEnergy)</f>
        <v>5950.1380704751291</v>
      </c>
      <c r="BT224" s="59">
        <f ca="1">SUMPRODUCT($DK224:$ES224,'General Inputs'!$F$33:$AN$33,'General Inputs'!$F$55:$AN$55)/(1-Loss_ElectricDemand)</f>
        <v>393.96577034860292</v>
      </c>
      <c r="BU224" s="59">
        <f ca="1">SUMPRODUCT($EU224:$GC224,'General Inputs'!$F$34:$AN$34,'General Inputs'!$F$55:$AN$55)/(1-Loss_GasEnergy)</f>
        <v>0</v>
      </c>
      <c r="BV224" s="59">
        <f ca="1">SUMPRODUCT($CA224:$DI224,OFFSET('General Inputs'!$F$40:$AN$40,MATCH($D224&amp;" Electric ($/kWh)",'General Inputs'!$E$40:$E$46,0),),'General Inputs'!$F$55:$AN$55)</f>
        <v>23544.968357138088</v>
      </c>
      <c r="BW224" s="59">
        <f ca="1">SUMPRODUCT($EU224:$GC224,OFFSET('General Inputs'!$F$40:$AN$40,MATCH($D224&amp;" Natural Gas ($/therm)",'General Inputs'!$E$40:$E$46,0),),'General Inputs'!$F$55:$AN$55)</f>
        <v>0</v>
      </c>
      <c r="BX224" s="59">
        <f ca="1">INDEX('General Inputs'!$F$55:$AN$55,MATCH($H224,'General Inputs'!$F$50:$AN$50,0))*$AI224</f>
        <v>0</v>
      </c>
      <c r="BY224" s="59">
        <f ca="1">INDEX('General Inputs'!$F$51:$AN$51,MATCH($H224,'General Inputs'!$F$50:$AN$50,0))*$AM224</f>
        <v>0</v>
      </c>
      <c r="BZ224" s="55"/>
      <c r="CA224" s="88">
        <f t="shared" ca="1" si="445"/>
        <v>0</v>
      </c>
      <c r="CB224" s="88">
        <f t="shared" ca="1" si="445"/>
        <v>0</v>
      </c>
      <c r="CC224" s="88">
        <f t="shared" ca="1" si="445"/>
        <v>31818.952538146692</v>
      </c>
      <c r="CD224" s="88">
        <f t="shared" ca="1" si="445"/>
        <v>31818.952538146692</v>
      </c>
      <c r="CE224" s="88">
        <f t="shared" ca="1" si="445"/>
        <v>31818.952538146692</v>
      </c>
      <c r="CF224" s="88">
        <f t="shared" ca="1" si="445"/>
        <v>31818.952538146692</v>
      </c>
      <c r="CG224" s="88">
        <f t="shared" ca="1" si="445"/>
        <v>31818.952538146692</v>
      </c>
      <c r="CH224" s="88">
        <f t="shared" ca="1" si="445"/>
        <v>31818.952538146692</v>
      </c>
      <c r="CI224" s="88">
        <f t="shared" ca="1" si="445"/>
        <v>31818.952538146692</v>
      </c>
      <c r="CJ224" s="88">
        <f t="shared" ca="1" si="445"/>
        <v>31818.952538146692</v>
      </c>
      <c r="CK224" s="88">
        <f t="shared" ca="1" si="446"/>
        <v>31818.952538146692</v>
      </c>
      <c r="CL224" s="88">
        <f t="shared" ca="1" si="446"/>
        <v>31818.952538146692</v>
      </c>
      <c r="CM224" s="88">
        <f t="shared" ca="1" si="446"/>
        <v>0</v>
      </c>
      <c r="CN224" s="88">
        <f t="shared" ca="1" si="446"/>
        <v>0</v>
      </c>
      <c r="CO224" s="88">
        <f t="shared" ca="1" si="446"/>
        <v>0</v>
      </c>
      <c r="CP224" s="88">
        <f t="shared" ca="1" si="446"/>
        <v>0</v>
      </c>
      <c r="CQ224" s="88">
        <f t="shared" ca="1" si="446"/>
        <v>0</v>
      </c>
      <c r="CR224" s="88">
        <f t="shared" ca="1" si="446"/>
        <v>0</v>
      </c>
      <c r="CS224" s="88">
        <f t="shared" ca="1" si="446"/>
        <v>0</v>
      </c>
      <c r="CT224" s="88">
        <f t="shared" ca="1" si="446"/>
        <v>0</v>
      </c>
      <c r="CU224" s="88">
        <f t="shared" ca="1" si="447"/>
        <v>0</v>
      </c>
      <c r="CV224" s="88">
        <f t="shared" ca="1" si="447"/>
        <v>0</v>
      </c>
      <c r="CW224" s="88">
        <f t="shared" ca="1" si="447"/>
        <v>0</v>
      </c>
      <c r="CX224" s="88">
        <f t="shared" ca="1" si="447"/>
        <v>0</v>
      </c>
      <c r="CY224" s="88">
        <f t="shared" ca="1" si="447"/>
        <v>0</v>
      </c>
      <c r="CZ224" s="88">
        <f t="shared" ca="1" si="447"/>
        <v>0</v>
      </c>
      <c r="DA224" s="88">
        <f t="shared" ca="1" si="447"/>
        <v>0</v>
      </c>
      <c r="DB224" s="88">
        <f t="shared" ca="1" si="447"/>
        <v>0</v>
      </c>
      <c r="DC224" s="88">
        <f t="shared" ca="1" si="447"/>
        <v>0</v>
      </c>
      <c r="DD224" s="88">
        <f t="shared" ca="1" si="447"/>
        <v>0</v>
      </c>
      <c r="DE224" s="88">
        <f t="shared" ca="1" si="447"/>
        <v>0</v>
      </c>
      <c r="DF224" s="88">
        <f t="shared" ca="1" si="447"/>
        <v>0</v>
      </c>
      <c r="DG224" s="88">
        <f t="shared" ca="1" si="447"/>
        <v>0</v>
      </c>
      <c r="DH224" s="88">
        <f t="shared" ca="1" si="447"/>
        <v>0</v>
      </c>
      <c r="DI224" s="88">
        <f t="shared" ca="1" si="447"/>
        <v>0</v>
      </c>
      <c r="DJ224" s="169"/>
      <c r="DK224" s="88">
        <f t="shared" ca="1" si="448"/>
        <v>0</v>
      </c>
      <c r="DL224" s="88">
        <f t="shared" ca="1" si="448"/>
        <v>0</v>
      </c>
      <c r="DM224" s="88">
        <f t="shared" ca="1" si="448"/>
        <v>2.9290294058293975</v>
      </c>
      <c r="DN224" s="88">
        <f t="shared" ca="1" si="448"/>
        <v>2.9290294058293975</v>
      </c>
      <c r="DO224" s="88">
        <f t="shared" ca="1" si="448"/>
        <v>2.9290294058293975</v>
      </c>
      <c r="DP224" s="88">
        <f t="shared" ca="1" si="448"/>
        <v>2.9290294058293975</v>
      </c>
      <c r="DQ224" s="88">
        <f t="shared" ca="1" si="448"/>
        <v>2.9290294058293975</v>
      </c>
      <c r="DR224" s="88">
        <f t="shared" ca="1" si="448"/>
        <v>2.9290294058293975</v>
      </c>
      <c r="DS224" s="88">
        <f t="shared" ca="1" si="448"/>
        <v>2.9290294058293975</v>
      </c>
      <c r="DT224" s="88">
        <f t="shared" ca="1" si="448"/>
        <v>2.9290294058293975</v>
      </c>
      <c r="DU224" s="88">
        <f t="shared" ca="1" si="449"/>
        <v>2.9290294058293975</v>
      </c>
      <c r="DV224" s="88">
        <f t="shared" ca="1" si="449"/>
        <v>2.9290294058293975</v>
      </c>
      <c r="DW224" s="88">
        <f t="shared" ca="1" si="449"/>
        <v>0</v>
      </c>
      <c r="DX224" s="88">
        <f t="shared" ca="1" si="449"/>
        <v>0</v>
      </c>
      <c r="DY224" s="88">
        <f t="shared" ca="1" si="449"/>
        <v>0</v>
      </c>
      <c r="DZ224" s="88">
        <f t="shared" ca="1" si="449"/>
        <v>0</v>
      </c>
      <c r="EA224" s="88">
        <f t="shared" ca="1" si="449"/>
        <v>0</v>
      </c>
      <c r="EB224" s="88">
        <f t="shared" ca="1" si="449"/>
        <v>0</v>
      </c>
      <c r="EC224" s="88">
        <f t="shared" ca="1" si="449"/>
        <v>0</v>
      </c>
      <c r="ED224" s="88">
        <f t="shared" ca="1" si="449"/>
        <v>0</v>
      </c>
      <c r="EE224" s="88">
        <f t="shared" ca="1" si="450"/>
        <v>0</v>
      </c>
      <c r="EF224" s="88">
        <f t="shared" ca="1" si="450"/>
        <v>0</v>
      </c>
      <c r="EG224" s="88">
        <f t="shared" ca="1" si="450"/>
        <v>0</v>
      </c>
      <c r="EH224" s="88">
        <f t="shared" ca="1" si="450"/>
        <v>0</v>
      </c>
      <c r="EI224" s="88">
        <f t="shared" ca="1" si="450"/>
        <v>0</v>
      </c>
      <c r="EJ224" s="88">
        <f t="shared" ca="1" si="450"/>
        <v>0</v>
      </c>
      <c r="EK224" s="88">
        <f t="shared" ca="1" si="450"/>
        <v>0</v>
      </c>
      <c r="EL224" s="88">
        <f t="shared" ca="1" si="450"/>
        <v>0</v>
      </c>
      <c r="EM224" s="88">
        <f t="shared" ca="1" si="450"/>
        <v>0</v>
      </c>
      <c r="EN224" s="88">
        <f t="shared" ca="1" si="450"/>
        <v>0</v>
      </c>
      <c r="EO224" s="88">
        <f t="shared" ca="1" si="450"/>
        <v>0</v>
      </c>
      <c r="EP224" s="88">
        <f t="shared" ca="1" si="450"/>
        <v>0</v>
      </c>
      <c r="EQ224" s="88">
        <f t="shared" ca="1" si="450"/>
        <v>0</v>
      </c>
      <c r="ER224" s="88">
        <f t="shared" ca="1" si="450"/>
        <v>0</v>
      </c>
      <c r="ES224" s="88">
        <f t="shared" ca="1" si="450"/>
        <v>0</v>
      </c>
      <c r="ET224" s="169"/>
      <c r="EU224" s="88">
        <f t="shared" ca="1" si="451"/>
        <v>0</v>
      </c>
      <c r="EV224" s="88">
        <f t="shared" ca="1" si="451"/>
        <v>0</v>
      </c>
      <c r="EW224" s="88">
        <f t="shared" ca="1" si="451"/>
        <v>0</v>
      </c>
      <c r="EX224" s="88">
        <f t="shared" ca="1" si="451"/>
        <v>0</v>
      </c>
      <c r="EY224" s="88">
        <f t="shared" ca="1" si="451"/>
        <v>0</v>
      </c>
      <c r="EZ224" s="88">
        <f t="shared" ca="1" si="451"/>
        <v>0</v>
      </c>
      <c r="FA224" s="88">
        <f t="shared" ca="1" si="451"/>
        <v>0</v>
      </c>
      <c r="FB224" s="88">
        <f t="shared" ca="1" si="451"/>
        <v>0</v>
      </c>
      <c r="FC224" s="88">
        <f t="shared" ca="1" si="451"/>
        <v>0</v>
      </c>
      <c r="FD224" s="88">
        <f t="shared" ca="1" si="451"/>
        <v>0</v>
      </c>
      <c r="FE224" s="88">
        <f t="shared" ca="1" si="452"/>
        <v>0</v>
      </c>
      <c r="FF224" s="88">
        <f t="shared" ca="1" si="452"/>
        <v>0</v>
      </c>
      <c r="FG224" s="88">
        <f t="shared" ca="1" si="452"/>
        <v>0</v>
      </c>
      <c r="FH224" s="88">
        <f t="shared" ca="1" si="452"/>
        <v>0</v>
      </c>
      <c r="FI224" s="88">
        <f t="shared" ca="1" si="452"/>
        <v>0</v>
      </c>
      <c r="FJ224" s="88">
        <f t="shared" ca="1" si="452"/>
        <v>0</v>
      </c>
      <c r="FK224" s="88">
        <f t="shared" ca="1" si="452"/>
        <v>0</v>
      </c>
      <c r="FL224" s="88">
        <f t="shared" ca="1" si="452"/>
        <v>0</v>
      </c>
      <c r="FM224" s="88">
        <f t="shared" ca="1" si="452"/>
        <v>0</v>
      </c>
      <c r="FN224" s="88">
        <f t="shared" ca="1" si="452"/>
        <v>0</v>
      </c>
      <c r="FO224" s="88">
        <f t="shared" ca="1" si="453"/>
        <v>0</v>
      </c>
      <c r="FP224" s="88">
        <f t="shared" ca="1" si="453"/>
        <v>0</v>
      </c>
      <c r="FQ224" s="88">
        <f t="shared" ca="1" si="453"/>
        <v>0</v>
      </c>
      <c r="FR224" s="88">
        <f t="shared" ca="1" si="453"/>
        <v>0</v>
      </c>
      <c r="FS224" s="88">
        <f t="shared" ca="1" si="453"/>
        <v>0</v>
      </c>
      <c r="FT224" s="88">
        <f t="shared" ca="1" si="453"/>
        <v>0</v>
      </c>
      <c r="FU224" s="88">
        <f t="shared" ca="1" si="453"/>
        <v>0</v>
      </c>
      <c r="FV224" s="88">
        <f t="shared" ca="1" si="453"/>
        <v>0</v>
      </c>
      <c r="FW224" s="88">
        <f t="shared" ca="1" si="453"/>
        <v>0</v>
      </c>
      <c r="FX224" s="88">
        <f t="shared" ca="1" si="453"/>
        <v>0</v>
      </c>
      <c r="FY224" s="88">
        <f t="shared" ca="1" si="453"/>
        <v>0</v>
      </c>
      <c r="FZ224" s="88">
        <f t="shared" ca="1" si="453"/>
        <v>0</v>
      </c>
      <c r="GA224" s="88">
        <f t="shared" ca="1" si="453"/>
        <v>0</v>
      </c>
      <c r="GB224" s="88">
        <f t="shared" ca="1" si="453"/>
        <v>0</v>
      </c>
      <c r="GC224" s="88">
        <f t="shared" ca="1" si="453"/>
        <v>0</v>
      </c>
      <c r="GD224" s="60"/>
    </row>
    <row r="225" spans="1:186" s="54" customFormat="1" ht="14.45" customHeight="1">
      <c r="A225" s="61"/>
      <c r="B225" s="100" t="str">
        <f t="shared" si="418"/>
        <v>Residential_School-Based Education_0_School-Based Education_2019</v>
      </c>
      <c r="C225" s="100">
        <f>INDEX('Measure Inputs'!$D:$D,MATCH($B225,'Measure Inputs'!$B:$B,0))</f>
        <v>177</v>
      </c>
      <c r="D225" s="101" t="s">
        <v>2</v>
      </c>
      <c r="E225" s="101" t="s">
        <v>252</v>
      </c>
      <c r="F225" s="101">
        <v>0</v>
      </c>
      <c r="G225" s="101" t="s">
        <v>252</v>
      </c>
      <c r="H225" s="101">
        <v>2019</v>
      </c>
      <c r="I225" s="55"/>
      <c r="J225" s="58" t="str">
        <f t="shared" ca="1" si="229"/>
        <v>n/a</v>
      </c>
      <c r="K225" s="58" t="str">
        <f t="shared" ca="1" si="246"/>
        <v>n/a</v>
      </c>
      <c r="L225" s="58" t="str">
        <f t="shared" ca="1" si="230"/>
        <v>n/a</v>
      </c>
      <c r="M225" s="58" t="str">
        <f t="shared" ca="1" si="231"/>
        <v>n/a</v>
      </c>
      <c r="N225" s="58">
        <f t="shared" ca="1" si="232"/>
        <v>0.27102815608429875</v>
      </c>
      <c r="O225" s="55"/>
      <c r="P225" s="175">
        <f ca="1">IFERROR(($AW225+AV225)/SUMPRODUCT($CA225:$DI225,'General Inputs'!$F$51:$AN$51),"n/a")</f>
        <v>0</v>
      </c>
      <c r="Q225" s="175">
        <f t="shared" ca="1" si="454"/>
        <v>0</v>
      </c>
      <c r="R225" s="56">
        <f t="shared" ca="1" si="441"/>
        <v>2382</v>
      </c>
      <c r="S225" s="55"/>
      <c r="T225" s="56">
        <f ca="1">INDEX(OFFSET('Measure Inputs'!$L$7,,,InputRows),$C225)</f>
        <v>1200</v>
      </c>
      <c r="U225" s="134">
        <f ca="1">INDEX(OFFSET('Measure Inputs'!$T$7,,,InputRows),$C225)</f>
        <v>1</v>
      </c>
      <c r="V225" s="134">
        <f ca="1">INDEX(OFFSET('Measure Inputs'!$U$7,,,InputRows),$C225)</f>
        <v>1</v>
      </c>
      <c r="W225" s="55"/>
      <c r="X225" s="96">
        <f ca="1">INDEX(OFFSET('Measure Inputs'!$V$7,,,InputRows),$C225)*$T225*$V225*$U225</f>
        <v>476400</v>
      </c>
      <c r="Y225" s="96">
        <f ca="1">INDEX(OFFSET('Measure Inputs'!$W$7,,,InputRows),$C225)*$T225*$V225*$U225</f>
        <v>48</v>
      </c>
      <c r="Z225" s="96">
        <f ca="1">INDEX(OFFSET('Measure Inputs'!$X$7,,,InputRows),$C225)*$T225*$V225*$U225</f>
        <v>0</v>
      </c>
      <c r="AA225" s="55"/>
      <c r="AB225" s="96">
        <f ca="1">INDEX(OFFSET('Measure Inputs'!$Z$7,,,InputRows),$C225)*$T225*$V225*$U225</f>
        <v>0</v>
      </c>
      <c r="AC225" s="96">
        <f ca="1">INDEX(OFFSET('Measure Inputs'!$AA$7,,,InputRows),$C225)*$T225*$V225*$U225</f>
        <v>0</v>
      </c>
      <c r="AD225" s="96">
        <f ca="1">INDEX(OFFSET('Measure Inputs'!$AB$7,,,InputRows),$C225)*$T225*$V225*$U225</f>
        <v>0</v>
      </c>
      <c r="AE225" s="55"/>
      <c r="AF225" s="57">
        <f ca="1">INDEX(OFFSET('Measure Inputs'!$Q$7,,,InputRows),$C225)*$T225</f>
        <v>0</v>
      </c>
      <c r="AG225" s="57">
        <f ca="1">INDEX(OFFSET('Measure Inputs'!$P$7,,,InputRows),$C225)*$T225*$V225</f>
        <v>0</v>
      </c>
      <c r="AH225" s="57">
        <f ca="1">INDEX(OFFSET('Measure Inputs'!$R$7,,,InputRows),$C225)*$T225*$V225</f>
        <v>0</v>
      </c>
      <c r="AI225" s="57">
        <f ca="1">INDEX(OFFSET('Measure Inputs'!$O$7,,,InputRows),$C225)*$T225</f>
        <v>0</v>
      </c>
      <c r="AJ225" s="57">
        <f ca="1">INDEX(OFFSET('Measure Inputs'!$S$7,,,InputRows),$C225)*$T225</f>
        <v>0</v>
      </c>
      <c r="AK225" s="63">
        <f ca="1">INDEX(OFFSET('Measure Inputs'!$M$7,,,InputRows),$C225)</f>
        <v>5</v>
      </c>
      <c r="AL225" s="88">
        <f ca="1">INDEX(OFFSET('Measure Inputs'!$N$7,,,InputRows),$C225)</f>
        <v>0</v>
      </c>
      <c r="AM225" s="57">
        <f ca="1">SUMIFS(OFFSET('Program Inputs'!$N$5,,,TotalPrograms),OFFSET('Program Inputs'!$B$5,,,TotalPrograms),SUBSTITUTE($B225,"All","*"))+AF225</f>
        <v>0</v>
      </c>
      <c r="AN225" s="57">
        <f t="shared" ca="1" si="442"/>
        <v>0</v>
      </c>
      <c r="AO225" s="55"/>
      <c r="AP225" s="59">
        <f t="shared" ca="1" si="443"/>
        <v>56026.301359942561</v>
      </c>
      <c r="AQ225" s="59">
        <f t="shared" ca="1" si="444"/>
        <v>0</v>
      </c>
      <c r="AR225" s="59">
        <f ca="1">SUMPRODUCT($CA225:$DI225,'General Inputs'!$F$32:$AN$32,'General Inputs'!$F$51:$AN$51)/(1-Loss_ElectricEnergy)</f>
        <v>52240.397746733019</v>
      </c>
      <c r="AS225" s="59">
        <f ca="1">SUMPRODUCT($DK225:$ES225,'General Inputs'!$F$33:$AN$33,'General Inputs'!$F$51:$AN$51)/(1-Loss_ElectricDemand)</f>
        <v>3785.9036132095412</v>
      </c>
      <c r="AT225" s="59">
        <f ca="1">SUMPRODUCT($EU225:$GC225,'General Inputs'!$F$34:$AN$34,'General Inputs'!$F$51:$AN$51)/(1-Loss_GasEnergy)</f>
        <v>0</v>
      </c>
      <c r="AU225" s="59">
        <f ca="1">INDEX('General Inputs'!$F$51:$AN$51,MATCH($H225,'General Inputs'!$F$50:$AN$50,0))*$AJ225</f>
        <v>0</v>
      </c>
      <c r="AV225" s="59">
        <f ca="1">INDEX('General Inputs'!$F$51:$AN$51,MATCH($H225,'General Inputs'!$F$50:$AN$50,0))*$AI225</f>
        <v>0</v>
      </c>
      <c r="AW225" s="59">
        <f ca="1">INDEX('General Inputs'!$F$51:$AN$51,MATCH($H225,'General Inputs'!$F$50:$AN$50,0))*$AM225</f>
        <v>0</v>
      </c>
      <c r="AX225" s="59">
        <f ca="1">SUM(INDEX('General Inputs'!$F$51:$AN$51,MATCH($H225,'General Inputs'!$F$50:$AN$50,0))*$AG225,INDEX('General Inputs'!$F$51:$AN$51,MATCH($H225+$AL225,'General Inputs'!$F$50:$AN$50,0))*-$AH225)</f>
        <v>0</v>
      </c>
      <c r="AY225" s="55"/>
      <c r="AZ225" s="59">
        <f ca="1">SUMPRODUCT($CA225:$DI225,'General Inputs'!$F$32:$AN$32,'General Inputs'!$F$52:$AN$52)/(1-Loss_ElectricEnergy)</f>
        <v>52240.397746733019</v>
      </c>
      <c r="BA225" s="59">
        <f ca="1">SUMPRODUCT($DK225:$ES225,'General Inputs'!$F$33:$AN$33,'General Inputs'!$F$52:$AN$52)/(1-Loss_ElectricDemand)</f>
        <v>3785.9036132095412</v>
      </c>
      <c r="BB225" s="59">
        <f ca="1">SUMPRODUCT($EU225:$GC225,'General Inputs'!$F$34:$AN$34,'General Inputs'!$F$52:$AN$52)/(1-Loss_GasEnergy)</f>
        <v>0</v>
      </c>
      <c r="BC225" s="59">
        <f ca="1">INDEX('General Inputs'!$F$52:$AN$52,MATCH($H225,'General Inputs'!$F$50:$AN$50,0))*$AI225</f>
        <v>0</v>
      </c>
      <c r="BD225" s="59">
        <f ca="1">INDEX('General Inputs'!$F$52:$AN$52,MATCH($H225,'General Inputs'!$F$50:$AN$50,0))*$AM225</f>
        <v>0</v>
      </c>
      <c r="BE225" s="55"/>
      <c r="BF225" s="59">
        <f ca="1">SUMPRODUCT($CA225:$DI225,OFFSET('General Inputs'!$F$40:$AN$40,MATCH($D225&amp;" Electric ($/kWh)",'General Inputs'!$E$40:$E$46,0),),'General Inputs'!$F$54:$AN$54)</f>
        <v>206717.64206858465</v>
      </c>
      <c r="BG225" s="59">
        <f ca="1">SUMPRODUCT($EU225:$GC225,OFFSET('General Inputs'!$F$40:$AN$40,MATCH($D225&amp;" Natural Gas ($/therm)",'General Inputs'!$E$40:$E$46,0),),'General Inputs'!$F$54:$AN$54)</f>
        <v>0</v>
      </c>
      <c r="BH225" s="59">
        <f ca="1">INDEX('General Inputs'!$F$54:$AN$54,MATCH($H225,'General Inputs'!$F$50:$AN$50,0))*$AI225</f>
        <v>0</v>
      </c>
      <c r="BI225" s="59">
        <f ca="1">SUM(INDEX('General Inputs'!$F$54:$AN$54,MATCH($H225,'General Inputs'!$F$50:$AN$50,0))*$AG225,INDEX('General Inputs'!$F$51:$AN$51,MATCH($H225+$AL225,'General Inputs'!$F$50:$AN$50,0))*-$AH225)</f>
        <v>0</v>
      </c>
      <c r="BJ225" s="55"/>
      <c r="BK225" s="59">
        <f ca="1">SUMPRODUCT($CA225:$DI225,'General Inputs'!$F$32:$AN$32,'General Inputs'!$F$53:$AN$53)/(1-Loss_ElectricEnergy)</f>
        <v>52240.397746733019</v>
      </c>
      <c r="BL225" s="59">
        <f ca="1">SUMPRODUCT($DK225:$ES225,'General Inputs'!$F$33:$AN$33,'General Inputs'!$F$53:$AN$53)/(1-Loss_ElectricDemand)</f>
        <v>3785.9036132095412</v>
      </c>
      <c r="BM225" s="59">
        <f ca="1">SUMPRODUCT($EU225:$GC225,'General Inputs'!$F$34:$AN$34,'General Inputs'!$F$53:$AN$53)/(1-Loss_GasEnergy)</f>
        <v>0</v>
      </c>
      <c r="BN225" s="59">
        <f ca="1">INDEX('General Inputs'!$F$53:$AN$53,MATCH($H225,'General Inputs'!$F$50:$AN$50,0))*$AJ225</f>
        <v>0</v>
      </c>
      <c r="BO225" s="59">
        <f ca="1">SUMPRODUCT($CA225:$DI225,'General Inputs'!$F$35:$AN$35,'General Inputs'!$F$53:$AN$53)/(1-Loss_ElectricEnergy)</f>
        <v>20450.835437532813</v>
      </c>
      <c r="BP225" s="59">
        <f ca="1">INDEX('General Inputs'!$F$51:$AN$51,MATCH($H225,'General Inputs'!$F$50:$AN$50,0))*$AM225</f>
        <v>0</v>
      </c>
      <c r="BQ225" s="59">
        <f ca="1">SUM(INDEX('General Inputs'!$F$53:$AN$53,MATCH($H225,'General Inputs'!$F$50:$AN$50,0))*$AG225,INDEX('General Inputs'!$F$53:$AN$53,MATCH($H225+$AL225,'General Inputs'!$F$50:$AN$50,0))*-$AH225)</f>
        <v>0</v>
      </c>
      <c r="BR225" s="55"/>
      <c r="BS225" s="59">
        <f ca="1">SUMPRODUCT($CA225:$DI225,'General Inputs'!$F$32:$AN$32,'General Inputs'!$F$55:$AN$55)/(1-Loss_ElectricEnergy)</f>
        <v>52240.397746733019</v>
      </c>
      <c r="BT225" s="59">
        <f ca="1">SUMPRODUCT($DK225:$ES225,'General Inputs'!$F$33:$AN$33,'General Inputs'!$F$55:$AN$55)/(1-Loss_ElectricDemand)</f>
        <v>3785.9036132095412</v>
      </c>
      <c r="BU225" s="59">
        <f ca="1">SUMPRODUCT($EU225:$GC225,'General Inputs'!$F$34:$AN$34,'General Inputs'!$F$55:$AN$55)/(1-Loss_GasEnergy)</f>
        <v>0</v>
      </c>
      <c r="BV225" s="59">
        <f ca="1">SUMPRODUCT($CA225:$DI225,OFFSET('General Inputs'!$F$40:$AN$40,MATCH($D225&amp;" Electric ($/kWh)",'General Inputs'!$E$40:$E$46,0),),'General Inputs'!$F$55:$AN$55)</f>
        <v>206717.64206858465</v>
      </c>
      <c r="BW225" s="59">
        <f ca="1">SUMPRODUCT($EU225:$GC225,OFFSET('General Inputs'!$F$40:$AN$40,MATCH($D225&amp;" Natural Gas ($/therm)",'General Inputs'!$E$40:$E$46,0),),'General Inputs'!$F$55:$AN$55)</f>
        <v>0</v>
      </c>
      <c r="BX225" s="59">
        <f ca="1">INDEX('General Inputs'!$F$55:$AN$55,MATCH($H225,'General Inputs'!$F$50:$AN$50,0))*$AI225</f>
        <v>0</v>
      </c>
      <c r="BY225" s="59">
        <f ca="1">INDEX('General Inputs'!$F$51:$AN$51,MATCH($H225,'General Inputs'!$F$50:$AN$50,0))*$AM225</f>
        <v>0</v>
      </c>
      <c r="BZ225" s="55"/>
      <c r="CA225" s="88">
        <f t="shared" ca="1" si="445"/>
        <v>0</v>
      </c>
      <c r="CB225" s="88">
        <f t="shared" ca="1" si="445"/>
        <v>0</v>
      </c>
      <c r="CC225" s="88">
        <f t="shared" ca="1" si="445"/>
        <v>476400</v>
      </c>
      <c r="CD225" s="88">
        <f t="shared" ca="1" si="445"/>
        <v>476400</v>
      </c>
      <c r="CE225" s="88">
        <f t="shared" ca="1" si="445"/>
        <v>476400</v>
      </c>
      <c r="CF225" s="88">
        <f t="shared" ca="1" si="445"/>
        <v>476400</v>
      </c>
      <c r="CG225" s="88">
        <f t="shared" ca="1" si="445"/>
        <v>476400</v>
      </c>
      <c r="CH225" s="88">
        <f t="shared" ca="1" si="445"/>
        <v>0</v>
      </c>
      <c r="CI225" s="88">
        <f t="shared" ca="1" si="445"/>
        <v>0</v>
      </c>
      <c r="CJ225" s="88">
        <f t="shared" ca="1" si="445"/>
        <v>0</v>
      </c>
      <c r="CK225" s="88">
        <f t="shared" ca="1" si="446"/>
        <v>0</v>
      </c>
      <c r="CL225" s="88">
        <f t="shared" ca="1" si="446"/>
        <v>0</v>
      </c>
      <c r="CM225" s="88">
        <f t="shared" ca="1" si="446"/>
        <v>0</v>
      </c>
      <c r="CN225" s="88">
        <f t="shared" ca="1" si="446"/>
        <v>0</v>
      </c>
      <c r="CO225" s="88">
        <f t="shared" ca="1" si="446"/>
        <v>0</v>
      </c>
      <c r="CP225" s="88">
        <f t="shared" ca="1" si="446"/>
        <v>0</v>
      </c>
      <c r="CQ225" s="88">
        <f t="shared" ca="1" si="446"/>
        <v>0</v>
      </c>
      <c r="CR225" s="88">
        <f t="shared" ca="1" si="446"/>
        <v>0</v>
      </c>
      <c r="CS225" s="88">
        <f t="shared" ca="1" si="446"/>
        <v>0</v>
      </c>
      <c r="CT225" s="88">
        <f t="shared" ca="1" si="446"/>
        <v>0</v>
      </c>
      <c r="CU225" s="88">
        <f t="shared" ca="1" si="447"/>
        <v>0</v>
      </c>
      <c r="CV225" s="88">
        <f t="shared" ca="1" si="447"/>
        <v>0</v>
      </c>
      <c r="CW225" s="88">
        <f t="shared" ca="1" si="447"/>
        <v>0</v>
      </c>
      <c r="CX225" s="88">
        <f t="shared" ca="1" si="447"/>
        <v>0</v>
      </c>
      <c r="CY225" s="88">
        <f t="shared" ca="1" si="447"/>
        <v>0</v>
      </c>
      <c r="CZ225" s="88">
        <f t="shared" ca="1" si="447"/>
        <v>0</v>
      </c>
      <c r="DA225" s="88">
        <f t="shared" ca="1" si="447"/>
        <v>0</v>
      </c>
      <c r="DB225" s="88">
        <f t="shared" ca="1" si="447"/>
        <v>0</v>
      </c>
      <c r="DC225" s="88">
        <f t="shared" ca="1" si="447"/>
        <v>0</v>
      </c>
      <c r="DD225" s="88">
        <f t="shared" ca="1" si="447"/>
        <v>0</v>
      </c>
      <c r="DE225" s="88">
        <f t="shared" ca="1" si="447"/>
        <v>0</v>
      </c>
      <c r="DF225" s="88">
        <f t="shared" ca="1" si="447"/>
        <v>0</v>
      </c>
      <c r="DG225" s="88">
        <f t="shared" ca="1" si="447"/>
        <v>0</v>
      </c>
      <c r="DH225" s="88">
        <f t="shared" ca="1" si="447"/>
        <v>0</v>
      </c>
      <c r="DI225" s="88">
        <f t="shared" ca="1" si="447"/>
        <v>0</v>
      </c>
      <c r="DJ225" s="169"/>
      <c r="DK225" s="88">
        <f t="shared" ca="1" si="448"/>
        <v>0</v>
      </c>
      <c r="DL225" s="88">
        <f t="shared" ca="1" si="448"/>
        <v>0</v>
      </c>
      <c r="DM225" s="88">
        <f t="shared" ca="1" si="448"/>
        <v>48</v>
      </c>
      <c r="DN225" s="88">
        <f t="shared" ca="1" si="448"/>
        <v>48</v>
      </c>
      <c r="DO225" s="88">
        <f t="shared" ca="1" si="448"/>
        <v>48</v>
      </c>
      <c r="DP225" s="88">
        <f t="shared" ca="1" si="448"/>
        <v>48</v>
      </c>
      <c r="DQ225" s="88">
        <f t="shared" ca="1" si="448"/>
        <v>48</v>
      </c>
      <c r="DR225" s="88">
        <f t="shared" ca="1" si="448"/>
        <v>0</v>
      </c>
      <c r="DS225" s="88">
        <f t="shared" ca="1" si="448"/>
        <v>0</v>
      </c>
      <c r="DT225" s="88">
        <f t="shared" ca="1" si="448"/>
        <v>0</v>
      </c>
      <c r="DU225" s="88">
        <f t="shared" ca="1" si="449"/>
        <v>0</v>
      </c>
      <c r="DV225" s="88">
        <f t="shared" ca="1" si="449"/>
        <v>0</v>
      </c>
      <c r="DW225" s="88">
        <f t="shared" ca="1" si="449"/>
        <v>0</v>
      </c>
      <c r="DX225" s="88">
        <f t="shared" ca="1" si="449"/>
        <v>0</v>
      </c>
      <c r="DY225" s="88">
        <f t="shared" ca="1" si="449"/>
        <v>0</v>
      </c>
      <c r="DZ225" s="88">
        <f t="shared" ca="1" si="449"/>
        <v>0</v>
      </c>
      <c r="EA225" s="88">
        <f t="shared" ca="1" si="449"/>
        <v>0</v>
      </c>
      <c r="EB225" s="88">
        <f t="shared" ca="1" si="449"/>
        <v>0</v>
      </c>
      <c r="EC225" s="88">
        <f t="shared" ca="1" si="449"/>
        <v>0</v>
      </c>
      <c r="ED225" s="88">
        <f t="shared" ca="1" si="449"/>
        <v>0</v>
      </c>
      <c r="EE225" s="88">
        <f t="shared" ca="1" si="450"/>
        <v>0</v>
      </c>
      <c r="EF225" s="88">
        <f t="shared" ca="1" si="450"/>
        <v>0</v>
      </c>
      <c r="EG225" s="88">
        <f t="shared" ca="1" si="450"/>
        <v>0</v>
      </c>
      <c r="EH225" s="88">
        <f t="shared" ca="1" si="450"/>
        <v>0</v>
      </c>
      <c r="EI225" s="88">
        <f t="shared" ca="1" si="450"/>
        <v>0</v>
      </c>
      <c r="EJ225" s="88">
        <f t="shared" ca="1" si="450"/>
        <v>0</v>
      </c>
      <c r="EK225" s="88">
        <f t="shared" ca="1" si="450"/>
        <v>0</v>
      </c>
      <c r="EL225" s="88">
        <f t="shared" ca="1" si="450"/>
        <v>0</v>
      </c>
      <c r="EM225" s="88">
        <f t="shared" ca="1" si="450"/>
        <v>0</v>
      </c>
      <c r="EN225" s="88">
        <f t="shared" ca="1" si="450"/>
        <v>0</v>
      </c>
      <c r="EO225" s="88">
        <f t="shared" ca="1" si="450"/>
        <v>0</v>
      </c>
      <c r="EP225" s="88">
        <f t="shared" ca="1" si="450"/>
        <v>0</v>
      </c>
      <c r="EQ225" s="88">
        <f t="shared" ca="1" si="450"/>
        <v>0</v>
      </c>
      <c r="ER225" s="88">
        <f t="shared" ca="1" si="450"/>
        <v>0</v>
      </c>
      <c r="ES225" s="88">
        <f t="shared" ca="1" si="450"/>
        <v>0</v>
      </c>
      <c r="ET225" s="169"/>
      <c r="EU225" s="88">
        <f t="shared" ca="1" si="451"/>
        <v>0</v>
      </c>
      <c r="EV225" s="88">
        <f t="shared" ca="1" si="451"/>
        <v>0</v>
      </c>
      <c r="EW225" s="88">
        <f t="shared" ca="1" si="451"/>
        <v>0</v>
      </c>
      <c r="EX225" s="88">
        <f t="shared" ca="1" si="451"/>
        <v>0</v>
      </c>
      <c r="EY225" s="88">
        <f t="shared" ca="1" si="451"/>
        <v>0</v>
      </c>
      <c r="EZ225" s="88">
        <f t="shared" ca="1" si="451"/>
        <v>0</v>
      </c>
      <c r="FA225" s="88">
        <f t="shared" ca="1" si="451"/>
        <v>0</v>
      </c>
      <c r="FB225" s="88">
        <f t="shared" ca="1" si="451"/>
        <v>0</v>
      </c>
      <c r="FC225" s="88">
        <f t="shared" ca="1" si="451"/>
        <v>0</v>
      </c>
      <c r="FD225" s="88">
        <f t="shared" ca="1" si="451"/>
        <v>0</v>
      </c>
      <c r="FE225" s="88">
        <f t="shared" ca="1" si="452"/>
        <v>0</v>
      </c>
      <c r="FF225" s="88">
        <f t="shared" ca="1" si="452"/>
        <v>0</v>
      </c>
      <c r="FG225" s="88">
        <f t="shared" ca="1" si="452"/>
        <v>0</v>
      </c>
      <c r="FH225" s="88">
        <f t="shared" ca="1" si="452"/>
        <v>0</v>
      </c>
      <c r="FI225" s="88">
        <f t="shared" ca="1" si="452"/>
        <v>0</v>
      </c>
      <c r="FJ225" s="88">
        <f t="shared" ca="1" si="452"/>
        <v>0</v>
      </c>
      <c r="FK225" s="88">
        <f t="shared" ca="1" si="452"/>
        <v>0</v>
      </c>
      <c r="FL225" s="88">
        <f t="shared" ca="1" si="452"/>
        <v>0</v>
      </c>
      <c r="FM225" s="88">
        <f t="shared" ca="1" si="452"/>
        <v>0</v>
      </c>
      <c r="FN225" s="88">
        <f t="shared" ca="1" si="452"/>
        <v>0</v>
      </c>
      <c r="FO225" s="88">
        <f t="shared" ca="1" si="453"/>
        <v>0</v>
      </c>
      <c r="FP225" s="88">
        <f t="shared" ca="1" si="453"/>
        <v>0</v>
      </c>
      <c r="FQ225" s="88">
        <f t="shared" ca="1" si="453"/>
        <v>0</v>
      </c>
      <c r="FR225" s="88">
        <f t="shared" ca="1" si="453"/>
        <v>0</v>
      </c>
      <c r="FS225" s="88">
        <f t="shared" ca="1" si="453"/>
        <v>0</v>
      </c>
      <c r="FT225" s="88">
        <f t="shared" ca="1" si="453"/>
        <v>0</v>
      </c>
      <c r="FU225" s="88">
        <f t="shared" ca="1" si="453"/>
        <v>0</v>
      </c>
      <c r="FV225" s="88">
        <f t="shared" ca="1" si="453"/>
        <v>0</v>
      </c>
      <c r="FW225" s="88">
        <f t="shared" ca="1" si="453"/>
        <v>0</v>
      </c>
      <c r="FX225" s="88">
        <f t="shared" ca="1" si="453"/>
        <v>0</v>
      </c>
      <c r="FY225" s="88">
        <f t="shared" ca="1" si="453"/>
        <v>0</v>
      </c>
      <c r="FZ225" s="88">
        <f t="shared" ca="1" si="453"/>
        <v>0</v>
      </c>
      <c r="GA225" s="88">
        <f t="shared" ca="1" si="453"/>
        <v>0</v>
      </c>
      <c r="GB225" s="88">
        <f t="shared" ca="1" si="453"/>
        <v>0</v>
      </c>
      <c r="GC225" s="88">
        <f t="shared" ca="1" si="453"/>
        <v>0</v>
      </c>
      <c r="GD225" s="60"/>
    </row>
    <row r="226" spans="1:186" s="54" customFormat="1" ht="14.45" customHeight="1">
      <c r="A226" s="61"/>
      <c r="B226" s="100" t="str">
        <f t="shared" si="418"/>
        <v>Residential_Weatherization_0_Air Sealing_2019</v>
      </c>
      <c r="C226" s="100">
        <f>INDEX('Measure Inputs'!$D:$D,MATCH($B226,'Measure Inputs'!$B:$B,0))</f>
        <v>178</v>
      </c>
      <c r="D226" s="101" t="s">
        <v>2</v>
      </c>
      <c r="E226" s="101" t="s">
        <v>253</v>
      </c>
      <c r="F226" s="101">
        <v>0</v>
      </c>
      <c r="G226" s="101" t="s">
        <v>270</v>
      </c>
      <c r="H226" s="101">
        <v>2019</v>
      </c>
      <c r="I226" s="55"/>
      <c r="J226" s="58" t="str">
        <f t="shared" ca="1" si="229"/>
        <v>n/a</v>
      </c>
      <c r="K226" s="58" t="str">
        <f t="shared" ca="1" si="246"/>
        <v>n/a</v>
      </c>
      <c r="L226" s="58" t="str">
        <f t="shared" ca="1" si="230"/>
        <v>n/a</v>
      </c>
      <c r="M226" s="58" t="str">
        <f t="shared" ca="1" si="231"/>
        <v>n/a</v>
      </c>
      <c r="N226" s="58">
        <f t="shared" ca="1" si="232"/>
        <v>0.28587507605178059</v>
      </c>
      <c r="O226" s="55"/>
      <c r="P226" s="175">
        <f ca="1">IFERROR(($AW226+AV226)/SUMPRODUCT($CA226:$DI226,'General Inputs'!$F$51:$AN$51),"n/a")</f>
        <v>0</v>
      </c>
      <c r="Q226" s="175">
        <f t="shared" ca="1" si="454"/>
        <v>0</v>
      </c>
      <c r="R226" s="56">
        <f t="shared" ca="1" si="441"/>
        <v>325.45117950089957</v>
      </c>
      <c r="S226" s="55"/>
      <c r="T226" s="56">
        <f ca="1">INDEX(OFFSET('Measure Inputs'!$L$7,,,InputRows),$C226)</f>
        <v>30</v>
      </c>
      <c r="U226" s="134">
        <f ca="1">INDEX(OFFSET('Measure Inputs'!$T$7,,,InputRows),$C226)</f>
        <v>1</v>
      </c>
      <c r="V226" s="134">
        <f ca="1">INDEX(OFFSET('Measure Inputs'!$U$7,,,InputRows),$C226)</f>
        <v>1</v>
      </c>
      <c r="W226" s="55"/>
      <c r="X226" s="96">
        <f ca="1">INDEX(OFFSET('Measure Inputs'!$V$7,,,InputRows),$C226)*$T226*$V226*$U226</f>
        <v>21696.745300059978</v>
      </c>
      <c r="Y226" s="96">
        <f ca="1">INDEX(OFFSET('Measure Inputs'!$W$7,,,InputRows),$C226)*$T226*$V226*$U226</f>
        <v>3.9582525098107197</v>
      </c>
      <c r="Z226" s="96">
        <f ca="1">INDEX(OFFSET('Measure Inputs'!$X$7,,,InputRows),$C226)*$T226*$V226*$U226</f>
        <v>0</v>
      </c>
      <c r="AA226" s="55"/>
      <c r="AB226" s="96">
        <f ca="1">INDEX(OFFSET('Measure Inputs'!$Z$7,,,InputRows),$C226)*$T226*$V226*$U226</f>
        <v>0</v>
      </c>
      <c r="AC226" s="96">
        <f ca="1">INDEX(OFFSET('Measure Inputs'!$AA$7,,,InputRows),$C226)*$T226*$V226*$U226</f>
        <v>0</v>
      </c>
      <c r="AD226" s="96">
        <f ca="1">INDEX(OFFSET('Measure Inputs'!$AB$7,,,InputRows),$C226)*$T226*$V226*$U226</f>
        <v>0</v>
      </c>
      <c r="AE226" s="55"/>
      <c r="AF226" s="57">
        <f ca="1">INDEX(OFFSET('Measure Inputs'!$Q$7,,,InputRows),$C226)*$T226</f>
        <v>0</v>
      </c>
      <c r="AG226" s="57">
        <f ca="1">INDEX(OFFSET('Measure Inputs'!$P$7,,,InputRows),$C226)*$T226*$V226</f>
        <v>0</v>
      </c>
      <c r="AH226" s="57">
        <f ca="1">INDEX(OFFSET('Measure Inputs'!$R$7,,,InputRows),$C226)*$T226*$V226</f>
        <v>0</v>
      </c>
      <c r="AI226" s="57">
        <f ca="1">INDEX(OFFSET('Measure Inputs'!$O$7,,,InputRows),$C226)*$T226</f>
        <v>0</v>
      </c>
      <c r="AJ226" s="57">
        <f ca="1">INDEX(OFFSET('Measure Inputs'!$S$7,,,InputRows),$C226)*$T226</f>
        <v>0</v>
      </c>
      <c r="AK226" s="63">
        <f ca="1">INDEX(OFFSET('Measure Inputs'!$M$7,,,InputRows),$C226)</f>
        <v>15</v>
      </c>
      <c r="AL226" s="88">
        <f ca="1">INDEX(OFFSET('Measure Inputs'!$N$7,,,InputRows),$C226)</f>
        <v>0</v>
      </c>
      <c r="AM226" s="57">
        <f ca="1">SUMIFS(OFFSET('Program Inputs'!$N$5,,,TotalPrograms),OFFSET('Program Inputs'!$B$5,,,TotalPrograms),SUBSTITUTE($B226,"All","*"))+AF226</f>
        <v>0</v>
      </c>
      <c r="AN226" s="57">
        <f t="shared" ca="1" si="442"/>
        <v>0</v>
      </c>
      <c r="AO226" s="55"/>
      <c r="AP226" s="59">
        <f t="shared" ca="1" si="443"/>
        <v>5928.5986679388689</v>
      </c>
      <c r="AQ226" s="59">
        <f t="shared" ca="1" si="444"/>
        <v>0</v>
      </c>
      <c r="AR226" s="59">
        <f ca="1">SUMPRODUCT($CA226:$DI226,'General Inputs'!$F$32:$AN$32,'General Inputs'!$F$51:$AN$51)/(1-Loss_ElectricEnergy)</f>
        <v>5240.8857379977571</v>
      </c>
      <c r="AS226" s="59">
        <f ca="1">SUMPRODUCT($DK226:$ES226,'General Inputs'!$F$33:$AN$33,'General Inputs'!$F$51:$AN$51)/(1-Loss_ElectricDemand)</f>
        <v>687.71292994111195</v>
      </c>
      <c r="AT226" s="59">
        <f ca="1">SUMPRODUCT($EU226:$GC226,'General Inputs'!$F$34:$AN$34,'General Inputs'!$F$51:$AN$51)/(1-Loss_GasEnergy)</f>
        <v>0</v>
      </c>
      <c r="AU226" s="59">
        <f ca="1">INDEX('General Inputs'!$F$51:$AN$51,MATCH($H226,'General Inputs'!$F$50:$AN$50,0))*$AJ226</f>
        <v>0</v>
      </c>
      <c r="AV226" s="59">
        <f ca="1">INDEX('General Inputs'!$F$51:$AN$51,MATCH($H226,'General Inputs'!$F$50:$AN$50,0))*$AI226</f>
        <v>0</v>
      </c>
      <c r="AW226" s="59">
        <f ca="1">INDEX('General Inputs'!$F$51:$AN$51,MATCH($H226,'General Inputs'!$F$50:$AN$50,0))*$AM226</f>
        <v>0</v>
      </c>
      <c r="AX226" s="59">
        <f ca="1">SUM(INDEX('General Inputs'!$F$51:$AN$51,MATCH($H226,'General Inputs'!$F$50:$AN$50,0))*$AG226,INDEX('General Inputs'!$F$51:$AN$51,MATCH($H226+$AL226,'General Inputs'!$F$50:$AN$50,0))*-$AH226)</f>
        <v>0</v>
      </c>
      <c r="AY226" s="55"/>
      <c r="AZ226" s="59">
        <f ca="1">SUMPRODUCT($CA226:$DI226,'General Inputs'!$F$32:$AN$32,'General Inputs'!$F$52:$AN$52)/(1-Loss_ElectricEnergy)</f>
        <v>5240.8857379977571</v>
      </c>
      <c r="BA226" s="59">
        <f ca="1">SUMPRODUCT($DK226:$ES226,'General Inputs'!$F$33:$AN$33,'General Inputs'!$F$52:$AN$52)/(1-Loss_ElectricDemand)</f>
        <v>687.71292994111195</v>
      </c>
      <c r="BB226" s="59">
        <f ca="1">SUMPRODUCT($EU226:$GC226,'General Inputs'!$F$34:$AN$34,'General Inputs'!$F$52:$AN$52)/(1-Loss_GasEnergy)</f>
        <v>0</v>
      </c>
      <c r="BC226" s="59">
        <f ca="1">INDEX('General Inputs'!$F$52:$AN$52,MATCH($H226,'General Inputs'!$F$50:$AN$50,0))*$AI226</f>
        <v>0</v>
      </c>
      <c r="BD226" s="59">
        <f ca="1">INDEX('General Inputs'!$F$52:$AN$52,MATCH($H226,'General Inputs'!$F$50:$AN$50,0))*$AM226</f>
        <v>0</v>
      </c>
      <c r="BE226" s="55"/>
      <c r="BF226" s="59">
        <f ca="1">SUMPRODUCT($CA226:$DI226,OFFSET('General Inputs'!$F$40:$AN$40,MATCH($D226&amp;" Electric ($/kWh)",'General Inputs'!$E$40:$E$46,0),),'General Inputs'!$F$54:$AN$54)</f>
        <v>20738.424453851378</v>
      </c>
      <c r="BG226" s="59">
        <f ca="1">SUMPRODUCT($EU226:$GC226,OFFSET('General Inputs'!$F$40:$AN$40,MATCH($D226&amp;" Natural Gas ($/therm)",'General Inputs'!$E$40:$E$46,0),),'General Inputs'!$F$54:$AN$54)</f>
        <v>0</v>
      </c>
      <c r="BH226" s="59">
        <f ca="1">INDEX('General Inputs'!$F$54:$AN$54,MATCH($H226,'General Inputs'!$F$50:$AN$50,0))*$AI226</f>
        <v>0</v>
      </c>
      <c r="BI226" s="59">
        <f ca="1">SUM(INDEX('General Inputs'!$F$54:$AN$54,MATCH($H226,'General Inputs'!$F$50:$AN$50,0))*$AG226,INDEX('General Inputs'!$F$51:$AN$51,MATCH($H226+$AL226,'General Inputs'!$F$50:$AN$50,0))*-$AH226)</f>
        <v>0</v>
      </c>
      <c r="BJ226" s="55"/>
      <c r="BK226" s="59">
        <f ca="1">SUMPRODUCT($CA226:$DI226,'General Inputs'!$F$32:$AN$32,'General Inputs'!$F$53:$AN$53)/(1-Loss_ElectricEnergy)</f>
        <v>5240.8857379977571</v>
      </c>
      <c r="BL226" s="59">
        <f ca="1">SUMPRODUCT($DK226:$ES226,'General Inputs'!$F$33:$AN$33,'General Inputs'!$F$53:$AN$53)/(1-Loss_ElectricDemand)</f>
        <v>687.71292994111195</v>
      </c>
      <c r="BM226" s="59">
        <f ca="1">SUMPRODUCT($EU226:$GC226,'General Inputs'!$F$34:$AN$34,'General Inputs'!$F$53:$AN$53)/(1-Loss_GasEnergy)</f>
        <v>0</v>
      </c>
      <c r="BN226" s="59">
        <f ca="1">INDEX('General Inputs'!$F$53:$AN$53,MATCH($H226,'General Inputs'!$F$50:$AN$50,0))*$AJ226</f>
        <v>0</v>
      </c>
      <c r="BO226" s="59">
        <f ca="1">SUMPRODUCT($CA226:$DI226,'General Inputs'!$F$35:$AN$35,'General Inputs'!$F$53:$AN$53)/(1-Loss_ElectricEnergy)</f>
        <v>1940.4536658639545</v>
      </c>
      <c r="BP226" s="59">
        <f ca="1">INDEX('General Inputs'!$F$51:$AN$51,MATCH($H226,'General Inputs'!$F$50:$AN$50,0))*$AM226</f>
        <v>0</v>
      </c>
      <c r="BQ226" s="59">
        <f ca="1">SUM(INDEX('General Inputs'!$F$53:$AN$53,MATCH($H226,'General Inputs'!$F$50:$AN$50,0))*$AG226,INDEX('General Inputs'!$F$53:$AN$53,MATCH($H226+$AL226,'General Inputs'!$F$50:$AN$50,0))*-$AH226)</f>
        <v>0</v>
      </c>
      <c r="BR226" s="55"/>
      <c r="BS226" s="59">
        <f ca="1">SUMPRODUCT($CA226:$DI226,'General Inputs'!$F$32:$AN$32,'General Inputs'!$F$55:$AN$55)/(1-Loss_ElectricEnergy)</f>
        <v>5240.8857379977571</v>
      </c>
      <c r="BT226" s="59">
        <f ca="1">SUMPRODUCT($DK226:$ES226,'General Inputs'!$F$33:$AN$33,'General Inputs'!$F$55:$AN$55)/(1-Loss_ElectricDemand)</f>
        <v>687.71292994111195</v>
      </c>
      <c r="BU226" s="59">
        <f ca="1">SUMPRODUCT($EU226:$GC226,'General Inputs'!$F$34:$AN$34,'General Inputs'!$F$55:$AN$55)/(1-Loss_GasEnergy)</f>
        <v>0</v>
      </c>
      <c r="BV226" s="59">
        <f ca="1">SUMPRODUCT($CA226:$DI226,OFFSET('General Inputs'!$F$40:$AN$40,MATCH($D226&amp;" Electric ($/kWh)",'General Inputs'!$E$40:$E$46,0),),'General Inputs'!$F$55:$AN$55)</f>
        <v>20738.424453851378</v>
      </c>
      <c r="BW226" s="59">
        <f ca="1">SUMPRODUCT($EU226:$GC226,OFFSET('General Inputs'!$F$40:$AN$40,MATCH($D226&amp;" Natural Gas ($/therm)",'General Inputs'!$E$40:$E$46,0),),'General Inputs'!$F$55:$AN$55)</f>
        <v>0</v>
      </c>
      <c r="BX226" s="59">
        <f ca="1">INDEX('General Inputs'!$F$55:$AN$55,MATCH($H226,'General Inputs'!$F$50:$AN$50,0))*$AI226</f>
        <v>0</v>
      </c>
      <c r="BY226" s="59">
        <f ca="1">INDEX('General Inputs'!$F$51:$AN$51,MATCH($H226,'General Inputs'!$F$50:$AN$50,0))*$AM226</f>
        <v>0</v>
      </c>
      <c r="BZ226" s="55"/>
      <c r="CA226" s="88">
        <f t="shared" ca="1" si="445"/>
        <v>0</v>
      </c>
      <c r="CB226" s="88">
        <f t="shared" ca="1" si="445"/>
        <v>0</v>
      </c>
      <c r="CC226" s="88">
        <f t="shared" ca="1" si="445"/>
        <v>21696.745300059978</v>
      </c>
      <c r="CD226" s="88">
        <f t="shared" ca="1" si="445"/>
        <v>21696.745300059978</v>
      </c>
      <c r="CE226" s="88">
        <f t="shared" ca="1" si="445"/>
        <v>21696.745300059978</v>
      </c>
      <c r="CF226" s="88">
        <f t="shared" ca="1" si="445"/>
        <v>21696.745300059978</v>
      </c>
      <c r="CG226" s="88">
        <f t="shared" ca="1" si="445"/>
        <v>21696.745300059978</v>
      </c>
      <c r="CH226" s="88">
        <f t="shared" ca="1" si="445"/>
        <v>21696.745300059978</v>
      </c>
      <c r="CI226" s="88">
        <f t="shared" ca="1" si="445"/>
        <v>21696.745300059978</v>
      </c>
      <c r="CJ226" s="88">
        <f t="shared" ca="1" si="445"/>
        <v>21696.745300059978</v>
      </c>
      <c r="CK226" s="88">
        <f t="shared" ca="1" si="446"/>
        <v>21696.745300059978</v>
      </c>
      <c r="CL226" s="88">
        <f t="shared" ca="1" si="446"/>
        <v>21696.745300059978</v>
      </c>
      <c r="CM226" s="88">
        <f t="shared" ca="1" si="446"/>
        <v>21696.745300059978</v>
      </c>
      <c r="CN226" s="88">
        <f t="shared" ca="1" si="446"/>
        <v>21696.745300059978</v>
      </c>
      <c r="CO226" s="88">
        <f t="shared" ca="1" si="446"/>
        <v>21696.745300059978</v>
      </c>
      <c r="CP226" s="88">
        <f t="shared" ca="1" si="446"/>
        <v>21696.745300059978</v>
      </c>
      <c r="CQ226" s="88">
        <f t="shared" ca="1" si="446"/>
        <v>21696.745300059978</v>
      </c>
      <c r="CR226" s="88">
        <f t="shared" ca="1" si="446"/>
        <v>0</v>
      </c>
      <c r="CS226" s="88">
        <f t="shared" ca="1" si="446"/>
        <v>0</v>
      </c>
      <c r="CT226" s="88">
        <f t="shared" ca="1" si="446"/>
        <v>0</v>
      </c>
      <c r="CU226" s="88">
        <f t="shared" ca="1" si="447"/>
        <v>0</v>
      </c>
      <c r="CV226" s="88">
        <f t="shared" ca="1" si="447"/>
        <v>0</v>
      </c>
      <c r="CW226" s="88">
        <f t="shared" ca="1" si="447"/>
        <v>0</v>
      </c>
      <c r="CX226" s="88">
        <f t="shared" ca="1" si="447"/>
        <v>0</v>
      </c>
      <c r="CY226" s="88">
        <f t="shared" ca="1" si="447"/>
        <v>0</v>
      </c>
      <c r="CZ226" s="88">
        <f t="shared" ca="1" si="447"/>
        <v>0</v>
      </c>
      <c r="DA226" s="88">
        <f t="shared" ca="1" si="447"/>
        <v>0</v>
      </c>
      <c r="DB226" s="88">
        <f t="shared" ca="1" si="447"/>
        <v>0</v>
      </c>
      <c r="DC226" s="88">
        <f t="shared" ca="1" si="447"/>
        <v>0</v>
      </c>
      <c r="DD226" s="88">
        <f t="shared" ca="1" si="447"/>
        <v>0</v>
      </c>
      <c r="DE226" s="88">
        <f t="shared" ca="1" si="447"/>
        <v>0</v>
      </c>
      <c r="DF226" s="88">
        <f t="shared" ca="1" si="447"/>
        <v>0</v>
      </c>
      <c r="DG226" s="88">
        <f t="shared" ca="1" si="447"/>
        <v>0</v>
      </c>
      <c r="DH226" s="88">
        <f t="shared" ca="1" si="447"/>
        <v>0</v>
      </c>
      <c r="DI226" s="88">
        <f t="shared" ca="1" si="447"/>
        <v>0</v>
      </c>
      <c r="DJ226" s="169"/>
      <c r="DK226" s="88">
        <f t="shared" ca="1" si="448"/>
        <v>0</v>
      </c>
      <c r="DL226" s="88">
        <f t="shared" ca="1" si="448"/>
        <v>0</v>
      </c>
      <c r="DM226" s="88">
        <f t="shared" ca="1" si="448"/>
        <v>3.9582525098107197</v>
      </c>
      <c r="DN226" s="88">
        <f t="shared" ca="1" si="448"/>
        <v>3.9582525098107197</v>
      </c>
      <c r="DO226" s="88">
        <f t="shared" ca="1" si="448"/>
        <v>3.9582525098107197</v>
      </c>
      <c r="DP226" s="88">
        <f t="shared" ca="1" si="448"/>
        <v>3.9582525098107197</v>
      </c>
      <c r="DQ226" s="88">
        <f t="shared" ca="1" si="448"/>
        <v>3.9582525098107197</v>
      </c>
      <c r="DR226" s="88">
        <f t="shared" ca="1" si="448"/>
        <v>3.9582525098107197</v>
      </c>
      <c r="DS226" s="88">
        <f t="shared" ca="1" si="448"/>
        <v>3.9582525098107197</v>
      </c>
      <c r="DT226" s="88">
        <f t="shared" ca="1" si="448"/>
        <v>3.9582525098107197</v>
      </c>
      <c r="DU226" s="88">
        <f t="shared" ca="1" si="449"/>
        <v>3.9582525098107197</v>
      </c>
      <c r="DV226" s="88">
        <f t="shared" ca="1" si="449"/>
        <v>3.9582525098107197</v>
      </c>
      <c r="DW226" s="88">
        <f t="shared" ca="1" si="449"/>
        <v>3.9582525098107197</v>
      </c>
      <c r="DX226" s="88">
        <f t="shared" ca="1" si="449"/>
        <v>3.9582525098107197</v>
      </c>
      <c r="DY226" s="88">
        <f t="shared" ca="1" si="449"/>
        <v>3.9582525098107197</v>
      </c>
      <c r="DZ226" s="88">
        <f t="shared" ca="1" si="449"/>
        <v>3.9582525098107197</v>
      </c>
      <c r="EA226" s="88">
        <f t="shared" ca="1" si="449"/>
        <v>3.9582525098107197</v>
      </c>
      <c r="EB226" s="88">
        <f t="shared" ca="1" si="449"/>
        <v>0</v>
      </c>
      <c r="EC226" s="88">
        <f t="shared" ca="1" si="449"/>
        <v>0</v>
      </c>
      <c r="ED226" s="88">
        <f t="shared" ca="1" si="449"/>
        <v>0</v>
      </c>
      <c r="EE226" s="88">
        <f t="shared" ca="1" si="450"/>
        <v>0</v>
      </c>
      <c r="EF226" s="88">
        <f t="shared" ca="1" si="450"/>
        <v>0</v>
      </c>
      <c r="EG226" s="88">
        <f t="shared" ca="1" si="450"/>
        <v>0</v>
      </c>
      <c r="EH226" s="88">
        <f t="shared" ca="1" si="450"/>
        <v>0</v>
      </c>
      <c r="EI226" s="88">
        <f t="shared" ca="1" si="450"/>
        <v>0</v>
      </c>
      <c r="EJ226" s="88">
        <f t="shared" ca="1" si="450"/>
        <v>0</v>
      </c>
      <c r="EK226" s="88">
        <f t="shared" ca="1" si="450"/>
        <v>0</v>
      </c>
      <c r="EL226" s="88">
        <f t="shared" ca="1" si="450"/>
        <v>0</v>
      </c>
      <c r="EM226" s="88">
        <f t="shared" ca="1" si="450"/>
        <v>0</v>
      </c>
      <c r="EN226" s="88">
        <f t="shared" ca="1" si="450"/>
        <v>0</v>
      </c>
      <c r="EO226" s="88">
        <f t="shared" ca="1" si="450"/>
        <v>0</v>
      </c>
      <c r="EP226" s="88">
        <f t="shared" ca="1" si="450"/>
        <v>0</v>
      </c>
      <c r="EQ226" s="88">
        <f t="shared" ca="1" si="450"/>
        <v>0</v>
      </c>
      <c r="ER226" s="88">
        <f t="shared" ca="1" si="450"/>
        <v>0</v>
      </c>
      <c r="ES226" s="88">
        <f t="shared" ca="1" si="450"/>
        <v>0</v>
      </c>
      <c r="ET226" s="169"/>
      <c r="EU226" s="88">
        <f t="shared" ca="1" si="451"/>
        <v>0</v>
      </c>
      <c r="EV226" s="88">
        <f t="shared" ca="1" si="451"/>
        <v>0</v>
      </c>
      <c r="EW226" s="88">
        <f t="shared" ca="1" si="451"/>
        <v>0</v>
      </c>
      <c r="EX226" s="88">
        <f t="shared" ca="1" si="451"/>
        <v>0</v>
      </c>
      <c r="EY226" s="88">
        <f t="shared" ca="1" si="451"/>
        <v>0</v>
      </c>
      <c r="EZ226" s="88">
        <f t="shared" ca="1" si="451"/>
        <v>0</v>
      </c>
      <c r="FA226" s="88">
        <f t="shared" ca="1" si="451"/>
        <v>0</v>
      </c>
      <c r="FB226" s="88">
        <f t="shared" ca="1" si="451"/>
        <v>0</v>
      </c>
      <c r="FC226" s="88">
        <f t="shared" ca="1" si="451"/>
        <v>0</v>
      </c>
      <c r="FD226" s="88">
        <f t="shared" ca="1" si="451"/>
        <v>0</v>
      </c>
      <c r="FE226" s="88">
        <f t="shared" ca="1" si="452"/>
        <v>0</v>
      </c>
      <c r="FF226" s="88">
        <f t="shared" ca="1" si="452"/>
        <v>0</v>
      </c>
      <c r="FG226" s="88">
        <f t="shared" ca="1" si="452"/>
        <v>0</v>
      </c>
      <c r="FH226" s="88">
        <f t="shared" ca="1" si="452"/>
        <v>0</v>
      </c>
      <c r="FI226" s="88">
        <f t="shared" ca="1" si="452"/>
        <v>0</v>
      </c>
      <c r="FJ226" s="88">
        <f t="shared" ca="1" si="452"/>
        <v>0</v>
      </c>
      <c r="FK226" s="88">
        <f t="shared" ca="1" si="452"/>
        <v>0</v>
      </c>
      <c r="FL226" s="88">
        <f t="shared" ca="1" si="452"/>
        <v>0</v>
      </c>
      <c r="FM226" s="88">
        <f t="shared" ca="1" si="452"/>
        <v>0</v>
      </c>
      <c r="FN226" s="88">
        <f t="shared" ca="1" si="452"/>
        <v>0</v>
      </c>
      <c r="FO226" s="88">
        <f t="shared" ca="1" si="453"/>
        <v>0</v>
      </c>
      <c r="FP226" s="88">
        <f t="shared" ca="1" si="453"/>
        <v>0</v>
      </c>
      <c r="FQ226" s="88">
        <f t="shared" ca="1" si="453"/>
        <v>0</v>
      </c>
      <c r="FR226" s="88">
        <f t="shared" ca="1" si="453"/>
        <v>0</v>
      </c>
      <c r="FS226" s="88">
        <f t="shared" ca="1" si="453"/>
        <v>0</v>
      </c>
      <c r="FT226" s="88">
        <f t="shared" ca="1" si="453"/>
        <v>0</v>
      </c>
      <c r="FU226" s="88">
        <f t="shared" ca="1" si="453"/>
        <v>0</v>
      </c>
      <c r="FV226" s="88">
        <f t="shared" ca="1" si="453"/>
        <v>0</v>
      </c>
      <c r="FW226" s="88">
        <f t="shared" ca="1" si="453"/>
        <v>0</v>
      </c>
      <c r="FX226" s="88">
        <f t="shared" ca="1" si="453"/>
        <v>0</v>
      </c>
      <c r="FY226" s="88">
        <f t="shared" ca="1" si="453"/>
        <v>0</v>
      </c>
      <c r="FZ226" s="88">
        <f t="shared" ca="1" si="453"/>
        <v>0</v>
      </c>
      <c r="GA226" s="88">
        <f t="shared" ca="1" si="453"/>
        <v>0</v>
      </c>
      <c r="GB226" s="88">
        <f t="shared" ca="1" si="453"/>
        <v>0</v>
      </c>
      <c r="GC226" s="88">
        <f t="shared" ca="1" si="453"/>
        <v>0</v>
      </c>
      <c r="GD226" s="60"/>
    </row>
    <row r="227" spans="1:186" s="54" customFormat="1" ht="14.45" customHeight="1">
      <c r="A227" s="61"/>
      <c r="B227" s="100" t="str">
        <f t="shared" si="418"/>
        <v>Residential_Weatherization_0_Water Heater Tank Wrap_2019</v>
      </c>
      <c r="C227" s="100">
        <f>INDEX('Measure Inputs'!$D:$D,MATCH($B227,'Measure Inputs'!$B:$B,0))</f>
        <v>179</v>
      </c>
      <c r="D227" s="101" t="s">
        <v>2</v>
      </c>
      <c r="E227" s="101" t="s">
        <v>253</v>
      </c>
      <c r="F227" s="101">
        <v>0</v>
      </c>
      <c r="G227" s="101" t="s">
        <v>266</v>
      </c>
      <c r="H227" s="101">
        <v>2019</v>
      </c>
      <c r="I227" s="55"/>
      <c r="J227" s="58" t="str">
        <f t="shared" ca="1" si="229"/>
        <v>n/a</v>
      </c>
      <c r="K227" s="58" t="str">
        <f t="shared" ca="1" si="246"/>
        <v>n/a</v>
      </c>
      <c r="L227" s="58" t="str">
        <f t="shared" ca="1" si="230"/>
        <v>n/a</v>
      </c>
      <c r="M227" s="58" t="str">
        <f t="shared" ca="1" si="231"/>
        <v>n/a</v>
      </c>
      <c r="N227" s="58">
        <f t="shared" ca="1" si="232"/>
        <v>0.27356014990931138</v>
      </c>
      <c r="O227" s="55"/>
      <c r="P227" s="175">
        <f ca="1">IFERROR(($AW227+AV227)/SUMPRODUCT($CA227:$DI227,'General Inputs'!$F$51:$AN$51),"n/a")</f>
        <v>0</v>
      </c>
      <c r="Q227" s="175">
        <f t="shared" ca="1" si="454"/>
        <v>0</v>
      </c>
      <c r="R227" s="56">
        <f t="shared" ca="1" si="441"/>
        <v>10.725</v>
      </c>
      <c r="S227" s="55"/>
      <c r="T227" s="56">
        <f ca="1">INDEX(OFFSET('Measure Inputs'!$L$7,,,InputRows),$C227)</f>
        <v>15</v>
      </c>
      <c r="U227" s="134">
        <f ca="1">INDEX(OFFSET('Measure Inputs'!$T$7,,,InputRows),$C227)</f>
        <v>1</v>
      </c>
      <c r="V227" s="134">
        <f ca="1">INDEX(OFFSET('Measure Inputs'!$U$7,,,InputRows),$C227)</f>
        <v>1</v>
      </c>
      <c r="W227" s="55"/>
      <c r="X227" s="96">
        <f ca="1">INDEX(OFFSET('Measure Inputs'!$V$7,,,InputRows),$C227)*$T227*$V227*$U227</f>
        <v>2145</v>
      </c>
      <c r="Y227" s="96">
        <f ca="1">INDEX(OFFSET('Measure Inputs'!$W$7,,,InputRows),$C227)*$T227*$V227*$U227</f>
        <v>0.24600000000000002</v>
      </c>
      <c r="Z227" s="96">
        <f ca="1">INDEX(OFFSET('Measure Inputs'!$X$7,,,InputRows),$C227)*$T227*$V227*$U227</f>
        <v>0</v>
      </c>
      <c r="AA227" s="55"/>
      <c r="AB227" s="96">
        <f ca="1">INDEX(OFFSET('Measure Inputs'!$Z$7,,,InputRows),$C227)*$T227*$V227*$U227</f>
        <v>0</v>
      </c>
      <c r="AC227" s="96">
        <f ca="1">INDEX(OFFSET('Measure Inputs'!$AA$7,,,InputRows),$C227)*$T227*$V227*$U227</f>
        <v>0</v>
      </c>
      <c r="AD227" s="96">
        <f ca="1">INDEX(OFFSET('Measure Inputs'!$AB$7,,,InputRows),$C227)*$T227*$V227*$U227</f>
        <v>0</v>
      </c>
      <c r="AE227" s="55"/>
      <c r="AF227" s="57">
        <f ca="1">INDEX(OFFSET('Measure Inputs'!$Q$7,,,InputRows),$C227)*$T227</f>
        <v>0</v>
      </c>
      <c r="AG227" s="57">
        <f ca="1">INDEX(OFFSET('Measure Inputs'!$P$7,,,InputRows),$C227)*$T227*$V227</f>
        <v>0</v>
      </c>
      <c r="AH227" s="57">
        <f ca="1">INDEX(OFFSET('Measure Inputs'!$R$7,,,InputRows),$C227)*$T227*$V227</f>
        <v>0</v>
      </c>
      <c r="AI227" s="57">
        <f ca="1">INDEX(OFFSET('Measure Inputs'!$O$7,,,InputRows),$C227)*$T227</f>
        <v>0</v>
      </c>
      <c r="AJ227" s="57">
        <f ca="1">INDEX(OFFSET('Measure Inputs'!$S$7,,,InputRows),$C227)*$T227</f>
        <v>0</v>
      </c>
      <c r="AK227" s="63">
        <f ca="1">INDEX(OFFSET('Measure Inputs'!$M$7,,,InputRows),$C227)</f>
        <v>5</v>
      </c>
      <c r="AL227" s="88">
        <f ca="1">INDEX(OFFSET('Measure Inputs'!$N$7,,,InputRows),$C227)</f>
        <v>0</v>
      </c>
      <c r="AM227" s="57">
        <f ca="1">SUMIFS(OFFSET('Program Inputs'!$N$5,,,TotalPrograms),OFFSET('Program Inputs'!$B$5,,,TotalPrograms),SUBSTITUTE($B227,"All","*"))+AF227</f>
        <v>0</v>
      </c>
      <c r="AN227" s="57">
        <f t="shared" ca="1" si="442"/>
        <v>0</v>
      </c>
      <c r="AO227" s="55"/>
      <c r="AP227" s="59">
        <f t="shared" ca="1" si="443"/>
        <v>254.61613378164168</v>
      </c>
      <c r="AQ227" s="59">
        <f t="shared" ca="1" si="444"/>
        <v>0</v>
      </c>
      <c r="AR227" s="59">
        <f ca="1">SUMPRODUCT($CA227:$DI227,'General Inputs'!$F$32:$AN$32,'General Inputs'!$F$51:$AN$51)/(1-Loss_ElectricEnergy)</f>
        <v>235.21337776394276</v>
      </c>
      <c r="AS227" s="59">
        <f ca="1">SUMPRODUCT($DK227:$ES227,'General Inputs'!$F$33:$AN$33,'General Inputs'!$F$51:$AN$51)/(1-Loss_ElectricDemand)</f>
        <v>19.402756017698906</v>
      </c>
      <c r="AT227" s="59">
        <f ca="1">SUMPRODUCT($EU227:$GC227,'General Inputs'!$F$34:$AN$34,'General Inputs'!$F$51:$AN$51)/(1-Loss_GasEnergy)</f>
        <v>0</v>
      </c>
      <c r="AU227" s="59">
        <f ca="1">INDEX('General Inputs'!$F$51:$AN$51,MATCH($H227,'General Inputs'!$F$50:$AN$50,0))*$AJ227</f>
        <v>0</v>
      </c>
      <c r="AV227" s="59">
        <f ca="1">INDEX('General Inputs'!$F$51:$AN$51,MATCH($H227,'General Inputs'!$F$50:$AN$50,0))*$AI227</f>
        <v>0</v>
      </c>
      <c r="AW227" s="59">
        <f ca="1">INDEX('General Inputs'!$F$51:$AN$51,MATCH($H227,'General Inputs'!$F$50:$AN$50,0))*$AM227</f>
        <v>0</v>
      </c>
      <c r="AX227" s="59">
        <f ca="1">SUM(INDEX('General Inputs'!$F$51:$AN$51,MATCH($H227,'General Inputs'!$F$50:$AN$50,0))*$AG227,INDEX('General Inputs'!$F$51:$AN$51,MATCH($H227+$AL227,'General Inputs'!$F$50:$AN$50,0))*-$AH227)</f>
        <v>0</v>
      </c>
      <c r="AY227" s="55"/>
      <c r="AZ227" s="59">
        <f ca="1">SUMPRODUCT($CA227:$DI227,'General Inputs'!$F$32:$AN$32,'General Inputs'!$F$52:$AN$52)/(1-Loss_ElectricEnergy)</f>
        <v>235.21337776394276</v>
      </c>
      <c r="BA227" s="59">
        <f ca="1">SUMPRODUCT($DK227:$ES227,'General Inputs'!$F$33:$AN$33,'General Inputs'!$F$52:$AN$52)/(1-Loss_ElectricDemand)</f>
        <v>19.402756017698906</v>
      </c>
      <c r="BB227" s="59">
        <f ca="1">SUMPRODUCT($EU227:$GC227,'General Inputs'!$F$34:$AN$34,'General Inputs'!$F$52:$AN$52)/(1-Loss_GasEnergy)</f>
        <v>0</v>
      </c>
      <c r="BC227" s="59">
        <f ca="1">INDEX('General Inputs'!$F$52:$AN$52,MATCH($H227,'General Inputs'!$F$50:$AN$50,0))*$AI227</f>
        <v>0</v>
      </c>
      <c r="BD227" s="59">
        <f ca="1">INDEX('General Inputs'!$F$52:$AN$52,MATCH($H227,'General Inputs'!$F$50:$AN$50,0))*$AM227</f>
        <v>0</v>
      </c>
      <c r="BE227" s="55"/>
      <c r="BF227" s="59">
        <f ca="1">SUMPRODUCT($CA227:$DI227,OFFSET('General Inputs'!$F$40:$AN$40,MATCH($D227&amp;" Electric ($/kWh)",'General Inputs'!$E$40:$E$46,0),),'General Inputs'!$F$54:$AN$54)</f>
        <v>930.75008865892983</v>
      </c>
      <c r="BG227" s="59">
        <f ca="1">SUMPRODUCT($EU227:$GC227,OFFSET('General Inputs'!$F$40:$AN$40,MATCH($D227&amp;" Natural Gas ($/therm)",'General Inputs'!$E$40:$E$46,0),),'General Inputs'!$F$54:$AN$54)</f>
        <v>0</v>
      </c>
      <c r="BH227" s="59">
        <f ca="1">INDEX('General Inputs'!$F$54:$AN$54,MATCH($H227,'General Inputs'!$F$50:$AN$50,0))*$AI227</f>
        <v>0</v>
      </c>
      <c r="BI227" s="59">
        <f ca="1">SUM(INDEX('General Inputs'!$F$54:$AN$54,MATCH($H227,'General Inputs'!$F$50:$AN$50,0))*$AG227,INDEX('General Inputs'!$F$51:$AN$51,MATCH($H227+$AL227,'General Inputs'!$F$50:$AN$50,0))*-$AH227)</f>
        <v>0</v>
      </c>
      <c r="BJ227" s="55"/>
      <c r="BK227" s="59">
        <f ca="1">SUMPRODUCT($CA227:$DI227,'General Inputs'!$F$32:$AN$32,'General Inputs'!$F$53:$AN$53)/(1-Loss_ElectricEnergy)</f>
        <v>235.21337776394276</v>
      </c>
      <c r="BL227" s="59">
        <f ca="1">SUMPRODUCT($DK227:$ES227,'General Inputs'!$F$33:$AN$33,'General Inputs'!$F$53:$AN$53)/(1-Loss_ElectricDemand)</f>
        <v>19.402756017698906</v>
      </c>
      <c r="BM227" s="59">
        <f ca="1">SUMPRODUCT($EU227:$GC227,'General Inputs'!$F$34:$AN$34,'General Inputs'!$F$53:$AN$53)/(1-Loss_GasEnergy)</f>
        <v>0</v>
      </c>
      <c r="BN227" s="59">
        <f ca="1">INDEX('General Inputs'!$F$53:$AN$53,MATCH($H227,'General Inputs'!$F$50:$AN$50,0))*$AJ227</f>
        <v>0</v>
      </c>
      <c r="BO227" s="59">
        <f ca="1">SUMPRODUCT($CA227:$DI227,'General Inputs'!$F$35:$AN$35,'General Inputs'!$F$53:$AN$53)/(1-Loss_ElectricEnergy)</f>
        <v>92.080272908286915</v>
      </c>
      <c r="BP227" s="59">
        <f ca="1">INDEX('General Inputs'!$F$51:$AN$51,MATCH($H227,'General Inputs'!$F$50:$AN$50,0))*$AM227</f>
        <v>0</v>
      </c>
      <c r="BQ227" s="59">
        <f ca="1">SUM(INDEX('General Inputs'!$F$53:$AN$53,MATCH($H227,'General Inputs'!$F$50:$AN$50,0))*$AG227,INDEX('General Inputs'!$F$53:$AN$53,MATCH($H227+$AL227,'General Inputs'!$F$50:$AN$50,0))*-$AH227)</f>
        <v>0</v>
      </c>
      <c r="BR227" s="55"/>
      <c r="BS227" s="59">
        <f ca="1">SUMPRODUCT($CA227:$DI227,'General Inputs'!$F$32:$AN$32,'General Inputs'!$F$55:$AN$55)/(1-Loss_ElectricEnergy)</f>
        <v>235.21337776394276</v>
      </c>
      <c r="BT227" s="59">
        <f ca="1">SUMPRODUCT($DK227:$ES227,'General Inputs'!$F$33:$AN$33,'General Inputs'!$F$55:$AN$55)/(1-Loss_ElectricDemand)</f>
        <v>19.402756017698906</v>
      </c>
      <c r="BU227" s="59">
        <f ca="1">SUMPRODUCT($EU227:$GC227,'General Inputs'!$F$34:$AN$34,'General Inputs'!$F$55:$AN$55)/(1-Loss_GasEnergy)</f>
        <v>0</v>
      </c>
      <c r="BV227" s="59">
        <f ca="1">SUMPRODUCT($CA227:$DI227,OFFSET('General Inputs'!$F$40:$AN$40,MATCH($D227&amp;" Electric ($/kWh)",'General Inputs'!$E$40:$E$46,0),),'General Inputs'!$F$55:$AN$55)</f>
        <v>930.75008865892983</v>
      </c>
      <c r="BW227" s="59">
        <f ca="1">SUMPRODUCT($EU227:$GC227,OFFSET('General Inputs'!$F$40:$AN$40,MATCH($D227&amp;" Natural Gas ($/therm)",'General Inputs'!$E$40:$E$46,0),),'General Inputs'!$F$55:$AN$55)</f>
        <v>0</v>
      </c>
      <c r="BX227" s="59">
        <f ca="1">INDEX('General Inputs'!$F$55:$AN$55,MATCH($H227,'General Inputs'!$F$50:$AN$50,0))*$AI227</f>
        <v>0</v>
      </c>
      <c r="BY227" s="59">
        <f ca="1">INDEX('General Inputs'!$F$51:$AN$51,MATCH($H227,'General Inputs'!$F$50:$AN$50,0))*$AM227</f>
        <v>0</v>
      </c>
      <c r="BZ227" s="55"/>
      <c r="CA227" s="88">
        <f t="shared" ref="CA227:CJ236" ca="1" si="455">IF(AND($H227&lt;=CA$8,$H227+$AK227&gt;CA$8),IF(AND($H227+$AL227&lt;=CA$8,$AL227&gt;0),$AB227,$X227),0)</f>
        <v>0</v>
      </c>
      <c r="CB227" s="88">
        <f t="shared" ca="1" si="455"/>
        <v>0</v>
      </c>
      <c r="CC227" s="88">
        <f t="shared" ca="1" si="455"/>
        <v>2145</v>
      </c>
      <c r="CD227" s="88">
        <f t="shared" ca="1" si="455"/>
        <v>2145</v>
      </c>
      <c r="CE227" s="88">
        <f t="shared" ca="1" si="455"/>
        <v>2145</v>
      </c>
      <c r="CF227" s="88">
        <f t="shared" ca="1" si="455"/>
        <v>2145</v>
      </c>
      <c r="CG227" s="88">
        <f t="shared" ca="1" si="455"/>
        <v>2145</v>
      </c>
      <c r="CH227" s="88">
        <f t="shared" ca="1" si="455"/>
        <v>0</v>
      </c>
      <c r="CI227" s="88">
        <f t="shared" ca="1" si="455"/>
        <v>0</v>
      </c>
      <c r="CJ227" s="88">
        <f t="shared" ca="1" si="455"/>
        <v>0</v>
      </c>
      <c r="CK227" s="88">
        <f t="shared" ref="CK227:CT236" ca="1" si="456">IF(AND($H227&lt;=CK$8,$H227+$AK227&gt;CK$8),IF(AND($H227+$AL227&lt;=CK$8,$AL227&gt;0),$AB227,$X227),0)</f>
        <v>0</v>
      </c>
      <c r="CL227" s="88">
        <f t="shared" ca="1" si="456"/>
        <v>0</v>
      </c>
      <c r="CM227" s="88">
        <f t="shared" ca="1" si="456"/>
        <v>0</v>
      </c>
      <c r="CN227" s="88">
        <f t="shared" ca="1" si="456"/>
        <v>0</v>
      </c>
      <c r="CO227" s="88">
        <f t="shared" ca="1" si="456"/>
        <v>0</v>
      </c>
      <c r="CP227" s="88">
        <f t="shared" ca="1" si="456"/>
        <v>0</v>
      </c>
      <c r="CQ227" s="88">
        <f t="shared" ca="1" si="456"/>
        <v>0</v>
      </c>
      <c r="CR227" s="88">
        <f t="shared" ca="1" si="456"/>
        <v>0</v>
      </c>
      <c r="CS227" s="88">
        <f t="shared" ca="1" si="456"/>
        <v>0</v>
      </c>
      <c r="CT227" s="88">
        <f t="shared" ca="1" si="456"/>
        <v>0</v>
      </c>
      <c r="CU227" s="88">
        <f t="shared" ref="CU227:DI236" ca="1" si="457">IF(AND($H227&lt;=CU$8,$H227+$AK227&gt;CU$8),IF(AND($H227+$AL227&lt;=CU$8,$AL227&gt;0),$AB227,$X227),0)</f>
        <v>0</v>
      </c>
      <c r="CV227" s="88">
        <f t="shared" ca="1" si="457"/>
        <v>0</v>
      </c>
      <c r="CW227" s="88">
        <f t="shared" ca="1" si="457"/>
        <v>0</v>
      </c>
      <c r="CX227" s="88">
        <f t="shared" ca="1" si="457"/>
        <v>0</v>
      </c>
      <c r="CY227" s="88">
        <f t="shared" ca="1" si="457"/>
        <v>0</v>
      </c>
      <c r="CZ227" s="88">
        <f t="shared" ca="1" si="457"/>
        <v>0</v>
      </c>
      <c r="DA227" s="88">
        <f t="shared" ca="1" si="457"/>
        <v>0</v>
      </c>
      <c r="DB227" s="88">
        <f t="shared" ca="1" si="457"/>
        <v>0</v>
      </c>
      <c r="DC227" s="88">
        <f t="shared" ca="1" si="457"/>
        <v>0</v>
      </c>
      <c r="DD227" s="88">
        <f t="shared" ca="1" si="457"/>
        <v>0</v>
      </c>
      <c r="DE227" s="88">
        <f t="shared" ca="1" si="457"/>
        <v>0</v>
      </c>
      <c r="DF227" s="88">
        <f t="shared" ca="1" si="457"/>
        <v>0</v>
      </c>
      <c r="DG227" s="88">
        <f t="shared" ca="1" si="457"/>
        <v>0</v>
      </c>
      <c r="DH227" s="88">
        <f t="shared" ca="1" si="457"/>
        <v>0</v>
      </c>
      <c r="DI227" s="88">
        <f t="shared" ca="1" si="457"/>
        <v>0</v>
      </c>
      <c r="DJ227" s="169"/>
      <c r="DK227" s="88">
        <f t="shared" ref="DK227:DT236" ca="1" si="458">IF(AND($H227&lt;=DK$8,$H227+$AK227&gt;DK$8),IF(AND($H227+$AL227&lt;=DK$8,$AL227&gt;0),$AC227,$Y227),0)</f>
        <v>0</v>
      </c>
      <c r="DL227" s="88">
        <f t="shared" ca="1" si="458"/>
        <v>0</v>
      </c>
      <c r="DM227" s="88">
        <f t="shared" ca="1" si="458"/>
        <v>0.24600000000000002</v>
      </c>
      <c r="DN227" s="88">
        <f t="shared" ca="1" si="458"/>
        <v>0.24600000000000002</v>
      </c>
      <c r="DO227" s="88">
        <f t="shared" ca="1" si="458"/>
        <v>0.24600000000000002</v>
      </c>
      <c r="DP227" s="88">
        <f t="shared" ca="1" si="458"/>
        <v>0.24600000000000002</v>
      </c>
      <c r="DQ227" s="88">
        <f t="shared" ca="1" si="458"/>
        <v>0.24600000000000002</v>
      </c>
      <c r="DR227" s="88">
        <f t="shared" ca="1" si="458"/>
        <v>0</v>
      </c>
      <c r="DS227" s="88">
        <f t="shared" ca="1" si="458"/>
        <v>0</v>
      </c>
      <c r="DT227" s="88">
        <f t="shared" ca="1" si="458"/>
        <v>0</v>
      </c>
      <c r="DU227" s="88">
        <f t="shared" ref="DU227:ED236" ca="1" si="459">IF(AND($H227&lt;=DU$8,$H227+$AK227&gt;DU$8),IF(AND($H227+$AL227&lt;=DU$8,$AL227&gt;0),$AC227,$Y227),0)</f>
        <v>0</v>
      </c>
      <c r="DV227" s="88">
        <f t="shared" ca="1" si="459"/>
        <v>0</v>
      </c>
      <c r="DW227" s="88">
        <f t="shared" ca="1" si="459"/>
        <v>0</v>
      </c>
      <c r="DX227" s="88">
        <f t="shared" ca="1" si="459"/>
        <v>0</v>
      </c>
      <c r="DY227" s="88">
        <f t="shared" ca="1" si="459"/>
        <v>0</v>
      </c>
      <c r="DZ227" s="88">
        <f t="shared" ca="1" si="459"/>
        <v>0</v>
      </c>
      <c r="EA227" s="88">
        <f t="shared" ca="1" si="459"/>
        <v>0</v>
      </c>
      <c r="EB227" s="88">
        <f t="shared" ca="1" si="459"/>
        <v>0</v>
      </c>
      <c r="EC227" s="88">
        <f t="shared" ca="1" si="459"/>
        <v>0</v>
      </c>
      <c r="ED227" s="88">
        <f t="shared" ca="1" si="459"/>
        <v>0</v>
      </c>
      <c r="EE227" s="88">
        <f t="shared" ref="EE227:ES236" ca="1" si="460">IF(AND($H227&lt;=EE$8,$H227+$AK227&gt;EE$8),IF(AND($H227+$AL227&lt;=EE$8,$AL227&gt;0),$AC227,$Y227),0)</f>
        <v>0</v>
      </c>
      <c r="EF227" s="88">
        <f t="shared" ca="1" si="460"/>
        <v>0</v>
      </c>
      <c r="EG227" s="88">
        <f t="shared" ca="1" si="460"/>
        <v>0</v>
      </c>
      <c r="EH227" s="88">
        <f t="shared" ca="1" si="460"/>
        <v>0</v>
      </c>
      <c r="EI227" s="88">
        <f t="shared" ca="1" si="460"/>
        <v>0</v>
      </c>
      <c r="EJ227" s="88">
        <f t="shared" ca="1" si="460"/>
        <v>0</v>
      </c>
      <c r="EK227" s="88">
        <f t="shared" ca="1" si="460"/>
        <v>0</v>
      </c>
      <c r="EL227" s="88">
        <f t="shared" ca="1" si="460"/>
        <v>0</v>
      </c>
      <c r="EM227" s="88">
        <f t="shared" ca="1" si="460"/>
        <v>0</v>
      </c>
      <c r="EN227" s="88">
        <f t="shared" ca="1" si="460"/>
        <v>0</v>
      </c>
      <c r="EO227" s="88">
        <f t="shared" ca="1" si="460"/>
        <v>0</v>
      </c>
      <c r="EP227" s="88">
        <f t="shared" ca="1" si="460"/>
        <v>0</v>
      </c>
      <c r="EQ227" s="88">
        <f t="shared" ca="1" si="460"/>
        <v>0</v>
      </c>
      <c r="ER227" s="88">
        <f t="shared" ca="1" si="460"/>
        <v>0</v>
      </c>
      <c r="ES227" s="88">
        <f t="shared" ca="1" si="460"/>
        <v>0</v>
      </c>
      <c r="ET227" s="169"/>
      <c r="EU227" s="88">
        <f t="shared" ref="EU227:FD236" ca="1" si="461">IF(AND($H227&lt;=EU$8,$H227+$AK227&gt;EU$8),IF(AND($H227+$AL227&lt;=EU$8,$AL227&gt;0),$AD227,$Z227),0)</f>
        <v>0</v>
      </c>
      <c r="EV227" s="88">
        <f t="shared" ca="1" si="461"/>
        <v>0</v>
      </c>
      <c r="EW227" s="88">
        <f t="shared" ca="1" si="461"/>
        <v>0</v>
      </c>
      <c r="EX227" s="88">
        <f t="shared" ca="1" si="461"/>
        <v>0</v>
      </c>
      <c r="EY227" s="88">
        <f t="shared" ca="1" si="461"/>
        <v>0</v>
      </c>
      <c r="EZ227" s="88">
        <f t="shared" ca="1" si="461"/>
        <v>0</v>
      </c>
      <c r="FA227" s="88">
        <f t="shared" ca="1" si="461"/>
        <v>0</v>
      </c>
      <c r="FB227" s="88">
        <f t="shared" ca="1" si="461"/>
        <v>0</v>
      </c>
      <c r="FC227" s="88">
        <f t="shared" ca="1" si="461"/>
        <v>0</v>
      </c>
      <c r="FD227" s="88">
        <f t="shared" ca="1" si="461"/>
        <v>0</v>
      </c>
      <c r="FE227" s="88">
        <f t="shared" ref="FE227:FN236" ca="1" si="462">IF(AND($H227&lt;=FE$8,$H227+$AK227&gt;FE$8),IF(AND($H227+$AL227&lt;=FE$8,$AL227&gt;0),$AD227,$Z227),0)</f>
        <v>0</v>
      </c>
      <c r="FF227" s="88">
        <f t="shared" ca="1" si="462"/>
        <v>0</v>
      </c>
      <c r="FG227" s="88">
        <f t="shared" ca="1" si="462"/>
        <v>0</v>
      </c>
      <c r="FH227" s="88">
        <f t="shared" ca="1" si="462"/>
        <v>0</v>
      </c>
      <c r="FI227" s="88">
        <f t="shared" ca="1" si="462"/>
        <v>0</v>
      </c>
      <c r="FJ227" s="88">
        <f t="shared" ca="1" si="462"/>
        <v>0</v>
      </c>
      <c r="FK227" s="88">
        <f t="shared" ca="1" si="462"/>
        <v>0</v>
      </c>
      <c r="FL227" s="88">
        <f t="shared" ca="1" si="462"/>
        <v>0</v>
      </c>
      <c r="FM227" s="88">
        <f t="shared" ca="1" si="462"/>
        <v>0</v>
      </c>
      <c r="FN227" s="88">
        <f t="shared" ca="1" si="462"/>
        <v>0</v>
      </c>
      <c r="FO227" s="88">
        <f t="shared" ref="FO227:GC236" ca="1" si="463">IF(AND($H227&lt;=FO$8,$H227+$AK227&gt;FO$8),IF(AND($H227+$AL227&lt;=FO$8,$AL227&gt;0),$AD227,$Z227),0)</f>
        <v>0</v>
      </c>
      <c r="FP227" s="88">
        <f t="shared" ca="1" si="463"/>
        <v>0</v>
      </c>
      <c r="FQ227" s="88">
        <f t="shared" ca="1" si="463"/>
        <v>0</v>
      </c>
      <c r="FR227" s="88">
        <f t="shared" ca="1" si="463"/>
        <v>0</v>
      </c>
      <c r="FS227" s="88">
        <f t="shared" ca="1" si="463"/>
        <v>0</v>
      </c>
      <c r="FT227" s="88">
        <f t="shared" ca="1" si="463"/>
        <v>0</v>
      </c>
      <c r="FU227" s="88">
        <f t="shared" ca="1" si="463"/>
        <v>0</v>
      </c>
      <c r="FV227" s="88">
        <f t="shared" ca="1" si="463"/>
        <v>0</v>
      </c>
      <c r="FW227" s="88">
        <f t="shared" ca="1" si="463"/>
        <v>0</v>
      </c>
      <c r="FX227" s="88">
        <f t="shared" ca="1" si="463"/>
        <v>0</v>
      </c>
      <c r="FY227" s="88">
        <f t="shared" ca="1" si="463"/>
        <v>0</v>
      </c>
      <c r="FZ227" s="88">
        <f t="shared" ca="1" si="463"/>
        <v>0</v>
      </c>
      <c r="GA227" s="88">
        <f t="shared" ca="1" si="463"/>
        <v>0</v>
      </c>
      <c r="GB227" s="88">
        <f t="shared" ca="1" si="463"/>
        <v>0</v>
      </c>
      <c r="GC227" s="88">
        <f t="shared" ca="1" si="463"/>
        <v>0</v>
      </c>
      <c r="GD227" s="60"/>
    </row>
    <row r="228" spans="1:186" s="54" customFormat="1" ht="14.45" customHeight="1">
      <c r="A228" s="61"/>
      <c r="B228" s="100" t="str">
        <f t="shared" si="418"/>
        <v>Residential_Weatherization_0_Hot Water Pipe Insulation_2019</v>
      </c>
      <c r="C228" s="100">
        <f>INDEX('Measure Inputs'!$D:$D,MATCH($B228,'Measure Inputs'!$B:$B,0))</f>
        <v>180</v>
      </c>
      <c r="D228" s="101" t="s">
        <v>2</v>
      </c>
      <c r="E228" s="101" t="s">
        <v>253</v>
      </c>
      <c r="F228" s="101">
        <v>0</v>
      </c>
      <c r="G228" s="101" t="s">
        <v>265</v>
      </c>
      <c r="H228" s="101">
        <v>2019</v>
      </c>
      <c r="I228" s="55"/>
      <c r="J228" s="58" t="str">
        <f t="shared" ca="1" si="229"/>
        <v>n/a</v>
      </c>
      <c r="K228" s="58" t="str">
        <f t="shared" ca="1" si="246"/>
        <v>n/a</v>
      </c>
      <c r="L228" s="58" t="str">
        <f t="shared" ca="1" si="230"/>
        <v>n/a</v>
      </c>
      <c r="M228" s="58" t="str">
        <f t="shared" ca="1" si="231"/>
        <v>n/a</v>
      </c>
      <c r="N228" s="58">
        <f t="shared" ca="1" si="232"/>
        <v>0.2734638001882867</v>
      </c>
      <c r="O228" s="55"/>
      <c r="P228" s="175">
        <f ca="1">IFERROR(($AW228+AV228)/SUMPRODUCT($CA228:$DI228,'General Inputs'!$F$51:$AN$51),"n/a")</f>
        <v>0</v>
      </c>
      <c r="Q228" s="175">
        <f t="shared" ca="1" si="454"/>
        <v>0</v>
      </c>
      <c r="R228" s="56">
        <f t="shared" ca="1" si="441"/>
        <v>27.719894520949317</v>
      </c>
      <c r="S228" s="55"/>
      <c r="T228" s="56">
        <f ca="1">INDEX(OFFSET('Measure Inputs'!$L$7,,,InputRows),$C228)</f>
        <v>15</v>
      </c>
      <c r="U228" s="134">
        <f ca="1">INDEX(OFFSET('Measure Inputs'!$T$7,,,InputRows),$C228)</f>
        <v>1</v>
      </c>
      <c r="V228" s="134">
        <f ca="1">INDEX(OFFSET('Measure Inputs'!$U$7,,,InputRows),$C228)</f>
        <v>1</v>
      </c>
      <c r="W228" s="55"/>
      <c r="X228" s="96">
        <f ca="1">INDEX(OFFSET('Measure Inputs'!$V$7,,,InputRows),$C228)*$T228*$V228*$U228</f>
        <v>1847.9929680632874</v>
      </c>
      <c r="Y228" s="96">
        <f ca="1">INDEX(OFFSET('Measure Inputs'!$W$7,,,InputRows),$C228)*$T228*$V228*$U228</f>
        <v>0.21095810137708759</v>
      </c>
      <c r="Z228" s="96">
        <f ca="1">INDEX(OFFSET('Measure Inputs'!$X$7,,,InputRows),$C228)*$T228*$V228*$U228</f>
        <v>0</v>
      </c>
      <c r="AA228" s="55"/>
      <c r="AB228" s="96">
        <f ca="1">INDEX(OFFSET('Measure Inputs'!$Z$7,,,InputRows),$C228)*$T228*$V228*$U228</f>
        <v>0</v>
      </c>
      <c r="AC228" s="96">
        <f ca="1">INDEX(OFFSET('Measure Inputs'!$AA$7,,,InputRows),$C228)*$T228*$V228*$U228</f>
        <v>0</v>
      </c>
      <c r="AD228" s="96">
        <f ca="1">INDEX(OFFSET('Measure Inputs'!$AB$7,,,InputRows),$C228)*$T228*$V228*$U228</f>
        <v>0</v>
      </c>
      <c r="AE228" s="55"/>
      <c r="AF228" s="57">
        <f ca="1">INDEX(OFFSET('Measure Inputs'!$Q$7,,,InputRows),$C228)*$T228</f>
        <v>0</v>
      </c>
      <c r="AG228" s="57">
        <f ca="1">INDEX(OFFSET('Measure Inputs'!$P$7,,,InputRows),$C228)*$T228*$V228</f>
        <v>0</v>
      </c>
      <c r="AH228" s="57">
        <f ca="1">INDEX(OFFSET('Measure Inputs'!$R$7,,,InputRows),$C228)*$T228*$V228</f>
        <v>0</v>
      </c>
      <c r="AI228" s="57">
        <f ca="1">INDEX(OFFSET('Measure Inputs'!$O$7,,,InputRows),$C228)*$T228</f>
        <v>0</v>
      </c>
      <c r="AJ228" s="57">
        <f ca="1">INDEX(OFFSET('Measure Inputs'!$S$7,,,InputRows),$C228)*$T228</f>
        <v>0</v>
      </c>
      <c r="AK228" s="63">
        <f ca="1">INDEX(OFFSET('Measure Inputs'!$M$7,,,InputRows),$C228)</f>
        <v>15</v>
      </c>
      <c r="AL228" s="88">
        <f ca="1">INDEX(OFFSET('Measure Inputs'!$N$7,,,InputRows),$C228)</f>
        <v>0</v>
      </c>
      <c r="AM228" s="57">
        <f ca="1">SUMIFS(OFFSET('Program Inputs'!$N$5,,,TotalPrograms),OFFSET('Program Inputs'!$B$5,,,TotalPrograms),SUBSTITUTE($B228,"All","*"))+AF228</f>
        <v>0</v>
      </c>
      <c r="AN228" s="57">
        <f t="shared" ca="1" si="442"/>
        <v>0</v>
      </c>
      <c r="AO228" s="55"/>
      <c r="AP228" s="59">
        <f t="shared" ca="1" si="443"/>
        <v>483.03803297383104</v>
      </c>
      <c r="AQ228" s="59">
        <f t="shared" ca="1" si="444"/>
        <v>0</v>
      </c>
      <c r="AR228" s="59">
        <f ca="1">SUMPRODUCT($CA228:$DI228,'General Inputs'!$F$32:$AN$32,'General Inputs'!$F$51:$AN$51)/(1-Loss_ElectricEnergy)</f>
        <v>446.3858452639094</v>
      </c>
      <c r="AS228" s="59">
        <f ca="1">SUMPRODUCT($DK228:$ES228,'General Inputs'!$F$33:$AN$33,'General Inputs'!$F$51:$AN$51)/(1-Loss_ElectricDemand)</f>
        <v>36.652187709921655</v>
      </c>
      <c r="AT228" s="59">
        <f ca="1">SUMPRODUCT($EU228:$GC228,'General Inputs'!$F$34:$AN$34,'General Inputs'!$F$51:$AN$51)/(1-Loss_GasEnergy)</f>
        <v>0</v>
      </c>
      <c r="AU228" s="59">
        <f ca="1">INDEX('General Inputs'!$F$51:$AN$51,MATCH($H228,'General Inputs'!$F$50:$AN$50,0))*$AJ228</f>
        <v>0</v>
      </c>
      <c r="AV228" s="59">
        <f ca="1">INDEX('General Inputs'!$F$51:$AN$51,MATCH($H228,'General Inputs'!$F$50:$AN$50,0))*$AI228</f>
        <v>0</v>
      </c>
      <c r="AW228" s="59">
        <f ca="1">INDEX('General Inputs'!$F$51:$AN$51,MATCH($H228,'General Inputs'!$F$50:$AN$50,0))*$AM228</f>
        <v>0</v>
      </c>
      <c r="AX228" s="59">
        <f ca="1">SUM(INDEX('General Inputs'!$F$51:$AN$51,MATCH($H228,'General Inputs'!$F$50:$AN$50,0))*$AG228,INDEX('General Inputs'!$F$51:$AN$51,MATCH($H228+$AL228,'General Inputs'!$F$50:$AN$50,0))*-$AH228)</f>
        <v>0</v>
      </c>
      <c r="AY228" s="55"/>
      <c r="AZ228" s="59">
        <f ca="1">SUMPRODUCT($CA228:$DI228,'General Inputs'!$F$32:$AN$32,'General Inputs'!$F$52:$AN$52)/(1-Loss_ElectricEnergy)</f>
        <v>446.3858452639094</v>
      </c>
      <c r="BA228" s="59">
        <f ca="1">SUMPRODUCT($DK228:$ES228,'General Inputs'!$F$33:$AN$33,'General Inputs'!$F$52:$AN$52)/(1-Loss_ElectricDemand)</f>
        <v>36.652187709921655</v>
      </c>
      <c r="BB228" s="59">
        <f ca="1">SUMPRODUCT($EU228:$GC228,'General Inputs'!$F$34:$AN$34,'General Inputs'!$F$52:$AN$52)/(1-Loss_GasEnergy)</f>
        <v>0</v>
      </c>
      <c r="BC228" s="59">
        <f ca="1">INDEX('General Inputs'!$F$52:$AN$52,MATCH($H228,'General Inputs'!$F$50:$AN$50,0))*$AI228</f>
        <v>0</v>
      </c>
      <c r="BD228" s="59">
        <f ca="1">INDEX('General Inputs'!$F$52:$AN$52,MATCH($H228,'General Inputs'!$F$50:$AN$50,0))*$AM228</f>
        <v>0</v>
      </c>
      <c r="BE228" s="55"/>
      <c r="BF228" s="59">
        <f ca="1">SUMPRODUCT($CA228:$DI228,OFFSET('General Inputs'!$F$40:$AN$40,MATCH($D228&amp;" Electric ($/kWh)",'General Inputs'!$E$40:$E$46,0),),'General Inputs'!$F$54:$AN$54)</f>
        <v>1766.3691963662</v>
      </c>
      <c r="BG228" s="59">
        <f ca="1">SUMPRODUCT($EU228:$GC228,OFFSET('General Inputs'!$F$40:$AN$40,MATCH($D228&amp;" Natural Gas ($/therm)",'General Inputs'!$E$40:$E$46,0),),'General Inputs'!$F$54:$AN$54)</f>
        <v>0</v>
      </c>
      <c r="BH228" s="59">
        <f ca="1">INDEX('General Inputs'!$F$54:$AN$54,MATCH($H228,'General Inputs'!$F$50:$AN$50,0))*$AI228</f>
        <v>0</v>
      </c>
      <c r="BI228" s="59">
        <f ca="1">SUM(INDEX('General Inputs'!$F$54:$AN$54,MATCH($H228,'General Inputs'!$F$50:$AN$50,0))*$AG228,INDEX('General Inputs'!$F$51:$AN$51,MATCH($H228+$AL228,'General Inputs'!$F$50:$AN$50,0))*-$AH228)</f>
        <v>0</v>
      </c>
      <c r="BJ228" s="55"/>
      <c r="BK228" s="59">
        <f ca="1">SUMPRODUCT($CA228:$DI228,'General Inputs'!$F$32:$AN$32,'General Inputs'!$F$53:$AN$53)/(1-Loss_ElectricEnergy)</f>
        <v>446.3858452639094</v>
      </c>
      <c r="BL228" s="59">
        <f ca="1">SUMPRODUCT($DK228:$ES228,'General Inputs'!$F$33:$AN$33,'General Inputs'!$F$53:$AN$53)/(1-Loss_ElectricDemand)</f>
        <v>36.652187709921655</v>
      </c>
      <c r="BM228" s="59">
        <f ca="1">SUMPRODUCT($EU228:$GC228,'General Inputs'!$F$34:$AN$34,'General Inputs'!$F$53:$AN$53)/(1-Loss_GasEnergy)</f>
        <v>0</v>
      </c>
      <c r="BN228" s="59">
        <f ca="1">INDEX('General Inputs'!$F$53:$AN$53,MATCH($H228,'General Inputs'!$F$50:$AN$50,0))*$AJ228</f>
        <v>0</v>
      </c>
      <c r="BO228" s="59">
        <f ca="1">SUMPRODUCT($CA228:$DI228,'General Inputs'!$F$35:$AN$35,'General Inputs'!$F$53:$AN$53)/(1-Loss_ElectricEnergy)</f>
        <v>165.27569825688576</v>
      </c>
      <c r="BP228" s="59">
        <f ca="1">INDEX('General Inputs'!$F$51:$AN$51,MATCH($H228,'General Inputs'!$F$50:$AN$50,0))*$AM228</f>
        <v>0</v>
      </c>
      <c r="BQ228" s="59">
        <f ca="1">SUM(INDEX('General Inputs'!$F$53:$AN$53,MATCH($H228,'General Inputs'!$F$50:$AN$50,0))*$AG228,INDEX('General Inputs'!$F$53:$AN$53,MATCH($H228+$AL228,'General Inputs'!$F$50:$AN$50,0))*-$AH228)</f>
        <v>0</v>
      </c>
      <c r="BR228" s="55"/>
      <c r="BS228" s="59">
        <f ca="1">SUMPRODUCT($CA228:$DI228,'General Inputs'!$F$32:$AN$32,'General Inputs'!$F$55:$AN$55)/(1-Loss_ElectricEnergy)</f>
        <v>446.3858452639094</v>
      </c>
      <c r="BT228" s="59">
        <f ca="1">SUMPRODUCT($DK228:$ES228,'General Inputs'!$F$33:$AN$33,'General Inputs'!$F$55:$AN$55)/(1-Loss_ElectricDemand)</f>
        <v>36.652187709921655</v>
      </c>
      <c r="BU228" s="59">
        <f ca="1">SUMPRODUCT($EU228:$GC228,'General Inputs'!$F$34:$AN$34,'General Inputs'!$F$55:$AN$55)/(1-Loss_GasEnergy)</f>
        <v>0</v>
      </c>
      <c r="BV228" s="59">
        <f ca="1">SUMPRODUCT($CA228:$DI228,OFFSET('General Inputs'!$F$40:$AN$40,MATCH($D228&amp;" Electric ($/kWh)",'General Inputs'!$E$40:$E$46,0),),'General Inputs'!$F$55:$AN$55)</f>
        <v>1766.3691963662</v>
      </c>
      <c r="BW228" s="59">
        <f ca="1">SUMPRODUCT($EU228:$GC228,OFFSET('General Inputs'!$F$40:$AN$40,MATCH($D228&amp;" Natural Gas ($/therm)",'General Inputs'!$E$40:$E$46,0),),'General Inputs'!$F$55:$AN$55)</f>
        <v>0</v>
      </c>
      <c r="BX228" s="59">
        <f ca="1">INDEX('General Inputs'!$F$55:$AN$55,MATCH($H228,'General Inputs'!$F$50:$AN$50,0))*$AI228</f>
        <v>0</v>
      </c>
      <c r="BY228" s="59">
        <f ca="1">INDEX('General Inputs'!$F$51:$AN$51,MATCH($H228,'General Inputs'!$F$50:$AN$50,0))*$AM228</f>
        <v>0</v>
      </c>
      <c r="BZ228" s="55"/>
      <c r="CA228" s="88">
        <f t="shared" ca="1" si="455"/>
        <v>0</v>
      </c>
      <c r="CB228" s="88">
        <f t="shared" ca="1" si="455"/>
        <v>0</v>
      </c>
      <c r="CC228" s="88">
        <f t="shared" ca="1" si="455"/>
        <v>1847.9929680632874</v>
      </c>
      <c r="CD228" s="88">
        <f t="shared" ca="1" si="455"/>
        <v>1847.9929680632874</v>
      </c>
      <c r="CE228" s="88">
        <f t="shared" ca="1" si="455"/>
        <v>1847.9929680632874</v>
      </c>
      <c r="CF228" s="88">
        <f t="shared" ca="1" si="455"/>
        <v>1847.9929680632874</v>
      </c>
      <c r="CG228" s="88">
        <f t="shared" ca="1" si="455"/>
        <v>1847.9929680632874</v>
      </c>
      <c r="CH228" s="88">
        <f t="shared" ca="1" si="455"/>
        <v>1847.9929680632874</v>
      </c>
      <c r="CI228" s="88">
        <f t="shared" ca="1" si="455"/>
        <v>1847.9929680632874</v>
      </c>
      <c r="CJ228" s="88">
        <f t="shared" ca="1" si="455"/>
        <v>1847.9929680632874</v>
      </c>
      <c r="CK228" s="88">
        <f t="shared" ca="1" si="456"/>
        <v>1847.9929680632874</v>
      </c>
      <c r="CL228" s="88">
        <f t="shared" ca="1" si="456"/>
        <v>1847.9929680632874</v>
      </c>
      <c r="CM228" s="88">
        <f t="shared" ca="1" si="456"/>
        <v>1847.9929680632874</v>
      </c>
      <c r="CN228" s="88">
        <f t="shared" ca="1" si="456"/>
        <v>1847.9929680632874</v>
      </c>
      <c r="CO228" s="88">
        <f t="shared" ca="1" si="456"/>
        <v>1847.9929680632874</v>
      </c>
      <c r="CP228" s="88">
        <f t="shared" ca="1" si="456"/>
        <v>1847.9929680632874</v>
      </c>
      <c r="CQ228" s="88">
        <f t="shared" ca="1" si="456"/>
        <v>1847.9929680632874</v>
      </c>
      <c r="CR228" s="88">
        <f t="shared" ca="1" si="456"/>
        <v>0</v>
      </c>
      <c r="CS228" s="88">
        <f t="shared" ca="1" si="456"/>
        <v>0</v>
      </c>
      <c r="CT228" s="88">
        <f t="shared" ca="1" si="456"/>
        <v>0</v>
      </c>
      <c r="CU228" s="88">
        <f t="shared" ca="1" si="457"/>
        <v>0</v>
      </c>
      <c r="CV228" s="88">
        <f t="shared" ca="1" si="457"/>
        <v>0</v>
      </c>
      <c r="CW228" s="88">
        <f t="shared" ca="1" si="457"/>
        <v>0</v>
      </c>
      <c r="CX228" s="88">
        <f t="shared" ca="1" si="457"/>
        <v>0</v>
      </c>
      <c r="CY228" s="88">
        <f t="shared" ca="1" si="457"/>
        <v>0</v>
      </c>
      <c r="CZ228" s="88">
        <f t="shared" ca="1" si="457"/>
        <v>0</v>
      </c>
      <c r="DA228" s="88">
        <f t="shared" ca="1" si="457"/>
        <v>0</v>
      </c>
      <c r="DB228" s="88">
        <f t="shared" ca="1" si="457"/>
        <v>0</v>
      </c>
      <c r="DC228" s="88">
        <f t="shared" ca="1" si="457"/>
        <v>0</v>
      </c>
      <c r="DD228" s="88">
        <f t="shared" ca="1" si="457"/>
        <v>0</v>
      </c>
      <c r="DE228" s="88">
        <f t="shared" ca="1" si="457"/>
        <v>0</v>
      </c>
      <c r="DF228" s="88">
        <f t="shared" ca="1" si="457"/>
        <v>0</v>
      </c>
      <c r="DG228" s="88">
        <f t="shared" ca="1" si="457"/>
        <v>0</v>
      </c>
      <c r="DH228" s="88">
        <f t="shared" ca="1" si="457"/>
        <v>0</v>
      </c>
      <c r="DI228" s="88">
        <f t="shared" ca="1" si="457"/>
        <v>0</v>
      </c>
      <c r="DJ228" s="169"/>
      <c r="DK228" s="88">
        <f t="shared" ca="1" si="458"/>
        <v>0</v>
      </c>
      <c r="DL228" s="88">
        <f t="shared" ca="1" si="458"/>
        <v>0</v>
      </c>
      <c r="DM228" s="88">
        <f t="shared" ca="1" si="458"/>
        <v>0.21095810137708759</v>
      </c>
      <c r="DN228" s="88">
        <f t="shared" ca="1" si="458"/>
        <v>0.21095810137708759</v>
      </c>
      <c r="DO228" s="88">
        <f t="shared" ca="1" si="458"/>
        <v>0.21095810137708759</v>
      </c>
      <c r="DP228" s="88">
        <f t="shared" ca="1" si="458"/>
        <v>0.21095810137708759</v>
      </c>
      <c r="DQ228" s="88">
        <f t="shared" ca="1" si="458"/>
        <v>0.21095810137708759</v>
      </c>
      <c r="DR228" s="88">
        <f t="shared" ca="1" si="458"/>
        <v>0.21095810137708759</v>
      </c>
      <c r="DS228" s="88">
        <f t="shared" ca="1" si="458"/>
        <v>0.21095810137708759</v>
      </c>
      <c r="DT228" s="88">
        <f t="shared" ca="1" si="458"/>
        <v>0.21095810137708759</v>
      </c>
      <c r="DU228" s="88">
        <f t="shared" ca="1" si="459"/>
        <v>0.21095810137708759</v>
      </c>
      <c r="DV228" s="88">
        <f t="shared" ca="1" si="459"/>
        <v>0.21095810137708759</v>
      </c>
      <c r="DW228" s="88">
        <f t="shared" ca="1" si="459"/>
        <v>0.21095810137708759</v>
      </c>
      <c r="DX228" s="88">
        <f t="shared" ca="1" si="459"/>
        <v>0.21095810137708759</v>
      </c>
      <c r="DY228" s="88">
        <f t="shared" ca="1" si="459"/>
        <v>0.21095810137708759</v>
      </c>
      <c r="DZ228" s="88">
        <f t="shared" ca="1" si="459"/>
        <v>0.21095810137708759</v>
      </c>
      <c r="EA228" s="88">
        <f t="shared" ca="1" si="459"/>
        <v>0.21095810137708759</v>
      </c>
      <c r="EB228" s="88">
        <f t="shared" ca="1" si="459"/>
        <v>0</v>
      </c>
      <c r="EC228" s="88">
        <f t="shared" ca="1" si="459"/>
        <v>0</v>
      </c>
      <c r="ED228" s="88">
        <f t="shared" ca="1" si="459"/>
        <v>0</v>
      </c>
      <c r="EE228" s="88">
        <f t="shared" ca="1" si="460"/>
        <v>0</v>
      </c>
      <c r="EF228" s="88">
        <f t="shared" ca="1" si="460"/>
        <v>0</v>
      </c>
      <c r="EG228" s="88">
        <f t="shared" ca="1" si="460"/>
        <v>0</v>
      </c>
      <c r="EH228" s="88">
        <f t="shared" ca="1" si="460"/>
        <v>0</v>
      </c>
      <c r="EI228" s="88">
        <f t="shared" ca="1" si="460"/>
        <v>0</v>
      </c>
      <c r="EJ228" s="88">
        <f t="shared" ca="1" si="460"/>
        <v>0</v>
      </c>
      <c r="EK228" s="88">
        <f t="shared" ca="1" si="460"/>
        <v>0</v>
      </c>
      <c r="EL228" s="88">
        <f t="shared" ca="1" si="460"/>
        <v>0</v>
      </c>
      <c r="EM228" s="88">
        <f t="shared" ca="1" si="460"/>
        <v>0</v>
      </c>
      <c r="EN228" s="88">
        <f t="shared" ca="1" si="460"/>
        <v>0</v>
      </c>
      <c r="EO228" s="88">
        <f t="shared" ca="1" si="460"/>
        <v>0</v>
      </c>
      <c r="EP228" s="88">
        <f t="shared" ca="1" si="460"/>
        <v>0</v>
      </c>
      <c r="EQ228" s="88">
        <f t="shared" ca="1" si="460"/>
        <v>0</v>
      </c>
      <c r="ER228" s="88">
        <f t="shared" ca="1" si="460"/>
        <v>0</v>
      </c>
      <c r="ES228" s="88">
        <f t="shared" ca="1" si="460"/>
        <v>0</v>
      </c>
      <c r="ET228" s="169"/>
      <c r="EU228" s="88">
        <f t="shared" ca="1" si="461"/>
        <v>0</v>
      </c>
      <c r="EV228" s="88">
        <f t="shared" ca="1" si="461"/>
        <v>0</v>
      </c>
      <c r="EW228" s="88">
        <f t="shared" ca="1" si="461"/>
        <v>0</v>
      </c>
      <c r="EX228" s="88">
        <f t="shared" ca="1" si="461"/>
        <v>0</v>
      </c>
      <c r="EY228" s="88">
        <f t="shared" ca="1" si="461"/>
        <v>0</v>
      </c>
      <c r="EZ228" s="88">
        <f t="shared" ca="1" si="461"/>
        <v>0</v>
      </c>
      <c r="FA228" s="88">
        <f t="shared" ca="1" si="461"/>
        <v>0</v>
      </c>
      <c r="FB228" s="88">
        <f t="shared" ca="1" si="461"/>
        <v>0</v>
      </c>
      <c r="FC228" s="88">
        <f t="shared" ca="1" si="461"/>
        <v>0</v>
      </c>
      <c r="FD228" s="88">
        <f t="shared" ca="1" si="461"/>
        <v>0</v>
      </c>
      <c r="FE228" s="88">
        <f t="shared" ca="1" si="462"/>
        <v>0</v>
      </c>
      <c r="FF228" s="88">
        <f t="shared" ca="1" si="462"/>
        <v>0</v>
      </c>
      <c r="FG228" s="88">
        <f t="shared" ca="1" si="462"/>
        <v>0</v>
      </c>
      <c r="FH228" s="88">
        <f t="shared" ca="1" si="462"/>
        <v>0</v>
      </c>
      <c r="FI228" s="88">
        <f t="shared" ca="1" si="462"/>
        <v>0</v>
      </c>
      <c r="FJ228" s="88">
        <f t="shared" ca="1" si="462"/>
        <v>0</v>
      </c>
      <c r="FK228" s="88">
        <f t="shared" ca="1" si="462"/>
        <v>0</v>
      </c>
      <c r="FL228" s="88">
        <f t="shared" ca="1" si="462"/>
        <v>0</v>
      </c>
      <c r="FM228" s="88">
        <f t="shared" ca="1" si="462"/>
        <v>0</v>
      </c>
      <c r="FN228" s="88">
        <f t="shared" ca="1" si="462"/>
        <v>0</v>
      </c>
      <c r="FO228" s="88">
        <f t="shared" ca="1" si="463"/>
        <v>0</v>
      </c>
      <c r="FP228" s="88">
        <f t="shared" ca="1" si="463"/>
        <v>0</v>
      </c>
      <c r="FQ228" s="88">
        <f t="shared" ca="1" si="463"/>
        <v>0</v>
      </c>
      <c r="FR228" s="88">
        <f t="shared" ca="1" si="463"/>
        <v>0</v>
      </c>
      <c r="FS228" s="88">
        <f t="shared" ca="1" si="463"/>
        <v>0</v>
      </c>
      <c r="FT228" s="88">
        <f t="shared" ca="1" si="463"/>
        <v>0</v>
      </c>
      <c r="FU228" s="88">
        <f t="shared" ca="1" si="463"/>
        <v>0</v>
      </c>
      <c r="FV228" s="88">
        <f t="shared" ca="1" si="463"/>
        <v>0</v>
      </c>
      <c r="FW228" s="88">
        <f t="shared" ca="1" si="463"/>
        <v>0</v>
      </c>
      <c r="FX228" s="88">
        <f t="shared" ca="1" si="463"/>
        <v>0</v>
      </c>
      <c r="FY228" s="88">
        <f t="shared" ca="1" si="463"/>
        <v>0</v>
      </c>
      <c r="FZ228" s="88">
        <f t="shared" ca="1" si="463"/>
        <v>0</v>
      </c>
      <c r="GA228" s="88">
        <f t="shared" ca="1" si="463"/>
        <v>0</v>
      </c>
      <c r="GB228" s="88">
        <f t="shared" ca="1" si="463"/>
        <v>0</v>
      </c>
      <c r="GC228" s="88">
        <f t="shared" ca="1" si="463"/>
        <v>0</v>
      </c>
      <c r="GD228" s="60"/>
    </row>
    <row r="229" spans="1:186" s="54" customFormat="1" ht="14.45" customHeight="1">
      <c r="A229" s="61"/>
      <c r="B229" s="100" t="str">
        <f t="shared" si="418"/>
        <v>Residential_Weatherization_0_Water Heater Temperature Setback_2019</v>
      </c>
      <c r="C229" s="100">
        <f>INDEX('Measure Inputs'!$D:$D,MATCH($B229,'Measure Inputs'!$B:$B,0))</f>
        <v>181</v>
      </c>
      <c r="D229" s="101" t="s">
        <v>2</v>
      </c>
      <c r="E229" s="101" t="s">
        <v>253</v>
      </c>
      <c r="F229" s="101">
        <v>0</v>
      </c>
      <c r="G229" s="101" t="s">
        <v>271</v>
      </c>
      <c r="H229" s="101">
        <v>2019</v>
      </c>
      <c r="I229" s="55"/>
      <c r="J229" s="58" t="str">
        <f t="shared" ca="1" si="229"/>
        <v>n/a</v>
      </c>
      <c r="K229" s="58" t="str">
        <f t="shared" ca="1" si="246"/>
        <v>n/a</v>
      </c>
      <c r="L229" s="58" t="str">
        <f t="shared" ca="1" si="230"/>
        <v>n/a</v>
      </c>
      <c r="M229" s="58" t="str">
        <f t="shared" ca="1" si="231"/>
        <v>n/a</v>
      </c>
      <c r="N229" s="58">
        <f t="shared" ca="1" si="232"/>
        <v>0.2734495975769104</v>
      </c>
      <c r="O229" s="55"/>
      <c r="P229" s="175">
        <f ca="1">IFERROR(($AW229+AV229)/SUMPRODUCT($CA229:$DI229,'General Inputs'!$F$51:$AN$51),"n/a")</f>
        <v>0</v>
      </c>
      <c r="Q229" s="175">
        <f t="shared" ca="1" si="454"/>
        <v>0</v>
      </c>
      <c r="R229" s="56">
        <f t="shared" ca="1" si="441"/>
        <v>1.513140121300572</v>
      </c>
      <c r="S229" s="55"/>
      <c r="T229" s="56">
        <f ca="1">INDEX(OFFSET('Measure Inputs'!$L$7,,,InputRows),$C229)</f>
        <v>15</v>
      </c>
      <c r="U229" s="134">
        <f ca="1">INDEX(OFFSET('Measure Inputs'!$T$7,,,InputRows),$C229)</f>
        <v>1</v>
      </c>
      <c r="V229" s="134">
        <f ca="1">INDEX(OFFSET('Measure Inputs'!$U$7,,,InputRows),$C229)</f>
        <v>1</v>
      </c>
      <c r="W229" s="55"/>
      <c r="X229" s="96">
        <f ca="1">INDEX(OFFSET('Measure Inputs'!$V$7,,,InputRows),$C229)*$T229*$V229*$U229</f>
        <v>756.570060650286</v>
      </c>
      <c r="Y229" s="96">
        <f ca="1">INDEX(OFFSET('Measure Inputs'!$W$7,,,InputRows),$C229)*$T229*$V229*$U229</f>
        <v>8.6307330669665297E-2</v>
      </c>
      <c r="Z229" s="96">
        <f ca="1">INDEX(OFFSET('Measure Inputs'!$X$7,,,InputRows),$C229)*$T229*$V229*$U229</f>
        <v>0</v>
      </c>
      <c r="AA229" s="55"/>
      <c r="AB229" s="96">
        <f ca="1">INDEX(OFFSET('Measure Inputs'!$Z$7,,,InputRows),$C229)*$T229*$V229*$U229</f>
        <v>0</v>
      </c>
      <c r="AC229" s="96">
        <f ca="1">INDEX(OFFSET('Measure Inputs'!$AA$7,,,InputRows),$C229)*$T229*$V229*$U229</f>
        <v>0</v>
      </c>
      <c r="AD229" s="96">
        <f ca="1">INDEX(OFFSET('Measure Inputs'!$AB$7,,,InputRows),$C229)*$T229*$V229*$U229</f>
        <v>0</v>
      </c>
      <c r="AE229" s="55"/>
      <c r="AF229" s="57">
        <f ca="1">INDEX(OFFSET('Measure Inputs'!$Q$7,,,InputRows),$C229)*$T229</f>
        <v>0</v>
      </c>
      <c r="AG229" s="57">
        <f ca="1">INDEX(OFFSET('Measure Inputs'!$P$7,,,InputRows),$C229)*$T229*$V229</f>
        <v>0</v>
      </c>
      <c r="AH229" s="57">
        <f ca="1">INDEX(OFFSET('Measure Inputs'!$R$7,,,InputRows),$C229)*$T229*$V229</f>
        <v>0</v>
      </c>
      <c r="AI229" s="57">
        <f ca="1">INDEX(OFFSET('Measure Inputs'!$O$7,,,InputRows),$C229)*$T229</f>
        <v>0</v>
      </c>
      <c r="AJ229" s="57">
        <f ca="1">INDEX(OFFSET('Measure Inputs'!$S$7,,,InputRows),$C229)*$T229</f>
        <v>0</v>
      </c>
      <c r="AK229" s="63">
        <f ca="1">INDEX(OFFSET('Measure Inputs'!$M$7,,,InputRows),$C229)</f>
        <v>2</v>
      </c>
      <c r="AL229" s="88">
        <f ca="1">INDEX(OFFSET('Measure Inputs'!$N$7,,,InputRows),$C229)</f>
        <v>0</v>
      </c>
      <c r="AM229" s="57">
        <f ca="1">SUMIFS(OFFSET('Program Inputs'!$N$5,,,TotalPrograms),OFFSET('Program Inputs'!$B$5,,,TotalPrograms),SUBSTITUTE($B229,"All","*"))+AF229</f>
        <v>0</v>
      </c>
      <c r="AN229" s="57">
        <f t="shared" ca="1" si="442"/>
        <v>0</v>
      </c>
      <c r="AO229" s="55"/>
      <c r="AP229" s="59">
        <f t="shared" ca="1" si="443"/>
        <v>39.703213156383043</v>
      </c>
      <c r="AQ229" s="59">
        <f t="shared" ca="1" si="444"/>
        <v>0</v>
      </c>
      <c r="AR229" s="59">
        <f ca="1">SUMPRODUCT($CA229:$DI229,'General Inputs'!$F$32:$AN$32,'General Inputs'!$F$51:$AN$51)/(1-Loss_ElectricEnergy)</f>
        <v>36.692499681970055</v>
      </c>
      <c r="AS229" s="59">
        <f ca="1">SUMPRODUCT($DK229:$ES229,'General Inputs'!$F$33:$AN$33,'General Inputs'!$F$51:$AN$51)/(1-Loss_ElectricDemand)</f>
        <v>3.0107134744129915</v>
      </c>
      <c r="AT229" s="59">
        <f ca="1">SUMPRODUCT($EU229:$GC229,'General Inputs'!$F$34:$AN$34,'General Inputs'!$F$51:$AN$51)/(1-Loss_GasEnergy)</f>
        <v>0</v>
      </c>
      <c r="AU229" s="59">
        <f ca="1">INDEX('General Inputs'!$F$51:$AN$51,MATCH($H229,'General Inputs'!$F$50:$AN$50,0))*$AJ229</f>
        <v>0</v>
      </c>
      <c r="AV229" s="59">
        <f ca="1">INDEX('General Inputs'!$F$51:$AN$51,MATCH($H229,'General Inputs'!$F$50:$AN$50,0))*$AI229</f>
        <v>0</v>
      </c>
      <c r="AW229" s="59">
        <f ca="1">INDEX('General Inputs'!$F$51:$AN$51,MATCH($H229,'General Inputs'!$F$50:$AN$50,0))*$AM229</f>
        <v>0</v>
      </c>
      <c r="AX229" s="59">
        <f ca="1">SUM(INDEX('General Inputs'!$F$51:$AN$51,MATCH($H229,'General Inputs'!$F$50:$AN$50,0))*$AG229,INDEX('General Inputs'!$F$51:$AN$51,MATCH($H229+$AL229,'General Inputs'!$F$50:$AN$50,0))*-$AH229)</f>
        <v>0</v>
      </c>
      <c r="AY229" s="55"/>
      <c r="AZ229" s="59">
        <f ca="1">SUMPRODUCT($CA229:$DI229,'General Inputs'!$F$32:$AN$32,'General Inputs'!$F$52:$AN$52)/(1-Loss_ElectricEnergy)</f>
        <v>36.692499681970055</v>
      </c>
      <c r="BA229" s="59">
        <f ca="1">SUMPRODUCT($DK229:$ES229,'General Inputs'!$F$33:$AN$33,'General Inputs'!$F$52:$AN$52)/(1-Loss_ElectricDemand)</f>
        <v>3.0107134744129915</v>
      </c>
      <c r="BB229" s="59">
        <f ca="1">SUMPRODUCT($EU229:$GC229,'General Inputs'!$F$34:$AN$34,'General Inputs'!$F$52:$AN$52)/(1-Loss_GasEnergy)</f>
        <v>0</v>
      </c>
      <c r="BC229" s="59">
        <f ca="1">INDEX('General Inputs'!$F$52:$AN$52,MATCH($H229,'General Inputs'!$F$50:$AN$50,0))*$AI229</f>
        <v>0</v>
      </c>
      <c r="BD229" s="59">
        <f ca="1">INDEX('General Inputs'!$F$52:$AN$52,MATCH($H229,'General Inputs'!$F$50:$AN$50,0))*$AM229</f>
        <v>0</v>
      </c>
      <c r="BE229" s="55"/>
      <c r="BF229" s="59">
        <f ca="1">SUMPRODUCT($CA229:$DI229,OFFSET('General Inputs'!$F$40:$AN$40,MATCH($D229&amp;" Electric ($/kWh)",'General Inputs'!$E$40:$E$46,0),),'General Inputs'!$F$54:$AN$54)</f>
        <v>145.19389864969949</v>
      </c>
      <c r="BG229" s="59">
        <f ca="1">SUMPRODUCT($EU229:$GC229,OFFSET('General Inputs'!$F$40:$AN$40,MATCH($D229&amp;" Natural Gas ($/therm)",'General Inputs'!$E$40:$E$46,0),),'General Inputs'!$F$54:$AN$54)</f>
        <v>0</v>
      </c>
      <c r="BH229" s="59">
        <f ca="1">INDEX('General Inputs'!$F$54:$AN$54,MATCH($H229,'General Inputs'!$F$50:$AN$50,0))*$AI229</f>
        <v>0</v>
      </c>
      <c r="BI229" s="59">
        <f ca="1">SUM(INDEX('General Inputs'!$F$54:$AN$54,MATCH($H229,'General Inputs'!$F$50:$AN$50,0))*$AG229,INDEX('General Inputs'!$F$51:$AN$51,MATCH($H229+$AL229,'General Inputs'!$F$50:$AN$50,0))*-$AH229)</f>
        <v>0</v>
      </c>
      <c r="BJ229" s="55"/>
      <c r="BK229" s="59">
        <f ca="1">SUMPRODUCT($CA229:$DI229,'General Inputs'!$F$32:$AN$32,'General Inputs'!$F$53:$AN$53)/(1-Loss_ElectricEnergy)</f>
        <v>36.692499681970055</v>
      </c>
      <c r="BL229" s="59">
        <f ca="1">SUMPRODUCT($DK229:$ES229,'General Inputs'!$F$33:$AN$33,'General Inputs'!$F$53:$AN$53)/(1-Loss_ElectricDemand)</f>
        <v>3.0107134744129915</v>
      </c>
      <c r="BM229" s="59">
        <f ca="1">SUMPRODUCT($EU229:$GC229,'General Inputs'!$F$34:$AN$34,'General Inputs'!$F$53:$AN$53)/(1-Loss_GasEnergy)</f>
        <v>0</v>
      </c>
      <c r="BN229" s="59">
        <f ca="1">INDEX('General Inputs'!$F$53:$AN$53,MATCH($H229,'General Inputs'!$F$50:$AN$50,0))*$AJ229</f>
        <v>0</v>
      </c>
      <c r="BO229" s="59">
        <f ca="1">SUMPRODUCT($CA229:$DI229,'General Inputs'!$F$35:$AN$35,'General Inputs'!$F$53:$AN$53)/(1-Loss_ElectricEnergy)</f>
        <v>14.659163444638743</v>
      </c>
      <c r="BP229" s="59">
        <f ca="1">INDEX('General Inputs'!$F$51:$AN$51,MATCH($H229,'General Inputs'!$F$50:$AN$50,0))*$AM229</f>
        <v>0</v>
      </c>
      <c r="BQ229" s="59">
        <f ca="1">SUM(INDEX('General Inputs'!$F$53:$AN$53,MATCH($H229,'General Inputs'!$F$50:$AN$50,0))*$AG229,INDEX('General Inputs'!$F$53:$AN$53,MATCH($H229+$AL229,'General Inputs'!$F$50:$AN$50,0))*-$AH229)</f>
        <v>0</v>
      </c>
      <c r="BR229" s="55"/>
      <c r="BS229" s="59">
        <f ca="1">SUMPRODUCT($CA229:$DI229,'General Inputs'!$F$32:$AN$32,'General Inputs'!$F$55:$AN$55)/(1-Loss_ElectricEnergy)</f>
        <v>36.692499681970055</v>
      </c>
      <c r="BT229" s="59">
        <f ca="1">SUMPRODUCT($DK229:$ES229,'General Inputs'!$F$33:$AN$33,'General Inputs'!$F$55:$AN$55)/(1-Loss_ElectricDemand)</f>
        <v>3.0107134744129915</v>
      </c>
      <c r="BU229" s="59">
        <f ca="1">SUMPRODUCT($EU229:$GC229,'General Inputs'!$F$34:$AN$34,'General Inputs'!$F$55:$AN$55)/(1-Loss_GasEnergy)</f>
        <v>0</v>
      </c>
      <c r="BV229" s="59">
        <f ca="1">SUMPRODUCT($CA229:$DI229,OFFSET('General Inputs'!$F$40:$AN$40,MATCH($D229&amp;" Electric ($/kWh)",'General Inputs'!$E$40:$E$46,0),),'General Inputs'!$F$55:$AN$55)</f>
        <v>145.19389864969949</v>
      </c>
      <c r="BW229" s="59">
        <f ca="1">SUMPRODUCT($EU229:$GC229,OFFSET('General Inputs'!$F$40:$AN$40,MATCH($D229&amp;" Natural Gas ($/therm)",'General Inputs'!$E$40:$E$46,0),),'General Inputs'!$F$55:$AN$55)</f>
        <v>0</v>
      </c>
      <c r="BX229" s="59">
        <f ca="1">INDEX('General Inputs'!$F$55:$AN$55,MATCH($H229,'General Inputs'!$F$50:$AN$50,0))*$AI229</f>
        <v>0</v>
      </c>
      <c r="BY229" s="59">
        <f ca="1">INDEX('General Inputs'!$F$51:$AN$51,MATCH($H229,'General Inputs'!$F$50:$AN$50,0))*$AM229</f>
        <v>0</v>
      </c>
      <c r="BZ229" s="55"/>
      <c r="CA229" s="88">
        <f t="shared" ca="1" si="455"/>
        <v>0</v>
      </c>
      <c r="CB229" s="88">
        <f t="shared" ca="1" si="455"/>
        <v>0</v>
      </c>
      <c r="CC229" s="88">
        <f t="shared" ca="1" si="455"/>
        <v>756.570060650286</v>
      </c>
      <c r="CD229" s="88">
        <f t="shared" ca="1" si="455"/>
        <v>756.570060650286</v>
      </c>
      <c r="CE229" s="88">
        <f t="shared" ca="1" si="455"/>
        <v>0</v>
      </c>
      <c r="CF229" s="88">
        <f t="shared" ca="1" si="455"/>
        <v>0</v>
      </c>
      <c r="CG229" s="88">
        <f t="shared" ca="1" si="455"/>
        <v>0</v>
      </c>
      <c r="CH229" s="88">
        <f t="shared" ca="1" si="455"/>
        <v>0</v>
      </c>
      <c r="CI229" s="88">
        <f t="shared" ca="1" si="455"/>
        <v>0</v>
      </c>
      <c r="CJ229" s="88">
        <f t="shared" ca="1" si="455"/>
        <v>0</v>
      </c>
      <c r="CK229" s="88">
        <f t="shared" ca="1" si="456"/>
        <v>0</v>
      </c>
      <c r="CL229" s="88">
        <f t="shared" ca="1" si="456"/>
        <v>0</v>
      </c>
      <c r="CM229" s="88">
        <f t="shared" ca="1" si="456"/>
        <v>0</v>
      </c>
      <c r="CN229" s="88">
        <f t="shared" ca="1" si="456"/>
        <v>0</v>
      </c>
      <c r="CO229" s="88">
        <f t="shared" ca="1" si="456"/>
        <v>0</v>
      </c>
      <c r="CP229" s="88">
        <f t="shared" ca="1" si="456"/>
        <v>0</v>
      </c>
      <c r="CQ229" s="88">
        <f t="shared" ca="1" si="456"/>
        <v>0</v>
      </c>
      <c r="CR229" s="88">
        <f t="shared" ca="1" si="456"/>
        <v>0</v>
      </c>
      <c r="CS229" s="88">
        <f t="shared" ca="1" si="456"/>
        <v>0</v>
      </c>
      <c r="CT229" s="88">
        <f t="shared" ca="1" si="456"/>
        <v>0</v>
      </c>
      <c r="CU229" s="88">
        <f t="shared" ca="1" si="457"/>
        <v>0</v>
      </c>
      <c r="CV229" s="88">
        <f t="shared" ca="1" si="457"/>
        <v>0</v>
      </c>
      <c r="CW229" s="88">
        <f t="shared" ca="1" si="457"/>
        <v>0</v>
      </c>
      <c r="CX229" s="88">
        <f t="shared" ca="1" si="457"/>
        <v>0</v>
      </c>
      <c r="CY229" s="88">
        <f t="shared" ca="1" si="457"/>
        <v>0</v>
      </c>
      <c r="CZ229" s="88">
        <f t="shared" ca="1" si="457"/>
        <v>0</v>
      </c>
      <c r="DA229" s="88">
        <f t="shared" ca="1" si="457"/>
        <v>0</v>
      </c>
      <c r="DB229" s="88">
        <f t="shared" ca="1" si="457"/>
        <v>0</v>
      </c>
      <c r="DC229" s="88">
        <f t="shared" ca="1" si="457"/>
        <v>0</v>
      </c>
      <c r="DD229" s="88">
        <f t="shared" ca="1" si="457"/>
        <v>0</v>
      </c>
      <c r="DE229" s="88">
        <f t="shared" ca="1" si="457"/>
        <v>0</v>
      </c>
      <c r="DF229" s="88">
        <f t="shared" ca="1" si="457"/>
        <v>0</v>
      </c>
      <c r="DG229" s="88">
        <f t="shared" ca="1" si="457"/>
        <v>0</v>
      </c>
      <c r="DH229" s="88">
        <f t="shared" ca="1" si="457"/>
        <v>0</v>
      </c>
      <c r="DI229" s="88">
        <f t="shared" ca="1" si="457"/>
        <v>0</v>
      </c>
      <c r="DJ229" s="169"/>
      <c r="DK229" s="88">
        <f t="shared" ca="1" si="458"/>
        <v>0</v>
      </c>
      <c r="DL229" s="88">
        <f t="shared" ca="1" si="458"/>
        <v>0</v>
      </c>
      <c r="DM229" s="88">
        <f t="shared" ca="1" si="458"/>
        <v>8.6307330669665297E-2</v>
      </c>
      <c r="DN229" s="88">
        <f t="shared" ca="1" si="458"/>
        <v>8.6307330669665297E-2</v>
      </c>
      <c r="DO229" s="88">
        <f t="shared" ca="1" si="458"/>
        <v>0</v>
      </c>
      <c r="DP229" s="88">
        <f t="shared" ca="1" si="458"/>
        <v>0</v>
      </c>
      <c r="DQ229" s="88">
        <f t="shared" ca="1" si="458"/>
        <v>0</v>
      </c>
      <c r="DR229" s="88">
        <f t="shared" ca="1" si="458"/>
        <v>0</v>
      </c>
      <c r="DS229" s="88">
        <f t="shared" ca="1" si="458"/>
        <v>0</v>
      </c>
      <c r="DT229" s="88">
        <f t="shared" ca="1" si="458"/>
        <v>0</v>
      </c>
      <c r="DU229" s="88">
        <f t="shared" ca="1" si="459"/>
        <v>0</v>
      </c>
      <c r="DV229" s="88">
        <f t="shared" ca="1" si="459"/>
        <v>0</v>
      </c>
      <c r="DW229" s="88">
        <f t="shared" ca="1" si="459"/>
        <v>0</v>
      </c>
      <c r="DX229" s="88">
        <f t="shared" ca="1" si="459"/>
        <v>0</v>
      </c>
      <c r="DY229" s="88">
        <f t="shared" ca="1" si="459"/>
        <v>0</v>
      </c>
      <c r="DZ229" s="88">
        <f t="shared" ca="1" si="459"/>
        <v>0</v>
      </c>
      <c r="EA229" s="88">
        <f t="shared" ca="1" si="459"/>
        <v>0</v>
      </c>
      <c r="EB229" s="88">
        <f t="shared" ca="1" si="459"/>
        <v>0</v>
      </c>
      <c r="EC229" s="88">
        <f t="shared" ca="1" si="459"/>
        <v>0</v>
      </c>
      <c r="ED229" s="88">
        <f t="shared" ca="1" si="459"/>
        <v>0</v>
      </c>
      <c r="EE229" s="88">
        <f t="shared" ca="1" si="460"/>
        <v>0</v>
      </c>
      <c r="EF229" s="88">
        <f t="shared" ca="1" si="460"/>
        <v>0</v>
      </c>
      <c r="EG229" s="88">
        <f t="shared" ca="1" si="460"/>
        <v>0</v>
      </c>
      <c r="EH229" s="88">
        <f t="shared" ca="1" si="460"/>
        <v>0</v>
      </c>
      <c r="EI229" s="88">
        <f t="shared" ca="1" si="460"/>
        <v>0</v>
      </c>
      <c r="EJ229" s="88">
        <f t="shared" ca="1" si="460"/>
        <v>0</v>
      </c>
      <c r="EK229" s="88">
        <f t="shared" ca="1" si="460"/>
        <v>0</v>
      </c>
      <c r="EL229" s="88">
        <f t="shared" ca="1" si="460"/>
        <v>0</v>
      </c>
      <c r="EM229" s="88">
        <f t="shared" ca="1" si="460"/>
        <v>0</v>
      </c>
      <c r="EN229" s="88">
        <f t="shared" ca="1" si="460"/>
        <v>0</v>
      </c>
      <c r="EO229" s="88">
        <f t="shared" ca="1" si="460"/>
        <v>0</v>
      </c>
      <c r="EP229" s="88">
        <f t="shared" ca="1" si="460"/>
        <v>0</v>
      </c>
      <c r="EQ229" s="88">
        <f t="shared" ca="1" si="460"/>
        <v>0</v>
      </c>
      <c r="ER229" s="88">
        <f t="shared" ca="1" si="460"/>
        <v>0</v>
      </c>
      <c r="ES229" s="88">
        <f t="shared" ca="1" si="460"/>
        <v>0</v>
      </c>
      <c r="ET229" s="169"/>
      <c r="EU229" s="88">
        <f t="shared" ca="1" si="461"/>
        <v>0</v>
      </c>
      <c r="EV229" s="88">
        <f t="shared" ca="1" si="461"/>
        <v>0</v>
      </c>
      <c r="EW229" s="88">
        <f t="shared" ca="1" si="461"/>
        <v>0</v>
      </c>
      <c r="EX229" s="88">
        <f t="shared" ca="1" si="461"/>
        <v>0</v>
      </c>
      <c r="EY229" s="88">
        <f t="shared" ca="1" si="461"/>
        <v>0</v>
      </c>
      <c r="EZ229" s="88">
        <f t="shared" ca="1" si="461"/>
        <v>0</v>
      </c>
      <c r="FA229" s="88">
        <f t="shared" ca="1" si="461"/>
        <v>0</v>
      </c>
      <c r="FB229" s="88">
        <f t="shared" ca="1" si="461"/>
        <v>0</v>
      </c>
      <c r="FC229" s="88">
        <f t="shared" ca="1" si="461"/>
        <v>0</v>
      </c>
      <c r="FD229" s="88">
        <f t="shared" ca="1" si="461"/>
        <v>0</v>
      </c>
      <c r="FE229" s="88">
        <f t="shared" ca="1" si="462"/>
        <v>0</v>
      </c>
      <c r="FF229" s="88">
        <f t="shared" ca="1" si="462"/>
        <v>0</v>
      </c>
      <c r="FG229" s="88">
        <f t="shared" ca="1" si="462"/>
        <v>0</v>
      </c>
      <c r="FH229" s="88">
        <f t="shared" ca="1" si="462"/>
        <v>0</v>
      </c>
      <c r="FI229" s="88">
        <f t="shared" ca="1" si="462"/>
        <v>0</v>
      </c>
      <c r="FJ229" s="88">
        <f t="shared" ca="1" si="462"/>
        <v>0</v>
      </c>
      <c r="FK229" s="88">
        <f t="shared" ca="1" si="462"/>
        <v>0</v>
      </c>
      <c r="FL229" s="88">
        <f t="shared" ca="1" si="462"/>
        <v>0</v>
      </c>
      <c r="FM229" s="88">
        <f t="shared" ca="1" si="462"/>
        <v>0</v>
      </c>
      <c r="FN229" s="88">
        <f t="shared" ca="1" si="462"/>
        <v>0</v>
      </c>
      <c r="FO229" s="88">
        <f t="shared" ca="1" si="463"/>
        <v>0</v>
      </c>
      <c r="FP229" s="88">
        <f t="shared" ca="1" si="463"/>
        <v>0</v>
      </c>
      <c r="FQ229" s="88">
        <f t="shared" ca="1" si="463"/>
        <v>0</v>
      </c>
      <c r="FR229" s="88">
        <f t="shared" ca="1" si="463"/>
        <v>0</v>
      </c>
      <c r="FS229" s="88">
        <f t="shared" ca="1" si="463"/>
        <v>0</v>
      </c>
      <c r="FT229" s="88">
        <f t="shared" ca="1" si="463"/>
        <v>0</v>
      </c>
      <c r="FU229" s="88">
        <f t="shared" ca="1" si="463"/>
        <v>0</v>
      </c>
      <c r="FV229" s="88">
        <f t="shared" ca="1" si="463"/>
        <v>0</v>
      </c>
      <c r="FW229" s="88">
        <f t="shared" ca="1" si="463"/>
        <v>0</v>
      </c>
      <c r="FX229" s="88">
        <f t="shared" ca="1" si="463"/>
        <v>0</v>
      </c>
      <c r="FY229" s="88">
        <f t="shared" ca="1" si="463"/>
        <v>0</v>
      </c>
      <c r="FZ229" s="88">
        <f t="shared" ca="1" si="463"/>
        <v>0</v>
      </c>
      <c r="GA229" s="88">
        <f t="shared" ca="1" si="463"/>
        <v>0</v>
      </c>
      <c r="GB229" s="88">
        <f t="shared" ca="1" si="463"/>
        <v>0</v>
      </c>
      <c r="GC229" s="88">
        <f t="shared" ca="1" si="463"/>
        <v>0</v>
      </c>
      <c r="GD229" s="60"/>
    </row>
    <row r="230" spans="1:186" s="54" customFormat="1" ht="14.45" customHeight="1">
      <c r="A230" s="61"/>
      <c r="B230" s="100" t="str">
        <f t="shared" si="418"/>
        <v>Residential_Weatherization_0_LED_2019</v>
      </c>
      <c r="C230" s="100">
        <f>INDEX('Measure Inputs'!$D:$D,MATCH($B230,'Measure Inputs'!$B:$B,0))</f>
        <v>182</v>
      </c>
      <c r="D230" s="101" t="s">
        <v>2</v>
      </c>
      <c r="E230" s="101" t="s">
        <v>253</v>
      </c>
      <c r="F230" s="101">
        <v>0</v>
      </c>
      <c r="G230" s="101" t="s">
        <v>216</v>
      </c>
      <c r="H230" s="101">
        <v>2019</v>
      </c>
      <c r="I230" s="55"/>
      <c r="J230" s="58" t="str">
        <f t="shared" ca="1" si="229"/>
        <v>n/a</v>
      </c>
      <c r="K230" s="58" t="str">
        <f t="shared" ca="1" si="246"/>
        <v>n/a</v>
      </c>
      <c r="L230" s="58" t="str">
        <f t="shared" ca="1" si="230"/>
        <v>n/a</v>
      </c>
      <c r="M230" s="58" t="str">
        <f t="shared" ca="1" si="231"/>
        <v>n/a</v>
      </c>
      <c r="N230" s="58">
        <f t="shared" ca="1" si="232"/>
        <v>0.26866943777996127</v>
      </c>
      <c r="O230" s="55"/>
      <c r="P230" s="175">
        <f ca="1">IFERROR(($AW230+AV230)/SUMPRODUCT($CA230:$DI230,'General Inputs'!$F$51:$AN$51),"n/a")</f>
        <v>0</v>
      </c>
      <c r="Q230" s="175">
        <f t="shared" ca="1" si="454"/>
        <v>0</v>
      </c>
      <c r="R230" s="56">
        <f t="shared" ca="1" si="441"/>
        <v>38.96036020799999</v>
      </c>
      <c r="S230" s="55"/>
      <c r="T230" s="56">
        <f ca="1">INDEX(OFFSET('Measure Inputs'!$L$7,,,InputRows),$C230)</f>
        <v>120</v>
      </c>
      <c r="U230" s="134">
        <f ca="1">INDEX(OFFSET('Measure Inputs'!$T$7,,,InputRows),$C230)</f>
        <v>1</v>
      </c>
      <c r="V230" s="134">
        <f ca="1">INDEX(OFFSET('Measure Inputs'!$U$7,,,InputRows),$C230)</f>
        <v>1</v>
      </c>
      <c r="W230" s="55"/>
      <c r="X230" s="96">
        <f ca="1">INDEX(OFFSET('Measure Inputs'!$V$7,,,InputRows),$C230)*$T230*$V230*$U230</f>
        <v>3896.0360207999997</v>
      </c>
      <c r="Y230" s="96">
        <f ca="1">INDEX(OFFSET('Measure Inputs'!$W$7,,,InputRows),$C230)*$T230*$V230*$U230</f>
        <v>0.34199126639999994</v>
      </c>
      <c r="Z230" s="96">
        <f ca="1">INDEX(OFFSET('Measure Inputs'!$X$7,,,InputRows),$C230)*$T230*$V230*$U230</f>
        <v>0</v>
      </c>
      <c r="AA230" s="55"/>
      <c r="AB230" s="96">
        <f ca="1">INDEX(OFFSET('Measure Inputs'!$Z$7,,,InputRows),$C230)*$T230*$V230*$U230</f>
        <v>0</v>
      </c>
      <c r="AC230" s="96">
        <f ca="1">INDEX(OFFSET('Measure Inputs'!$AA$7,,,InputRows),$C230)*$T230*$V230*$U230</f>
        <v>0</v>
      </c>
      <c r="AD230" s="96">
        <f ca="1">INDEX(OFFSET('Measure Inputs'!$AB$7,,,InputRows),$C230)*$T230*$V230*$U230</f>
        <v>0</v>
      </c>
      <c r="AE230" s="55"/>
      <c r="AF230" s="57">
        <f ca="1">INDEX(OFFSET('Measure Inputs'!$Q$7,,,InputRows),$C230)*$T230</f>
        <v>0</v>
      </c>
      <c r="AG230" s="57">
        <f ca="1">INDEX(OFFSET('Measure Inputs'!$P$7,,,InputRows),$C230)*$T230*$V230</f>
        <v>0</v>
      </c>
      <c r="AH230" s="57">
        <f ca="1">INDEX(OFFSET('Measure Inputs'!$R$7,,,InputRows),$C230)*$T230*$V230</f>
        <v>0</v>
      </c>
      <c r="AI230" s="57">
        <f ca="1">INDEX(OFFSET('Measure Inputs'!$O$7,,,InputRows),$C230)*$T230</f>
        <v>0</v>
      </c>
      <c r="AJ230" s="57">
        <f ca="1">INDEX(OFFSET('Measure Inputs'!$S$7,,,InputRows),$C230)*$T230</f>
        <v>0</v>
      </c>
      <c r="AK230" s="63">
        <f ca="1">INDEX(OFFSET('Measure Inputs'!$M$7,,,InputRows),$C230)</f>
        <v>10</v>
      </c>
      <c r="AL230" s="88">
        <f ca="1">INDEX(OFFSET('Measure Inputs'!$N$7,,,InputRows),$C230)</f>
        <v>0</v>
      </c>
      <c r="AM230" s="57">
        <f ca="1">SUMIFS(OFFSET('Program Inputs'!$N$5,,,TotalPrograms),OFFSET('Program Inputs'!$B$5,,,TotalPrograms),SUBSTITUTE($B230,"All","*"))+AF230</f>
        <v>0</v>
      </c>
      <c r="AN230" s="57">
        <f t="shared" ca="1" si="442"/>
        <v>0</v>
      </c>
      <c r="AO230" s="55"/>
      <c r="AP230" s="59">
        <f t="shared" ca="1" si="443"/>
        <v>774.55714108752738</v>
      </c>
      <c r="AQ230" s="59">
        <f t="shared" ca="1" si="444"/>
        <v>0</v>
      </c>
      <c r="AR230" s="59">
        <f ca="1">SUMPRODUCT($CA230:$DI230,'General Inputs'!$F$32:$AN$32,'General Inputs'!$F$51:$AN$51)/(1-Loss_ElectricEnergy)</f>
        <v>728.55799459496473</v>
      </c>
      <c r="AS230" s="59">
        <f ca="1">SUMPRODUCT($DK230:$ES230,'General Inputs'!$F$33:$AN$33,'General Inputs'!$F$51:$AN$51)/(1-Loss_ElectricDemand)</f>
        <v>45.999146492562666</v>
      </c>
      <c r="AT230" s="59">
        <f ca="1">SUMPRODUCT($EU230:$GC230,'General Inputs'!$F$34:$AN$34,'General Inputs'!$F$51:$AN$51)/(1-Loss_GasEnergy)</f>
        <v>0</v>
      </c>
      <c r="AU230" s="59">
        <f ca="1">INDEX('General Inputs'!$F$51:$AN$51,MATCH($H230,'General Inputs'!$F$50:$AN$50,0))*$AJ230</f>
        <v>0</v>
      </c>
      <c r="AV230" s="59">
        <f ca="1">INDEX('General Inputs'!$F$51:$AN$51,MATCH($H230,'General Inputs'!$F$50:$AN$50,0))*$AI230</f>
        <v>0</v>
      </c>
      <c r="AW230" s="59">
        <f ca="1">INDEX('General Inputs'!$F$51:$AN$51,MATCH($H230,'General Inputs'!$F$50:$AN$50,0))*$AM230</f>
        <v>0</v>
      </c>
      <c r="AX230" s="59">
        <f ca="1">SUM(INDEX('General Inputs'!$F$51:$AN$51,MATCH($H230,'General Inputs'!$F$50:$AN$50,0))*$AG230,INDEX('General Inputs'!$F$51:$AN$51,MATCH($H230+$AL230,'General Inputs'!$F$50:$AN$50,0))*-$AH230)</f>
        <v>0</v>
      </c>
      <c r="AY230" s="55"/>
      <c r="AZ230" s="59">
        <f ca="1">SUMPRODUCT($CA230:$DI230,'General Inputs'!$F$32:$AN$32,'General Inputs'!$F$52:$AN$52)/(1-Loss_ElectricEnergy)</f>
        <v>728.55799459496473</v>
      </c>
      <c r="BA230" s="59">
        <f ca="1">SUMPRODUCT($DK230:$ES230,'General Inputs'!$F$33:$AN$33,'General Inputs'!$F$52:$AN$52)/(1-Loss_ElectricDemand)</f>
        <v>45.999146492562666</v>
      </c>
      <c r="BB230" s="59">
        <f ca="1">SUMPRODUCT($EU230:$GC230,'General Inputs'!$F$34:$AN$34,'General Inputs'!$F$52:$AN$52)/(1-Loss_GasEnergy)</f>
        <v>0</v>
      </c>
      <c r="BC230" s="59">
        <f ca="1">INDEX('General Inputs'!$F$52:$AN$52,MATCH($H230,'General Inputs'!$F$50:$AN$50,0))*$AI230</f>
        <v>0</v>
      </c>
      <c r="BD230" s="59">
        <f ca="1">INDEX('General Inputs'!$F$52:$AN$52,MATCH($H230,'General Inputs'!$F$50:$AN$50,0))*$AM230</f>
        <v>0</v>
      </c>
      <c r="BE230" s="55"/>
      <c r="BF230" s="59">
        <f ca="1">SUMPRODUCT($CA230:$DI230,OFFSET('General Inputs'!$F$40:$AN$40,MATCH($D230&amp;" Electric ($/kWh)",'General Inputs'!$E$40:$E$46,0),),'General Inputs'!$F$54:$AN$54)</f>
        <v>2882.9372908499004</v>
      </c>
      <c r="BG230" s="59">
        <f ca="1">SUMPRODUCT($EU230:$GC230,OFFSET('General Inputs'!$F$40:$AN$40,MATCH($D230&amp;" Natural Gas ($/therm)",'General Inputs'!$E$40:$E$46,0),),'General Inputs'!$F$54:$AN$54)</f>
        <v>0</v>
      </c>
      <c r="BH230" s="59">
        <f ca="1">INDEX('General Inputs'!$F$54:$AN$54,MATCH($H230,'General Inputs'!$F$50:$AN$50,0))*$AI230</f>
        <v>0</v>
      </c>
      <c r="BI230" s="59">
        <f ca="1">SUM(INDEX('General Inputs'!$F$54:$AN$54,MATCH($H230,'General Inputs'!$F$50:$AN$50,0))*$AG230,INDEX('General Inputs'!$F$51:$AN$51,MATCH($H230+$AL230,'General Inputs'!$F$50:$AN$50,0))*-$AH230)</f>
        <v>0</v>
      </c>
      <c r="BJ230" s="55"/>
      <c r="BK230" s="59">
        <f ca="1">SUMPRODUCT($CA230:$DI230,'General Inputs'!$F$32:$AN$32,'General Inputs'!$F$53:$AN$53)/(1-Loss_ElectricEnergy)</f>
        <v>728.55799459496473</v>
      </c>
      <c r="BL230" s="59">
        <f ca="1">SUMPRODUCT($DK230:$ES230,'General Inputs'!$F$33:$AN$33,'General Inputs'!$F$53:$AN$53)/(1-Loss_ElectricDemand)</f>
        <v>45.999146492562666</v>
      </c>
      <c r="BM230" s="59">
        <f ca="1">SUMPRODUCT($EU230:$GC230,'General Inputs'!$F$34:$AN$34,'General Inputs'!$F$53:$AN$53)/(1-Loss_GasEnergy)</f>
        <v>0</v>
      </c>
      <c r="BN230" s="59">
        <f ca="1">INDEX('General Inputs'!$F$53:$AN$53,MATCH($H230,'General Inputs'!$F$50:$AN$50,0))*$AJ230</f>
        <v>0</v>
      </c>
      <c r="BO230" s="59">
        <f ca="1">SUMPRODUCT($CA230:$DI230,'General Inputs'!$F$35:$AN$35,'General Inputs'!$F$53:$AN$53)/(1-Loss_ElectricEnergy)</f>
        <v>276.74989455666315</v>
      </c>
      <c r="BP230" s="59">
        <f ca="1">INDEX('General Inputs'!$F$51:$AN$51,MATCH($H230,'General Inputs'!$F$50:$AN$50,0))*$AM230</f>
        <v>0</v>
      </c>
      <c r="BQ230" s="59">
        <f ca="1">SUM(INDEX('General Inputs'!$F$53:$AN$53,MATCH($H230,'General Inputs'!$F$50:$AN$50,0))*$AG230,INDEX('General Inputs'!$F$53:$AN$53,MATCH($H230+$AL230,'General Inputs'!$F$50:$AN$50,0))*-$AH230)</f>
        <v>0</v>
      </c>
      <c r="BR230" s="55"/>
      <c r="BS230" s="59">
        <f ca="1">SUMPRODUCT($CA230:$DI230,'General Inputs'!$F$32:$AN$32,'General Inputs'!$F$55:$AN$55)/(1-Loss_ElectricEnergy)</f>
        <v>728.55799459496473</v>
      </c>
      <c r="BT230" s="59">
        <f ca="1">SUMPRODUCT($DK230:$ES230,'General Inputs'!$F$33:$AN$33,'General Inputs'!$F$55:$AN$55)/(1-Loss_ElectricDemand)</f>
        <v>45.999146492562666</v>
      </c>
      <c r="BU230" s="59">
        <f ca="1">SUMPRODUCT($EU230:$GC230,'General Inputs'!$F$34:$AN$34,'General Inputs'!$F$55:$AN$55)/(1-Loss_GasEnergy)</f>
        <v>0</v>
      </c>
      <c r="BV230" s="59">
        <f ca="1">SUMPRODUCT($CA230:$DI230,OFFSET('General Inputs'!$F$40:$AN$40,MATCH($D230&amp;" Electric ($/kWh)",'General Inputs'!$E$40:$E$46,0),),'General Inputs'!$F$55:$AN$55)</f>
        <v>2882.9372908499004</v>
      </c>
      <c r="BW230" s="59">
        <f ca="1">SUMPRODUCT($EU230:$GC230,OFFSET('General Inputs'!$F$40:$AN$40,MATCH($D230&amp;" Natural Gas ($/therm)",'General Inputs'!$E$40:$E$46,0),),'General Inputs'!$F$55:$AN$55)</f>
        <v>0</v>
      </c>
      <c r="BX230" s="59">
        <f ca="1">INDEX('General Inputs'!$F$55:$AN$55,MATCH($H230,'General Inputs'!$F$50:$AN$50,0))*$AI230</f>
        <v>0</v>
      </c>
      <c r="BY230" s="59">
        <f ca="1">INDEX('General Inputs'!$F$51:$AN$51,MATCH($H230,'General Inputs'!$F$50:$AN$50,0))*$AM230</f>
        <v>0</v>
      </c>
      <c r="BZ230" s="55"/>
      <c r="CA230" s="88">
        <f t="shared" ca="1" si="455"/>
        <v>0</v>
      </c>
      <c r="CB230" s="88">
        <f t="shared" ca="1" si="455"/>
        <v>0</v>
      </c>
      <c r="CC230" s="88">
        <f t="shared" ca="1" si="455"/>
        <v>3896.0360207999997</v>
      </c>
      <c r="CD230" s="88">
        <f t="shared" ca="1" si="455"/>
        <v>3896.0360207999997</v>
      </c>
      <c r="CE230" s="88">
        <f t="shared" ca="1" si="455"/>
        <v>3896.0360207999997</v>
      </c>
      <c r="CF230" s="88">
        <f t="shared" ca="1" si="455"/>
        <v>3896.0360207999997</v>
      </c>
      <c r="CG230" s="88">
        <f t="shared" ca="1" si="455"/>
        <v>3896.0360207999997</v>
      </c>
      <c r="CH230" s="88">
        <f t="shared" ca="1" si="455"/>
        <v>3896.0360207999997</v>
      </c>
      <c r="CI230" s="88">
        <f t="shared" ca="1" si="455"/>
        <v>3896.0360207999997</v>
      </c>
      <c r="CJ230" s="88">
        <f t="shared" ca="1" si="455"/>
        <v>3896.0360207999997</v>
      </c>
      <c r="CK230" s="88">
        <f t="shared" ca="1" si="456"/>
        <v>3896.0360207999997</v>
      </c>
      <c r="CL230" s="88">
        <f t="shared" ca="1" si="456"/>
        <v>3896.0360207999997</v>
      </c>
      <c r="CM230" s="88">
        <f t="shared" ca="1" si="456"/>
        <v>0</v>
      </c>
      <c r="CN230" s="88">
        <f t="shared" ca="1" si="456"/>
        <v>0</v>
      </c>
      <c r="CO230" s="88">
        <f t="shared" ca="1" si="456"/>
        <v>0</v>
      </c>
      <c r="CP230" s="88">
        <f t="shared" ca="1" si="456"/>
        <v>0</v>
      </c>
      <c r="CQ230" s="88">
        <f t="shared" ca="1" si="456"/>
        <v>0</v>
      </c>
      <c r="CR230" s="88">
        <f t="shared" ca="1" si="456"/>
        <v>0</v>
      </c>
      <c r="CS230" s="88">
        <f t="shared" ca="1" si="456"/>
        <v>0</v>
      </c>
      <c r="CT230" s="88">
        <f t="shared" ca="1" si="456"/>
        <v>0</v>
      </c>
      <c r="CU230" s="88">
        <f t="shared" ca="1" si="457"/>
        <v>0</v>
      </c>
      <c r="CV230" s="88">
        <f t="shared" ca="1" si="457"/>
        <v>0</v>
      </c>
      <c r="CW230" s="88">
        <f t="shared" ca="1" si="457"/>
        <v>0</v>
      </c>
      <c r="CX230" s="88">
        <f t="shared" ca="1" si="457"/>
        <v>0</v>
      </c>
      <c r="CY230" s="88">
        <f t="shared" ca="1" si="457"/>
        <v>0</v>
      </c>
      <c r="CZ230" s="88">
        <f t="shared" ca="1" si="457"/>
        <v>0</v>
      </c>
      <c r="DA230" s="88">
        <f t="shared" ca="1" si="457"/>
        <v>0</v>
      </c>
      <c r="DB230" s="88">
        <f t="shared" ca="1" si="457"/>
        <v>0</v>
      </c>
      <c r="DC230" s="88">
        <f t="shared" ca="1" si="457"/>
        <v>0</v>
      </c>
      <c r="DD230" s="88">
        <f t="shared" ca="1" si="457"/>
        <v>0</v>
      </c>
      <c r="DE230" s="88">
        <f t="shared" ca="1" si="457"/>
        <v>0</v>
      </c>
      <c r="DF230" s="88">
        <f t="shared" ca="1" si="457"/>
        <v>0</v>
      </c>
      <c r="DG230" s="88">
        <f t="shared" ca="1" si="457"/>
        <v>0</v>
      </c>
      <c r="DH230" s="88">
        <f t="shared" ca="1" si="457"/>
        <v>0</v>
      </c>
      <c r="DI230" s="88">
        <f t="shared" ca="1" si="457"/>
        <v>0</v>
      </c>
      <c r="DJ230" s="169"/>
      <c r="DK230" s="88">
        <f t="shared" ca="1" si="458"/>
        <v>0</v>
      </c>
      <c r="DL230" s="88">
        <f t="shared" ca="1" si="458"/>
        <v>0</v>
      </c>
      <c r="DM230" s="88">
        <f t="shared" ca="1" si="458"/>
        <v>0.34199126639999994</v>
      </c>
      <c r="DN230" s="88">
        <f t="shared" ca="1" si="458"/>
        <v>0.34199126639999994</v>
      </c>
      <c r="DO230" s="88">
        <f t="shared" ca="1" si="458"/>
        <v>0.34199126639999994</v>
      </c>
      <c r="DP230" s="88">
        <f t="shared" ca="1" si="458"/>
        <v>0.34199126639999994</v>
      </c>
      <c r="DQ230" s="88">
        <f t="shared" ca="1" si="458"/>
        <v>0.34199126639999994</v>
      </c>
      <c r="DR230" s="88">
        <f t="shared" ca="1" si="458"/>
        <v>0.34199126639999994</v>
      </c>
      <c r="DS230" s="88">
        <f t="shared" ca="1" si="458"/>
        <v>0.34199126639999994</v>
      </c>
      <c r="DT230" s="88">
        <f t="shared" ca="1" si="458"/>
        <v>0.34199126639999994</v>
      </c>
      <c r="DU230" s="88">
        <f t="shared" ca="1" si="459"/>
        <v>0.34199126639999994</v>
      </c>
      <c r="DV230" s="88">
        <f t="shared" ca="1" si="459"/>
        <v>0.34199126639999994</v>
      </c>
      <c r="DW230" s="88">
        <f t="shared" ca="1" si="459"/>
        <v>0</v>
      </c>
      <c r="DX230" s="88">
        <f t="shared" ca="1" si="459"/>
        <v>0</v>
      </c>
      <c r="DY230" s="88">
        <f t="shared" ca="1" si="459"/>
        <v>0</v>
      </c>
      <c r="DZ230" s="88">
        <f t="shared" ca="1" si="459"/>
        <v>0</v>
      </c>
      <c r="EA230" s="88">
        <f t="shared" ca="1" si="459"/>
        <v>0</v>
      </c>
      <c r="EB230" s="88">
        <f t="shared" ca="1" si="459"/>
        <v>0</v>
      </c>
      <c r="EC230" s="88">
        <f t="shared" ca="1" si="459"/>
        <v>0</v>
      </c>
      <c r="ED230" s="88">
        <f t="shared" ca="1" si="459"/>
        <v>0</v>
      </c>
      <c r="EE230" s="88">
        <f t="shared" ca="1" si="460"/>
        <v>0</v>
      </c>
      <c r="EF230" s="88">
        <f t="shared" ca="1" si="460"/>
        <v>0</v>
      </c>
      <c r="EG230" s="88">
        <f t="shared" ca="1" si="460"/>
        <v>0</v>
      </c>
      <c r="EH230" s="88">
        <f t="shared" ca="1" si="460"/>
        <v>0</v>
      </c>
      <c r="EI230" s="88">
        <f t="shared" ca="1" si="460"/>
        <v>0</v>
      </c>
      <c r="EJ230" s="88">
        <f t="shared" ca="1" si="460"/>
        <v>0</v>
      </c>
      <c r="EK230" s="88">
        <f t="shared" ca="1" si="460"/>
        <v>0</v>
      </c>
      <c r="EL230" s="88">
        <f t="shared" ca="1" si="460"/>
        <v>0</v>
      </c>
      <c r="EM230" s="88">
        <f t="shared" ca="1" si="460"/>
        <v>0</v>
      </c>
      <c r="EN230" s="88">
        <f t="shared" ca="1" si="460"/>
        <v>0</v>
      </c>
      <c r="EO230" s="88">
        <f t="shared" ca="1" si="460"/>
        <v>0</v>
      </c>
      <c r="EP230" s="88">
        <f t="shared" ca="1" si="460"/>
        <v>0</v>
      </c>
      <c r="EQ230" s="88">
        <f t="shared" ca="1" si="460"/>
        <v>0</v>
      </c>
      <c r="ER230" s="88">
        <f t="shared" ca="1" si="460"/>
        <v>0</v>
      </c>
      <c r="ES230" s="88">
        <f t="shared" ca="1" si="460"/>
        <v>0</v>
      </c>
      <c r="ET230" s="169"/>
      <c r="EU230" s="88">
        <f t="shared" ca="1" si="461"/>
        <v>0</v>
      </c>
      <c r="EV230" s="88">
        <f t="shared" ca="1" si="461"/>
        <v>0</v>
      </c>
      <c r="EW230" s="88">
        <f t="shared" ca="1" si="461"/>
        <v>0</v>
      </c>
      <c r="EX230" s="88">
        <f t="shared" ca="1" si="461"/>
        <v>0</v>
      </c>
      <c r="EY230" s="88">
        <f t="shared" ca="1" si="461"/>
        <v>0</v>
      </c>
      <c r="EZ230" s="88">
        <f t="shared" ca="1" si="461"/>
        <v>0</v>
      </c>
      <c r="FA230" s="88">
        <f t="shared" ca="1" si="461"/>
        <v>0</v>
      </c>
      <c r="FB230" s="88">
        <f t="shared" ca="1" si="461"/>
        <v>0</v>
      </c>
      <c r="FC230" s="88">
        <f t="shared" ca="1" si="461"/>
        <v>0</v>
      </c>
      <c r="FD230" s="88">
        <f t="shared" ca="1" si="461"/>
        <v>0</v>
      </c>
      <c r="FE230" s="88">
        <f t="shared" ca="1" si="462"/>
        <v>0</v>
      </c>
      <c r="FF230" s="88">
        <f t="shared" ca="1" si="462"/>
        <v>0</v>
      </c>
      <c r="FG230" s="88">
        <f t="shared" ca="1" si="462"/>
        <v>0</v>
      </c>
      <c r="FH230" s="88">
        <f t="shared" ca="1" si="462"/>
        <v>0</v>
      </c>
      <c r="FI230" s="88">
        <f t="shared" ca="1" si="462"/>
        <v>0</v>
      </c>
      <c r="FJ230" s="88">
        <f t="shared" ca="1" si="462"/>
        <v>0</v>
      </c>
      <c r="FK230" s="88">
        <f t="shared" ca="1" si="462"/>
        <v>0</v>
      </c>
      <c r="FL230" s="88">
        <f t="shared" ca="1" si="462"/>
        <v>0</v>
      </c>
      <c r="FM230" s="88">
        <f t="shared" ca="1" si="462"/>
        <v>0</v>
      </c>
      <c r="FN230" s="88">
        <f t="shared" ca="1" si="462"/>
        <v>0</v>
      </c>
      <c r="FO230" s="88">
        <f t="shared" ca="1" si="463"/>
        <v>0</v>
      </c>
      <c r="FP230" s="88">
        <f t="shared" ca="1" si="463"/>
        <v>0</v>
      </c>
      <c r="FQ230" s="88">
        <f t="shared" ca="1" si="463"/>
        <v>0</v>
      </c>
      <c r="FR230" s="88">
        <f t="shared" ca="1" si="463"/>
        <v>0</v>
      </c>
      <c r="FS230" s="88">
        <f t="shared" ca="1" si="463"/>
        <v>0</v>
      </c>
      <c r="FT230" s="88">
        <f t="shared" ca="1" si="463"/>
        <v>0</v>
      </c>
      <c r="FU230" s="88">
        <f t="shared" ca="1" si="463"/>
        <v>0</v>
      </c>
      <c r="FV230" s="88">
        <f t="shared" ca="1" si="463"/>
        <v>0</v>
      </c>
      <c r="FW230" s="88">
        <f t="shared" ca="1" si="463"/>
        <v>0</v>
      </c>
      <c r="FX230" s="88">
        <f t="shared" ca="1" si="463"/>
        <v>0</v>
      </c>
      <c r="FY230" s="88">
        <f t="shared" ca="1" si="463"/>
        <v>0</v>
      </c>
      <c r="FZ230" s="88">
        <f t="shared" ca="1" si="463"/>
        <v>0</v>
      </c>
      <c r="GA230" s="88">
        <f t="shared" ca="1" si="463"/>
        <v>0</v>
      </c>
      <c r="GB230" s="88">
        <f t="shared" ca="1" si="463"/>
        <v>0</v>
      </c>
      <c r="GC230" s="88">
        <f t="shared" ca="1" si="463"/>
        <v>0</v>
      </c>
      <c r="GD230" s="60"/>
    </row>
    <row r="231" spans="1:186" s="54" customFormat="1" ht="14.45" customHeight="1">
      <c r="A231" s="61"/>
      <c r="B231" s="100" t="str">
        <f t="shared" si="418"/>
        <v>Residential_Weatherization_0_Faucet Aerator_2019</v>
      </c>
      <c r="C231" s="100">
        <f>INDEX('Measure Inputs'!$D:$D,MATCH($B231,'Measure Inputs'!$B:$B,0))</f>
        <v>183</v>
      </c>
      <c r="D231" s="101" t="s">
        <v>2</v>
      </c>
      <c r="E231" s="101" t="s">
        <v>253</v>
      </c>
      <c r="F231" s="101">
        <v>0</v>
      </c>
      <c r="G231" s="29" t="s">
        <v>525</v>
      </c>
      <c r="H231" s="101">
        <v>2019</v>
      </c>
      <c r="I231" s="55"/>
      <c r="J231" s="58" t="str">
        <f t="shared" ca="1" si="229"/>
        <v>n/a</v>
      </c>
      <c r="K231" s="58" t="str">
        <f t="shared" ca="1" si="246"/>
        <v>n/a</v>
      </c>
      <c r="L231" s="58" t="str">
        <f t="shared" ca="1" si="230"/>
        <v>n/a</v>
      </c>
      <c r="M231" s="58" t="str">
        <f t="shared" ca="1" si="231"/>
        <v>n/a</v>
      </c>
      <c r="N231" s="58">
        <f t="shared" ca="1" si="232"/>
        <v>0.32961653368545429</v>
      </c>
      <c r="O231" s="55"/>
      <c r="P231" s="175">
        <f ca="1">IFERROR(($AW231+AV231)/SUMPRODUCT($CA231:$DI231,'General Inputs'!$F$51:$AN$51),"n/a")</f>
        <v>0</v>
      </c>
      <c r="Q231" s="175">
        <f t="shared" ca="1" si="454"/>
        <v>0</v>
      </c>
      <c r="R231" s="56">
        <f t="shared" ca="1" si="441"/>
        <v>18.521657392174451</v>
      </c>
      <c r="S231" s="55"/>
      <c r="T231" s="56">
        <f ca="1">INDEX(OFFSET('Measure Inputs'!$L$7,,,InputRows),$C231)</f>
        <v>30</v>
      </c>
      <c r="U231" s="134">
        <f ca="1">INDEX(OFFSET('Measure Inputs'!$T$7,,,InputRows),$C231)</f>
        <v>1</v>
      </c>
      <c r="V231" s="134">
        <f ca="1">INDEX(OFFSET('Measure Inputs'!$U$7,,,InputRows),$C231)</f>
        <v>1</v>
      </c>
      <c r="W231" s="55"/>
      <c r="X231" s="96">
        <f ca="1">INDEX(OFFSET('Measure Inputs'!$V$7,,,InputRows),$C231)*$T231*$V231*$U231</f>
        <v>2057.9619324638279</v>
      </c>
      <c r="Y231" s="96">
        <f ca="1">INDEX(OFFSET('Measure Inputs'!$W$7,,,InputRows),$C231)*$T231*$V231*$U231</f>
        <v>0.87067620219623498</v>
      </c>
      <c r="Z231" s="96">
        <f ca="1">INDEX(OFFSET('Measure Inputs'!$X$7,,,InputRows),$C231)*$T231*$V231*$U231</f>
        <v>0</v>
      </c>
      <c r="AA231" s="55"/>
      <c r="AB231" s="96">
        <f ca="1">INDEX(OFFSET('Measure Inputs'!$Z$7,,,InputRows),$C231)*$T231*$V231*$U231</f>
        <v>0</v>
      </c>
      <c r="AC231" s="96">
        <f ca="1">INDEX(OFFSET('Measure Inputs'!$AA$7,,,InputRows),$C231)*$T231*$V231*$U231</f>
        <v>0</v>
      </c>
      <c r="AD231" s="96">
        <f ca="1">INDEX(OFFSET('Measure Inputs'!$AB$7,,,InputRows),$C231)*$T231*$V231*$U231</f>
        <v>0</v>
      </c>
      <c r="AE231" s="55"/>
      <c r="AF231" s="57">
        <f ca="1">INDEX(OFFSET('Measure Inputs'!$Q$7,,,InputRows),$C231)*$T231</f>
        <v>0</v>
      </c>
      <c r="AG231" s="57">
        <f ca="1">INDEX(OFFSET('Measure Inputs'!$P$7,,,InputRows),$C231)*$T231*$V231</f>
        <v>0</v>
      </c>
      <c r="AH231" s="57">
        <f ca="1">INDEX(OFFSET('Measure Inputs'!$R$7,,,InputRows),$C231)*$T231*$V231</f>
        <v>0</v>
      </c>
      <c r="AI231" s="57">
        <f ca="1">INDEX(OFFSET('Measure Inputs'!$O$7,,,InputRows),$C231)*$T231</f>
        <v>0</v>
      </c>
      <c r="AJ231" s="57">
        <f ca="1">INDEX(OFFSET('Measure Inputs'!$S$7,,,InputRows),$C231)*$T231</f>
        <v>0</v>
      </c>
      <c r="AK231" s="63">
        <f ca="1">INDEX(OFFSET('Measure Inputs'!$M$7,,,InputRows),$C231)</f>
        <v>9</v>
      </c>
      <c r="AL231" s="88">
        <f ca="1">INDEX(OFFSET('Measure Inputs'!$N$7,,,InputRows),$C231)</f>
        <v>0</v>
      </c>
      <c r="AM231" s="57">
        <f ca="1">SUMIFS(OFFSET('Program Inputs'!$N$5,,,TotalPrograms),OFFSET('Program Inputs'!$B$5,,,TotalPrograms),SUBSTITUTE($B231,"All","*"))+AF231</f>
        <v>0</v>
      </c>
      <c r="AN231" s="57">
        <f t="shared" ca="1" si="442"/>
        <v>0</v>
      </c>
      <c r="AO231" s="55"/>
      <c r="AP231" s="59">
        <f t="shared" ca="1" si="443"/>
        <v>466.01345313677501</v>
      </c>
      <c r="AQ231" s="59">
        <f t="shared" ca="1" si="444"/>
        <v>0</v>
      </c>
      <c r="AR231" s="59">
        <f ca="1">SUMPRODUCT($CA231:$DI231,'General Inputs'!$F$32:$AN$32,'General Inputs'!$F$51:$AN$51)/(1-Loss_ElectricEnergy)</f>
        <v>357.28797421432381</v>
      </c>
      <c r="AS231" s="59">
        <f ca="1">SUMPRODUCT($DK231:$ES231,'General Inputs'!$F$33:$AN$33,'General Inputs'!$F$51:$AN$51)/(1-Loss_ElectricDemand)</f>
        <v>108.72547892245119</v>
      </c>
      <c r="AT231" s="59">
        <f ca="1">SUMPRODUCT($EU231:$GC231,'General Inputs'!$F$34:$AN$34,'General Inputs'!$F$51:$AN$51)/(1-Loss_GasEnergy)</f>
        <v>0</v>
      </c>
      <c r="AU231" s="59">
        <f ca="1">INDEX('General Inputs'!$F$51:$AN$51,MATCH($H231,'General Inputs'!$F$50:$AN$50,0))*$AJ231</f>
        <v>0</v>
      </c>
      <c r="AV231" s="59">
        <f ca="1">INDEX('General Inputs'!$F$51:$AN$51,MATCH($H231,'General Inputs'!$F$50:$AN$50,0))*$AI231</f>
        <v>0</v>
      </c>
      <c r="AW231" s="59">
        <f ca="1">INDEX('General Inputs'!$F$51:$AN$51,MATCH($H231,'General Inputs'!$F$50:$AN$50,0))*$AM231</f>
        <v>0</v>
      </c>
      <c r="AX231" s="59">
        <f ca="1">SUM(INDEX('General Inputs'!$F$51:$AN$51,MATCH($H231,'General Inputs'!$F$50:$AN$50,0))*$AG231,INDEX('General Inputs'!$F$51:$AN$51,MATCH($H231+$AL231,'General Inputs'!$F$50:$AN$50,0))*-$AH231)</f>
        <v>0</v>
      </c>
      <c r="AY231" s="55"/>
      <c r="AZ231" s="59">
        <f ca="1">SUMPRODUCT($CA231:$DI231,'General Inputs'!$F$32:$AN$32,'General Inputs'!$F$52:$AN$52)/(1-Loss_ElectricEnergy)</f>
        <v>357.28797421432381</v>
      </c>
      <c r="BA231" s="59">
        <f ca="1">SUMPRODUCT($DK231:$ES231,'General Inputs'!$F$33:$AN$33,'General Inputs'!$F$52:$AN$52)/(1-Loss_ElectricDemand)</f>
        <v>108.72547892245119</v>
      </c>
      <c r="BB231" s="59">
        <f ca="1">SUMPRODUCT($EU231:$GC231,'General Inputs'!$F$34:$AN$34,'General Inputs'!$F$52:$AN$52)/(1-Loss_GasEnergy)</f>
        <v>0</v>
      </c>
      <c r="BC231" s="59">
        <f ca="1">INDEX('General Inputs'!$F$52:$AN$52,MATCH($H231,'General Inputs'!$F$50:$AN$50,0))*$AI231</f>
        <v>0</v>
      </c>
      <c r="BD231" s="59">
        <f ca="1">INDEX('General Inputs'!$F$52:$AN$52,MATCH($H231,'General Inputs'!$F$50:$AN$50,0))*$AM231</f>
        <v>0</v>
      </c>
      <c r="BE231" s="55"/>
      <c r="BF231" s="59">
        <f ca="1">SUMPRODUCT($CA231:$DI231,OFFSET('General Inputs'!$F$40:$AN$40,MATCH($D231&amp;" Electric ($/kWh)",'General Inputs'!$E$40:$E$46,0),),'General Inputs'!$F$54:$AN$54)</f>
        <v>1413.8048474882673</v>
      </c>
      <c r="BG231" s="59">
        <f ca="1">SUMPRODUCT($EU231:$GC231,OFFSET('General Inputs'!$F$40:$AN$40,MATCH($D231&amp;" Natural Gas ($/therm)",'General Inputs'!$E$40:$E$46,0),),'General Inputs'!$F$54:$AN$54)</f>
        <v>0</v>
      </c>
      <c r="BH231" s="59">
        <f ca="1">INDEX('General Inputs'!$F$54:$AN$54,MATCH($H231,'General Inputs'!$F$50:$AN$50,0))*$AI231</f>
        <v>0</v>
      </c>
      <c r="BI231" s="59">
        <f ca="1">SUM(INDEX('General Inputs'!$F$54:$AN$54,MATCH($H231,'General Inputs'!$F$50:$AN$50,0))*$AG231,INDEX('General Inputs'!$F$51:$AN$51,MATCH($H231+$AL231,'General Inputs'!$F$50:$AN$50,0))*-$AH231)</f>
        <v>0</v>
      </c>
      <c r="BJ231" s="55"/>
      <c r="BK231" s="59">
        <f ca="1">SUMPRODUCT($CA231:$DI231,'General Inputs'!$F$32:$AN$32,'General Inputs'!$F$53:$AN$53)/(1-Loss_ElectricEnergy)</f>
        <v>357.28797421432381</v>
      </c>
      <c r="BL231" s="59">
        <f ca="1">SUMPRODUCT($DK231:$ES231,'General Inputs'!$F$33:$AN$33,'General Inputs'!$F$53:$AN$53)/(1-Loss_ElectricDemand)</f>
        <v>108.72547892245119</v>
      </c>
      <c r="BM231" s="59">
        <f ca="1">SUMPRODUCT($EU231:$GC231,'General Inputs'!$F$34:$AN$34,'General Inputs'!$F$53:$AN$53)/(1-Loss_GasEnergy)</f>
        <v>0</v>
      </c>
      <c r="BN231" s="59">
        <f ca="1">INDEX('General Inputs'!$F$53:$AN$53,MATCH($H231,'General Inputs'!$F$50:$AN$50,0))*$AJ231</f>
        <v>0</v>
      </c>
      <c r="BO231" s="59">
        <f ca="1">SUMPRODUCT($CA231:$DI231,'General Inputs'!$F$35:$AN$35,'General Inputs'!$F$53:$AN$53)/(1-Loss_ElectricEnergy)</f>
        <v>136.4890556259783</v>
      </c>
      <c r="BP231" s="59">
        <f ca="1">INDEX('General Inputs'!$F$51:$AN$51,MATCH($H231,'General Inputs'!$F$50:$AN$50,0))*$AM231</f>
        <v>0</v>
      </c>
      <c r="BQ231" s="59">
        <f ca="1">SUM(INDEX('General Inputs'!$F$53:$AN$53,MATCH($H231,'General Inputs'!$F$50:$AN$50,0))*$AG231,INDEX('General Inputs'!$F$53:$AN$53,MATCH($H231+$AL231,'General Inputs'!$F$50:$AN$50,0))*-$AH231)</f>
        <v>0</v>
      </c>
      <c r="BR231" s="55"/>
      <c r="BS231" s="59">
        <f ca="1">SUMPRODUCT($CA231:$DI231,'General Inputs'!$F$32:$AN$32,'General Inputs'!$F$55:$AN$55)/(1-Loss_ElectricEnergy)</f>
        <v>357.28797421432381</v>
      </c>
      <c r="BT231" s="59">
        <f ca="1">SUMPRODUCT($DK231:$ES231,'General Inputs'!$F$33:$AN$33,'General Inputs'!$F$55:$AN$55)/(1-Loss_ElectricDemand)</f>
        <v>108.72547892245119</v>
      </c>
      <c r="BU231" s="59">
        <f ca="1">SUMPRODUCT($EU231:$GC231,'General Inputs'!$F$34:$AN$34,'General Inputs'!$F$55:$AN$55)/(1-Loss_GasEnergy)</f>
        <v>0</v>
      </c>
      <c r="BV231" s="59">
        <f ca="1">SUMPRODUCT($CA231:$DI231,OFFSET('General Inputs'!$F$40:$AN$40,MATCH($D231&amp;" Electric ($/kWh)",'General Inputs'!$E$40:$E$46,0),),'General Inputs'!$F$55:$AN$55)</f>
        <v>1413.8048474882673</v>
      </c>
      <c r="BW231" s="59">
        <f ca="1">SUMPRODUCT($EU231:$GC231,OFFSET('General Inputs'!$F$40:$AN$40,MATCH($D231&amp;" Natural Gas ($/therm)",'General Inputs'!$E$40:$E$46,0),),'General Inputs'!$F$55:$AN$55)</f>
        <v>0</v>
      </c>
      <c r="BX231" s="59">
        <f ca="1">INDEX('General Inputs'!$F$55:$AN$55,MATCH($H231,'General Inputs'!$F$50:$AN$50,0))*$AI231</f>
        <v>0</v>
      </c>
      <c r="BY231" s="59">
        <f ca="1">INDEX('General Inputs'!$F$51:$AN$51,MATCH($H231,'General Inputs'!$F$50:$AN$50,0))*$AM231</f>
        <v>0</v>
      </c>
      <c r="BZ231" s="55"/>
      <c r="CA231" s="88">
        <f t="shared" ca="1" si="455"/>
        <v>0</v>
      </c>
      <c r="CB231" s="88">
        <f t="shared" ca="1" si="455"/>
        <v>0</v>
      </c>
      <c r="CC231" s="88">
        <f t="shared" ca="1" si="455"/>
        <v>2057.9619324638279</v>
      </c>
      <c r="CD231" s="88">
        <f t="shared" ca="1" si="455"/>
        <v>2057.9619324638279</v>
      </c>
      <c r="CE231" s="88">
        <f t="shared" ca="1" si="455"/>
        <v>2057.9619324638279</v>
      </c>
      <c r="CF231" s="88">
        <f t="shared" ca="1" si="455"/>
        <v>2057.9619324638279</v>
      </c>
      <c r="CG231" s="88">
        <f t="shared" ca="1" si="455"/>
        <v>2057.9619324638279</v>
      </c>
      <c r="CH231" s="88">
        <f t="shared" ca="1" si="455"/>
        <v>2057.9619324638279</v>
      </c>
      <c r="CI231" s="88">
        <f t="shared" ca="1" si="455"/>
        <v>2057.9619324638279</v>
      </c>
      <c r="CJ231" s="88">
        <f t="shared" ca="1" si="455"/>
        <v>2057.9619324638279</v>
      </c>
      <c r="CK231" s="88">
        <f t="shared" ca="1" si="456"/>
        <v>2057.9619324638279</v>
      </c>
      <c r="CL231" s="88">
        <f t="shared" ca="1" si="456"/>
        <v>0</v>
      </c>
      <c r="CM231" s="88">
        <f t="shared" ca="1" si="456"/>
        <v>0</v>
      </c>
      <c r="CN231" s="88">
        <f t="shared" ca="1" si="456"/>
        <v>0</v>
      </c>
      <c r="CO231" s="88">
        <f t="shared" ca="1" si="456"/>
        <v>0</v>
      </c>
      <c r="CP231" s="88">
        <f t="shared" ca="1" si="456"/>
        <v>0</v>
      </c>
      <c r="CQ231" s="88">
        <f t="shared" ca="1" si="456"/>
        <v>0</v>
      </c>
      <c r="CR231" s="88">
        <f t="shared" ca="1" si="456"/>
        <v>0</v>
      </c>
      <c r="CS231" s="88">
        <f t="shared" ca="1" si="456"/>
        <v>0</v>
      </c>
      <c r="CT231" s="88">
        <f t="shared" ca="1" si="456"/>
        <v>0</v>
      </c>
      <c r="CU231" s="88">
        <f t="shared" ca="1" si="457"/>
        <v>0</v>
      </c>
      <c r="CV231" s="88">
        <f t="shared" ca="1" si="457"/>
        <v>0</v>
      </c>
      <c r="CW231" s="88">
        <f t="shared" ca="1" si="457"/>
        <v>0</v>
      </c>
      <c r="CX231" s="88">
        <f t="shared" ca="1" si="457"/>
        <v>0</v>
      </c>
      <c r="CY231" s="88">
        <f t="shared" ca="1" si="457"/>
        <v>0</v>
      </c>
      <c r="CZ231" s="88">
        <f t="shared" ca="1" si="457"/>
        <v>0</v>
      </c>
      <c r="DA231" s="88">
        <f t="shared" ca="1" si="457"/>
        <v>0</v>
      </c>
      <c r="DB231" s="88">
        <f t="shared" ca="1" si="457"/>
        <v>0</v>
      </c>
      <c r="DC231" s="88">
        <f t="shared" ca="1" si="457"/>
        <v>0</v>
      </c>
      <c r="DD231" s="88">
        <f t="shared" ca="1" si="457"/>
        <v>0</v>
      </c>
      <c r="DE231" s="88">
        <f t="shared" ca="1" si="457"/>
        <v>0</v>
      </c>
      <c r="DF231" s="88">
        <f t="shared" ca="1" si="457"/>
        <v>0</v>
      </c>
      <c r="DG231" s="88">
        <f t="shared" ca="1" si="457"/>
        <v>0</v>
      </c>
      <c r="DH231" s="88">
        <f t="shared" ca="1" si="457"/>
        <v>0</v>
      </c>
      <c r="DI231" s="88">
        <f t="shared" ca="1" si="457"/>
        <v>0</v>
      </c>
      <c r="DJ231" s="169"/>
      <c r="DK231" s="88">
        <f t="shared" ca="1" si="458"/>
        <v>0</v>
      </c>
      <c r="DL231" s="88">
        <f t="shared" ca="1" si="458"/>
        <v>0</v>
      </c>
      <c r="DM231" s="88">
        <f t="shared" ca="1" si="458"/>
        <v>0.87067620219623498</v>
      </c>
      <c r="DN231" s="88">
        <f t="shared" ca="1" si="458"/>
        <v>0.87067620219623498</v>
      </c>
      <c r="DO231" s="88">
        <f t="shared" ca="1" si="458"/>
        <v>0.87067620219623498</v>
      </c>
      <c r="DP231" s="88">
        <f t="shared" ca="1" si="458"/>
        <v>0.87067620219623498</v>
      </c>
      <c r="DQ231" s="88">
        <f t="shared" ca="1" si="458"/>
        <v>0.87067620219623498</v>
      </c>
      <c r="DR231" s="88">
        <f t="shared" ca="1" si="458"/>
        <v>0.87067620219623498</v>
      </c>
      <c r="DS231" s="88">
        <f t="shared" ca="1" si="458"/>
        <v>0.87067620219623498</v>
      </c>
      <c r="DT231" s="88">
        <f t="shared" ca="1" si="458"/>
        <v>0.87067620219623498</v>
      </c>
      <c r="DU231" s="88">
        <f t="shared" ca="1" si="459"/>
        <v>0.87067620219623498</v>
      </c>
      <c r="DV231" s="88">
        <f t="shared" ca="1" si="459"/>
        <v>0</v>
      </c>
      <c r="DW231" s="88">
        <f t="shared" ca="1" si="459"/>
        <v>0</v>
      </c>
      <c r="DX231" s="88">
        <f t="shared" ca="1" si="459"/>
        <v>0</v>
      </c>
      <c r="DY231" s="88">
        <f t="shared" ca="1" si="459"/>
        <v>0</v>
      </c>
      <c r="DZ231" s="88">
        <f t="shared" ca="1" si="459"/>
        <v>0</v>
      </c>
      <c r="EA231" s="88">
        <f t="shared" ca="1" si="459"/>
        <v>0</v>
      </c>
      <c r="EB231" s="88">
        <f t="shared" ca="1" si="459"/>
        <v>0</v>
      </c>
      <c r="EC231" s="88">
        <f t="shared" ca="1" si="459"/>
        <v>0</v>
      </c>
      <c r="ED231" s="88">
        <f t="shared" ca="1" si="459"/>
        <v>0</v>
      </c>
      <c r="EE231" s="88">
        <f t="shared" ca="1" si="460"/>
        <v>0</v>
      </c>
      <c r="EF231" s="88">
        <f t="shared" ca="1" si="460"/>
        <v>0</v>
      </c>
      <c r="EG231" s="88">
        <f t="shared" ca="1" si="460"/>
        <v>0</v>
      </c>
      <c r="EH231" s="88">
        <f t="shared" ca="1" si="460"/>
        <v>0</v>
      </c>
      <c r="EI231" s="88">
        <f t="shared" ca="1" si="460"/>
        <v>0</v>
      </c>
      <c r="EJ231" s="88">
        <f t="shared" ca="1" si="460"/>
        <v>0</v>
      </c>
      <c r="EK231" s="88">
        <f t="shared" ca="1" si="460"/>
        <v>0</v>
      </c>
      <c r="EL231" s="88">
        <f t="shared" ca="1" si="460"/>
        <v>0</v>
      </c>
      <c r="EM231" s="88">
        <f t="shared" ca="1" si="460"/>
        <v>0</v>
      </c>
      <c r="EN231" s="88">
        <f t="shared" ca="1" si="460"/>
        <v>0</v>
      </c>
      <c r="EO231" s="88">
        <f t="shared" ca="1" si="460"/>
        <v>0</v>
      </c>
      <c r="EP231" s="88">
        <f t="shared" ca="1" si="460"/>
        <v>0</v>
      </c>
      <c r="EQ231" s="88">
        <f t="shared" ca="1" si="460"/>
        <v>0</v>
      </c>
      <c r="ER231" s="88">
        <f t="shared" ca="1" si="460"/>
        <v>0</v>
      </c>
      <c r="ES231" s="88">
        <f t="shared" ca="1" si="460"/>
        <v>0</v>
      </c>
      <c r="ET231" s="169"/>
      <c r="EU231" s="88">
        <f t="shared" ca="1" si="461"/>
        <v>0</v>
      </c>
      <c r="EV231" s="88">
        <f t="shared" ca="1" si="461"/>
        <v>0</v>
      </c>
      <c r="EW231" s="88">
        <f t="shared" ca="1" si="461"/>
        <v>0</v>
      </c>
      <c r="EX231" s="88">
        <f t="shared" ca="1" si="461"/>
        <v>0</v>
      </c>
      <c r="EY231" s="88">
        <f t="shared" ca="1" si="461"/>
        <v>0</v>
      </c>
      <c r="EZ231" s="88">
        <f t="shared" ca="1" si="461"/>
        <v>0</v>
      </c>
      <c r="FA231" s="88">
        <f t="shared" ca="1" si="461"/>
        <v>0</v>
      </c>
      <c r="FB231" s="88">
        <f t="shared" ca="1" si="461"/>
        <v>0</v>
      </c>
      <c r="FC231" s="88">
        <f t="shared" ca="1" si="461"/>
        <v>0</v>
      </c>
      <c r="FD231" s="88">
        <f t="shared" ca="1" si="461"/>
        <v>0</v>
      </c>
      <c r="FE231" s="88">
        <f t="shared" ca="1" si="462"/>
        <v>0</v>
      </c>
      <c r="FF231" s="88">
        <f t="shared" ca="1" si="462"/>
        <v>0</v>
      </c>
      <c r="FG231" s="88">
        <f t="shared" ca="1" si="462"/>
        <v>0</v>
      </c>
      <c r="FH231" s="88">
        <f t="shared" ca="1" si="462"/>
        <v>0</v>
      </c>
      <c r="FI231" s="88">
        <f t="shared" ca="1" si="462"/>
        <v>0</v>
      </c>
      <c r="FJ231" s="88">
        <f t="shared" ca="1" si="462"/>
        <v>0</v>
      </c>
      <c r="FK231" s="88">
        <f t="shared" ca="1" si="462"/>
        <v>0</v>
      </c>
      <c r="FL231" s="88">
        <f t="shared" ca="1" si="462"/>
        <v>0</v>
      </c>
      <c r="FM231" s="88">
        <f t="shared" ca="1" si="462"/>
        <v>0</v>
      </c>
      <c r="FN231" s="88">
        <f t="shared" ca="1" si="462"/>
        <v>0</v>
      </c>
      <c r="FO231" s="88">
        <f t="shared" ca="1" si="463"/>
        <v>0</v>
      </c>
      <c r="FP231" s="88">
        <f t="shared" ca="1" si="463"/>
        <v>0</v>
      </c>
      <c r="FQ231" s="88">
        <f t="shared" ca="1" si="463"/>
        <v>0</v>
      </c>
      <c r="FR231" s="88">
        <f t="shared" ca="1" si="463"/>
        <v>0</v>
      </c>
      <c r="FS231" s="88">
        <f t="shared" ca="1" si="463"/>
        <v>0</v>
      </c>
      <c r="FT231" s="88">
        <f t="shared" ca="1" si="463"/>
        <v>0</v>
      </c>
      <c r="FU231" s="88">
        <f t="shared" ca="1" si="463"/>
        <v>0</v>
      </c>
      <c r="FV231" s="88">
        <f t="shared" ca="1" si="463"/>
        <v>0</v>
      </c>
      <c r="FW231" s="88">
        <f t="shared" ca="1" si="463"/>
        <v>0</v>
      </c>
      <c r="FX231" s="88">
        <f t="shared" ca="1" si="463"/>
        <v>0</v>
      </c>
      <c r="FY231" s="88">
        <f t="shared" ca="1" si="463"/>
        <v>0</v>
      </c>
      <c r="FZ231" s="88">
        <f t="shared" ca="1" si="463"/>
        <v>0</v>
      </c>
      <c r="GA231" s="88">
        <f t="shared" ca="1" si="463"/>
        <v>0</v>
      </c>
      <c r="GB231" s="88">
        <f t="shared" ca="1" si="463"/>
        <v>0</v>
      </c>
      <c r="GC231" s="88">
        <f t="shared" ca="1" si="463"/>
        <v>0</v>
      </c>
      <c r="GD231" s="60"/>
    </row>
    <row r="232" spans="1:186" s="54" customFormat="1" ht="14.45" customHeight="1">
      <c r="A232" s="61"/>
      <c r="B232" s="100" t="str">
        <f t="shared" si="418"/>
        <v>Residential_Weatherization_0_Low Flow Showerhead_2019</v>
      </c>
      <c r="C232" s="100">
        <f>INDEX('Measure Inputs'!$D:$D,MATCH($B232,'Measure Inputs'!$B:$B,0))</f>
        <v>184</v>
      </c>
      <c r="D232" s="101" t="s">
        <v>2</v>
      </c>
      <c r="E232" s="101" t="s">
        <v>253</v>
      </c>
      <c r="F232" s="101">
        <v>0</v>
      </c>
      <c r="G232" s="101" t="s">
        <v>267</v>
      </c>
      <c r="H232" s="101">
        <v>2019</v>
      </c>
      <c r="I232" s="55"/>
      <c r="J232" s="58" t="str">
        <f t="shared" ca="1" si="229"/>
        <v>n/a</v>
      </c>
      <c r="K232" s="58" t="str">
        <f t="shared" ca="1" si="246"/>
        <v>n/a</v>
      </c>
      <c r="L232" s="58" t="str">
        <f t="shared" ca="1" si="230"/>
        <v>n/a</v>
      </c>
      <c r="M232" s="58" t="str">
        <f t="shared" ca="1" si="231"/>
        <v>n/a</v>
      </c>
      <c r="N232" s="58">
        <f t="shared" ca="1" si="232"/>
        <v>0.2694462674399985</v>
      </c>
      <c r="O232" s="55"/>
      <c r="P232" s="175">
        <f ca="1">IFERROR(($AW232+AV232)/SUMPRODUCT($CA232:$DI232,'General Inputs'!$F$51:$AN$51),"n/a")</f>
        <v>0</v>
      </c>
      <c r="Q232" s="175">
        <f t="shared" ca="1" si="454"/>
        <v>0</v>
      </c>
      <c r="R232" s="56">
        <f t="shared" ca="1" si="441"/>
        <v>29.371340804443097</v>
      </c>
      <c r="S232" s="55"/>
      <c r="T232" s="56">
        <f ca="1">INDEX(OFFSET('Measure Inputs'!$L$7,,,InputRows),$C232)</f>
        <v>30</v>
      </c>
      <c r="U232" s="134">
        <f ca="1">INDEX(OFFSET('Measure Inputs'!$T$7,,,InputRows),$C232)</f>
        <v>1</v>
      </c>
      <c r="V232" s="134">
        <f ca="1">INDEX(OFFSET('Measure Inputs'!$U$7,,,InputRows),$C232)</f>
        <v>1</v>
      </c>
      <c r="W232" s="55"/>
      <c r="X232" s="96">
        <f ca="1">INDEX(OFFSET('Measure Inputs'!$V$7,,,InputRows),$C232)*$T232*$V232*$U232</f>
        <v>2937.1340804443098</v>
      </c>
      <c r="Y232" s="96">
        <f ca="1">INDEX(OFFSET('Measure Inputs'!$W$7,,,InputRows),$C232)*$T232*$V232*$U232</f>
        <v>0.27037194515348284</v>
      </c>
      <c r="Z232" s="96">
        <f ca="1">INDEX(OFFSET('Measure Inputs'!$X$7,,,InputRows),$C232)*$T232*$V232*$U232</f>
        <v>0</v>
      </c>
      <c r="AA232" s="55"/>
      <c r="AB232" s="96">
        <f ca="1">INDEX(OFFSET('Measure Inputs'!$Z$7,,,InputRows),$C232)*$T232*$V232*$U232</f>
        <v>0</v>
      </c>
      <c r="AC232" s="96">
        <f ca="1">INDEX(OFFSET('Measure Inputs'!$AA$7,,,InputRows),$C232)*$T232*$V232*$U232</f>
        <v>0</v>
      </c>
      <c r="AD232" s="96">
        <f ca="1">INDEX(OFFSET('Measure Inputs'!$AB$7,,,InputRows),$C232)*$T232*$V232*$U232</f>
        <v>0</v>
      </c>
      <c r="AE232" s="55"/>
      <c r="AF232" s="57">
        <f ca="1">INDEX(OFFSET('Measure Inputs'!$Q$7,,,InputRows),$C232)*$T232</f>
        <v>0</v>
      </c>
      <c r="AG232" s="57">
        <f ca="1">INDEX(OFFSET('Measure Inputs'!$P$7,,,InputRows),$C232)*$T232*$V232</f>
        <v>0</v>
      </c>
      <c r="AH232" s="57">
        <f ca="1">INDEX(OFFSET('Measure Inputs'!$R$7,,,InputRows),$C232)*$T232*$V232</f>
        <v>0</v>
      </c>
      <c r="AI232" s="57">
        <f ca="1">INDEX(OFFSET('Measure Inputs'!$O$7,,,InputRows),$C232)*$T232</f>
        <v>0</v>
      </c>
      <c r="AJ232" s="57">
        <f ca="1">INDEX(OFFSET('Measure Inputs'!$S$7,,,InputRows),$C232)*$T232</f>
        <v>0</v>
      </c>
      <c r="AK232" s="63">
        <f ca="1">INDEX(OFFSET('Measure Inputs'!$M$7,,,InputRows),$C232)</f>
        <v>10</v>
      </c>
      <c r="AL232" s="88">
        <f ca="1">INDEX(OFFSET('Measure Inputs'!$N$7,,,InputRows),$C232)</f>
        <v>0</v>
      </c>
      <c r="AM232" s="57">
        <f ca="1">SUMIFS(OFFSET('Program Inputs'!$N$5,,,TotalPrograms),OFFSET('Program Inputs'!$B$5,,,TotalPrograms),SUBSTITUTE($B232,"All","*"))+AF232</f>
        <v>0</v>
      </c>
      <c r="AN232" s="57">
        <f t="shared" ca="1" si="442"/>
        <v>0</v>
      </c>
      <c r="AO232" s="55"/>
      <c r="AP232" s="59">
        <f t="shared" ca="1" si="443"/>
        <v>585.60958530680603</v>
      </c>
      <c r="AQ232" s="59">
        <f t="shared" ca="1" si="444"/>
        <v>0</v>
      </c>
      <c r="AR232" s="59">
        <f ca="1">SUMPRODUCT($CA232:$DI232,'General Inputs'!$F$32:$AN$32,'General Inputs'!$F$51:$AN$51)/(1-Loss_ElectricEnergy)</f>
        <v>549.24351419770426</v>
      </c>
      <c r="AS232" s="59">
        <f ca="1">SUMPRODUCT($DK232:$ES232,'General Inputs'!$F$33:$AN$33,'General Inputs'!$F$51:$AN$51)/(1-Loss_ElectricDemand)</f>
        <v>36.366071109101803</v>
      </c>
      <c r="AT232" s="59">
        <f ca="1">SUMPRODUCT($EU232:$GC232,'General Inputs'!$F$34:$AN$34,'General Inputs'!$F$51:$AN$51)/(1-Loss_GasEnergy)</f>
        <v>0</v>
      </c>
      <c r="AU232" s="59">
        <f ca="1">INDEX('General Inputs'!$F$51:$AN$51,MATCH($H232,'General Inputs'!$F$50:$AN$50,0))*$AJ232</f>
        <v>0</v>
      </c>
      <c r="AV232" s="59">
        <f ca="1">INDEX('General Inputs'!$F$51:$AN$51,MATCH($H232,'General Inputs'!$F$50:$AN$50,0))*$AI232</f>
        <v>0</v>
      </c>
      <c r="AW232" s="59">
        <f ca="1">INDEX('General Inputs'!$F$51:$AN$51,MATCH($H232,'General Inputs'!$F$50:$AN$50,0))*$AM232</f>
        <v>0</v>
      </c>
      <c r="AX232" s="59">
        <f ca="1">SUM(INDEX('General Inputs'!$F$51:$AN$51,MATCH($H232,'General Inputs'!$F$50:$AN$50,0))*$AG232,INDEX('General Inputs'!$F$51:$AN$51,MATCH($H232+$AL232,'General Inputs'!$F$50:$AN$50,0))*-$AH232)</f>
        <v>0</v>
      </c>
      <c r="AY232" s="55"/>
      <c r="AZ232" s="59">
        <f ca="1">SUMPRODUCT($CA232:$DI232,'General Inputs'!$F$32:$AN$32,'General Inputs'!$F$52:$AN$52)/(1-Loss_ElectricEnergy)</f>
        <v>549.24351419770426</v>
      </c>
      <c r="BA232" s="59">
        <f ca="1">SUMPRODUCT($DK232:$ES232,'General Inputs'!$F$33:$AN$33,'General Inputs'!$F$52:$AN$52)/(1-Loss_ElectricDemand)</f>
        <v>36.366071109101803</v>
      </c>
      <c r="BB232" s="59">
        <f ca="1">SUMPRODUCT($EU232:$GC232,'General Inputs'!$F$34:$AN$34,'General Inputs'!$F$52:$AN$52)/(1-Loss_GasEnergy)</f>
        <v>0</v>
      </c>
      <c r="BC232" s="59">
        <f ca="1">INDEX('General Inputs'!$F$52:$AN$52,MATCH($H232,'General Inputs'!$F$50:$AN$50,0))*$AI232</f>
        <v>0</v>
      </c>
      <c r="BD232" s="59">
        <f ca="1">INDEX('General Inputs'!$F$52:$AN$52,MATCH($H232,'General Inputs'!$F$50:$AN$50,0))*$AM232</f>
        <v>0</v>
      </c>
      <c r="BE232" s="55"/>
      <c r="BF232" s="59">
        <f ca="1">SUMPRODUCT($CA232:$DI232,OFFSET('General Inputs'!$F$40:$AN$40,MATCH($D232&amp;" Electric ($/kWh)",'General Inputs'!$E$40:$E$46,0),),'General Inputs'!$F$54:$AN$54)</f>
        <v>2173.3816945050544</v>
      </c>
      <c r="BG232" s="59">
        <f ca="1">SUMPRODUCT($EU232:$GC232,OFFSET('General Inputs'!$F$40:$AN$40,MATCH($D232&amp;" Natural Gas ($/therm)",'General Inputs'!$E$40:$E$46,0),),'General Inputs'!$F$54:$AN$54)</f>
        <v>0</v>
      </c>
      <c r="BH232" s="59">
        <f ca="1">INDEX('General Inputs'!$F$54:$AN$54,MATCH($H232,'General Inputs'!$F$50:$AN$50,0))*$AI232</f>
        <v>0</v>
      </c>
      <c r="BI232" s="59">
        <f ca="1">SUM(INDEX('General Inputs'!$F$54:$AN$54,MATCH($H232,'General Inputs'!$F$50:$AN$50,0))*$AG232,INDEX('General Inputs'!$F$51:$AN$51,MATCH($H232+$AL232,'General Inputs'!$F$50:$AN$50,0))*-$AH232)</f>
        <v>0</v>
      </c>
      <c r="BJ232" s="55"/>
      <c r="BK232" s="59">
        <f ca="1">SUMPRODUCT($CA232:$DI232,'General Inputs'!$F$32:$AN$32,'General Inputs'!$F$53:$AN$53)/(1-Loss_ElectricEnergy)</f>
        <v>549.24351419770426</v>
      </c>
      <c r="BL232" s="59">
        <f ca="1">SUMPRODUCT($DK232:$ES232,'General Inputs'!$F$33:$AN$33,'General Inputs'!$F$53:$AN$53)/(1-Loss_ElectricDemand)</f>
        <v>36.366071109101803</v>
      </c>
      <c r="BM232" s="59">
        <f ca="1">SUMPRODUCT($EU232:$GC232,'General Inputs'!$F$34:$AN$34,'General Inputs'!$F$53:$AN$53)/(1-Loss_GasEnergy)</f>
        <v>0</v>
      </c>
      <c r="BN232" s="59">
        <f ca="1">INDEX('General Inputs'!$F$53:$AN$53,MATCH($H232,'General Inputs'!$F$50:$AN$50,0))*$AJ232</f>
        <v>0</v>
      </c>
      <c r="BO232" s="59">
        <f ca="1">SUMPRODUCT($CA232:$DI232,'General Inputs'!$F$35:$AN$35,'General Inputs'!$F$53:$AN$53)/(1-Loss_ElectricEnergy)</f>
        <v>208.63553178721281</v>
      </c>
      <c r="BP232" s="59">
        <f ca="1">INDEX('General Inputs'!$F$51:$AN$51,MATCH($H232,'General Inputs'!$F$50:$AN$50,0))*$AM232</f>
        <v>0</v>
      </c>
      <c r="BQ232" s="59">
        <f ca="1">SUM(INDEX('General Inputs'!$F$53:$AN$53,MATCH($H232,'General Inputs'!$F$50:$AN$50,0))*$AG232,INDEX('General Inputs'!$F$53:$AN$53,MATCH($H232+$AL232,'General Inputs'!$F$50:$AN$50,0))*-$AH232)</f>
        <v>0</v>
      </c>
      <c r="BR232" s="55"/>
      <c r="BS232" s="59">
        <f ca="1">SUMPRODUCT($CA232:$DI232,'General Inputs'!$F$32:$AN$32,'General Inputs'!$F$55:$AN$55)/(1-Loss_ElectricEnergy)</f>
        <v>549.24351419770426</v>
      </c>
      <c r="BT232" s="59">
        <f ca="1">SUMPRODUCT($DK232:$ES232,'General Inputs'!$F$33:$AN$33,'General Inputs'!$F$55:$AN$55)/(1-Loss_ElectricDemand)</f>
        <v>36.366071109101803</v>
      </c>
      <c r="BU232" s="59">
        <f ca="1">SUMPRODUCT($EU232:$GC232,'General Inputs'!$F$34:$AN$34,'General Inputs'!$F$55:$AN$55)/(1-Loss_GasEnergy)</f>
        <v>0</v>
      </c>
      <c r="BV232" s="59">
        <f ca="1">SUMPRODUCT($CA232:$DI232,OFFSET('General Inputs'!$F$40:$AN$40,MATCH($D232&amp;" Electric ($/kWh)",'General Inputs'!$E$40:$E$46,0),),'General Inputs'!$F$55:$AN$55)</f>
        <v>2173.3816945050544</v>
      </c>
      <c r="BW232" s="59">
        <f ca="1">SUMPRODUCT($EU232:$GC232,OFFSET('General Inputs'!$F$40:$AN$40,MATCH($D232&amp;" Natural Gas ($/therm)",'General Inputs'!$E$40:$E$46,0),),'General Inputs'!$F$55:$AN$55)</f>
        <v>0</v>
      </c>
      <c r="BX232" s="59">
        <f ca="1">INDEX('General Inputs'!$F$55:$AN$55,MATCH($H232,'General Inputs'!$F$50:$AN$50,0))*$AI232</f>
        <v>0</v>
      </c>
      <c r="BY232" s="59">
        <f ca="1">INDEX('General Inputs'!$F$51:$AN$51,MATCH($H232,'General Inputs'!$F$50:$AN$50,0))*$AM232</f>
        <v>0</v>
      </c>
      <c r="BZ232" s="55"/>
      <c r="CA232" s="88">
        <f t="shared" ca="1" si="455"/>
        <v>0</v>
      </c>
      <c r="CB232" s="88">
        <f t="shared" ca="1" si="455"/>
        <v>0</v>
      </c>
      <c r="CC232" s="88">
        <f t="shared" ca="1" si="455"/>
        <v>2937.1340804443098</v>
      </c>
      <c r="CD232" s="88">
        <f t="shared" ca="1" si="455"/>
        <v>2937.1340804443098</v>
      </c>
      <c r="CE232" s="88">
        <f t="shared" ca="1" si="455"/>
        <v>2937.1340804443098</v>
      </c>
      <c r="CF232" s="88">
        <f t="shared" ca="1" si="455"/>
        <v>2937.1340804443098</v>
      </c>
      <c r="CG232" s="88">
        <f t="shared" ca="1" si="455"/>
        <v>2937.1340804443098</v>
      </c>
      <c r="CH232" s="88">
        <f t="shared" ca="1" si="455"/>
        <v>2937.1340804443098</v>
      </c>
      <c r="CI232" s="88">
        <f t="shared" ca="1" si="455"/>
        <v>2937.1340804443098</v>
      </c>
      <c r="CJ232" s="88">
        <f t="shared" ca="1" si="455"/>
        <v>2937.1340804443098</v>
      </c>
      <c r="CK232" s="88">
        <f t="shared" ca="1" si="456"/>
        <v>2937.1340804443098</v>
      </c>
      <c r="CL232" s="88">
        <f t="shared" ca="1" si="456"/>
        <v>2937.1340804443098</v>
      </c>
      <c r="CM232" s="88">
        <f t="shared" ca="1" si="456"/>
        <v>0</v>
      </c>
      <c r="CN232" s="88">
        <f t="shared" ca="1" si="456"/>
        <v>0</v>
      </c>
      <c r="CO232" s="88">
        <f t="shared" ca="1" si="456"/>
        <v>0</v>
      </c>
      <c r="CP232" s="88">
        <f t="shared" ca="1" si="456"/>
        <v>0</v>
      </c>
      <c r="CQ232" s="88">
        <f t="shared" ca="1" si="456"/>
        <v>0</v>
      </c>
      <c r="CR232" s="88">
        <f t="shared" ca="1" si="456"/>
        <v>0</v>
      </c>
      <c r="CS232" s="88">
        <f t="shared" ca="1" si="456"/>
        <v>0</v>
      </c>
      <c r="CT232" s="88">
        <f t="shared" ca="1" si="456"/>
        <v>0</v>
      </c>
      <c r="CU232" s="88">
        <f t="shared" ca="1" si="457"/>
        <v>0</v>
      </c>
      <c r="CV232" s="88">
        <f t="shared" ca="1" si="457"/>
        <v>0</v>
      </c>
      <c r="CW232" s="88">
        <f t="shared" ca="1" si="457"/>
        <v>0</v>
      </c>
      <c r="CX232" s="88">
        <f t="shared" ca="1" si="457"/>
        <v>0</v>
      </c>
      <c r="CY232" s="88">
        <f t="shared" ca="1" si="457"/>
        <v>0</v>
      </c>
      <c r="CZ232" s="88">
        <f t="shared" ca="1" si="457"/>
        <v>0</v>
      </c>
      <c r="DA232" s="88">
        <f t="shared" ca="1" si="457"/>
        <v>0</v>
      </c>
      <c r="DB232" s="88">
        <f t="shared" ca="1" si="457"/>
        <v>0</v>
      </c>
      <c r="DC232" s="88">
        <f t="shared" ca="1" si="457"/>
        <v>0</v>
      </c>
      <c r="DD232" s="88">
        <f t="shared" ca="1" si="457"/>
        <v>0</v>
      </c>
      <c r="DE232" s="88">
        <f t="shared" ca="1" si="457"/>
        <v>0</v>
      </c>
      <c r="DF232" s="88">
        <f t="shared" ca="1" si="457"/>
        <v>0</v>
      </c>
      <c r="DG232" s="88">
        <f t="shared" ca="1" si="457"/>
        <v>0</v>
      </c>
      <c r="DH232" s="88">
        <f t="shared" ca="1" si="457"/>
        <v>0</v>
      </c>
      <c r="DI232" s="88">
        <f t="shared" ca="1" si="457"/>
        <v>0</v>
      </c>
      <c r="DJ232" s="169"/>
      <c r="DK232" s="88">
        <f t="shared" ca="1" si="458"/>
        <v>0</v>
      </c>
      <c r="DL232" s="88">
        <f t="shared" ca="1" si="458"/>
        <v>0</v>
      </c>
      <c r="DM232" s="88">
        <f t="shared" ca="1" si="458"/>
        <v>0.27037194515348284</v>
      </c>
      <c r="DN232" s="88">
        <f t="shared" ca="1" si="458"/>
        <v>0.27037194515348284</v>
      </c>
      <c r="DO232" s="88">
        <f t="shared" ca="1" si="458"/>
        <v>0.27037194515348284</v>
      </c>
      <c r="DP232" s="88">
        <f t="shared" ca="1" si="458"/>
        <v>0.27037194515348284</v>
      </c>
      <c r="DQ232" s="88">
        <f t="shared" ca="1" si="458"/>
        <v>0.27037194515348284</v>
      </c>
      <c r="DR232" s="88">
        <f t="shared" ca="1" si="458"/>
        <v>0.27037194515348284</v>
      </c>
      <c r="DS232" s="88">
        <f t="shared" ca="1" si="458"/>
        <v>0.27037194515348284</v>
      </c>
      <c r="DT232" s="88">
        <f t="shared" ca="1" si="458"/>
        <v>0.27037194515348284</v>
      </c>
      <c r="DU232" s="88">
        <f t="shared" ca="1" si="459"/>
        <v>0.27037194515348284</v>
      </c>
      <c r="DV232" s="88">
        <f t="shared" ca="1" si="459"/>
        <v>0.27037194515348284</v>
      </c>
      <c r="DW232" s="88">
        <f t="shared" ca="1" si="459"/>
        <v>0</v>
      </c>
      <c r="DX232" s="88">
        <f t="shared" ca="1" si="459"/>
        <v>0</v>
      </c>
      <c r="DY232" s="88">
        <f t="shared" ca="1" si="459"/>
        <v>0</v>
      </c>
      <c r="DZ232" s="88">
        <f t="shared" ca="1" si="459"/>
        <v>0</v>
      </c>
      <c r="EA232" s="88">
        <f t="shared" ca="1" si="459"/>
        <v>0</v>
      </c>
      <c r="EB232" s="88">
        <f t="shared" ca="1" si="459"/>
        <v>0</v>
      </c>
      <c r="EC232" s="88">
        <f t="shared" ca="1" si="459"/>
        <v>0</v>
      </c>
      <c r="ED232" s="88">
        <f t="shared" ca="1" si="459"/>
        <v>0</v>
      </c>
      <c r="EE232" s="88">
        <f t="shared" ca="1" si="460"/>
        <v>0</v>
      </c>
      <c r="EF232" s="88">
        <f t="shared" ca="1" si="460"/>
        <v>0</v>
      </c>
      <c r="EG232" s="88">
        <f t="shared" ca="1" si="460"/>
        <v>0</v>
      </c>
      <c r="EH232" s="88">
        <f t="shared" ca="1" si="460"/>
        <v>0</v>
      </c>
      <c r="EI232" s="88">
        <f t="shared" ca="1" si="460"/>
        <v>0</v>
      </c>
      <c r="EJ232" s="88">
        <f t="shared" ca="1" si="460"/>
        <v>0</v>
      </c>
      <c r="EK232" s="88">
        <f t="shared" ca="1" si="460"/>
        <v>0</v>
      </c>
      <c r="EL232" s="88">
        <f t="shared" ca="1" si="460"/>
        <v>0</v>
      </c>
      <c r="EM232" s="88">
        <f t="shared" ca="1" si="460"/>
        <v>0</v>
      </c>
      <c r="EN232" s="88">
        <f t="shared" ca="1" si="460"/>
        <v>0</v>
      </c>
      <c r="EO232" s="88">
        <f t="shared" ca="1" si="460"/>
        <v>0</v>
      </c>
      <c r="EP232" s="88">
        <f t="shared" ca="1" si="460"/>
        <v>0</v>
      </c>
      <c r="EQ232" s="88">
        <f t="shared" ca="1" si="460"/>
        <v>0</v>
      </c>
      <c r="ER232" s="88">
        <f t="shared" ca="1" si="460"/>
        <v>0</v>
      </c>
      <c r="ES232" s="88">
        <f t="shared" ca="1" si="460"/>
        <v>0</v>
      </c>
      <c r="ET232" s="169"/>
      <c r="EU232" s="88">
        <f t="shared" ca="1" si="461"/>
        <v>0</v>
      </c>
      <c r="EV232" s="88">
        <f t="shared" ca="1" si="461"/>
        <v>0</v>
      </c>
      <c r="EW232" s="88">
        <f t="shared" ca="1" si="461"/>
        <v>0</v>
      </c>
      <c r="EX232" s="88">
        <f t="shared" ca="1" si="461"/>
        <v>0</v>
      </c>
      <c r="EY232" s="88">
        <f t="shared" ca="1" si="461"/>
        <v>0</v>
      </c>
      <c r="EZ232" s="88">
        <f t="shared" ca="1" si="461"/>
        <v>0</v>
      </c>
      <c r="FA232" s="88">
        <f t="shared" ca="1" si="461"/>
        <v>0</v>
      </c>
      <c r="FB232" s="88">
        <f t="shared" ca="1" si="461"/>
        <v>0</v>
      </c>
      <c r="FC232" s="88">
        <f t="shared" ca="1" si="461"/>
        <v>0</v>
      </c>
      <c r="FD232" s="88">
        <f t="shared" ca="1" si="461"/>
        <v>0</v>
      </c>
      <c r="FE232" s="88">
        <f t="shared" ca="1" si="462"/>
        <v>0</v>
      </c>
      <c r="FF232" s="88">
        <f t="shared" ca="1" si="462"/>
        <v>0</v>
      </c>
      <c r="FG232" s="88">
        <f t="shared" ca="1" si="462"/>
        <v>0</v>
      </c>
      <c r="FH232" s="88">
        <f t="shared" ca="1" si="462"/>
        <v>0</v>
      </c>
      <c r="FI232" s="88">
        <f t="shared" ca="1" si="462"/>
        <v>0</v>
      </c>
      <c r="FJ232" s="88">
        <f t="shared" ca="1" si="462"/>
        <v>0</v>
      </c>
      <c r="FK232" s="88">
        <f t="shared" ca="1" si="462"/>
        <v>0</v>
      </c>
      <c r="FL232" s="88">
        <f t="shared" ca="1" si="462"/>
        <v>0</v>
      </c>
      <c r="FM232" s="88">
        <f t="shared" ca="1" si="462"/>
        <v>0</v>
      </c>
      <c r="FN232" s="88">
        <f t="shared" ca="1" si="462"/>
        <v>0</v>
      </c>
      <c r="FO232" s="88">
        <f t="shared" ca="1" si="463"/>
        <v>0</v>
      </c>
      <c r="FP232" s="88">
        <f t="shared" ca="1" si="463"/>
        <v>0</v>
      </c>
      <c r="FQ232" s="88">
        <f t="shared" ca="1" si="463"/>
        <v>0</v>
      </c>
      <c r="FR232" s="88">
        <f t="shared" ca="1" si="463"/>
        <v>0</v>
      </c>
      <c r="FS232" s="88">
        <f t="shared" ca="1" si="463"/>
        <v>0</v>
      </c>
      <c r="FT232" s="88">
        <f t="shared" ca="1" si="463"/>
        <v>0</v>
      </c>
      <c r="FU232" s="88">
        <f t="shared" ca="1" si="463"/>
        <v>0</v>
      </c>
      <c r="FV232" s="88">
        <f t="shared" ca="1" si="463"/>
        <v>0</v>
      </c>
      <c r="FW232" s="88">
        <f t="shared" ca="1" si="463"/>
        <v>0</v>
      </c>
      <c r="FX232" s="88">
        <f t="shared" ca="1" si="463"/>
        <v>0</v>
      </c>
      <c r="FY232" s="88">
        <f t="shared" ca="1" si="463"/>
        <v>0</v>
      </c>
      <c r="FZ232" s="88">
        <f t="shared" ca="1" si="463"/>
        <v>0</v>
      </c>
      <c r="GA232" s="88">
        <f t="shared" ca="1" si="463"/>
        <v>0</v>
      </c>
      <c r="GB232" s="88">
        <f t="shared" ca="1" si="463"/>
        <v>0</v>
      </c>
      <c r="GC232" s="88">
        <f t="shared" ca="1" si="463"/>
        <v>0</v>
      </c>
      <c r="GD232" s="60"/>
    </row>
    <row r="233" spans="1:186" s="54" customFormat="1" ht="14.45" customHeight="1">
      <c r="A233" s="61"/>
      <c r="B233" s="100" t="str">
        <f t="shared" si="418"/>
        <v>C&amp;I_C&amp;I Custom_0_C&amp;I Custom_2019</v>
      </c>
      <c r="C233" s="100">
        <f>INDEX('Measure Inputs'!$D:$D,MATCH($B233,'Measure Inputs'!$B:$B,0))</f>
        <v>185</v>
      </c>
      <c r="D233" s="101" t="s">
        <v>256</v>
      </c>
      <c r="E233" s="101" t="s">
        <v>254</v>
      </c>
      <c r="F233" s="101">
        <v>0</v>
      </c>
      <c r="G233" s="101" t="s">
        <v>254</v>
      </c>
      <c r="H233" s="101">
        <v>2019</v>
      </c>
      <c r="I233" s="55"/>
      <c r="J233" s="58">
        <f t="shared" ca="1" si="229"/>
        <v>1.3866882327633698</v>
      </c>
      <c r="K233" s="58">
        <f t="shared" ca="1" si="246"/>
        <v>2.7736908280983994</v>
      </c>
      <c r="L233" s="58">
        <f t="shared" ca="1" si="230"/>
        <v>0.49994333136042507</v>
      </c>
      <c r="M233" s="58">
        <f t="shared" ca="1" si="231"/>
        <v>1.8239244001934485</v>
      </c>
      <c r="N233" s="58">
        <f t="shared" ca="1" si="232"/>
        <v>2.7736908280983994</v>
      </c>
      <c r="O233" s="55"/>
      <c r="P233" s="175">
        <f ca="1">IFERROR(($AW233+AV233)/SUMPRODUCT($CA233:$DI233,'General Inputs'!$F$51:$AN$51),"n/a")</f>
        <v>1.3677812677709334E-2</v>
      </c>
      <c r="Q233" s="175">
        <f t="shared" ca="1" si="454"/>
        <v>0.12114080449102509</v>
      </c>
      <c r="R233" s="56">
        <f t="shared" ca="1" si="441"/>
        <v>30477.756982978728</v>
      </c>
      <c r="S233" s="55"/>
      <c r="T233" s="56">
        <f ca="1">INDEX(OFFSET('Measure Inputs'!$L$7,,,InputRows),$C233)</f>
        <v>62</v>
      </c>
      <c r="U233" s="134">
        <f ca="1">INDEX(OFFSET('Measure Inputs'!$T$7,,,InputRows),$C233)</f>
        <v>1</v>
      </c>
      <c r="V233" s="134">
        <f ca="1">INDEX(OFFSET('Measure Inputs'!$U$7,,,InputRows),$C233)</f>
        <v>1</v>
      </c>
      <c r="W233" s="55"/>
      <c r="X233" s="96">
        <f ca="1">INDEX(OFFSET('Measure Inputs'!$V$7,,,InputRows),$C233)*$T233*$V233*$U233</f>
        <v>2031850.4655319147</v>
      </c>
      <c r="Y233" s="96">
        <f ca="1">INDEX(OFFSET('Measure Inputs'!$W$7,,,InputRows),$C233)*$T233*$V233*$U233</f>
        <v>492.23910638297872</v>
      </c>
      <c r="Z233" s="96">
        <f ca="1">INDEX(OFFSET('Measure Inputs'!$X$7,,,InputRows),$C233)*$T233*$V233*$U233</f>
        <v>0</v>
      </c>
      <c r="AA233" s="55"/>
      <c r="AB233" s="96">
        <f ca="1">INDEX(OFFSET('Measure Inputs'!$Z$7,,,InputRows),$C233)*$T233*$V233*$U233</f>
        <v>0</v>
      </c>
      <c r="AC233" s="96">
        <f ca="1">INDEX(OFFSET('Measure Inputs'!$AA$7,,,InputRows),$C233)*$T233*$V233*$U233</f>
        <v>0</v>
      </c>
      <c r="AD233" s="96">
        <f ca="1">INDEX(OFFSET('Measure Inputs'!$AB$7,,,InputRows),$C233)*$T233*$V233*$U233</f>
        <v>0</v>
      </c>
      <c r="AE233" s="55"/>
      <c r="AF233" s="57">
        <f ca="1">INDEX(OFFSET('Measure Inputs'!$Q$7,,,InputRows),$C233)*$T233</f>
        <v>0</v>
      </c>
      <c r="AG233" s="57">
        <f ca="1">INDEX(OFFSET('Measure Inputs'!$P$7,,,InputRows),$C233)*$T233*$V233</f>
        <v>492335.8</v>
      </c>
      <c r="AH233" s="57">
        <f ca="1">INDEX(OFFSET('Measure Inputs'!$R$7,,,InputRows),$C233)*$T233*$V233</f>
        <v>0</v>
      </c>
      <c r="AI233" s="57">
        <f ca="1">INDEX(OFFSET('Measure Inputs'!$O$7,,,InputRows),$C233)*$T233</f>
        <v>246140</v>
      </c>
      <c r="AJ233" s="57">
        <f ca="1">INDEX(OFFSET('Measure Inputs'!$S$7,,,InputRows),$C233)*$T233</f>
        <v>0</v>
      </c>
      <c r="AK233" s="63">
        <f ca="1">INDEX(OFFSET('Measure Inputs'!$M$7,,,InputRows),$C233)</f>
        <v>15</v>
      </c>
      <c r="AL233" s="88">
        <f ca="1">INDEX(OFFSET('Measure Inputs'!$N$7,,,InputRows),$C233)</f>
        <v>0</v>
      </c>
      <c r="AM233" s="57">
        <f ca="1">SUMIFS(OFFSET('Program Inputs'!$N$5,,,TotalPrograms),OFFSET('Program Inputs'!$B$5,,,TotalPrograms),SUBSTITUTE($B233,"All","*"))+AF233</f>
        <v>0</v>
      </c>
      <c r="AN233" s="57">
        <f t="shared" ca="1" si="442"/>
        <v>246140</v>
      </c>
      <c r="AO233" s="55"/>
      <c r="AP233" s="59">
        <f t="shared" ca="1" si="443"/>
        <v>576319.32231876324</v>
      </c>
      <c r="AQ233" s="59">
        <f t="shared" ca="1" si="444"/>
        <v>415608.43216379173</v>
      </c>
      <c r="AR233" s="59">
        <f ca="1">SUMPRODUCT($CA233:$DI233,'General Inputs'!$F$32:$AN$32,'General Inputs'!$F$51:$AN$51)/(1-Loss_ElectricEnergy)</f>
        <v>490796.93655807798</v>
      </c>
      <c r="AS233" s="59">
        <f ca="1">SUMPRODUCT($DK233:$ES233,'General Inputs'!$F$33:$AN$33,'General Inputs'!$F$51:$AN$51)/(1-Loss_ElectricDemand)</f>
        <v>85522.385760685269</v>
      </c>
      <c r="AT233" s="59">
        <f ca="1">SUMPRODUCT($EU233:$GC233,'General Inputs'!$F$34:$AN$34,'General Inputs'!$F$51:$AN$51)/(1-Loss_GasEnergy)</f>
        <v>0</v>
      </c>
      <c r="AU233" s="59">
        <f ca="1">INDEX('General Inputs'!$F$51:$AN$51,MATCH($H233,'General Inputs'!$F$50:$AN$50,0))*$AJ233</f>
        <v>0</v>
      </c>
      <c r="AV233" s="59">
        <f ca="1">INDEX('General Inputs'!$F$51:$AN$51,MATCH($H233,'General Inputs'!$F$50:$AN$50,0))*$AI233</f>
        <v>207780.66411744928</v>
      </c>
      <c r="AW233" s="59">
        <f ca="1">INDEX('General Inputs'!$F$51:$AN$51,MATCH($H233,'General Inputs'!$F$50:$AN$50,0))*$AM233</f>
        <v>0</v>
      </c>
      <c r="AX233" s="59">
        <f ca="1">SUM(INDEX('General Inputs'!$F$51:$AN$51,MATCH($H233,'General Inputs'!$F$50:$AN$50,0))*$AG233,INDEX('General Inputs'!$F$51:$AN$51,MATCH($H233+$AL233,'General Inputs'!$F$50:$AN$50,0))*-$AH233)</f>
        <v>415608.43216379173</v>
      </c>
      <c r="AY233" s="55"/>
      <c r="AZ233" s="59">
        <f ca="1">SUMPRODUCT($CA233:$DI233,'General Inputs'!$F$32:$AN$32,'General Inputs'!$F$52:$AN$52)/(1-Loss_ElectricEnergy)</f>
        <v>490796.93655807798</v>
      </c>
      <c r="BA233" s="59">
        <f ca="1">SUMPRODUCT($DK233:$ES233,'General Inputs'!$F$33:$AN$33,'General Inputs'!$F$52:$AN$52)/(1-Loss_ElectricDemand)</f>
        <v>85522.385760685269</v>
      </c>
      <c r="BB233" s="59">
        <f ca="1">SUMPRODUCT($EU233:$GC233,'General Inputs'!$F$34:$AN$34,'General Inputs'!$F$52:$AN$52)/(1-Loss_GasEnergy)</f>
        <v>0</v>
      </c>
      <c r="BC233" s="59">
        <f ca="1">INDEX('General Inputs'!$F$52:$AN$52,MATCH($H233,'General Inputs'!$F$50:$AN$50,0))*$AI233</f>
        <v>207780.66411744928</v>
      </c>
      <c r="BD233" s="59">
        <f ca="1">INDEX('General Inputs'!$F$52:$AN$52,MATCH($H233,'General Inputs'!$F$50:$AN$50,0))*$AM233</f>
        <v>0</v>
      </c>
      <c r="BE233" s="55"/>
      <c r="BF233" s="59">
        <f ca="1">SUMPRODUCT($CA233:$DI233,OFFSET('General Inputs'!$F$40:$AN$40,MATCH($D233&amp;" Electric ($/kWh)",'General Inputs'!$E$40:$E$46,0),),'General Inputs'!$F$54:$AN$54)</f>
        <v>0</v>
      </c>
      <c r="BG233" s="59">
        <f ca="1">SUMPRODUCT($EU233:$GC233,OFFSET('General Inputs'!$F$40:$AN$40,MATCH($D233&amp;" Natural Gas ($/therm)",'General Inputs'!$E$40:$E$46,0),),'General Inputs'!$F$54:$AN$54)</f>
        <v>0</v>
      </c>
      <c r="BH233" s="59">
        <f ca="1">INDEX('General Inputs'!$F$54:$AN$54,MATCH($H233,'General Inputs'!$F$50:$AN$50,0))*$AI233</f>
        <v>207780.66411744928</v>
      </c>
      <c r="BI233" s="59">
        <f ca="1">SUM(INDEX('General Inputs'!$F$54:$AN$54,MATCH($H233,'General Inputs'!$F$50:$AN$50,0))*$AG233,INDEX('General Inputs'!$F$51:$AN$51,MATCH($H233+$AL233,'General Inputs'!$F$50:$AN$50,0))*-$AH233)</f>
        <v>415608.43216379173</v>
      </c>
      <c r="BJ233" s="55"/>
      <c r="BK233" s="59">
        <f ca="1">SUMPRODUCT($CA233:$DI233,'General Inputs'!$F$32:$AN$32,'General Inputs'!$F$53:$AN$53)/(1-Loss_ElectricEnergy)</f>
        <v>490796.93655807798</v>
      </c>
      <c r="BL233" s="59">
        <f ca="1">SUMPRODUCT($DK233:$ES233,'General Inputs'!$F$33:$AN$33,'General Inputs'!$F$53:$AN$53)/(1-Loss_ElectricDemand)</f>
        <v>85522.385760685269</v>
      </c>
      <c r="BM233" s="59">
        <f ca="1">SUMPRODUCT($EU233:$GC233,'General Inputs'!$F$34:$AN$34,'General Inputs'!$F$53:$AN$53)/(1-Loss_GasEnergy)</f>
        <v>0</v>
      </c>
      <c r="BN233" s="59">
        <f ca="1">INDEX('General Inputs'!$F$53:$AN$53,MATCH($H233,'General Inputs'!$F$50:$AN$50,0))*$AJ233</f>
        <v>0</v>
      </c>
      <c r="BO233" s="59">
        <f ca="1">SUMPRODUCT($CA233:$DI233,'General Inputs'!$F$35:$AN$35,'General Inputs'!$F$53:$AN$53)/(1-Loss_ElectricEnergy)</f>
        <v>181719.03803092014</v>
      </c>
      <c r="BP233" s="59">
        <f ca="1">INDEX('General Inputs'!$F$51:$AN$51,MATCH($H233,'General Inputs'!$F$50:$AN$50,0))*$AM233</f>
        <v>0</v>
      </c>
      <c r="BQ233" s="59">
        <f ca="1">SUM(INDEX('General Inputs'!$F$53:$AN$53,MATCH($H233,'General Inputs'!$F$50:$AN$50,0))*$AG233,INDEX('General Inputs'!$F$53:$AN$53,MATCH($H233+$AL233,'General Inputs'!$F$50:$AN$50,0))*-$AH233)</f>
        <v>415608.43216379173</v>
      </c>
      <c r="BR233" s="55"/>
      <c r="BS233" s="59">
        <f ca="1">SUMPRODUCT($CA233:$DI233,'General Inputs'!$F$32:$AN$32,'General Inputs'!$F$55:$AN$55)/(1-Loss_ElectricEnergy)</f>
        <v>490796.93655807798</v>
      </c>
      <c r="BT233" s="59">
        <f ca="1">SUMPRODUCT($DK233:$ES233,'General Inputs'!$F$33:$AN$33,'General Inputs'!$F$55:$AN$55)/(1-Loss_ElectricDemand)</f>
        <v>85522.385760685269</v>
      </c>
      <c r="BU233" s="59">
        <f ca="1">SUMPRODUCT($EU233:$GC233,'General Inputs'!$F$34:$AN$34,'General Inputs'!$F$55:$AN$55)/(1-Loss_GasEnergy)</f>
        <v>0</v>
      </c>
      <c r="BV233" s="59">
        <f ca="1">SUMPRODUCT($CA233:$DI233,OFFSET('General Inputs'!$F$40:$AN$40,MATCH($D233&amp;" Electric ($/kWh)",'General Inputs'!$E$40:$E$46,0),),'General Inputs'!$F$55:$AN$55)</f>
        <v>0</v>
      </c>
      <c r="BW233" s="59">
        <f ca="1">SUMPRODUCT($EU233:$GC233,OFFSET('General Inputs'!$F$40:$AN$40,MATCH($D233&amp;" Natural Gas ($/therm)",'General Inputs'!$E$40:$E$46,0),),'General Inputs'!$F$55:$AN$55)</f>
        <v>0</v>
      </c>
      <c r="BX233" s="59">
        <f ca="1">INDEX('General Inputs'!$F$55:$AN$55,MATCH($H233,'General Inputs'!$F$50:$AN$50,0))*$AI233</f>
        <v>207780.66411744928</v>
      </c>
      <c r="BY233" s="59">
        <f ca="1">INDEX('General Inputs'!$F$51:$AN$51,MATCH($H233,'General Inputs'!$F$50:$AN$50,0))*$AM233</f>
        <v>0</v>
      </c>
      <c r="BZ233" s="55"/>
      <c r="CA233" s="88">
        <f t="shared" ca="1" si="455"/>
        <v>0</v>
      </c>
      <c r="CB233" s="88">
        <f t="shared" ca="1" si="455"/>
        <v>0</v>
      </c>
      <c r="CC233" s="88">
        <f t="shared" ca="1" si="455"/>
        <v>2031850.4655319147</v>
      </c>
      <c r="CD233" s="88">
        <f t="shared" ca="1" si="455"/>
        <v>2031850.4655319147</v>
      </c>
      <c r="CE233" s="88">
        <f t="shared" ca="1" si="455"/>
        <v>2031850.4655319147</v>
      </c>
      <c r="CF233" s="88">
        <f t="shared" ca="1" si="455"/>
        <v>2031850.4655319147</v>
      </c>
      <c r="CG233" s="88">
        <f t="shared" ca="1" si="455"/>
        <v>2031850.4655319147</v>
      </c>
      <c r="CH233" s="88">
        <f t="shared" ca="1" si="455"/>
        <v>2031850.4655319147</v>
      </c>
      <c r="CI233" s="88">
        <f t="shared" ca="1" si="455"/>
        <v>2031850.4655319147</v>
      </c>
      <c r="CJ233" s="88">
        <f t="shared" ca="1" si="455"/>
        <v>2031850.4655319147</v>
      </c>
      <c r="CK233" s="88">
        <f t="shared" ca="1" si="456"/>
        <v>2031850.4655319147</v>
      </c>
      <c r="CL233" s="88">
        <f t="shared" ca="1" si="456"/>
        <v>2031850.4655319147</v>
      </c>
      <c r="CM233" s="88">
        <f t="shared" ca="1" si="456"/>
        <v>2031850.4655319147</v>
      </c>
      <c r="CN233" s="88">
        <f t="shared" ca="1" si="456"/>
        <v>2031850.4655319147</v>
      </c>
      <c r="CO233" s="88">
        <f t="shared" ca="1" si="456"/>
        <v>2031850.4655319147</v>
      </c>
      <c r="CP233" s="88">
        <f t="shared" ca="1" si="456"/>
        <v>2031850.4655319147</v>
      </c>
      <c r="CQ233" s="88">
        <f t="shared" ca="1" si="456"/>
        <v>2031850.4655319147</v>
      </c>
      <c r="CR233" s="88">
        <f t="shared" ca="1" si="456"/>
        <v>0</v>
      </c>
      <c r="CS233" s="88">
        <f t="shared" ca="1" si="456"/>
        <v>0</v>
      </c>
      <c r="CT233" s="88">
        <f t="shared" ca="1" si="456"/>
        <v>0</v>
      </c>
      <c r="CU233" s="88">
        <f t="shared" ca="1" si="457"/>
        <v>0</v>
      </c>
      <c r="CV233" s="88">
        <f t="shared" ca="1" si="457"/>
        <v>0</v>
      </c>
      <c r="CW233" s="88">
        <f t="shared" ca="1" si="457"/>
        <v>0</v>
      </c>
      <c r="CX233" s="88">
        <f t="shared" ca="1" si="457"/>
        <v>0</v>
      </c>
      <c r="CY233" s="88">
        <f t="shared" ca="1" si="457"/>
        <v>0</v>
      </c>
      <c r="CZ233" s="88">
        <f t="shared" ca="1" si="457"/>
        <v>0</v>
      </c>
      <c r="DA233" s="88">
        <f t="shared" ca="1" si="457"/>
        <v>0</v>
      </c>
      <c r="DB233" s="88">
        <f t="shared" ca="1" si="457"/>
        <v>0</v>
      </c>
      <c r="DC233" s="88">
        <f t="shared" ca="1" si="457"/>
        <v>0</v>
      </c>
      <c r="DD233" s="88">
        <f t="shared" ca="1" si="457"/>
        <v>0</v>
      </c>
      <c r="DE233" s="88">
        <f t="shared" ca="1" si="457"/>
        <v>0</v>
      </c>
      <c r="DF233" s="88">
        <f t="shared" ca="1" si="457"/>
        <v>0</v>
      </c>
      <c r="DG233" s="88">
        <f t="shared" ca="1" si="457"/>
        <v>0</v>
      </c>
      <c r="DH233" s="88">
        <f t="shared" ca="1" si="457"/>
        <v>0</v>
      </c>
      <c r="DI233" s="88">
        <f t="shared" ca="1" si="457"/>
        <v>0</v>
      </c>
      <c r="DJ233" s="169"/>
      <c r="DK233" s="88">
        <f t="shared" ca="1" si="458"/>
        <v>0</v>
      </c>
      <c r="DL233" s="88">
        <f t="shared" ca="1" si="458"/>
        <v>0</v>
      </c>
      <c r="DM233" s="88">
        <f t="shared" ca="1" si="458"/>
        <v>492.23910638297872</v>
      </c>
      <c r="DN233" s="88">
        <f t="shared" ca="1" si="458"/>
        <v>492.23910638297872</v>
      </c>
      <c r="DO233" s="88">
        <f t="shared" ca="1" si="458"/>
        <v>492.23910638297872</v>
      </c>
      <c r="DP233" s="88">
        <f t="shared" ca="1" si="458"/>
        <v>492.23910638297872</v>
      </c>
      <c r="DQ233" s="88">
        <f t="shared" ca="1" si="458"/>
        <v>492.23910638297872</v>
      </c>
      <c r="DR233" s="88">
        <f t="shared" ca="1" si="458"/>
        <v>492.23910638297872</v>
      </c>
      <c r="DS233" s="88">
        <f t="shared" ca="1" si="458"/>
        <v>492.23910638297872</v>
      </c>
      <c r="DT233" s="88">
        <f t="shared" ca="1" si="458"/>
        <v>492.23910638297872</v>
      </c>
      <c r="DU233" s="88">
        <f t="shared" ca="1" si="459"/>
        <v>492.23910638297872</v>
      </c>
      <c r="DV233" s="88">
        <f t="shared" ca="1" si="459"/>
        <v>492.23910638297872</v>
      </c>
      <c r="DW233" s="88">
        <f t="shared" ca="1" si="459"/>
        <v>492.23910638297872</v>
      </c>
      <c r="DX233" s="88">
        <f t="shared" ca="1" si="459"/>
        <v>492.23910638297872</v>
      </c>
      <c r="DY233" s="88">
        <f t="shared" ca="1" si="459"/>
        <v>492.23910638297872</v>
      </c>
      <c r="DZ233" s="88">
        <f t="shared" ca="1" si="459"/>
        <v>492.23910638297872</v>
      </c>
      <c r="EA233" s="88">
        <f t="shared" ca="1" si="459"/>
        <v>492.23910638297872</v>
      </c>
      <c r="EB233" s="88">
        <f t="shared" ca="1" si="459"/>
        <v>0</v>
      </c>
      <c r="EC233" s="88">
        <f t="shared" ca="1" si="459"/>
        <v>0</v>
      </c>
      <c r="ED233" s="88">
        <f t="shared" ca="1" si="459"/>
        <v>0</v>
      </c>
      <c r="EE233" s="88">
        <f t="shared" ca="1" si="460"/>
        <v>0</v>
      </c>
      <c r="EF233" s="88">
        <f t="shared" ca="1" si="460"/>
        <v>0</v>
      </c>
      <c r="EG233" s="88">
        <f t="shared" ca="1" si="460"/>
        <v>0</v>
      </c>
      <c r="EH233" s="88">
        <f t="shared" ca="1" si="460"/>
        <v>0</v>
      </c>
      <c r="EI233" s="88">
        <f t="shared" ca="1" si="460"/>
        <v>0</v>
      </c>
      <c r="EJ233" s="88">
        <f t="shared" ca="1" si="460"/>
        <v>0</v>
      </c>
      <c r="EK233" s="88">
        <f t="shared" ca="1" si="460"/>
        <v>0</v>
      </c>
      <c r="EL233" s="88">
        <f t="shared" ca="1" si="460"/>
        <v>0</v>
      </c>
      <c r="EM233" s="88">
        <f t="shared" ca="1" si="460"/>
        <v>0</v>
      </c>
      <c r="EN233" s="88">
        <f t="shared" ca="1" si="460"/>
        <v>0</v>
      </c>
      <c r="EO233" s="88">
        <f t="shared" ca="1" si="460"/>
        <v>0</v>
      </c>
      <c r="EP233" s="88">
        <f t="shared" ca="1" si="460"/>
        <v>0</v>
      </c>
      <c r="EQ233" s="88">
        <f t="shared" ca="1" si="460"/>
        <v>0</v>
      </c>
      <c r="ER233" s="88">
        <f t="shared" ca="1" si="460"/>
        <v>0</v>
      </c>
      <c r="ES233" s="88">
        <f t="shared" ca="1" si="460"/>
        <v>0</v>
      </c>
      <c r="ET233" s="169"/>
      <c r="EU233" s="88">
        <f t="shared" ca="1" si="461"/>
        <v>0</v>
      </c>
      <c r="EV233" s="88">
        <f t="shared" ca="1" si="461"/>
        <v>0</v>
      </c>
      <c r="EW233" s="88">
        <f t="shared" ca="1" si="461"/>
        <v>0</v>
      </c>
      <c r="EX233" s="88">
        <f t="shared" ca="1" si="461"/>
        <v>0</v>
      </c>
      <c r="EY233" s="88">
        <f t="shared" ca="1" si="461"/>
        <v>0</v>
      </c>
      <c r="EZ233" s="88">
        <f t="shared" ca="1" si="461"/>
        <v>0</v>
      </c>
      <c r="FA233" s="88">
        <f t="shared" ca="1" si="461"/>
        <v>0</v>
      </c>
      <c r="FB233" s="88">
        <f t="shared" ca="1" si="461"/>
        <v>0</v>
      </c>
      <c r="FC233" s="88">
        <f t="shared" ca="1" si="461"/>
        <v>0</v>
      </c>
      <c r="FD233" s="88">
        <f t="shared" ca="1" si="461"/>
        <v>0</v>
      </c>
      <c r="FE233" s="88">
        <f t="shared" ca="1" si="462"/>
        <v>0</v>
      </c>
      <c r="FF233" s="88">
        <f t="shared" ca="1" si="462"/>
        <v>0</v>
      </c>
      <c r="FG233" s="88">
        <f t="shared" ca="1" si="462"/>
        <v>0</v>
      </c>
      <c r="FH233" s="88">
        <f t="shared" ca="1" si="462"/>
        <v>0</v>
      </c>
      <c r="FI233" s="88">
        <f t="shared" ca="1" si="462"/>
        <v>0</v>
      </c>
      <c r="FJ233" s="88">
        <f t="shared" ca="1" si="462"/>
        <v>0</v>
      </c>
      <c r="FK233" s="88">
        <f t="shared" ca="1" si="462"/>
        <v>0</v>
      </c>
      <c r="FL233" s="88">
        <f t="shared" ca="1" si="462"/>
        <v>0</v>
      </c>
      <c r="FM233" s="88">
        <f t="shared" ca="1" si="462"/>
        <v>0</v>
      </c>
      <c r="FN233" s="88">
        <f t="shared" ca="1" si="462"/>
        <v>0</v>
      </c>
      <c r="FO233" s="88">
        <f t="shared" ca="1" si="463"/>
        <v>0</v>
      </c>
      <c r="FP233" s="88">
        <f t="shared" ca="1" si="463"/>
        <v>0</v>
      </c>
      <c r="FQ233" s="88">
        <f t="shared" ca="1" si="463"/>
        <v>0</v>
      </c>
      <c r="FR233" s="88">
        <f t="shared" ca="1" si="463"/>
        <v>0</v>
      </c>
      <c r="FS233" s="88">
        <f t="shared" ca="1" si="463"/>
        <v>0</v>
      </c>
      <c r="FT233" s="88">
        <f t="shared" ca="1" si="463"/>
        <v>0</v>
      </c>
      <c r="FU233" s="88">
        <f t="shared" ca="1" si="463"/>
        <v>0</v>
      </c>
      <c r="FV233" s="88">
        <f t="shared" ca="1" si="463"/>
        <v>0</v>
      </c>
      <c r="FW233" s="88">
        <f t="shared" ca="1" si="463"/>
        <v>0</v>
      </c>
      <c r="FX233" s="88">
        <f t="shared" ca="1" si="463"/>
        <v>0</v>
      </c>
      <c r="FY233" s="88">
        <f t="shared" ca="1" si="463"/>
        <v>0</v>
      </c>
      <c r="FZ233" s="88">
        <f t="shared" ca="1" si="463"/>
        <v>0</v>
      </c>
      <c r="GA233" s="88">
        <f t="shared" ca="1" si="463"/>
        <v>0</v>
      </c>
      <c r="GB233" s="88">
        <f t="shared" ca="1" si="463"/>
        <v>0</v>
      </c>
      <c r="GC233" s="88">
        <f t="shared" ca="1" si="463"/>
        <v>0</v>
      </c>
      <c r="GD233" s="60"/>
    </row>
    <row r="234" spans="1:186" s="54" customFormat="1" ht="14.45" customHeight="1">
      <c r="A234" s="61"/>
      <c r="B234" s="100" t="str">
        <f t="shared" si="418"/>
        <v>C&amp;I_C&amp;I Prescriptive_0_High Bay Fluorescent Fixture w/ HE Electronic Ballast (T5 2-3 lamp)_2019</v>
      </c>
      <c r="C234" s="100">
        <f>INDEX('Measure Inputs'!$D:$D,MATCH($B234,'Measure Inputs'!$B:$B,0))</f>
        <v>186</v>
      </c>
      <c r="D234" s="101" t="s">
        <v>256</v>
      </c>
      <c r="E234" s="101" t="s">
        <v>255</v>
      </c>
      <c r="F234" s="101">
        <v>0</v>
      </c>
      <c r="G234" s="101" t="s">
        <v>353</v>
      </c>
      <c r="H234" s="101">
        <v>2019</v>
      </c>
      <c r="I234" s="55"/>
      <c r="J234" s="58">
        <f t="shared" ca="1" si="229"/>
        <v>1.5894285688987388</v>
      </c>
      <c r="K234" s="58">
        <f t="shared" ca="1" si="246"/>
        <v>2.8898701252704342</v>
      </c>
      <c r="L234" s="58">
        <f t="shared" ca="1" si="230"/>
        <v>0.55000000000000004</v>
      </c>
      <c r="M234" s="58">
        <f t="shared" ca="1" si="231"/>
        <v>2.0836621944312688</v>
      </c>
      <c r="N234" s="58">
        <f t="shared" ca="1" si="232"/>
        <v>2.8898701252704342</v>
      </c>
      <c r="O234" s="55"/>
      <c r="P234" s="175">
        <f ca="1">IFERROR(($AW234+AV234)/SUMPRODUCT($CA234:$DI234,'General Inputs'!$F$51:$AN$51),"n/a")</f>
        <v>1.3311970624485352E-2</v>
      </c>
      <c r="Q234" s="175">
        <f t="shared" ca="1" si="454"/>
        <v>0.11790063724436972</v>
      </c>
      <c r="R234" s="56">
        <f t="shared" ca="1" si="441"/>
        <v>314.88379424999999</v>
      </c>
      <c r="S234" s="55"/>
      <c r="T234" s="56">
        <f ca="1">INDEX(OFFSET('Measure Inputs'!$L$7,,,InputRows),$C234)</f>
        <v>45</v>
      </c>
      <c r="U234" s="134">
        <f ca="1">INDEX(OFFSET('Measure Inputs'!$T$7,,,InputRows),$C234)</f>
        <v>1</v>
      </c>
      <c r="V234" s="134">
        <f ca="1">INDEX(OFFSET('Measure Inputs'!$U$7,,,InputRows),$C234)</f>
        <v>1</v>
      </c>
      <c r="W234" s="55"/>
      <c r="X234" s="96">
        <f ca="1">INDEX(OFFSET('Measure Inputs'!$V$7,,,InputRows),$C234)*$T234*$V234*$U234</f>
        <v>20992.252949999998</v>
      </c>
      <c r="Y234" s="96">
        <f ca="1">INDEX(OFFSET('Measure Inputs'!$W$7,,,InputRows),$C234)*$T234*$V234*$U234</f>
        <v>5.5660500000000006</v>
      </c>
      <c r="Z234" s="96">
        <f ca="1">INDEX(OFFSET('Measure Inputs'!$X$7,,,InputRows),$C234)*$T234*$V234*$U234</f>
        <v>0</v>
      </c>
      <c r="AA234" s="55"/>
      <c r="AB234" s="96">
        <f ca="1">INDEX(OFFSET('Measure Inputs'!$Z$7,,,InputRows),$C234)*$T234*$V234*$U234</f>
        <v>0</v>
      </c>
      <c r="AC234" s="96">
        <f ca="1">INDEX(OFFSET('Measure Inputs'!$AA$7,,,InputRows),$C234)*$T234*$V234*$U234</f>
        <v>0</v>
      </c>
      <c r="AD234" s="96">
        <f ca="1">INDEX(OFFSET('Measure Inputs'!$AB$7,,,InputRows),$C234)*$T234*$V234*$U234</f>
        <v>0</v>
      </c>
      <c r="AE234" s="55"/>
      <c r="AF234" s="57">
        <f ca="1">INDEX(OFFSET('Measure Inputs'!$Q$7,,,InputRows),$C234)*$T234</f>
        <v>0</v>
      </c>
      <c r="AG234" s="57">
        <f ca="1">INDEX(OFFSET('Measure Inputs'!$P$7,,,InputRows),$C234)*$T234*$V234</f>
        <v>4500</v>
      </c>
      <c r="AH234" s="57">
        <f ca="1">INDEX(OFFSET('Measure Inputs'!$R$7,,,InputRows),$C234)*$T234*$V234</f>
        <v>0</v>
      </c>
      <c r="AI234" s="57">
        <f ca="1">INDEX(OFFSET('Measure Inputs'!$O$7,,,InputRows),$C234)*$T234</f>
        <v>2475</v>
      </c>
      <c r="AJ234" s="57">
        <f ca="1">INDEX(OFFSET('Measure Inputs'!$S$7,,,InputRows),$C234)*$T234</f>
        <v>0</v>
      </c>
      <c r="AK234" s="63">
        <f ca="1">INDEX(OFFSET('Measure Inputs'!$M$7,,,InputRows),$C234)</f>
        <v>15</v>
      </c>
      <c r="AL234" s="88">
        <f ca="1">INDEX(OFFSET('Measure Inputs'!$N$7,,,InputRows),$C234)</f>
        <v>0</v>
      </c>
      <c r="AM234" s="57">
        <f ca="1">SUMIFS(OFFSET('Program Inputs'!$N$5,,,TotalPrograms),OFFSET('Program Inputs'!$B$5,,,TotalPrograms),SUBSTITUTE($B234,"All","*"))+AF234</f>
        <v>0</v>
      </c>
      <c r="AN234" s="57">
        <f t="shared" ca="1" si="442"/>
        <v>2475</v>
      </c>
      <c r="AO234" s="55"/>
      <c r="AP234" s="59">
        <f t="shared" ca="1" si="443"/>
        <v>6037.7685717828117</v>
      </c>
      <c r="AQ234" s="59">
        <f t="shared" ca="1" si="444"/>
        <v>3798.7039429939132</v>
      </c>
      <c r="AR234" s="59">
        <f ca="1">SUMPRODUCT($CA234:$DI234,'General Inputs'!$F$32:$AN$32,'General Inputs'!$F$51:$AN$51)/(1-Loss_ElectricEnergy)</f>
        <v>5070.7144123497719</v>
      </c>
      <c r="AS234" s="59">
        <f ca="1">SUMPRODUCT($DK234:$ES234,'General Inputs'!$F$33:$AN$33,'General Inputs'!$F$51:$AN$51)/(1-Loss_ElectricDemand)</f>
        <v>967.05415943304013</v>
      </c>
      <c r="AT234" s="59">
        <f ca="1">SUMPRODUCT($EU234:$GC234,'General Inputs'!$F$34:$AN$34,'General Inputs'!$F$51:$AN$51)/(1-Loss_GasEnergy)</f>
        <v>0</v>
      </c>
      <c r="AU234" s="59">
        <f ca="1">INDEX('General Inputs'!$F$51:$AN$51,MATCH($H234,'General Inputs'!$F$50:$AN$50,0))*$AJ234</f>
        <v>0</v>
      </c>
      <c r="AV234" s="59">
        <f ca="1">INDEX('General Inputs'!$F$51:$AN$51,MATCH($H234,'General Inputs'!$F$50:$AN$50,0))*$AI234</f>
        <v>2089.2871686466524</v>
      </c>
      <c r="AW234" s="59">
        <f ca="1">INDEX('General Inputs'!$F$51:$AN$51,MATCH($H234,'General Inputs'!$F$50:$AN$50,0))*$AM234</f>
        <v>0</v>
      </c>
      <c r="AX234" s="59">
        <f ca="1">SUM(INDEX('General Inputs'!$F$51:$AN$51,MATCH($H234,'General Inputs'!$F$50:$AN$50,0))*$AG234,INDEX('General Inputs'!$F$51:$AN$51,MATCH($H234+$AL234,'General Inputs'!$F$50:$AN$50,0))*-$AH234)</f>
        <v>3798.7039429939132</v>
      </c>
      <c r="AY234" s="55"/>
      <c r="AZ234" s="59">
        <f ca="1">SUMPRODUCT($CA234:$DI234,'General Inputs'!$F$32:$AN$32,'General Inputs'!$F$52:$AN$52)/(1-Loss_ElectricEnergy)</f>
        <v>5070.7144123497719</v>
      </c>
      <c r="BA234" s="59">
        <f ca="1">SUMPRODUCT($DK234:$ES234,'General Inputs'!$F$33:$AN$33,'General Inputs'!$F$52:$AN$52)/(1-Loss_ElectricDemand)</f>
        <v>967.05415943304013</v>
      </c>
      <c r="BB234" s="59">
        <f ca="1">SUMPRODUCT($EU234:$GC234,'General Inputs'!$F$34:$AN$34,'General Inputs'!$F$52:$AN$52)/(1-Loss_GasEnergy)</f>
        <v>0</v>
      </c>
      <c r="BC234" s="59">
        <f ca="1">INDEX('General Inputs'!$F$52:$AN$52,MATCH($H234,'General Inputs'!$F$50:$AN$50,0))*$AI234</f>
        <v>2089.2871686466524</v>
      </c>
      <c r="BD234" s="59">
        <f ca="1">INDEX('General Inputs'!$F$52:$AN$52,MATCH($H234,'General Inputs'!$F$50:$AN$50,0))*$AM234</f>
        <v>0</v>
      </c>
      <c r="BE234" s="55"/>
      <c r="BF234" s="59">
        <f ca="1">SUMPRODUCT($CA234:$DI234,OFFSET('General Inputs'!$F$40:$AN$40,MATCH($D234&amp;" Electric ($/kWh)",'General Inputs'!$E$40:$E$46,0),),'General Inputs'!$F$54:$AN$54)</f>
        <v>0</v>
      </c>
      <c r="BG234" s="59">
        <f ca="1">SUMPRODUCT($EU234:$GC234,OFFSET('General Inputs'!$F$40:$AN$40,MATCH($D234&amp;" Natural Gas ($/therm)",'General Inputs'!$E$40:$E$46,0),),'General Inputs'!$F$54:$AN$54)</f>
        <v>0</v>
      </c>
      <c r="BH234" s="59">
        <f ca="1">INDEX('General Inputs'!$F$54:$AN$54,MATCH($H234,'General Inputs'!$F$50:$AN$50,0))*$AI234</f>
        <v>2089.2871686466524</v>
      </c>
      <c r="BI234" s="59">
        <f ca="1">SUM(INDEX('General Inputs'!$F$54:$AN$54,MATCH($H234,'General Inputs'!$F$50:$AN$50,0))*$AG234,INDEX('General Inputs'!$F$51:$AN$51,MATCH($H234+$AL234,'General Inputs'!$F$50:$AN$50,0))*-$AH234)</f>
        <v>3798.7039429939132</v>
      </c>
      <c r="BJ234" s="55"/>
      <c r="BK234" s="59">
        <f ca="1">SUMPRODUCT($CA234:$DI234,'General Inputs'!$F$32:$AN$32,'General Inputs'!$F$53:$AN$53)/(1-Loss_ElectricEnergy)</f>
        <v>5070.7144123497719</v>
      </c>
      <c r="BL234" s="59">
        <f ca="1">SUMPRODUCT($DK234:$ES234,'General Inputs'!$F$33:$AN$33,'General Inputs'!$F$53:$AN$53)/(1-Loss_ElectricDemand)</f>
        <v>967.05415943304013</v>
      </c>
      <c r="BM234" s="59">
        <f ca="1">SUMPRODUCT($EU234:$GC234,'General Inputs'!$F$34:$AN$34,'General Inputs'!$F$53:$AN$53)/(1-Loss_GasEnergy)</f>
        <v>0</v>
      </c>
      <c r="BN234" s="59">
        <f ca="1">INDEX('General Inputs'!$F$53:$AN$53,MATCH($H234,'General Inputs'!$F$50:$AN$50,0))*$AJ234</f>
        <v>0</v>
      </c>
      <c r="BO234" s="59">
        <f ca="1">SUMPRODUCT($CA234:$DI234,'General Inputs'!$F$35:$AN$35,'General Inputs'!$F$53:$AN$53)/(1-Loss_ElectricEnergy)</f>
        <v>1877.4472220705984</v>
      </c>
      <c r="BP234" s="59">
        <f ca="1">INDEX('General Inputs'!$F$51:$AN$51,MATCH($H234,'General Inputs'!$F$50:$AN$50,0))*$AM234</f>
        <v>0</v>
      </c>
      <c r="BQ234" s="59">
        <f ca="1">SUM(INDEX('General Inputs'!$F$53:$AN$53,MATCH($H234,'General Inputs'!$F$50:$AN$50,0))*$AG234,INDEX('General Inputs'!$F$53:$AN$53,MATCH($H234+$AL234,'General Inputs'!$F$50:$AN$50,0))*-$AH234)</f>
        <v>3798.7039429939132</v>
      </c>
      <c r="BR234" s="55"/>
      <c r="BS234" s="59">
        <f ca="1">SUMPRODUCT($CA234:$DI234,'General Inputs'!$F$32:$AN$32,'General Inputs'!$F$55:$AN$55)/(1-Loss_ElectricEnergy)</f>
        <v>5070.7144123497719</v>
      </c>
      <c r="BT234" s="59">
        <f ca="1">SUMPRODUCT($DK234:$ES234,'General Inputs'!$F$33:$AN$33,'General Inputs'!$F$55:$AN$55)/(1-Loss_ElectricDemand)</f>
        <v>967.05415943304013</v>
      </c>
      <c r="BU234" s="59">
        <f ca="1">SUMPRODUCT($EU234:$GC234,'General Inputs'!$F$34:$AN$34,'General Inputs'!$F$55:$AN$55)/(1-Loss_GasEnergy)</f>
        <v>0</v>
      </c>
      <c r="BV234" s="59">
        <f ca="1">SUMPRODUCT($CA234:$DI234,OFFSET('General Inputs'!$F$40:$AN$40,MATCH($D234&amp;" Electric ($/kWh)",'General Inputs'!$E$40:$E$46,0),),'General Inputs'!$F$55:$AN$55)</f>
        <v>0</v>
      </c>
      <c r="BW234" s="59">
        <f ca="1">SUMPRODUCT($EU234:$GC234,OFFSET('General Inputs'!$F$40:$AN$40,MATCH($D234&amp;" Natural Gas ($/therm)",'General Inputs'!$E$40:$E$46,0),),'General Inputs'!$F$55:$AN$55)</f>
        <v>0</v>
      </c>
      <c r="BX234" s="59">
        <f ca="1">INDEX('General Inputs'!$F$55:$AN$55,MATCH($H234,'General Inputs'!$F$50:$AN$50,0))*$AI234</f>
        <v>2089.2871686466524</v>
      </c>
      <c r="BY234" s="59">
        <f ca="1">INDEX('General Inputs'!$F$51:$AN$51,MATCH($H234,'General Inputs'!$F$50:$AN$50,0))*$AM234</f>
        <v>0</v>
      </c>
      <c r="BZ234" s="55"/>
      <c r="CA234" s="88">
        <f t="shared" ca="1" si="455"/>
        <v>0</v>
      </c>
      <c r="CB234" s="88">
        <f t="shared" ca="1" si="455"/>
        <v>0</v>
      </c>
      <c r="CC234" s="88">
        <f t="shared" ca="1" si="455"/>
        <v>20992.252949999998</v>
      </c>
      <c r="CD234" s="88">
        <f t="shared" ca="1" si="455"/>
        <v>20992.252949999998</v>
      </c>
      <c r="CE234" s="88">
        <f t="shared" ca="1" si="455"/>
        <v>20992.252949999998</v>
      </c>
      <c r="CF234" s="88">
        <f t="shared" ca="1" si="455"/>
        <v>20992.252949999998</v>
      </c>
      <c r="CG234" s="88">
        <f t="shared" ca="1" si="455"/>
        <v>20992.252949999998</v>
      </c>
      <c r="CH234" s="88">
        <f t="shared" ca="1" si="455"/>
        <v>20992.252949999998</v>
      </c>
      <c r="CI234" s="88">
        <f t="shared" ca="1" si="455"/>
        <v>20992.252949999998</v>
      </c>
      <c r="CJ234" s="88">
        <f t="shared" ca="1" si="455"/>
        <v>20992.252949999998</v>
      </c>
      <c r="CK234" s="88">
        <f t="shared" ca="1" si="456"/>
        <v>20992.252949999998</v>
      </c>
      <c r="CL234" s="88">
        <f t="shared" ca="1" si="456"/>
        <v>20992.252949999998</v>
      </c>
      <c r="CM234" s="88">
        <f t="shared" ca="1" si="456"/>
        <v>20992.252949999998</v>
      </c>
      <c r="CN234" s="88">
        <f t="shared" ca="1" si="456"/>
        <v>20992.252949999998</v>
      </c>
      <c r="CO234" s="88">
        <f t="shared" ca="1" si="456"/>
        <v>20992.252949999998</v>
      </c>
      <c r="CP234" s="88">
        <f t="shared" ca="1" si="456"/>
        <v>20992.252949999998</v>
      </c>
      <c r="CQ234" s="88">
        <f t="shared" ca="1" si="456"/>
        <v>20992.252949999998</v>
      </c>
      <c r="CR234" s="88">
        <f t="shared" ca="1" si="456"/>
        <v>0</v>
      </c>
      <c r="CS234" s="88">
        <f t="shared" ca="1" si="456"/>
        <v>0</v>
      </c>
      <c r="CT234" s="88">
        <f t="shared" ca="1" si="456"/>
        <v>0</v>
      </c>
      <c r="CU234" s="88">
        <f t="shared" ca="1" si="457"/>
        <v>0</v>
      </c>
      <c r="CV234" s="88">
        <f t="shared" ca="1" si="457"/>
        <v>0</v>
      </c>
      <c r="CW234" s="88">
        <f t="shared" ca="1" si="457"/>
        <v>0</v>
      </c>
      <c r="CX234" s="88">
        <f t="shared" ca="1" si="457"/>
        <v>0</v>
      </c>
      <c r="CY234" s="88">
        <f t="shared" ca="1" si="457"/>
        <v>0</v>
      </c>
      <c r="CZ234" s="88">
        <f t="shared" ca="1" si="457"/>
        <v>0</v>
      </c>
      <c r="DA234" s="88">
        <f t="shared" ca="1" si="457"/>
        <v>0</v>
      </c>
      <c r="DB234" s="88">
        <f t="shared" ca="1" si="457"/>
        <v>0</v>
      </c>
      <c r="DC234" s="88">
        <f t="shared" ca="1" si="457"/>
        <v>0</v>
      </c>
      <c r="DD234" s="88">
        <f t="shared" ca="1" si="457"/>
        <v>0</v>
      </c>
      <c r="DE234" s="88">
        <f t="shared" ca="1" si="457"/>
        <v>0</v>
      </c>
      <c r="DF234" s="88">
        <f t="shared" ca="1" si="457"/>
        <v>0</v>
      </c>
      <c r="DG234" s="88">
        <f t="shared" ca="1" si="457"/>
        <v>0</v>
      </c>
      <c r="DH234" s="88">
        <f t="shared" ca="1" si="457"/>
        <v>0</v>
      </c>
      <c r="DI234" s="88">
        <f t="shared" ca="1" si="457"/>
        <v>0</v>
      </c>
      <c r="DJ234" s="169"/>
      <c r="DK234" s="88">
        <f t="shared" ca="1" si="458"/>
        <v>0</v>
      </c>
      <c r="DL234" s="88">
        <f t="shared" ca="1" si="458"/>
        <v>0</v>
      </c>
      <c r="DM234" s="88">
        <f t="shared" ca="1" si="458"/>
        <v>5.5660500000000006</v>
      </c>
      <c r="DN234" s="88">
        <f t="shared" ca="1" si="458"/>
        <v>5.5660500000000006</v>
      </c>
      <c r="DO234" s="88">
        <f t="shared" ca="1" si="458"/>
        <v>5.5660500000000006</v>
      </c>
      <c r="DP234" s="88">
        <f t="shared" ca="1" si="458"/>
        <v>5.5660500000000006</v>
      </c>
      <c r="DQ234" s="88">
        <f t="shared" ca="1" si="458"/>
        <v>5.5660500000000006</v>
      </c>
      <c r="DR234" s="88">
        <f t="shared" ca="1" si="458"/>
        <v>5.5660500000000006</v>
      </c>
      <c r="DS234" s="88">
        <f t="shared" ca="1" si="458"/>
        <v>5.5660500000000006</v>
      </c>
      <c r="DT234" s="88">
        <f t="shared" ca="1" si="458"/>
        <v>5.5660500000000006</v>
      </c>
      <c r="DU234" s="88">
        <f t="shared" ca="1" si="459"/>
        <v>5.5660500000000006</v>
      </c>
      <c r="DV234" s="88">
        <f t="shared" ca="1" si="459"/>
        <v>5.5660500000000006</v>
      </c>
      <c r="DW234" s="88">
        <f t="shared" ca="1" si="459"/>
        <v>5.5660500000000006</v>
      </c>
      <c r="DX234" s="88">
        <f t="shared" ca="1" si="459"/>
        <v>5.5660500000000006</v>
      </c>
      <c r="DY234" s="88">
        <f t="shared" ca="1" si="459"/>
        <v>5.5660500000000006</v>
      </c>
      <c r="DZ234" s="88">
        <f t="shared" ca="1" si="459"/>
        <v>5.5660500000000006</v>
      </c>
      <c r="EA234" s="88">
        <f t="shared" ca="1" si="459"/>
        <v>5.5660500000000006</v>
      </c>
      <c r="EB234" s="88">
        <f t="shared" ca="1" si="459"/>
        <v>0</v>
      </c>
      <c r="EC234" s="88">
        <f t="shared" ca="1" si="459"/>
        <v>0</v>
      </c>
      <c r="ED234" s="88">
        <f t="shared" ca="1" si="459"/>
        <v>0</v>
      </c>
      <c r="EE234" s="88">
        <f t="shared" ca="1" si="460"/>
        <v>0</v>
      </c>
      <c r="EF234" s="88">
        <f t="shared" ca="1" si="460"/>
        <v>0</v>
      </c>
      <c r="EG234" s="88">
        <f t="shared" ca="1" si="460"/>
        <v>0</v>
      </c>
      <c r="EH234" s="88">
        <f t="shared" ca="1" si="460"/>
        <v>0</v>
      </c>
      <c r="EI234" s="88">
        <f t="shared" ca="1" si="460"/>
        <v>0</v>
      </c>
      <c r="EJ234" s="88">
        <f t="shared" ca="1" si="460"/>
        <v>0</v>
      </c>
      <c r="EK234" s="88">
        <f t="shared" ca="1" si="460"/>
        <v>0</v>
      </c>
      <c r="EL234" s="88">
        <f t="shared" ca="1" si="460"/>
        <v>0</v>
      </c>
      <c r="EM234" s="88">
        <f t="shared" ca="1" si="460"/>
        <v>0</v>
      </c>
      <c r="EN234" s="88">
        <f t="shared" ca="1" si="460"/>
        <v>0</v>
      </c>
      <c r="EO234" s="88">
        <f t="shared" ca="1" si="460"/>
        <v>0</v>
      </c>
      <c r="EP234" s="88">
        <f t="shared" ca="1" si="460"/>
        <v>0</v>
      </c>
      <c r="EQ234" s="88">
        <f t="shared" ca="1" si="460"/>
        <v>0</v>
      </c>
      <c r="ER234" s="88">
        <f t="shared" ca="1" si="460"/>
        <v>0</v>
      </c>
      <c r="ES234" s="88">
        <f t="shared" ca="1" si="460"/>
        <v>0</v>
      </c>
      <c r="ET234" s="169"/>
      <c r="EU234" s="88">
        <f t="shared" ca="1" si="461"/>
        <v>0</v>
      </c>
      <c r="EV234" s="88">
        <f t="shared" ca="1" si="461"/>
        <v>0</v>
      </c>
      <c r="EW234" s="88">
        <f t="shared" ca="1" si="461"/>
        <v>0</v>
      </c>
      <c r="EX234" s="88">
        <f t="shared" ca="1" si="461"/>
        <v>0</v>
      </c>
      <c r="EY234" s="88">
        <f t="shared" ca="1" si="461"/>
        <v>0</v>
      </c>
      <c r="EZ234" s="88">
        <f t="shared" ca="1" si="461"/>
        <v>0</v>
      </c>
      <c r="FA234" s="88">
        <f t="shared" ca="1" si="461"/>
        <v>0</v>
      </c>
      <c r="FB234" s="88">
        <f t="shared" ca="1" si="461"/>
        <v>0</v>
      </c>
      <c r="FC234" s="88">
        <f t="shared" ca="1" si="461"/>
        <v>0</v>
      </c>
      <c r="FD234" s="88">
        <f t="shared" ca="1" si="461"/>
        <v>0</v>
      </c>
      <c r="FE234" s="88">
        <f t="shared" ca="1" si="462"/>
        <v>0</v>
      </c>
      <c r="FF234" s="88">
        <f t="shared" ca="1" si="462"/>
        <v>0</v>
      </c>
      <c r="FG234" s="88">
        <f t="shared" ca="1" si="462"/>
        <v>0</v>
      </c>
      <c r="FH234" s="88">
        <f t="shared" ca="1" si="462"/>
        <v>0</v>
      </c>
      <c r="FI234" s="88">
        <f t="shared" ca="1" si="462"/>
        <v>0</v>
      </c>
      <c r="FJ234" s="88">
        <f t="shared" ca="1" si="462"/>
        <v>0</v>
      </c>
      <c r="FK234" s="88">
        <f t="shared" ca="1" si="462"/>
        <v>0</v>
      </c>
      <c r="FL234" s="88">
        <f t="shared" ca="1" si="462"/>
        <v>0</v>
      </c>
      <c r="FM234" s="88">
        <f t="shared" ca="1" si="462"/>
        <v>0</v>
      </c>
      <c r="FN234" s="88">
        <f t="shared" ca="1" si="462"/>
        <v>0</v>
      </c>
      <c r="FO234" s="88">
        <f t="shared" ca="1" si="463"/>
        <v>0</v>
      </c>
      <c r="FP234" s="88">
        <f t="shared" ca="1" si="463"/>
        <v>0</v>
      </c>
      <c r="FQ234" s="88">
        <f t="shared" ca="1" si="463"/>
        <v>0</v>
      </c>
      <c r="FR234" s="88">
        <f t="shared" ca="1" si="463"/>
        <v>0</v>
      </c>
      <c r="FS234" s="88">
        <f t="shared" ca="1" si="463"/>
        <v>0</v>
      </c>
      <c r="FT234" s="88">
        <f t="shared" ca="1" si="463"/>
        <v>0</v>
      </c>
      <c r="FU234" s="88">
        <f t="shared" ca="1" si="463"/>
        <v>0</v>
      </c>
      <c r="FV234" s="88">
        <f t="shared" ca="1" si="463"/>
        <v>0</v>
      </c>
      <c r="FW234" s="88">
        <f t="shared" ca="1" si="463"/>
        <v>0</v>
      </c>
      <c r="FX234" s="88">
        <f t="shared" ca="1" si="463"/>
        <v>0</v>
      </c>
      <c r="FY234" s="88">
        <f t="shared" ca="1" si="463"/>
        <v>0</v>
      </c>
      <c r="FZ234" s="88">
        <f t="shared" ca="1" si="463"/>
        <v>0</v>
      </c>
      <c r="GA234" s="88">
        <f t="shared" ca="1" si="463"/>
        <v>0</v>
      </c>
      <c r="GB234" s="88">
        <f t="shared" ca="1" si="463"/>
        <v>0</v>
      </c>
      <c r="GC234" s="88">
        <f t="shared" ca="1" si="463"/>
        <v>0</v>
      </c>
      <c r="GD234" s="60"/>
    </row>
    <row r="235" spans="1:186" s="54" customFormat="1" ht="14.45" customHeight="1">
      <c r="A235" s="61"/>
      <c r="B235" s="100" t="str">
        <f t="shared" si="418"/>
        <v>C&amp;I_C&amp;I Prescriptive_0_High Bay Fluorescent Fixture w/ HE Electronic Ballast (T5 4-6 lamp)_2019</v>
      </c>
      <c r="C235" s="100">
        <f>INDEX('Measure Inputs'!$D:$D,MATCH($B235,'Measure Inputs'!$B:$B,0))</f>
        <v>187</v>
      </c>
      <c r="D235" s="101" t="s">
        <v>256</v>
      </c>
      <c r="E235" s="101" t="s">
        <v>255</v>
      </c>
      <c r="F235" s="101">
        <v>0</v>
      </c>
      <c r="G235" s="101" t="s">
        <v>272</v>
      </c>
      <c r="H235" s="101">
        <v>2019</v>
      </c>
      <c r="I235" s="55"/>
      <c r="J235" s="58">
        <f t="shared" ca="1" si="229"/>
        <v>2.2012731147758884</v>
      </c>
      <c r="K235" s="58">
        <f t="shared" ca="1" si="246"/>
        <v>3.6687885246264802</v>
      </c>
      <c r="L235" s="58">
        <f t="shared" ca="1" si="230"/>
        <v>0.6</v>
      </c>
      <c r="M235" s="58">
        <f t="shared" ca="1" si="231"/>
        <v>2.8857601144381446</v>
      </c>
      <c r="N235" s="58">
        <f t="shared" ca="1" si="232"/>
        <v>3.6687885246264802</v>
      </c>
      <c r="O235" s="55"/>
      <c r="P235" s="175">
        <f ca="1">IFERROR(($AW235+AV235)/SUMPRODUCT($CA235:$DI235,'General Inputs'!$F$51:$AN$51),"n/a")</f>
        <v>1.0485713733007943E-2</v>
      </c>
      <c r="Q235" s="175">
        <f t="shared" ca="1" si="454"/>
        <v>9.2869220189664467E-2</v>
      </c>
      <c r="R235" s="56">
        <f t="shared" ca="1" si="441"/>
        <v>545.12140724999995</v>
      </c>
      <c r="S235" s="55"/>
      <c r="T235" s="56">
        <f ca="1">INDEX(OFFSET('Measure Inputs'!$L$7,,,InputRows),$C235)</f>
        <v>45</v>
      </c>
      <c r="U235" s="134">
        <f ca="1">INDEX(OFFSET('Measure Inputs'!$T$7,,,InputRows),$C235)</f>
        <v>1</v>
      </c>
      <c r="V235" s="134">
        <f ca="1">INDEX(OFFSET('Measure Inputs'!$U$7,,,InputRows),$C235)</f>
        <v>1</v>
      </c>
      <c r="W235" s="55"/>
      <c r="X235" s="96">
        <f ca="1">INDEX(OFFSET('Measure Inputs'!$V$7,,,InputRows),$C235)*$T235*$V235*$U235</f>
        <v>36341.427149999996</v>
      </c>
      <c r="Y235" s="96">
        <f ca="1">INDEX(OFFSET('Measure Inputs'!$W$7,,,InputRows),$C235)*$T235*$V235*$U235</f>
        <v>9.6358500000000014</v>
      </c>
      <c r="Z235" s="96">
        <f ca="1">INDEX(OFFSET('Measure Inputs'!$X$7,,,InputRows),$C235)*$T235*$V235*$U235</f>
        <v>0</v>
      </c>
      <c r="AA235" s="55"/>
      <c r="AB235" s="96">
        <f ca="1">INDEX(OFFSET('Measure Inputs'!$Z$7,,,InputRows),$C235)*$T235*$V235*$U235</f>
        <v>0</v>
      </c>
      <c r="AC235" s="96">
        <f ca="1">INDEX(OFFSET('Measure Inputs'!$AA$7,,,InputRows),$C235)*$T235*$V235*$U235</f>
        <v>0</v>
      </c>
      <c r="AD235" s="96">
        <f ca="1">INDEX(OFFSET('Measure Inputs'!$AB$7,,,InputRows),$C235)*$T235*$V235*$U235</f>
        <v>0</v>
      </c>
      <c r="AE235" s="55"/>
      <c r="AF235" s="57">
        <f ca="1">INDEX(OFFSET('Measure Inputs'!$Q$7,,,InputRows),$C235)*$T235</f>
        <v>0</v>
      </c>
      <c r="AG235" s="57">
        <f ca="1">INDEX(OFFSET('Measure Inputs'!$P$7,,,InputRows),$C235)*$T235*$V235</f>
        <v>5625</v>
      </c>
      <c r="AH235" s="57">
        <f ca="1">INDEX(OFFSET('Measure Inputs'!$R$7,,,InputRows),$C235)*$T235*$V235</f>
        <v>0</v>
      </c>
      <c r="AI235" s="57">
        <f ca="1">INDEX(OFFSET('Measure Inputs'!$O$7,,,InputRows),$C235)*$T235</f>
        <v>3375</v>
      </c>
      <c r="AJ235" s="57">
        <f ca="1">INDEX(OFFSET('Measure Inputs'!$S$7,,,InputRows),$C235)*$T235</f>
        <v>0</v>
      </c>
      <c r="AK235" s="63">
        <f ca="1">INDEX(OFFSET('Measure Inputs'!$M$7,,,InputRows),$C235)</f>
        <v>15</v>
      </c>
      <c r="AL235" s="88">
        <f ca="1">INDEX(OFFSET('Measure Inputs'!$N$7,,,InputRows),$C235)</f>
        <v>0</v>
      </c>
      <c r="AM235" s="57">
        <f ca="1">SUMIFS(OFFSET('Program Inputs'!$N$5,,,TotalPrograms),OFFSET('Program Inputs'!$B$5,,,TotalPrograms),SUBSTITUTE($B235,"All","*"))+AF235</f>
        <v>0</v>
      </c>
      <c r="AN235" s="57">
        <f t="shared" ca="1" si="442"/>
        <v>3375</v>
      </c>
      <c r="AO235" s="55"/>
      <c r="AP235" s="59">
        <f t="shared" ca="1" si="443"/>
        <v>10452.481075882075</v>
      </c>
      <c r="AQ235" s="59">
        <f t="shared" ca="1" si="444"/>
        <v>4748.3799287423917</v>
      </c>
      <c r="AR235" s="59">
        <f ca="1">SUMPRODUCT($CA235:$DI235,'General Inputs'!$F$32:$AN$32,'General Inputs'!$F$51:$AN$51)/(1-Loss_ElectricEnergy)</f>
        <v>8778.3335525625116</v>
      </c>
      <c r="AS235" s="59">
        <f ca="1">SUMPRODUCT($DK235:$ES235,'General Inputs'!$F$33:$AN$33,'General Inputs'!$F$51:$AN$51)/(1-Loss_ElectricDemand)</f>
        <v>1674.147523319564</v>
      </c>
      <c r="AT235" s="59">
        <f ca="1">SUMPRODUCT($EU235:$GC235,'General Inputs'!$F$34:$AN$34,'General Inputs'!$F$51:$AN$51)/(1-Loss_GasEnergy)</f>
        <v>0</v>
      </c>
      <c r="AU235" s="59">
        <f ca="1">INDEX('General Inputs'!$F$51:$AN$51,MATCH($H235,'General Inputs'!$F$50:$AN$50,0))*$AJ235</f>
        <v>0</v>
      </c>
      <c r="AV235" s="59">
        <f ca="1">INDEX('General Inputs'!$F$51:$AN$51,MATCH($H235,'General Inputs'!$F$50:$AN$50,0))*$AI235</f>
        <v>2849.0279572454351</v>
      </c>
      <c r="AW235" s="59">
        <f ca="1">INDEX('General Inputs'!$F$51:$AN$51,MATCH($H235,'General Inputs'!$F$50:$AN$50,0))*$AM235</f>
        <v>0</v>
      </c>
      <c r="AX235" s="59">
        <f ca="1">SUM(INDEX('General Inputs'!$F$51:$AN$51,MATCH($H235,'General Inputs'!$F$50:$AN$50,0))*$AG235,INDEX('General Inputs'!$F$51:$AN$51,MATCH($H235+$AL235,'General Inputs'!$F$50:$AN$50,0))*-$AH235)</f>
        <v>4748.3799287423917</v>
      </c>
      <c r="AY235" s="55"/>
      <c r="AZ235" s="59">
        <f ca="1">SUMPRODUCT($CA235:$DI235,'General Inputs'!$F$32:$AN$32,'General Inputs'!$F$52:$AN$52)/(1-Loss_ElectricEnergy)</f>
        <v>8778.3335525625116</v>
      </c>
      <c r="BA235" s="59">
        <f ca="1">SUMPRODUCT($DK235:$ES235,'General Inputs'!$F$33:$AN$33,'General Inputs'!$F$52:$AN$52)/(1-Loss_ElectricDemand)</f>
        <v>1674.147523319564</v>
      </c>
      <c r="BB235" s="59">
        <f ca="1">SUMPRODUCT($EU235:$GC235,'General Inputs'!$F$34:$AN$34,'General Inputs'!$F$52:$AN$52)/(1-Loss_GasEnergy)</f>
        <v>0</v>
      </c>
      <c r="BC235" s="59">
        <f ca="1">INDEX('General Inputs'!$F$52:$AN$52,MATCH($H235,'General Inputs'!$F$50:$AN$50,0))*$AI235</f>
        <v>2849.0279572454351</v>
      </c>
      <c r="BD235" s="59">
        <f ca="1">INDEX('General Inputs'!$F$52:$AN$52,MATCH($H235,'General Inputs'!$F$50:$AN$50,0))*$AM235</f>
        <v>0</v>
      </c>
      <c r="BE235" s="55"/>
      <c r="BF235" s="59">
        <f ca="1">SUMPRODUCT($CA235:$DI235,OFFSET('General Inputs'!$F$40:$AN$40,MATCH($D235&amp;" Electric ($/kWh)",'General Inputs'!$E$40:$E$46,0),),'General Inputs'!$F$54:$AN$54)</f>
        <v>0</v>
      </c>
      <c r="BG235" s="59">
        <f ca="1">SUMPRODUCT($EU235:$GC235,OFFSET('General Inputs'!$F$40:$AN$40,MATCH($D235&amp;" Natural Gas ($/therm)",'General Inputs'!$E$40:$E$46,0),),'General Inputs'!$F$54:$AN$54)</f>
        <v>0</v>
      </c>
      <c r="BH235" s="59">
        <f ca="1">INDEX('General Inputs'!$F$54:$AN$54,MATCH($H235,'General Inputs'!$F$50:$AN$50,0))*$AI235</f>
        <v>2849.0279572454351</v>
      </c>
      <c r="BI235" s="59">
        <f ca="1">SUM(INDEX('General Inputs'!$F$54:$AN$54,MATCH($H235,'General Inputs'!$F$50:$AN$50,0))*$AG235,INDEX('General Inputs'!$F$51:$AN$51,MATCH($H235+$AL235,'General Inputs'!$F$50:$AN$50,0))*-$AH235)</f>
        <v>4748.3799287423917</v>
      </c>
      <c r="BJ235" s="55"/>
      <c r="BK235" s="59">
        <f ca="1">SUMPRODUCT($CA235:$DI235,'General Inputs'!$F$32:$AN$32,'General Inputs'!$F$53:$AN$53)/(1-Loss_ElectricEnergy)</f>
        <v>8778.3335525625116</v>
      </c>
      <c r="BL235" s="59">
        <f ca="1">SUMPRODUCT($DK235:$ES235,'General Inputs'!$F$33:$AN$33,'General Inputs'!$F$53:$AN$53)/(1-Loss_ElectricDemand)</f>
        <v>1674.147523319564</v>
      </c>
      <c r="BM235" s="59">
        <f ca="1">SUMPRODUCT($EU235:$GC235,'General Inputs'!$F$34:$AN$34,'General Inputs'!$F$53:$AN$53)/(1-Loss_GasEnergy)</f>
        <v>0</v>
      </c>
      <c r="BN235" s="59">
        <f ca="1">INDEX('General Inputs'!$F$53:$AN$53,MATCH($H235,'General Inputs'!$F$50:$AN$50,0))*$AJ235</f>
        <v>0</v>
      </c>
      <c r="BO235" s="59">
        <f ca="1">SUMPRODUCT($CA235:$DI235,'General Inputs'!$F$35:$AN$35,'General Inputs'!$F$53:$AN$53)/(1-Loss_ElectricEnergy)</f>
        <v>3250.2043306813589</v>
      </c>
      <c r="BP235" s="59">
        <f ca="1">INDEX('General Inputs'!$F$51:$AN$51,MATCH($H235,'General Inputs'!$F$50:$AN$50,0))*$AM235</f>
        <v>0</v>
      </c>
      <c r="BQ235" s="59">
        <f ca="1">SUM(INDEX('General Inputs'!$F$53:$AN$53,MATCH($H235,'General Inputs'!$F$50:$AN$50,0))*$AG235,INDEX('General Inputs'!$F$53:$AN$53,MATCH($H235+$AL235,'General Inputs'!$F$50:$AN$50,0))*-$AH235)</f>
        <v>4748.3799287423917</v>
      </c>
      <c r="BR235" s="55"/>
      <c r="BS235" s="59">
        <f ca="1">SUMPRODUCT($CA235:$DI235,'General Inputs'!$F$32:$AN$32,'General Inputs'!$F$55:$AN$55)/(1-Loss_ElectricEnergy)</f>
        <v>8778.3335525625116</v>
      </c>
      <c r="BT235" s="59">
        <f ca="1">SUMPRODUCT($DK235:$ES235,'General Inputs'!$F$33:$AN$33,'General Inputs'!$F$55:$AN$55)/(1-Loss_ElectricDemand)</f>
        <v>1674.147523319564</v>
      </c>
      <c r="BU235" s="59">
        <f ca="1">SUMPRODUCT($EU235:$GC235,'General Inputs'!$F$34:$AN$34,'General Inputs'!$F$55:$AN$55)/(1-Loss_GasEnergy)</f>
        <v>0</v>
      </c>
      <c r="BV235" s="59">
        <f ca="1">SUMPRODUCT($CA235:$DI235,OFFSET('General Inputs'!$F$40:$AN$40,MATCH($D235&amp;" Electric ($/kWh)",'General Inputs'!$E$40:$E$46,0),),'General Inputs'!$F$55:$AN$55)</f>
        <v>0</v>
      </c>
      <c r="BW235" s="59">
        <f ca="1">SUMPRODUCT($EU235:$GC235,OFFSET('General Inputs'!$F$40:$AN$40,MATCH($D235&amp;" Natural Gas ($/therm)",'General Inputs'!$E$40:$E$46,0),),'General Inputs'!$F$55:$AN$55)</f>
        <v>0</v>
      </c>
      <c r="BX235" s="59">
        <f ca="1">INDEX('General Inputs'!$F$55:$AN$55,MATCH($H235,'General Inputs'!$F$50:$AN$50,0))*$AI235</f>
        <v>2849.0279572454351</v>
      </c>
      <c r="BY235" s="59">
        <f ca="1">INDEX('General Inputs'!$F$51:$AN$51,MATCH($H235,'General Inputs'!$F$50:$AN$50,0))*$AM235</f>
        <v>0</v>
      </c>
      <c r="BZ235" s="55"/>
      <c r="CA235" s="88">
        <f t="shared" ca="1" si="455"/>
        <v>0</v>
      </c>
      <c r="CB235" s="88">
        <f t="shared" ca="1" si="455"/>
        <v>0</v>
      </c>
      <c r="CC235" s="88">
        <f t="shared" ca="1" si="455"/>
        <v>36341.427149999996</v>
      </c>
      <c r="CD235" s="88">
        <f t="shared" ca="1" si="455"/>
        <v>36341.427149999996</v>
      </c>
      <c r="CE235" s="88">
        <f t="shared" ca="1" si="455"/>
        <v>36341.427149999996</v>
      </c>
      <c r="CF235" s="88">
        <f t="shared" ca="1" si="455"/>
        <v>36341.427149999996</v>
      </c>
      <c r="CG235" s="88">
        <f t="shared" ca="1" si="455"/>
        <v>36341.427149999996</v>
      </c>
      <c r="CH235" s="88">
        <f t="shared" ca="1" si="455"/>
        <v>36341.427149999996</v>
      </c>
      <c r="CI235" s="88">
        <f t="shared" ca="1" si="455"/>
        <v>36341.427149999996</v>
      </c>
      <c r="CJ235" s="88">
        <f t="shared" ca="1" si="455"/>
        <v>36341.427149999996</v>
      </c>
      <c r="CK235" s="88">
        <f t="shared" ca="1" si="456"/>
        <v>36341.427149999996</v>
      </c>
      <c r="CL235" s="88">
        <f t="shared" ca="1" si="456"/>
        <v>36341.427149999996</v>
      </c>
      <c r="CM235" s="88">
        <f t="shared" ca="1" si="456"/>
        <v>36341.427149999996</v>
      </c>
      <c r="CN235" s="88">
        <f t="shared" ca="1" si="456"/>
        <v>36341.427149999996</v>
      </c>
      <c r="CO235" s="88">
        <f t="shared" ca="1" si="456"/>
        <v>36341.427149999996</v>
      </c>
      <c r="CP235" s="88">
        <f t="shared" ca="1" si="456"/>
        <v>36341.427149999996</v>
      </c>
      <c r="CQ235" s="88">
        <f t="shared" ca="1" si="456"/>
        <v>36341.427149999996</v>
      </c>
      <c r="CR235" s="88">
        <f t="shared" ca="1" si="456"/>
        <v>0</v>
      </c>
      <c r="CS235" s="88">
        <f t="shared" ca="1" si="456"/>
        <v>0</v>
      </c>
      <c r="CT235" s="88">
        <f t="shared" ca="1" si="456"/>
        <v>0</v>
      </c>
      <c r="CU235" s="88">
        <f t="shared" ca="1" si="457"/>
        <v>0</v>
      </c>
      <c r="CV235" s="88">
        <f t="shared" ca="1" si="457"/>
        <v>0</v>
      </c>
      <c r="CW235" s="88">
        <f t="shared" ca="1" si="457"/>
        <v>0</v>
      </c>
      <c r="CX235" s="88">
        <f t="shared" ca="1" si="457"/>
        <v>0</v>
      </c>
      <c r="CY235" s="88">
        <f t="shared" ca="1" si="457"/>
        <v>0</v>
      </c>
      <c r="CZ235" s="88">
        <f t="shared" ca="1" si="457"/>
        <v>0</v>
      </c>
      <c r="DA235" s="88">
        <f t="shared" ca="1" si="457"/>
        <v>0</v>
      </c>
      <c r="DB235" s="88">
        <f t="shared" ca="1" si="457"/>
        <v>0</v>
      </c>
      <c r="DC235" s="88">
        <f t="shared" ca="1" si="457"/>
        <v>0</v>
      </c>
      <c r="DD235" s="88">
        <f t="shared" ca="1" si="457"/>
        <v>0</v>
      </c>
      <c r="DE235" s="88">
        <f t="shared" ca="1" si="457"/>
        <v>0</v>
      </c>
      <c r="DF235" s="88">
        <f t="shared" ca="1" si="457"/>
        <v>0</v>
      </c>
      <c r="DG235" s="88">
        <f t="shared" ca="1" si="457"/>
        <v>0</v>
      </c>
      <c r="DH235" s="88">
        <f t="shared" ca="1" si="457"/>
        <v>0</v>
      </c>
      <c r="DI235" s="88">
        <f t="shared" ca="1" si="457"/>
        <v>0</v>
      </c>
      <c r="DJ235" s="169"/>
      <c r="DK235" s="88">
        <f t="shared" ca="1" si="458"/>
        <v>0</v>
      </c>
      <c r="DL235" s="88">
        <f t="shared" ca="1" si="458"/>
        <v>0</v>
      </c>
      <c r="DM235" s="88">
        <f t="shared" ca="1" si="458"/>
        <v>9.6358500000000014</v>
      </c>
      <c r="DN235" s="88">
        <f t="shared" ca="1" si="458"/>
        <v>9.6358500000000014</v>
      </c>
      <c r="DO235" s="88">
        <f t="shared" ca="1" si="458"/>
        <v>9.6358500000000014</v>
      </c>
      <c r="DP235" s="88">
        <f t="shared" ca="1" si="458"/>
        <v>9.6358500000000014</v>
      </c>
      <c r="DQ235" s="88">
        <f t="shared" ca="1" si="458"/>
        <v>9.6358500000000014</v>
      </c>
      <c r="DR235" s="88">
        <f t="shared" ca="1" si="458"/>
        <v>9.6358500000000014</v>
      </c>
      <c r="DS235" s="88">
        <f t="shared" ca="1" si="458"/>
        <v>9.6358500000000014</v>
      </c>
      <c r="DT235" s="88">
        <f t="shared" ca="1" si="458"/>
        <v>9.6358500000000014</v>
      </c>
      <c r="DU235" s="88">
        <f t="shared" ca="1" si="459"/>
        <v>9.6358500000000014</v>
      </c>
      <c r="DV235" s="88">
        <f t="shared" ca="1" si="459"/>
        <v>9.6358500000000014</v>
      </c>
      <c r="DW235" s="88">
        <f t="shared" ca="1" si="459"/>
        <v>9.6358500000000014</v>
      </c>
      <c r="DX235" s="88">
        <f t="shared" ca="1" si="459"/>
        <v>9.6358500000000014</v>
      </c>
      <c r="DY235" s="88">
        <f t="shared" ca="1" si="459"/>
        <v>9.6358500000000014</v>
      </c>
      <c r="DZ235" s="88">
        <f t="shared" ca="1" si="459"/>
        <v>9.6358500000000014</v>
      </c>
      <c r="EA235" s="88">
        <f t="shared" ca="1" si="459"/>
        <v>9.6358500000000014</v>
      </c>
      <c r="EB235" s="88">
        <f t="shared" ca="1" si="459"/>
        <v>0</v>
      </c>
      <c r="EC235" s="88">
        <f t="shared" ca="1" si="459"/>
        <v>0</v>
      </c>
      <c r="ED235" s="88">
        <f t="shared" ca="1" si="459"/>
        <v>0</v>
      </c>
      <c r="EE235" s="88">
        <f t="shared" ca="1" si="460"/>
        <v>0</v>
      </c>
      <c r="EF235" s="88">
        <f t="shared" ca="1" si="460"/>
        <v>0</v>
      </c>
      <c r="EG235" s="88">
        <f t="shared" ca="1" si="460"/>
        <v>0</v>
      </c>
      <c r="EH235" s="88">
        <f t="shared" ca="1" si="460"/>
        <v>0</v>
      </c>
      <c r="EI235" s="88">
        <f t="shared" ca="1" si="460"/>
        <v>0</v>
      </c>
      <c r="EJ235" s="88">
        <f t="shared" ca="1" si="460"/>
        <v>0</v>
      </c>
      <c r="EK235" s="88">
        <f t="shared" ca="1" si="460"/>
        <v>0</v>
      </c>
      <c r="EL235" s="88">
        <f t="shared" ca="1" si="460"/>
        <v>0</v>
      </c>
      <c r="EM235" s="88">
        <f t="shared" ca="1" si="460"/>
        <v>0</v>
      </c>
      <c r="EN235" s="88">
        <f t="shared" ca="1" si="460"/>
        <v>0</v>
      </c>
      <c r="EO235" s="88">
        <f t="shared" ca="1" si="460"/>
        <v>0</v>
      </c>
      <c r="EP235" s="88">
        <f t="shared" ca="1" si="460"/>
        <v>0</v>
      </c>
      <c r="EQ235" s="88">
        <f t="shared" ca="1" si="460"/>
        <v>0</v>
      </c>
      <c r="ER235" s="88">
        <f t="shared" ca="1" si="460"/>
        <v>0</v>
      </c>
      <c r="ES235" s="88">
        <f t="shared" ca="1" si="460"/>
        <v>0</v>
      </c>
      <c r="ET235" s="169"/>
      <c r="EU235" s="88">
        <f t="shared" ca="1" si="461"/>
        <v>0</v>
      </c>
      <c r="EV235" s="88">
        <f t="shared" ca="1" si="461"/>
        <v>0</v>
      </c>
      <c r="EW235" s="88">
        <f t="shared" ca="1" si="461"/>
        <v>0</v>
      </c>
      <c r="EX235" s="88">
        <f t="shared" ca="1" si="461"/>
        <v>0</v>
      </c>
      <c r="EY235" s="88">
        <f t="shared" ca="1" si="461"/>
        <v>0</v>
      </c>
      <c r="EZ235" s="88">
        <f t="shared" ca="1" si="461"/>
        <v>0</v>
      </c>
      <c r="FA235" s="88">
        <f t="shared" ca="1" si="461"/>
        <v>0</v>
      </c>
      <c r="FB235" s="88">
        <f t="shared" ca="1" si="461"/>
        <v>0</v>
      </c>
      <c r="FC235" s="88">
        <f t="shared" ca="1" si="461"/>
        <v>0</v>
      </c>
      <c r="FD235" s="88">
        <f t="shared" ca="1" si="461"/>
        <v>0</v>
      </c>
      <c r="FE235" s="88">
        <f t="shared" ca="1" si="462"/>
        <v>0</v>
      </c>
      <c r="FF235" s="88">
        <f t="shared" ca="1" si="462"/>
        <v>0</v>
      </c>
      <c r="FG235" s="88">
        <f t="shared" ca="1" si="462"/>
        <v>0</v>
      </c>
      <c r="FH235" s="88">
        <f t="shared" ca="1" si="462"/>
        <v>0</v>
      </c>
      <c r="FI235" s="88">
        <f t="shared" ca="1" si="462"/>
        <v>0</v>
      </c>
      <c r="FJ235" s="88">
        <f t="shared" ca="1" si="462"/>
        <v>0</v>
      </c>
      <c r="FK235" s="88">
        <f t="shared" ca="1" si="462"/>
        <v>0</v>
      </c>
      <c r="FL235" s="88">
        <f t="shared" ca="1" si="462"/>
        <v>0</v>
      </c>
      <c r="FM235" s="88">
        <f t="shared" ca="1" si="462"/>
        <v>0</v>
      </c>
      <c r="FN235" s="88">
        <f t="shared" ca="1" si="462"/>
        <v>0</v>
      </c>
      <c r="FO235" s="88">
        <f t="shared" ca="1" si="463"/>
        <v>0</v>
      </c>
      <c r="FP235" s="88">
        <f t="shared" ca="1" si="463"/>
        <v>0</v>
      </c>
      <c r="FQ235" s="88">
        <f t="shared" ca="1" si="463"/>
        <v>0</v>
      </c>
      <c r="FR235" s="88">
        <f t="shared" ca="1" si="463"/>
        <v>0</v>
      </c>
      <c r="FS235" s="88">
        <f t="shared" ca="1" si="463"/>
        <v>0</v>
      </c>
      <c r="FT235" s="88">
        <f t="shared" ca="1" si="463"/>
        <v>0</v>
      </c>
      <c r="FU235" s="88">
        <f t="shared" ca="1" si="463"/>
        <v>0</v>
      </c>
      <c r="FV235" s="88">
        <f t="shared" ca="1" si="463"/>
        <v>0</v>
      </c>
      <c r="FW235" s="88">
        <f t="shared" ca="1" si="463"/>
        <v>0</v>
      </c>
      <c r="FX235" s="88">
        <f t="shared" ca="1" si="463"/>
        <v>0</v>
      </c>
      <c r="FY235" s="88">
        <f t="shared" ca="1" si="463"/>
        <v>0</v>
      </c>
      <c r="FZ235" s="88">
        <f t="shared" ca="1" si="463"/>
        <v>0</v>
      </c>
      <c r="GA235" s="88">
        <f t="shared" ca="1" si="463"/>
        <v>0</v>
      </c>
      <c r="GB235" s="88">
        <f t="shared" ca="1" si="463"/>
        <v>0</v>
      </c>
      <c r="GC235" s="88">
        <f t="shared" ca="1" si="463"/>
        <v>0</v>
      </c>
      <c r="GD235" s="60"/>
    </row>
    <row r="236" spans="1:186" s="54" customFormat="1" ht="14.45" customHeight="1">
      <c r="A236" s="61"/>
      <c r="B236" s="100" t="str">
        <f t="shared" si="418"/>
        <v>C&amp;I_C&amp;I Prescriptive_0_High Bay Fluorescent Fixture w/ HE Electronic Ballast (T5 8-lamp)_2019</v>
      </c>
      <c r="C236" s="100">
        <f>INDEX('Measure Inputs'!$D:$D,MATCH($B236,'Measure Inputs'!$B:$B,0))</f>
        <v>188</v>
      </c>
      <c r="D236" s="101" t="s">
        <v>256</v>
      </c>
      <c r="E236" s="101" t="s">
        <v>255</v>
      </c>
      <c r="F236" s="101">
        <v>0</v>
      </c>
      <c r="G236" s="101" t="s">
        <v>273</v>
      </c>
      <c r="H236" s="101">
        <v>2019</v>
      </c>
      <c r="I236" s="55"/>
      <c r="J236" s="58">
        <f t="shared" ca="1" si="229"/>
        <v>5.2228964586608022</v>
      </c>
      <c r="K236" s="58">
        <f t="shared" ca="1" si="246"/>
        <v>7.6807300862658856</v>
      </c>
      <c r="L236" s="58">
        <f t="shared" ca="1" si="230"/>
        <v>0.67999999999999994</v>
      </c>
      <c r="M236" s="58">
        <f t="shared" ca="1" si="231"/>
        <v>6.8469587808408141</v>
      </c>
      <c r="N236" s="58">
        <f t="shared" ca="1" si="232"/>
        <v>7.6807300862658856</v>
      </c>
      <c r="O236" s="55"/>
      <c r="P236" s="175">
        <f ca="1">IFERROR(($AW236+AV236)/SUMPRODUCT($CA236:$DI236,'General Inputs'!$F$51:$AN$51),"n/a")</f>
        <v>5.0086210274420135E-3</v>
      </c>
      <c r="Q236" s="175">
        <f t="shared" ca="1" si="454"/>
        <v>4.4360044617646012E-2</v>
      </c>
      <c r="R236" s="56">
        <f t="shared" ca="1" si="441"/>
        <v>1293.3936494999998</v>
      </c>
      <c r="S236" s="55"/>
      <c r="T236" s="56">
        <f ca="1">INDEX(OFFSET('Measure Inputs'!$L$7,,,InputRows),$C236)</f>
        <v>45</v>
      </c>
      <c r="U236" s="134">
        <f ca="1">INDEX(OFFSET('Measure Inputs'!$T$7,,,InputRows),$C236)</f>
        <v>1</v>
      </c>
      <c r="V236" s="134">
        <f ca="1">INDEX(OFFSET('Measure Inputs'!$U$7,,,InputRows),$C236)</f>
        <v>1</v>
      </c>
      <c r="W236" s="55"/>
      <c r="X236" s="96">
        <f ca="1">INDEX(OFFSET('Measure Inputs'!$V$7,,,InputRows),$C236)*$T236*$V236*$U236</f>
        <v>86226.243299999987</v>
      </c>
      <c r="Y236" s="96">
        <f ca="1">INDEX(OFFSET('Measure Inputs'!$W$7,,,InputRows),$C236)*$T236*$V236*$U236</f>
        <v>22.862700000000004</v>
      </c>
      <c r="Z236" s="96">
        <f ca="1">INDEX(OFFSET('Measure Inputs'!$X$7,,,InputRows),$C236)*$T236*$V236*$U236</f>
        <v>0</v>
      </c>
      <c r="AA236" s="55"/>
      <c r="AB236" s="96">
        <f ca="1">INDEX(OFFSET('Measure Inputs'!$Z$7,,,InputRows),$C236)*$T236*$V236*$U236</f>
        <v>0</v>
      </c>
      <c r="AC236" s="96">
        <f ca="1">INDEX(OFFSET('Measure Inputs'!$AA$7,,,InputRows),$C236)*$T236*$V236*$U236</f>
        <v>0</v>
      </c>
      <c r="AD236" s="96">
        <f ca="1">INDEX(OFFSET('Measure Inputs'!$AB$7,,,InputRows),$C236)*$T236*$V236*$U236</f>
        <v>0</v>
      </c>
      <c r="AE236" s="55"/>
      <c r="AF236" s="57">
        <f ca="1">INDEX(OFFSET('Measure Inputs'!$Q$7,,,InputRows),$C236)*$T236</f>
        <v>0</v>
      </c>
      <c r="AG236" s="57">
        <f ca="1">INDEX(OFFSET('Measure Inputs'!$P$7,,,InputRows),$C236)*$T236*$V236</f>
        <v>5625</v>
      </c>
      <c r="AH236" s="57">
        <f ca="1">INDEX(OFFSET('Measure Inputs'!$R$7,,,InputRows),$C236)*$T236*$V236</f>
        <v>0</v>
      </c>
      <c r="AI236" s="57">
        <f ca="1">INDEX(OFFSET('Measure Inputs'!$O$7,,,InputRows),$C236)*$T236</f>
        <v>3825</v>
      </c>
      <c r="AJ236" s="57">
        <f ca="1">INDEX(OFFSET('Measure Inputs'!$S$7,,,InputRows),$C236)*$T236</f>
        <v>0</v>
      </c>
      <c r="AK236" s="63">
        <f ca="1">INDEX(OFFSET('Measure Inputs'!$M$7,,,InputRows),$C236)</f>
        <v>15</v>
      </c>
      <c r="AL236" s="88">
        <f ca="1">INDEX(OFFSET('Measure Inputs'!$N$7,,,InputRows),$C236)</f>
        <v>0</v>
      </c>
      <c r="AM236" s="57">
        <f ca="1">SUMIFS(OFFSET('Program Inputs'!$N$5,,,TotalPrograms),OFFSET('Program Inputs'!$B$5,,,TotalPrograms),SUBSTITUTE($B236,"All","*"))+AF236</f>
        <v>0</v>
      </c>
      <c r="AN236" s="57">
        <f t="shared" ca="1" si="442"/>
        <v>3825</v>
      </c>
      <c r="AO236" s="55"/>
      <c r="AP236" s="59">
        <f t="shared" ca="1" si="443"/>
        <v>24800.296714204669</v>
      </c>
      <c r="AQ236" s="59">
        <f t="shared" ca="1" si="444"/>
        <v>4748.3799287423917</v>
      </c>
      <c r="AR236" s="59">
        <f ca="1">SUMPRODUCT($CA236:$DI236,'General Inputs'!$F$32:$AN$32,'General Inputs'!$F$51:$AN$51)/(1-Loss_ElectricEnergy)</f>
        <v>20828.095758253901</v>
      </c>
      <c r="AS236" s="59">
        <f ca="1">SUMPRODUCT($DK236:$ES236,'General Inputs'!$F$33:$AN$33,'General Inputs'!$F$51:$AN$51)/(1-Loss_ElectricDemand)</f>
        <v>3972.2009559507669</v>
      </c>
      <c r="AT236" s="59">
        <f ca="1">SUMPRODUCT($EU236:$GC236,'General Inputs'!$F$34:$AN$34,'General Inputs'!$F$51:$AN$51)/(1-Loss_GasEnergy)</f>
        <v>0</v>
      </c>
      <c r="AU236" s="59">
        <f ca="1">INDEX('General Inputs'!$F$51:$AN$51,MATCH($H236,'General Inputs'!$F$50:$AN$50,0))*$AJ236</f>
        <v>0</v>
      </c>
      <c r="AV236" s="59">
        <f ca="1">INDEX('General Inputs'!$F$51:$AN$51,MATCH($H236,'General Inputs'!$F$50:$AN$50,0))*$AI236</f>
        <v>3228.8983515448263</v>
      </c>
      <c r="AW236" s="59">
        <f ca="1">INDEX('General Inputs'!$F$51:$AN$51,MATCH($H236,'General Inputs'!$F$50:$AN$50,0))*$AM236</f>
        <v>0</v>
      </c>
      <c r="AX236" s="59">
        <f ca="1">SUM(INDEX('General Inputs'!$F$51:$AN$51,MATCH($H236,'General Inputs'!$F$50:$AN$50,0))*$AG236,INDEX('General Inputs'!$F$51:$AN$51,MATCH($H236+$AL236,'General Inputs'!$F$50:$AN$50,0))*-$AH236)</f>
        <v>4748.3799287423917</v>
      </c>
      <c r="AY236" s="55"/>
      <c r="AZ236" s="59">
        <f ca="1">SUMPRODUCT($CA236:$DI236,'General Inputs'!$F$32:$AN$32,'General Inputs'!$F$52:$AN$52)/(1-Loss_ElectricEnergy)</f>
        <v>20828.095758253901</v>
      </c>
      <c r="BA236" s="59">
        <f ca="1">SUMPRODUCT($DK236:$ES236,'General Inputs'!$F$33:$AN$33,'General Inputs'!$F$52:$AN$52)/(1-Loss_ElectricDemand)</f>
        <v>3972.2009559507669</v>
      </c>
      <c r="BB236" s="59">
        <f ca="1">SUMPRODUCT($EU236:$GC236,'General Inputs'!$F$34:$AN$34,'General Inputs'!$F$52:$AN$52)/(1-Loss_GasEnergy)</f>
        <v>0</v>
      </c>
      <c r="BC236" s="59">
        <f ca="1">INDEX('General Inputs'!$F$52:$AN$52,MATCH($H236,'General Inputs'!$F$50:$AN$50,0))*$AI236</f>
        <v>3228.8983515448263</v>
      </c>
      <c r="BD236" s="59">
        <f ca="1">INDEX('General Inputs'!$F$52:$AN$52,MATCH($H236,'General Inputs'!$F$50:$AN$50,0))*$AM236</f>
        <v>0</v>
      </c>
      <c r="BE236" s="55"/>
      <c r="BF236" s="59">
        <f ca="1">SUMPRODUCT($CA236:$DI236,OFFSET('General Inputs'!$F$40:$AN$40,MATCH($D236&amp;" Electric ($/kWh)",'General Inputs'!$E$40:$E$46,0),),'General Inputs'!$F$54:$AN$54)</f>
        <v>0</v>
      </c>
      <c r="BG236" s="59">
        <f ca="1">SUMPRODUCT($EU236:$GC236,OFFSET('General Inputs'!$F$40:$AN$40,MATCH($D236&amp;" Natural Gas ($/therm)",'General Inputs'!$E$40:$E$46,0),),'General Inputs'!$F$54:$AN$54)</f>
        <v>0</v>
      </c>
      <c r="BH236" s="59">
        <f ca="1">INDEX('General Inputs'!$F$54:$AN$54,MATCH($H236,'General Inputs'!$F$50:$AN$50,0))*$AI236</f>
        <v>3228.8983515448263</v>
      </c>
      <c r="BI236" s="59">
        <f ca="1">SUM(INDEX('General Inputs'!$F$54:$AN$54,MATCH($H236,'General Inputs'!$F$50:$AN$50,0))*$AG236,INDEX('General Inputs'!$F$51:$AN$51,MATCH($H236+$AL236,'General Inputs'!$F$50:$AN$50,0))*-$AH236)</f>
        <v>4748.3799287423917</v>
      </c>
      <c r="BJ236" s="55"/>
      <c r="BK236" s="59">
        <f ca="1">SUMPRODUCT($CA236:$DI236,'General Inputs'!$F$32:$AN$32,'General Inputs'!$F$53:$AN$53)/(1-Loss_ElectricEnergy)</f>
        <v>20828.095758253901</v>
      </c>
      <c r="BL236" s="59">
        <f ca="1">SUMPRODUCT($DK236:$ES236,'General Inputs'!$F$33:$AN$33,'General Inputs'!$F$53:$AN$53)/(1-Loss_ElectricDemand)</f>
        <v>3972.2009559507669</v>
      </c>
      <c r="BM236" s="59">
        <f ca="1">SUMPRODUCT($EU236:$GC236,'General Inputs'!$F$34:$AN$34,'General Inputs'!$F$53:$AN$53)/(1-Loss_GasEnergy)</f>
        <v>0</v>
      </c>
      <c r="BN236" s="59">
        <f ca="1">INDEX('General Inputs'!$F$53:$AN$53,MATCH($H236,'General Inputs'!$F$50:$AN$50,0))*$AJ236</f>
        <v>0</v>
      </c>
      <c r="BO236" s="59">
        <f ca="1">SUMPRODUCT($CA236:$DI236,'General Inputs'!$F$35:$AN$35,'General Inputs'!$F$53:$AN$53)/(1-Loss_ElectricEnergy)</f>
        <v>7711.6649336663286</v>
      </c>
      <c r="BP236" s="59">
        <f ca="1">INDEX('General Inputs'!$F$51:$AN$51,MATCH($H236,'General Inputs'!$F$50:$AN$50,0))*$AM236</f>
        <v>0</v>
      </c>
      <c r="BQ236" s="59">
        <f ca="1">SUM(INDEX('General Inputs'!$F$53:$AN$53,MATCH($H236,'General Inputs'!$F$50:$AN$50,0))*$AG236,INDEX('General Inputs'!$F$53:$AN$53,MATCH($H236+$AL236,'General Inputs'!$F$50:$AN$50,0))*-$AH236)</f>
        <v>4748.3799287423917</v>
      </c>
      <c r="BR236" s="55"/>
      <c r="BS236" s="59">
        <f ca="1">SUMPRODUCT($CA236:$DI236,'General Inputs'!$F$32:$AN$32,'General Inputs'!$F$55:$AN$55)/(1-Loss_ElectricEnergy)</f>
        <v>20828.095758253901</v>
      </c>
      <c r="BT236" s="59">
        <f ca="1">SUMPRODUCT($DK236:$ES236,'General Inputs'!$F$33:$AN$33,'General Inputs'!$F$55:$AN$55)/(1-Loss_ElectricDemand)</f>
        <v>3972.2009559507669</v>
      </c>
      <c r="BU236" s="59">
        <f ca="1">SUMPRODUCT($EU236:$GC236,'General Inputs'!$F$34:$AN$34,'General Inputs'!$F$55:$AN$55)/(1-Loss_GasEnergy)</f>
        <v>0</v>
      </c>
      <c r="BV236" s="59">
        <f ca="1">SUMPRODUCT($CA236:$DI236,OFFSET('General Inputs'!$F$40:$AN$40,MATCH($D236&amp;" Electric ($/kWh)",'General Inputs'!$E$40:$E$46,0),),'General Inputs'!$F$55:$AN$55)</f>
        <v>0</v>
      </c>
      <c r="BW236" s="59">
        <f ca="1">SUMPRODUCT($EU236:$GC236,OFFSET('General Inputs'!$F$40:$AN$40,MATCH($D236&amp;" Natural Gas ($/therm)",'General Inputs'!$E$40:$E$46,0),),'General Inputs'!$F$55:$AN$55)</f>
        <v>0</v>
      </c>
      <c r="BX236" s="59">
        <f ca="1">INDEX('General Inputs'!$F$55:$AN$55,MATCH($H236,'General Inputs'!$F$50:$AN$50,0))*$AI236</f>
        <v>3228.8983515448263</v>
      </c>
      <c r="BY236" s="59">
        <f ca="1">INDEX('General Inputs'!$F$51:$AN$51,MATCH($H236,'General Inputs'!$F$50:$AN$50,0))*$AM236</f>
        <v>0</v>
      </c>
      <c r="BZ236" s="55"/>
      <c r="CA236" s="88">
        <f t="shared" ca="1" si="455"/>
        <v>0</v>
      </c>
      <c r="CB236" s="88">
        <f t="shared" ca="1" si="455"/>
        <v>0</v>
      </c>
      <c r="CC236" s="88">
        <f t="shared" ca="1" si="455"/>
        <v>86226.243299999987</v>
      </c>
      <c r="CD236" s="88">
        <f t="shared" ca="1" si="455"/>
        <v>86226.243299999987</v>
      </c>
      <c r="CE236" s="88">
        <f t="shared" ca="1" si="455"/>
        <v>86226.243299999987</v>
      </c>
      <c r="CF236" s="88">
        <f t="shared" ca="1" si="455"/>
        <v>86226.243299999987</v>
      </c>
      <c r="CG236" s="88">
        <f t="shared" ca="1" si="455"/>
        <v>86226.243299999987</v>
      </c>
      <c r="CH236" s="88">
        <f t="shared" ca="1" si="455"/>
        <v>86226.243299999987</v>
      </c>
      <c r="CI236" s="88">
        <f t="shared" ca="1" si="455"/>
        <v>86226.243299999987</v>
      </c>
      <c r="CJ236" s="88">
        <f t="shared" ca="1" si="455"/>
        <v>86226.243299999987</v>
      </c>
      <c r="CK236" s="88">
        <f t="shared" ca="1" si="456"/>
        <v>86226.243299999987</v>
      </c>
      <c r="CL236" s="88">
        <f t="shared" ca="1" si="456"/>
        <v>86226.243299999987</v>
      </c>
      <c r="CM236" s="88">
        <f t="shared" ca="1" si="456"/>
        <v>86226.243299999987</v>
      </c>
      <c r="CN236" s="88">
        <f t="shared" ca="1" si="456"/>
        <v>86226.243299999987</v>
      </c>
      <c r="CO236" s="88">
        <f t="shared" ca="1" si="456"/>
        <v>86226.243299999987</v>
      </c>
      <c r="CP236" s="88">
        <f t="shared" ca="1" si="456"/>
        <v>86226.243299999987</v>
      </c>
      <c r="CQ236" s="88">
        <f t="shared" ca="1" si="456"/>
        <v>86226.243299999987</v>
      </c>
      <c r="CR236" s="88">
        <f t="shared" ca="1" si="456"/>
        <v>0</v>
      </c>
      <c r="CS236" s="88">
        <f t="shared" ca="1" si="456"/>
        <v>0</v>
      </c>
      <c r="CT236" s="88">
        <f t="shared" ca="1" si="456"/>
        <v>0</v>
      </c>
      <c r="CU236" s="88">
        <f t="shared" ca="1" si="457"/>
        <v>0</v>
      </c>
      <c r="CV236" s="88">
        <f t="shared" ca="1" si="457"/>
        <v>0</v>
      </c>
      <c r="CW236" s="88">
        <f t="shared" ca="1" si="457"/>
        <v>0</v>
      </c>
      <c r="CX236" s="88">
        <f t="shared" ca="1" si="457"/>
        <v>0</v>
      </c>
      <c r="CY236" s="88">
        <f t="shared" ca="1" si="457"/>
        <v>0</v>
      </c>
      <c r="CZ236" s="88">
        <f t="shared" ca="1" si="457"/>
        <v>0</v>
      </c>
      <c r="DA236" s="88">
        <f t="shared" ca="1" si="457"/>
        <v>0</v>
      </c>
      <c r="DB236" s="88">
        <f t="shared" ca="1" si="457"/>
        <v>0</v>
      </c>
      <c r="DC236" s="88">
        <f t="shared" ca="1" si="457"/>
        <v>0</v>
      </c>
      <c r="DD236" s="88">
        <f t="shared" ca="1" si="457"/>
        <v>0</v>
      </c>
      <c r="DE236" s="88">
        <f t="shared" ca="1" si="457"/>
        <v>0</v>
      </c>
      <c r="DF236" s="88">
        <f t="shared" ca="1" si="457"/>
        <v>0</v>
      </c>
      <c r="DG236" s="88">
        <f t="shared" ca="1" si="457"/>
        <v>0</v>
      </c>
      <c r="DH236" s="88">
        <f t="shared" ca="1" si="457"/>
        <v>0</v>
      </c>
      <c r="DI236" s="88">
        <f t="shared" ca="1" si="457"/>
        <v>0</v>
      </c>
      <c r="DJ236" s="169"/>
      <c r="DK236" s="88">
        <f t="shared" ca="1" si="458"/>
        <v>0</v>
      </c>
      <c r="DL236" s="88">
        <f t="shared" ca="1" si="458"/>
        <v>0</v>
      </c>
      <c r="DM236" s="88">
        <f t="shared" ca="1" si="458"/>
        <v>22.862700000000004</v>
      </c>
      <c r="DN236" s="88">
        <f t="shared" ca="1" si="458"/>
        <v>22.862700000000004</v>
      </c>
      <c r="DO236" s="88">
        <f t="shared" ca="1" si="458"/>
        <v>22.862700000000004</v>
      </c>
      <c r="DP236" s="88">
        <f t="shared" ca="1" si="458"/>
        <v>22.862700000000004</v>
      </c>
      <c r="DQ236" s="88">
        <f t="shared" ca="1" si="458"/>
        <v>22.862700000000004</v>
      </c>
      <c r="DR236" s="88">
        <f t="shared" ca="1" si="458"/>
        <v>22.862700000000004</v>
      </c>
      <c r="DS236" s="88">
        <f t="shared" ca="1" si="458"/>
        <v>22.862700000000004</v>
      </c>
      <c r="DT236" s="88">
        <f t="shared" ca="1" si="458"/>
        <v>22.862700000000004</v>
      </c>
      <c r="DU236" s="88">
        <f t="shared" ca="1" si="459"/>
        <v>22.862700000000004</v>
      </c>
      <c r="DV236" s="88">
        <f t="shared" ca="1" si="459"/>
        <v>22.862700000000004</v>
      </c>
      <c r="DW236" s="88">
        <f t="shared" ca="1" si="459"/>
        <v>22.862700000000004</v>
      </c>
      <c r="DX236" s="88">
        <f t="shared" ca="1" si="459"/>
        <v>22.862700000000004</v>
      </c>
      <c r="DY236" s="88">
        <f t="shared" ca="1" si="459"/>
        <v>22.862700000000004</v>
      </c>
      <c r="DZ236" s="88">
        <f t="shared" ca="1" si="459"/>
        <v>22.862700000000004</v>
      </c>
      <c r="EA236" s="88">
        <f t="shared" ca="1" si="459"/>
        <v>22.862700000000004</v>
      </c>
      <c r="EB236" s="88">
        <f t="shared" ca="1" si="459"/>
        <v>0</v>
      </c>
      <c r="EC236" s="88">
        <f t="shared" ca="1" si="459"/>
        <v>0</v>
      </c>
      <c r="ED236" s="88">
        <f t="shared" ca="1" si="459"/>
        <v>0</v>
      </c>
      <c r="EE236" s="88">
        <f t="shared" ca="1" si="460"/>
        <v>0</v>
      </c>
      <c r="EF236" s="88">
        <f t="shared" ca="1" si="460"/>
        <v>0</v>
      </c>
      <c r="EG236" s="88">
        <f t="shared" ca="1" si="460"/>
        <v>0</v>
      </c>
      <c r="EH236" s="88">
        <f t="shared" ca="1" si="460"/>
        <v>0</v>
      </c>
      <c r="EI236" s="88">
        <f t="shared" ca="1" si="460"/>
        <v>0</v>
      </c>
      <c r="EJ236" s="88">
        <f t="shared" ca="1" si="460"/>
        <v>0</v>
      </c>
      <c r="EK236" s="88">
        <f t="shared" ca="1" si="460"/>
        <v>0</v>
      </c>
      <c r="EL236" s="88">
        <f t="shared" ca="1" si="460"/>
        <v>0</v>
      </c>
      <c r="EM236" s="88">
        <f t="shared" ca="1" si="460"/>
        <v>0</v>
      </c>
      <c r="EN236" s="88">
        <f t="shared" ca="1" si="460"/>
        <v>0</v>
      </c>
      <c r="EO236" s="88">
        <f t="shared" ca="1" si="460"/>
        <v>0</v>
      </c>
      <c r="EP236" s="88">
        <f t="shared" ca="1" si="460"/>
        <v>0</v>
      </c>
      <c r="EQ236" s="88">
        <f t="shared" ca="1" si="460"/>
        <v>0</v>
      </c>
      <c r="ER236" s="88">
        <f t="shared" ca="1" si="460"/>
        <v>0</v>
      </c>
      <c r="ES236" s="88">
        <f t="shared" ca="1" si="460"/>
        <v>0</v>
      </c>
      <c r="ET236" s="169"/>
      <c r="EU236" s="88">
        <f t="shared" ca="1" si="461"/>
        <v>0</v>
      </c>
      <c r="EV236" s="88">
        <f t="shared" ca="1" si="461"/>
        <v>0</v>
      </c>
      <c r="EW236" s="88">
        <f t="shared" ca="1" si="461"/>
        <v>0</v>
      </c>
      <c r="EX236" s="88">
        <f t="shared" ca="1" si="461"/>
        <v>0</v>
      </c>
      <c r="EY236" s="88">
        <f t="shared" ca="1" si="461"/>
        <v>0</v>
      </c>
      <c r="EZ236" s="88">
        <f t="shared" ca="1" si="461"/>
        <v>0</v>
      </c>
      <c r="FA236" s="88">
        <f t="shared" ca="1" si="461"/>
        <v>0</v>
      </c>
      <c r="FB236" s="88">
        <f t="shared" ca="1" si="461"/>
        <v>0</v>
      </c>
      <c r="FC236" s="88">
        <f t="shared" ca="1" si="461"/>
        <v>0</v>
      </c>
      <c r="FD236" s="88">
        <f t="shared" ca="1" si="461"/>
        <v>0</v>
      </c>
      <c r="FE236" s="88">
        <f t="shared" ca="1" si="462"/>
        <v>0</v>
      </c>
      <c r="FF236" s="88">
        <f t="shared" ca="1" si="462"/>
        <v>0</v>
      </c>
      <c r="FG236" s="88">
        <f t="shared" ca="1" si="462"/>
        <v>0</v>
      </c>
      <c r="FH236" s="88">
        <f t="shared" ca="1" si="462"/>
        <v>0</v>
      </c>
      <c r="FI236" s="88">
        <f t="shared" ca="1" si="462"/>
        <v>0</v>
      </c>
      <c r="FJ236" s="88">
        <f t="shared" ca="1" si="462"/>
        <v>0</v>
      </c>
      <c r="FK236" s="88">
        <f t="shared" ca="1" si="462"/>
        <v>0</v>
      </c>
      <c r="FL236" s="88">
        <f t="shared" ca="1" si="462"/>
        <v>0</v>
      </c>
      <c r="FM236" s="88">
        <f t="shared" ca="1" si="462"/>
        <v>0</v>
      </c>
      <c r="FN236" s="88">
        <f t="shared" ca="1" si="462"/>
        <v>0</v>
      </c>
      <c r="FO236" s="88">
        <f t="shared" ca="1" si="463"/>
        <v>0</v>
      </c>
      <c r="FP236" s="88">
        <f t="shared" ca="1" si="463"/>
        <v>0</v>
      </c>
      <c r="FQ236" s="88">
        <f t="shared" ca="1" si="463"/>
        <v>0</v>
      </c>
      <c r="FR236" s="88">
        <f t="shared" ca="1" si="463"/>
        <v>0</v>
      </c>
      <c r="FS236" s="88">
        <f t="shared" ca="1" si="463"/>
        <v>0</v>
      </c>
      <c r="FT236" s="88">
        <f t="shared" ca="1" si="463"/>
        <v>0</v>
      </c>
      <c r="FU236" s="88">
        <f t="shared" ca="1" si="463"/>
        <v>0</v>
      </c>
      <c r="FV236" s="88">
        <f t="shared" ca="1" si="463"/>
        <v>0</v>
      </c>
      <c r="FW236" s="88">
        <f t="shared" ca="1" si="463"/>
        <v>0</v>
      </c>
      <c r="FX236" s="88">
        <f t="shared" ca="1" si="463"/>
        <v>0</v>
      </c>
      <c r="FY236" s="88">
        <f t="shared" ca="1" si="463"/>
        <v>0</v>
      </c>
      <c r="FZ236" s="88">
        <f t="shared" ca="1" si="463"/>
        <v>0</v>
      </c>
      <c r="GA236" s="88">
        <f t="shared" ca="1" si="463"/>
        <v>0</v>
      </c>
      <c r="GB236" s="88">
        <f t="shared" ca="1" si="463"/>
        <v>0</v>
      </c>
      <c r="GC236" s="88">
        <f t="shared" ca="1" si="463"/>
        <v>0</v>
      </c>
      <c r="GD236" s="60"/>
    </row>
    <row r="237" spans="1:186" s="54" customFormat="1" ht="14.45" customHeight="1">
      <c r="A237" s="61"/>
      <c r="B237" s="100" t="str">
        <f t="shared" si="418"/>
        <v>C&amp;I_C&amp;I Prescriptive_0_High Bay Fluorescent Fixture w/ HE Electronic Ballast (T5 10-lamp)_2019</v>
      </c>
      <c r="C237" s="100">
        <f>INDEX('Measure Inputs'!$D:$D,MATCH($B237,'Measure Inputs'!$B:$B,0))</f>
        <v>189</v>
      </c>
      <c r="D237" s="101" t="s">
        <v>256</v>
      </c>
      <c r="E237" s="101" t="s">
        <v>255</v>
      </c>
      <c r="F237" s="101">
        <v>0</v>
      </c>
      <c r="G237" s="101" t="s">
        <v>274</v>
      </c>
      <c r="H237" s="101">
        <v>2019</v>
      </c>
      <c r="I237" s="55"/>
      <c r="J237" s="58">
        <f t="shared" ca="1" si="229"/>
        <v>5.6399078251245562</v>
      </c>
      <c r="K237" s="58">
        <f t="shared" ca="1" si="246"/>
        <v>8.9051176186177212</v>
      </c>
      <c r="L237" s="58">
        <f t="shared" ca="1" si="230"/>
        <v>0.6333333333333333</v>
      </c>
      <c r="M237" s="58">
        <f t="shared" ca="1" si="231"/>
        <v>7.3936400447561139</v>
      </c>
      <c r="N237" s="58">
        <f t="shared" ca="1" si="232"/>
        <v>8.9051176186177212</v>
      </c>
      <c r="O237" s="55"/>
      <c r="P237" s="175">
        <f ca="1">IFERROR(($AW237+AV237)/SUMPRODUCT($CA237:$DI237,'General Inputs'!$F$51:$AN$51),"n/a")</f>
        <v>4.3199728362654944E-3</v>
      </c>
      <c r="Q237" s="175">
        <f t="shared" ca="1" si="454"/>
        <v>3.8260867954233481E-2</v>
      </c>
      <c r="R237" s="56">
        <f t="shared" ca="1" si="441"/>
        <v>1675.9943887500001</v>
      </c>
      <c r="S237" s="55"/>
      <c r="T237" s="56">
        <f ca="1">INDEX(OFFSET('Measure Inputs'!$L$7,,,InputRows),$C237)</f>
        <v>45</v>
      </c>
      <c r="U237" s="134">
        <f ca="1">INDEX(OFFSET('Measure Inputs'!$T$7,,,InputRows),$C237)</f>
        <v>1</v>
      </c>
      <c r="V237" s="134">
        <f ca="1">INDEX(OFFSET('Measure Inputs'!$U$7,,,InputRows),$C237)</f>
        <v>1</v>
      </c>
      <c r="W237" s="55"/>
      <c r="X237" s="96">
        <f ca="1">INDEX(OFFSET('Measure Inputs'!$V$7,,,InputRows),$C237)*$T237*$V237*$U237</f>
        <v>111732.95924999999</v>
      </c>
      <c r="Y237" s="96">
        <f ca="1">INDEX(OFFSET('Measure Inputs'!$W$7,,,InputRows),$C237)*$T237*$V237*$U237</f>
        <v>29.62575</v>
      </c>
      <c r="Z237" s="96">
        <f ca="1">INDEX(OFFSET('Measure Inputs'!$X$7,,,InputRows),$C237)*$T237*$V237*$U237</f>
        <v>0</v>
      </c>
      <c r="AA237" s="55"/>
      <c r="AB237" s="96">
        <f ca="1">INDEX(OFFSET('Measure Inputs'!$Z$7,,,InputRows),$C237)*$T237*$V237*$U237</f>
        <v>0</v>
      </c>
      <c r="AC237" s="96">
        <f ca="1">INDEX(OFFSET('Measure Inputs'!$AA$7,,,InputRows),$C237)*$T237*$V237*$U237</f>
        <v>0</v>
      </c>
      <c r="AD237" s="96">
        <f ca="1">INDEX(OFFSET('Measure Inputs'!$AB$7,,,InputRows),$C237)*$T237*$V237*$U237</f>
        <v>0</v>
      </c>
      <c r="AE237" s="55"/>
      <c r="AF237" s="57">
        <f ca="1">INDEX(OFFSET('Measure Inputs'!$Q$7,,,InputRows),$C237)*$T237</f>
        <v>0</v>
      </c>
      <c r="AG237" s="57">
        <f ca="1">INDEX(OFFSET('Measure Inputs'!$P$7,,,InputRows),$C237)*$T237*$V237</f>
        <v>6750</v>
      </c>
      <c r="AH237" s="57">
        <f ca="1">INDEX(OFFSET('Measure Inputs'!$R$7,,,InputRows),$C237)*$T237*$V237</f>
        <v>0</v>
      </c>
      <c r="AI237" s="57">
        <f ca="1">INDEX(OFFSET('Measure Inputs'!$O$7,,,InputRows),$C237)*$T237</f>
        <v>4275</v>
      </c>
      <c r="AJ237" s="57">
        <f ca="1">INDEX(OFFSET('Measure Inputs'!$S$7,,,InputRows),$C237)*$T237</f>
        <v>0</v>
      </c>
      <c r="AK237" s="63">
        <f ca="1">INDEX(OFFSET('Measure Inputs'!$M$7,,,InputRows),$C237)</f>
        <v>15</v>
      </c>
      <c r="AL237" s="88">
        <f ca="1">INDEX(OFFSET('Measure Inputs'!$N$7,,,InputRows),$C237)</f>
        <v>0</v>
      </c>
      <c r="AM237" s="57">
        <f ca="1">SUMIFS(OFFSET('Program Inputs'!$N$5,,,TotalPrograms),OFFSET('Program Inputs'!$B$5,,,TotalPrograms),SUBSTITUTE($B237,"All","*"))+AF237</f>
        <v>0</v>
      </c>
      <c r="AN237" s="57">
        <f t="shared" ca="1" si="442"/>
        <v>4275</v>
      </c>
      <c r="AO237" s="55"/>
      <c r="AP237" s="59">
        <f t="shared" ca="1" si="443"/>
        <v>32136.51014013432</v>
      </c>
      <c r="AQ237" s="59">
        <f t="shared" ca="1" si="444"/>
        <v>5698.0559144908702</v>
      </c>
      <c r="AR237" s="59">
        <f ca="1">SUMPRODUCT($CA237:$DI237,'General Inputs'!$F$32:$AN$32,'General Inputs'!$F$51:$AN$51)/(1-Loss_ElectricEnergy)</f>
        <v>26989.286388313303</v>
      </c>
      <c r="AS237" s="59">
        <f ca="1">SUMPRODUCT($DK237:$ES237,'General Inputs'!$F$33:$AN$33,'General Inputs'!$F$51:$AN$51)/(1-Loss_ElectricDemand)</f>
        <v>5147.2237518210177</v>
      </c>
      <c r="AT237" s="59">
        <f ca="1">SUMPRODUCT($EU237:$GC237,'General Inputs'!$F$34:$AN$34,'General Inputs'!$F$51:$AN$51)/(1-Loss_GasEnergy)</f>
        <v>0</v>
      </c>
      <c r="AU237" s="59">
        <f ca="1">INDEX('General Inputs'!$F$51:$AN$51,MATCH($H237,'General Inputs'!$F$50:$AN$50,0))*$AJ237</f>
        <v>0</v>
      </c>
      <c r="AV237" s="59">
        <f ca="1">INDEX('General Inputs'!$F$51:$AN$51,MATCH($H237,'General Inputs'!$F$50:$AN$50,0))*$AI237</f>
        <v>3608.7687458442178</v>
      </c>
      <c r="AW237" s="59">
        <f ca="1">INDEX('General Inputs'!$F$51:$AN$51,MATCH($H237,'General Inputs'!$F$50:$AN$50,0))*$AM237</f>
        <v>0</v>
      </c>
      <c r="AX237" s="59">
        <f ca="1">SUM(INDEX('General Inputs'!$F$51:$AN$51,MATCH($H237,'General Inputs'!$F$50:$AN$50,0))*$AG237,INDEX('General Inputs'!$F$51:$AN$51,MATCH($H237+$AL237,'General Inputs'!$F$50:$AN$50,0))*-$AH237)</f>
        <v>5698.0559144908702</v>
      </c>
      <c r="AY237" s="55"/>
      <c r="AZ237" s="59">
        <f ca="1">SUMPRODUCT($CA237:$DI237,'General Inputs'!$F$32:$AN$32,'General Inputs'!$F$52:$AN$52)/(1-Loss_ElectricEnergy)</f>
        <v>26989.286388313303</v>
      </c>
      <c r="BA237" s="59">
        <f ca="1">SUMPRODUCT($DK237:$ES237,'General Inputs'!$F$33:$AN$33,'General Inputs'!$F$52:$AN$52)/(1-Loss_ElectricDemand)</f>
        <v>5147.2237518210177</v>
      </c>
      <c r="BB237" s="59">
        <f ca="1">SUMPRODUCT($EU237:$GC237,'General Inputs'!$F$34:$AN$34,'General Inputs'!$F$52:$AN$52)/(1-Loss_GasEnergy)</f>
        <v>0</v>
      </c>
      <c r="BC237" s="59">
        <f ca="1">INDEX('General Inputs'!$F$52:$AN$52,MATCH($H237,'General Inputs'!$F$50:$AN$50,0))*$AI237</f>
        <v>3608.7687458442178</v>
      </c>
      <c r="BD237" s="59">
        <f ca="1">INDEX('General Inputs'!$F$52:$AN$52,MATCH($H237,'General Inputs'!$F$50:$AN$50,0))*$AM237</f>
        <v>0</v>
      </c>
      <c r="BE237" s="55"/>
      <c r="BF237" s="59">
        <f ca="1">SUMPRODUCT($CA237:$DI237,OFFSET('General Inputs'!$F$40:$AN$40,MATCH($D237&amp;" Electric ($/kWh)",'General Inputs'!$E$40:$E$46,0),),'General Inputs'!$F$54:$AN$54)</f>
        <v>0</v>
      </c>
      <c r="BG237" s="59">
        <f ca="1">SUMPRODUCT($EU237:$GC237,OFFSET('General Inputs'!$F$40:$AN$40,MATCH($D237&amp;" Natural Gas ($/therm)",'General Inputs'!$E$40:$E$46,0),),'General Inputs'!$F$54:$AN$54)</f>
        <v>0</v>
      </c>
      <c r="BH237" s="59">
        <f ca="1">INDEX('General Inputs'!$F$54:$AN$54,MATCH($H237,'General Inputs'!$F$50:$AN$50,0))*$AI237</f>
        <v>3608.7687458442178</v>
      </c>
      <c r="BI237" s="59">
        <f ca="1">SUM(INDEX('General Inputs'!$F$54:$AN$54,MATCH($H237,'General Inputs'!$F$50:$AN$50,0))*$AG237,INDEX('General Inputs'!$F$51:$AN$51,MATCH($H237+$AL237,'General Inputs'!$F$50:$AN$50,0))*-$AH237)</f>
        <v>5698.0559144908702</v>
      </c>
      <c r="BJ237" s="55"/>
      <c r="BK237" s="59">
        <f ca="1">SUMPRODUCT($CA237:$DI237,'General Inputs'!$F$32:$AN$32,'General Inputs'!$F$53:$AN$53)/(1-Loss_ElectricEnergy)</f>
        <v>26989.286388313303</v>
      </c>
      <c r="BL237" s="59">
        <f ca="1">SUMPRODUCT($DK237:$ES237,'General Inputs'!$F$33:$AN$33,'General Inputs'!$F$53:$AN$53)/(1-Loss_ElectricDemand)</f>
        <v>5147.2237518210177</v>
      </c>
      <c r="BM237" s="59">
        <f ca="1">SUMPRODUCT($EU237:$GC237,'General Inputs'!$F$34:$AN$34,'General Inputs'!$F$53:$AN$53)/(1-Loss_GasEnergy)</f>
        <v>0</v>
      </c>
      <c r="BN237" s="59">
        <f ca="1">INDEX('General Inputs'!$F$53:$AN$53,MATCH($H237,'General Inputs'!$F$50:$AN$50,0))*$AJ237</f>
        <v>0</v>
      </c>
      <c r="BO237" s="59">
        <f ca="1">SUMPRODUCT($CA237:$DI237,'General Inputs'!$F$35:$AN$35,'General Inputs'!$F$53:$AN$53)/(1-Loss_ElectricEnergy)</f>
        <v>9992.8642465047978</v>
      </c>
      <c r="BP237" s="59">
        <f ca="1">INDEX('General Inputs'!$F$51:$AN$51,MATCH($H237,'General Inputs'!$F$50:$AN$50,0))*$AM237</f>
        <v>0</v>
      </c>
      <c r="BQ237" s="59">
        <f ca="1">SUM(INDEX('General Inputs'!$F$53:$AN$53,MATCH($H237,'General Inputs'!$F$50:$AN$50,0))*$AG237,INDEX('General Inputs'!$F$53:$AN$53,MATCH($H237+$AL237,'General Inputs'!$F$50:$AN$50,0))*-$AH237)</f>
        <v>5698.0559144908702</v>
      </c>
      <c r="BR237" s="55"/>
      <c r="BS237" s="59">
        <f ca="1">SUMPRODUCT($CA237:$DI237,'General Inputs'!$F$32:$AN$32,'General Inputs'!$F$55:$AN$55)/(1-Loss_ElectricEnergy)</f>
        <v>26989.286388313303</v>
      </c>
      <c r="BT237" s="59">
        <f ca="1">SUMPRODUCT($DK237:$ES237,'General Inputs'!$F$33:$AN$33,'General Inputs'!$F$55:$AN$55)/(1-Loss_ElectricDemand)</f>
        <v>5147.2237518210177</v>
      </c>
      <c r="BU237" s="59">
        <f ca="1">SUMPRODUCT($EU237:$GC237,'General Inputs'!$F$34:$AN$34,'General Inputs'!$F$55:$AN$55)/(1-Loss_GasEnergy)</f>
        <v>0</v>
      </c>
      <c r="BV237" s="59">
        <f ca="1">SUMPRODUCT($CA237:$DI237,OFFSET('General Inputs'!$F$40:$AN$40,MATCH($D237&amp;" Electric ($/kWh)",'General Inputs'!$E$40:$E$46,0),),'General Inputs'!$F$55:$AN$55)</f>
        <v>0</v>
      </c>
      <c r="BW237" s="59">
        <f ca="1">SUMPRODUCT($EU237:$GC237,OFFSET('General Inputs'!$F$40:$AN$40,MATCH($D237&amp;" Natural Gas ($/therm)",'General Inputs'!$E$40:$E$46,0),),'General Inputs'!$F$55:$AN$55)</f>
        <v>0</v>
      </c>
      <c r="BX237" s="59">
        <f ca="1">INDEX('General Inputs'!$F$55:$AN$55,MATCH($H237,'General Inputs'!$F$50:$AN$50,0))*$AI237</f>
        <v>3608.7687458442178</v>
      </c>
      <c r="BY237" s="59">
        <f ca="1">INDEX('General Inputs'!$F$51:$AN$51,MATCH($H237,'General Inputs'!$F$50:$AN$50,0))*$AM237</f>
        <v>0</v>
      </c>
      <c r="BZ237" s="55"/>
      <c r="CA237" s="88">
        <f t="shared" ref="CA237:CJ246" ca="1" si="464">IF(AND($H237&lt;=CA$8,$H237+$AK237&gt;CA$8),IF(AND($H237+$AL237&lt;=CA$8,$AL237&gt;0),$AB237,$X237),0)</f>
        <v>0</v>
      </c>
      <c r="CB237" s="88">
        <f t="shared" ca="1" si="464"/>
        <v>0</v>
      </c>
      <c r="CC237" s="88">
        <f t="shared" ca="1" si="464"/>
        <v>111732.95924999999</v>
      </c>
      <c r="CD237" s="88">
        <f t="shared" ca="1" si="464"/>
        <v>111732.95924999999</v>
      </c>
      <c r="CE237" s="88">
        <f t="shared" ca="1" si="464"/>
        <v>111732.95924999999</v>
      </c>
      <c r="CF237" s="88">
        <f t="shared" ca="1" si="464"/>
        <v>111732.95924999999</v>
      </c>
      <c r="CG237" s="88">
        <f t="shared" ca="1" si="464"/>
        <v>111732.95924999999</v>
      </c>
      <c r="CH237" s="88">
        <f t="shared" ca="1" si="464"/>
        <v>111732.95924999999</v>
      </c>
      <c r="CI237" s="88">
        <f t="shared" ca="1" si="464"/>
        <v>111732.95924999999</v>
      </c>
      <c r="CJ237" s="88">
        <f t="shared" ca="1" si="464"/>
        <v>111732.95924999999</v>
      </c>
      <c r="CK237" s="88">
        <f t="shared" ref="CK237:CT246" ca="1" si="465">IF(AND($H237&lt;=CK$8,$H237+$AK237&gt;CK$8),IF(AND($H237+$AL237&lt;=CK$8,$AL237&gt;0),$AB237,$X237),0)</f>
        <v>111732.95924999999</v>
      </c>
      <c r="CL237" s="88">
        <f t="shared" ca="1" si="465"/>
        <v>111732.95924999999</v>
      </c>
      <c r="CM237" s="88">
        <f t="shared" ca="1" si="465"/>
        <v>111732.95924999999</v>
      </c>
      <c r="CN237" s="88">
        <f t="shared" ca="1" si="465"/>
        <v>111732.95924999999</v>
      </c>
      <c r="CO237" s="88">
        <f t="shared" ca="1" si="465"/>
        <v>111732.95924999999</v>
      </c>
      <c r="CP237" s="88">
        <f t="shared" ca="1" si="465"/>
        <v>111732.95924999999</v>
      </c>
      <c r="CQ237" s="88">
        <f t="shared" ca="1" si="465"/>
        <v>111732.95924999999</v>
      </c>
      <c r="CR237" s="88">
        <f t="shared" ca="1" si="465"/>
        <v>0</v>
      </c>
      <c r="CS237" s="88">
        <f t="shared" ca="1" si="465"/>
        <v>0</v>
      </c>
      <c r="CT237" s="88">
        <f t="shared" ca="1" si="465"/>
        <v>0</v>
      </c>
      <c r="CU237" s="88">
        <f t="shared" ref="CU237:DI246" ca="1" si="466">IF(AND($H237&lt;=CU$8,$H237+$AK237&gt;CU$8),IF(AND($H237+$AL237&lt;=CU$8,$AL237&gt;0),$AB237,$X237),0)</f>
        <v>0</v>
      </c>
      <c r="CV237" s="88">
        <f t="shared" ca="1" si="466"/>
        <v>0</v>
      </c>
      <c r="CW237" s="88">
        <f t="shared" ca="1" si="466"/>
        <v>0</v>
      </c>
      <c r="CX237" s="88">
        <f t="shared" ca="1" si="466"/>
        <v>0</v>
      </c>
      <c r="CY237" s="88">
        <f t="shared" ca="1" si="466"/>
        <v>0</v>
      </c>
      <c r="CZ237" s="88">
        <f t="shared" ca="1" si="466"/>
        <v>0</v>
      </c>
      <c r="DA237" s="88">
        <f t="shared" ca="1" si="466"/>
        <v>0</v>
      </c>
      <c r="DB237" s="88">
        <f t="shared" ca="1" si="466"/>
        <v>0</v>
      </c>
      <c r="DC237" s="88">
        <f t="shared" ca="1" si="466"/>
        <v>0</v>
      </c>
      <c r="DD237" s="88">
        <f t="shared" ca="1" si="466"/>
        <v>0</v>
      </c>
      <c r="DE237" s="88">
        <f t="shared" ca="1" si="466"/>
        <v>0</v>
      </c>
      <c r="DF237" s="88">
        <f t="shared" ca="1" si="466"/>
        <v>0</v>
      </c>
      <c r="DG237" s="88">
        <f t="shared" ca="1" si="466"/>
        <v>0</v>
      </c>
      <c r="DH237" s="88">
        <f t="shared" ca="1" si="466"/>
        <v>0</v>
      </c>
      <c r="DI237" s="88">
        <f t="shared" ca="1" si="466"/>
        <v>0</v>
      </c>
      <c r="DJ237" s="169"/>
      <c r="DK237" s="88">
        <f t="shared" ref="DK237:DT246" ca="1" si="467">IF(AND($H237&lt;=DK$8,$H237+$AK237&gt;DK$8),IF(AND($H237+$AL237&lt;=DK$8,$AL237&gt;0),$AC237,$Y237),0)</f>
        <v>0</v>
      </c>
      <c r="DL237" s="88">
        <f t="shared" ca="1" si="467"/>
        <v>0</v>
      </c>
      <c r="DM237" s="88">
        <f t="shared" ca="1" si="467"/>
        <v>29.62575</v>
      </c>
      <c r="DN237" s="88">
        <f t="shared" ca="1" si="467"/>
        <v>29.62575</v>
      </c>
      <c r="DO237" s="88">
        <f t="shared" ca="1" si="467"/>
        <v>29.62575</v>
      </c>
      <c r="DP237" s="88">
        <f t="shared" ca="1" si="467"/>
        <v>29.62575</v>
      </c>
      <c r="DQ237" s="88">
        <f t="shared" ca="1" si="467"/>
        <v>29.62575</v>
      </c>
      <c r="DR237" s="88">
        <f t="shared" ca="1" si="467"/>
        <v>29.62575</v>
      </c>
      <c r="DS237" s="88">
        <f t="shared" ca="1" si="467"/>
        <v>29.62575</v>
      </c>
      <c r="DT237" s="88">
        <f t="shared" ca="1" si="467"/>
        <v>29.62575</v>
      </c>
      <c r="DU237" s="88">
        <f t="shared" ref="DU237:ED246" ca="1" si="468">IF(AND($H237&lt;=DU$8,$H237+$AK237&gt;DU$8),IF(AND($H237+$AL237&lt;=DU$8,$AL237&gt;0),$AC237,$Y237),0)</f>
        <v>29.62575</v>
      </c>
      <c r="DV237" s="88">
        <f t="shared" ca="1" si="468"/>
        <v>29.62575</v>
      </c>
      <c r="DW237" s="88">
        <f t="shared" ca="1" si="468"/>
        <v>29.62575</v>
      </c>
      <c r="DX237" s="88">
        <f t="shared" ca="1" si="468"/>
        <v>29.62575</v>
      </c>
      <c r="DY237" s="88">
        <f t="shared" ca="1" si="468"/>
        <v>29.62575</v>
      </c>
      <c r="DZ237" s="88">
        <f t="shared" ca="1" si="468"/>
        <v>29.62575</v>
      </c>
      <c r="EA237" s="88">
        <f t="shared" ca="1" si="468"/>
        <v>29.62575</v>
      </c>
      <c r="EB237" s="88">
        <f t="shared" ca="1" si="468"/>
        <v>0</v>
      </c>
      <c r="EC237" s="88">
        <f t="shared" ca="1" si="468"/>
        <v>0</v>
      </c>
      <c r="ED237" s="88">
        <f t="shared" ca="1" si="468"/>
        <v>0</v>
      </c>
      <c r="EE237" s="88">
        <f t="shared" ref="EE237:ES246" ca="1" si="469">IF(AND($H237&lt;=EE$8,$H237+$AK237&gt;EE$8),IF(AND($H237+$AL237&lt;=EE$8,$AL237&gt;0),$AC237,$Y237),0)</f>
        <v>0</v>
      </c>
      <c r="EF237" s="88">
        <f t="shared" ca="1" si="469"/>
        <v>0</v>
      </c>
      <c r="EG237" s="88">
        <f t="shared" ca="1" si="469"/>
        <v>0</v>
      </c>
      <c r="EH237" s="88">
        <f t="shared" ca="1" si="469"/>
        <v>0</v>
      </c>
      <c r="EI237" s="88">
        <f t="shared" ca="1" si="469"/>
        <v>0</v>
      </c>
      <c r="EJ237" s="88">
        <f t="shared" ca="1" si="469"/>
        <v>0</v>
      </c>
      <c r="EK237" s="88">
        <f t="shared" ca="1" si="469"/>
        <v>0</v>
      </c>
      <c r="EL237" s="88">
        <f t="shared" ca="1" si="469"/>
        <v>0</v>
      </c>
      <c r="EM237" s="88">
        <f t="shared" ca="1" si="469"/>
        <v>0</v>
      </c>
      <c r="EN237" s="88">
        <f t="shared" ca="1" si="469"/>
        <v>0</v>
      </c>
      <c r="EO237" s="88">
        <f t="shared" ca="1" si="469"/>
        <v>0</v>
      </c>
      <c r="EP237" s="88">
        <f t="shared" ca="1" si="469"/>
        <v>0</v>
      </c>
      <c r="EQ237" s="88">
        <f t="shared" ca="1" si="469"/>
        <v>0</v>
      </c>
      <c r="ER237" s="88">
        <f t="shared" ca="1" si="469"/>
        <v>0</v>
      </c>
      <c r="ES237" s="88">
        <f t="shared" ca="1" si="469"/>
        <v>0</v>
      </c>
      <c r="ET237" s="169"/>
      <c r="EU237" s="88">
        <f t="shared" ref="EU237:FD246" ca="1" si="470">IF(AND($H237&lt;=EU$8,$H237+$AK237&gt;EU$8),IF(AND($H237+$AL237&lt;=EU$8,$AL237&gt;0),$AD237,$Z237),0)</f>
        <v>0</v>
      </c>
      <c r="EV237" s="88">
        <f t="shared" ca="1" si="470"/>
        <v>0</v>
      </c>
      <c r="EW237" s="88">
        <f t="shared" ca="1" si="470"/>
        <v>0</v>
      </c>
      <c r="EX237" s="88">
        <f t="shared" ca="1" si="470"/>
        <v>0</v>
      </c>
      <c r="EY237" s="88">
        <f t="shared" ca="1" si="470"/>
        <v>0</v>
      </c>
      <c r="EZ237" s="88">
        <f t="shared" ca="1" si="470"/>
        <v>0</v>
      </c>
      <c r="FA237" s="88">
        <f t="shared" ca="1" si="470"/>
        <v>0</v>
      </c>
      <c r="FB237" s="88">
        <f t="shared" ca="1" si="470"/>
        <v>0</v>
      </c>
      <c r="FC237" s="88">
        <f t="shared" ca="1" si="470"/>
        <v>0</v>
      </c>
      <c r="FD237" s="88">
        <f t="shared" ca="1" si="470"/>
        <v>0</v>
      </c>
      <c r="FE237" s="88">
        <f t="shared" ref="FE237:FN246" ca="1" si="471">IF(AND($H237&lt;=FE$8,$H237+$AK237&gt;FE$8),IF(AND($H237+$AL237&lt;=FE$8,$AL237&gt;0),$AD237,$Z237),0)</f>
        <v>0</v>
      </c>
      <c r="FF237" s="88">
        <f t="shared" ca="1" si="471"/>
        <v>0</v>
      </c>
      <c r="FG237" s="88">
        <f t="shared" ca="1" si="471"/>
        <v>0</v>
      </c>
      <c r="FH237" s="88">
        <f t="shared" ca="1" si="471"/>
        <v>0</v>
      </c>
      <c r="FI237" s="88">
        <f t="shared" ca="1" si="471"/>
        <v>0</v>
      </c>
      <c r="FJ237" s="88">
        <f t="shared" ca="1" si="471"/>
        <v>0</v>
      </c>
      <c r="FK237" s="88">
        <f t="shared" ca="1" si="471"/>
        <v>0</v>
      </c>
      <c r="FL237" s="88">
        <f t="shared" ca="1" si="471"/>
        <v>0</v>
      </c>
      <c r="FM237" s="88">
        <f t="shared" ca="1" si="471"/>
        <v>0</v>
      </c>
      <c r="FN237" s="88">
        <f t="shared" ca="1" si="471"/>
        <v>0</v>
      </c>
      <c r="FO237" s="88">
        <f t="shared" ref="FO237:GC246" ca="1" si="472">IF(AND($H237&lt;=FO$8,$H237+$AK237&gt;FO$8),IF(AND($H237+$AL237&lt;=FO$8,$AL237&gt;0),$AD237,$Z237),0)</f>
        <v>0</v>
      </c>
      <c r="FP237" s="88">
        <f t="shared" ca="1" si="472"/>
        <v>0</v>
      </c>
      <c r="FQ237" s="88">
        <f t="shared" ca="1" si="472"/>
        <v>0</v>
      </c>
      <c r="FR237" s="88">
        <f t="shared" ca="1" si="472"/>
        <v>0</v>
      </c>
      <c r="FS237" s="88">
        <f t="shared" ca="1" si="472"/>
        <v>0</v>
      </c>
      <c r="FT237" s="88">
        <f t="shared" ca="1" si="472"/>
        <v>0</v>
      </c>
      <c r="FU237" s="88">
        <f t="shared" ca="1" si="472"/>
        <v>0</v>
      </c>
      <c r="FV237" s="88">
        <f t="shared" ca="1" si="472"/>
        <v>0</v>
      </c>
      <c r="FW237" s="88">
        <f t="shared" ca="1" si="472"/>
        <v>0</v>
      </c>
      <c r="FX237" s="88">
        <f t="shared" ca="1" si="472"/>
        <v>0</v>
      </c>
      <c r="FY237" s="88">
        <f t="shared" ca="1" si="472"/>
        <v>0</v>
      </c>
      <c r="FZ237" s="88">
        <f t="shared" ca="1" si="472"/>
        <v>0</v>
      </c>
      <c r="GA237" s="88">
        <f t="shared" ca="1" si="472"/>
        <v>0</v>
      </c>
      <c r="GB237" s="88">
        <f t="shared" ca="1" si="472"/>
        <v>0</v>
      </c>
      <c r="GC237" s="88">
        <f t="shared" ca="1" si="472"/>
        <v>0</v>
      </c>
      <c r="GD237" s="60"/>
    </row>
    <row r="238" spans="1:186" s="54" customFormat="1" ht="14.45" customHeight="1">
      <c r="A238" s="61"/>
      <c r="B238" s="100" t="str">
        <f t="shared" si="418"/>
        <v>C&amp;I_C&amp;I Prescriptive_0_High Bay Fluorescent Fixture w/ HE Electronic Ballast (T8 4 lamp)_2019</v>
      </c>
      <c r="C238" s="100">
        <f>INDEX('Measure Inputs'!$D:$D,MATCH($B238,'Measure Inputs'!$B:$B,0))</f>
        <v>190</v>
      </c>
      <c r="D238" s="101" t="s">
        <v>256</v>
      </c>
      <c r="E238" s="101" t="s">
        <v>255</v>
      </c>
      <c r="F238" s="101">
        <v>0</v>
      </c>
      <c r="G238" s="101" t="s">
        <v>354</v>
      </c>
      <c r="H238" s="101">
        <v>2019</v>
      </c>
      <c r="I238" s="55"/>
      <c r="J238" s="58">
        <f t="shared" ca="1" si="229"/>
        <v>0.83197185735473778</v>
      </c>
      <c r="K238" s="58">
        <f t="shared" ca="1" si="246"/>
        <v>3.0253522085626825</v>
      </c>
      <c r="L238" s="58">
        <f t="shared" ca="1" si="230"/>
        <v>0.27500000000000002</v>
      </c>
      <c r="M238" s="58">
        <f t="shared" ca="1" si="231"/>
        <v>1.0906739314506899</v>
      </c>
      <c r="N238" s="58">
        <f t="shared" ca="1" si="232"/>
        <v>3.0253522085626825</v>
      </c>
      <c r="O238" s="55"/>
      <c r="P238" s="175">
        <f ca="1">IFERROR(($AW238+AV238)/SUMPRODUCT($CA238:$DI238,'General Inputs'!$F$51:$AN$51),"n/a")</f>
        <v>1.271583060884488E-2</v>
      </c>
      <c r="Q238" s="175">
        <f t="shared" ca="1" si="454"/>
        <v>0.11262078126259636</v>
      </c>
      <c r="R238" s="56">
        <f t="shared" ca="1" si="441"/>
        <v>586.03749023999978</v>
      </c>
      <c r="S238" s="55"/>
      <c r="T238" s="56">
        <f ca="1">INDEX(OFFSET('Measure Inputs'!$L$7,,,InputRows),$C238)</f>
        <v>80</v>
      </c>
      <c r="U238" s="134">
        <f ca="1">INDEX(OFFSET('Measure Inputs'!$T$7,,,InputRows),$C238)</f>
        <v>1</v>
      </c>
      <c r="V238" s="134">
        <f ca="1">INDEX(OFFSET('Measure Inputs'!$U$7,,,InputRows),$C238)</f>
        <v>1</v>
      </c>
      <c r="W238" s="55"/>
      <c r="X238" s="96">
        <f ca="1">INDEX(OFFSET('Measure Inputs'!$V$7,,,InputRows),$C238)*$T238*$V238*$U238</f>
        <v>39069.166016000003</v>
      </c>
      <c r="Y238" s="96">
        <f ca="1">INDEX(OFFSET('Measure Inputs'!$W$7,,,InputRows),$C238)*$T238*$V238*$U238</f>
        <v>10.359104000000002</v>
      </c>
      <c r="Z238" s="96">
        <f ca="1">INDEX(OFFSET('Measure Inputs'!$X$7,,,InputRows),$C238)*$T238*$V238*$U238</f>
        <v>0</v>
      </c>
      <c r="AA238" s="55"/>
      <c r="AB238" s="96">
        <f ca="1">INDEX(OFFSET('Measure Inputs'!$Z$7,,,InputRows),$C238)*$T238*$V238*$U238</f>
        <v>0</v>
      </c>
      <c r="AC238" s="96">
        <f ca="1">INDEX(OFFSET('Measure Inputs'!$AA$7,,,InputRows),$C238)*$T238*$V238*$U238</f>
        <v>0</v>
      </c>
      <c r="AD238" s="96">
        <f ca="1">INDEX(OFFSET('Measure Inputs'!$AB$7,,,InputRows),$C238)*$T238*$V238*$U238</f>
        <v>0</v>
      </c>
      <c r="AE238" s="55"/>
      <c r="AF238" s="57">
        <f ca="1">INDEX(OFFSET('Measure Inputs'!$Q$7,,,InputRows),$C238)*$T238</f>
        <v>0</v>
      </c>
      <c r="AG238" s="57">
        <f ca="1">INDEX(OFFSET('Measure Inputs'!$P$7,,,InputRows),$C238)*$T238*$V238</f>
        <v>16000</v>
      </c>
      <c r="AH238" s="57">
        <f ca="1">INDEX(OFFSET('Measure Inputs'!$R$7,,,InputRows),$C238)*$T238*$V238</f>
        <v>0</v>
      </c>
      <c r="AI238" s="57">
        <f ca="1">INDEX(OFFSET('Measure Inputs'!$O$7,,,InputRows),$C238)*$T238</f>
        <v>4400</v>
      </c>
      <c r="AJ238" s="57">
        <f ca="1">INDEX(OFFSET('Measure Inputs'!$S$7,,,InputRows),$C238)*$T238</f>
        <v>0</v>
      </c>
      <c r="AK238" s="63">
        <f ca="1">INDEX(OFFSET('Measure Inputs'!$M$7,,,InputRows),$C238)</f>
        <v>15</v>
      </c>
      <c r="AL238" s="88">
        <f ca="1">INDEX(OFFSET('Measure Inputs'!$N$7,,,InputRows),$C238)</f>
        <v>0</v>
      </c>
      <c r="AM238" s="57">
        <f ca="1">SUMIFS(OFFSET('Program Inputs'!$N$5,,,TotalPrograms),OFFSET('Program Inputs'!$B$5,,,TotalPrograms),SUBSTITUTE($B238,"All","*"))+AF238</f>
        <v>0</v>
      </c>
      <c r="AN238" s="57">
        <f t="shared" ca="1" si="442"/>
        <v>4400</v>
      </c>
      <c r="AO238" s="55"/>
      <c r="AP238" s="59">
        <f t="shared" ca="1" si="443"/>
        <v>11237.030311087687</v>
      </c>
      <c r="AQ238" s="59">
        <f t="shared" ca="1" si="444"/>
        <v>13506.502908422803</v>
      </c>
      <c r="AR238" s="59">
        <f ca="1">SUMPRODUCT($CA238:$DI238,'General Inputs'!$F$32:$AN$32,'General Inputs'!$F$51:$AN$51)/(1-Loss_ElectricEnergy)</f>
        <v>9437.2235161075041</v>
      </c>
      <c r="AS238" s="59">
        <f ca="1">SUMPRODUCT($DK238:$ES238,'General Inputs'!$F$33:$AN$33,'General Inputs'!$F$51:$AN$51)/(1-Loss_ElectricDemand)</f>
        <v>1799.8067949801821</v>
      </c>
      <c r="AT238" s="59">
        <f ca="1">SUMPRODUCT($EU238:$GC238,'General Inputs'!$F$34:$AN$34,'General Inputs'!$F$51:$AN$51)/(1-Loss_GasEnergy)</f>
        <v>0</v>
      </c>
      <c r="AU238" s="59">
        <f ca="1">INDEX('General Inputs'!$F$51:$AN$51,MATCH($H238,'General Inputs'!$F$50:$AN$50,0))*$AJ238</f>
        <v>0</v>
      </c>
      <c r="AV238" s="59">
        <f ca="1">INDEX('General Inputs'!$F$51:$AN$51,MATCH($H238,'General Inputs'!$F$50:$AN$50,0))*$AI238</f>
        <v>3714.2882998162709</v>
      </c>
      <c r="AW238" s="59">
        <f ca="1">INDEX('General Inputs'!$F$51:$AN$51,MATCH($H238,'General Inputs'!$F$50:$AN$50,0))*$AM238</f>
        <v>0</v>
      </c>
      <c r="AX238" s="59">
        <f ca="1">SUM(INDEX('General Inputs'!$F$51:$AN$51,MATCH($H238,'General Inputs'!$F$50:$AN$50,0))*$AG238,INDEX('General Inputs'!$F$51:$AN$51,MATCH($H238+$AL238,'General Inputs'!$F$50:$AN$50,0))*-$AH238)</f>
        <v>13506.502908422803</v>
      </c>
      <c r="AY238" s="55"/>
      <c r="AZ238" s="59">
        <f ca="1">SUMPRODUCT($CA238:$DI238,'General Inputs'!$F$32:$AN$32,'General Inputs'!$F$52:$AN$52)/(1-Loss_ElectricEnergy)</f>
        <v>9437.2235161075041</v>
      </c>
      <c r="BA238" s="59">
        <f ca="1">SUMPRODUCT($DK238:$ES238,'General Inputs'!$F$33:$AN$33,'General Inputs'!$F$52:$AN$52)/(1-Loss_ElectricDemand)</f>
        <v>1799.8067949801821</v>
      </c>
      <c r="BB238" s="59">
        <f ca="1">SUMPRODUCT($EU238:$GC238,'General Inputs'!$F$34:$AN$34,'General Inputs'!$F$52:$AN$52)/(1-Loss_GasEnergy)</f>
        <v>0</v>
      </c>
      <c r="BC238" s="59">
        <f ca="1">INDEX('General Inputs'!$F$52:$AN$52,MATCH($H238,'General Inputs'!$F$50:$AN$50,0))*$AI238</f>
        <v>3714.2882998162709</v>
      </c>
      <c r="BD238" s="59">
        <f ca="1">INDEX('General Inputs'!$F$52:$AN$52,MATCH($H238,'General Inputs'!$F$50:$AN$50,0))*$AM238</f>
        <v>0</v>
      </c>
      <c r="BE238" s="55"/>
      <c r="BF238" s="59">
        <f ca="1">SUMPRODUCT($CA238:$DI238,OFFSET('General Inputs'!$F$40:$AN$40,MATCH($D238&amp;" Electric ($/kWh)",'General Inputs'!$E$40:$E$46,0),),'General Inputs'!$F$54:$AN$54)</f>
        <v>0</v>
      </c>
      <c r="BG238" s="59">
        <f ca="1">SUMPRODUCT($EU238:$GC238,OFFSET('General Inputs'!$F$40:$AN$40,MATCH($D238&amp;" Natural Gas ($/therm)",'General Inputs'!$E$40:$E$46,0),),'General Inputs'!$F$54:$AN$54)</f>
        <v>0</v>
      </c>
      <c r="BH238" s="59">
        <f ca="1">INDEX('General Inputs'!$F$54:$AN$54,MATCH($H238,'General Inputs'!$F$50:$AN$50,0))*$AI238</f>
        <v>3714.2882998162709</v>
      </c>
      <c r="BI238" s="59">
        <f ca="1">SUM(INDEX('General Inputs'!$F$54:$AN$54,MATCH($H238,'General Inputs'!$F$50:$AN$50,0))*$AG238,INDEX('General Inputs'!$F$51:$AN$51,MATCH($H238+$AL238,'General Inputs'!$F$50:$AN$50,0))*-$AH238)</f>
        <v>13506.502908422803</v>
      </c>
      <c r="BJ238" s="55"/>
      <c r="BK238" s="59">
        <f ca="1">SUMPRODUCT($CA238:$DI238,'General Inputs'!$F$32:$AN$32,'General Inputs'!$F$53:$AN$53)/(1-Loss_ElectricEnergy)</f>
        <v>9437.2235161075041</v>
      </c>
      <c r="BL238" s="59">
        <f ca="1">SUMPRODUCT($DK238:$ES238,'General Inputs'!$F$33:$AN$33,'General Inputs'!$F$53:$AN$53)/(1-Loss_ElectricDemand)</f>
        <v>1799.8067949801821</v>
      </c>
      <c r="BM238" s="59">
        <f ca="1">SUMPRODUCT($EU238:$GC238,'General Inputs'!$F$34:$AN$34,'General Inputs'!$F$53:$AN$53)/(1-Loss_GasEnergy)</f>
        <v>0</v>
      </c>
      <c r="BN238" s="59">
        <f ca="1">INDEX('General Inputs'!$F$53:$AN$53,MATCH($H238,'General Inputs'!$F$50:$AN$50,0))*$AJ238</f>
        <v>0</v>
      </c>
      <c r="BO238" s="59">
        <f ca="1">SUMPRODUCT($CA238:$DI238,'General Inputs'!$F$35:$AN$35,'General Inputs'!$F$53:$AN$53)/(1-Loss_ElectricEnergy)</f>
        <v>3494.1603161919898</v>
      </c>
      <c r="BP238" s="59">
        <f ca="1">INDEX('General Inputs'!$F$51:$AN$51,MATCH($H238,'General Inputs'!$F$50:$AN$50,0))*$AM238</f>
        <v>0</v>
      </c>
      <c r="BQ238" s="59">
        <f ca="1">SUM(INDEX('General Inputs'!$F$53:$AN$53,MATCH($H238,'General Inputs'!$F$50:$AN$50,0))*$AG238,INDEX('General Inputs'!$F$53:$AN$53,MATCH($H238+$AL238,'General Inputs'!$F$50:$AN$50,0))*-$AH238)</f>
        <v>13506.502908422803</v>
      </c>
      <c r="BR238" s="55"/>
      <c r="BS238" s="59">
        <f ca="1">SUMPRODUCT($CA238:$DI238,'General Inputs'!$F$32:$AN$32,'General Inputs'!$F$55:$AN$55)/(1-Loss_ElectricEnergy)</f>
        <v>9437.2235161075041</v>
      </c>
      <c r="BT238" s="59">
        <f ca="1">SUMPRODUCT($DK238:$ES238,'General Inputs'!$F$33:$AN$33,'General Inputs'!$F$55:$AN$55)/(1-Loss_ElectricDemand)</f>
        <v>1799.8067949801821</v>
      </c>
      <c r="BU238" s="59">
        <f ca="1">SUMPRODUCT($EU238:$GC238,'General Inputs'!$F$34:$AN$34,'General Inputs'!$F$55:$AN$55)/(1-Loss_GasEnergy)</f>
        <v>0</v>
      </c>
      <c r="BV238" s="59">
        <f ca="1">SUMPRODUCT($CA238:$DI238,OFFSET('General Inputs'!$F$40:$AN$40,MATCH($D238&amp;" Electric ($/kWh)",'General Inputs'!$E$40:$E$46,0),),'General Inputs'!$F$55:$AN$55)</f>
        <v>0</v>
      </c>
      <c r="BW238" s="59">
        <f ca="1">SUMPRODUCT($EU238:$GC238,OFFSET('General Inputs'!$F$40:$AN$40,MATCH($D238&amp;" Natural Gas ($/therm)",'General Inputs'!$E$40:$E$46,0),),'General Inputs'!$F$55:$AN$55)</f>
        <v>0</v>
      </c>
      <c r="BX238" s="59">
        <f ca="1">INDEX('General Inputs'!$F$55:$AN$55,MATCH($H238,'General Inputs'!$F$50:$AN$50,0))*$AI238</f>
        <v>3714.2882998162709</v>
      </c>
      <c r="BY238" s="59">
        <f ca="1">INDEX('General Inputs'!$F$51:$AN$51,MATCH($H238,'General Inputs'!$F$50:$AN$50,0))*$AM238</f>
        <v>0</v>
      </c>
      <c r="BZ238" s="55"/>
      <c r="CA238" s="88">
        <f t="shared" ca="1" si="464"/>
        <v>0</v>
      </c>
      <c r="CB238" s="88">
        <f t="shared" ca="1" si="464"/>
        <v>0</v>
      </c>
      <c r="CC238" s="88">
        <f t="shared" ca="1" si="464"/>
        <v>39069.166016000003</v>
      </c>
      <c r="CD238" s="88">
        <f t="shared" ca="1" si="464"/>
        <v>39069.166016000003</v>
      </c>
      <c r="CE238" s="88">
        <f t="shared" ca="1" si="464"/>
        <v>39069.166016000003</v>
      </c>
      <c r="CF238" s="88">
        <f t="shared" ca="1" si="464"/>
        <v>39069.166016000003</v>
      </c>
      <c r="CG238" s="88">
        <f t="shared" ca="1" si="464"/>
        <v>39069.166016000003</v>
      </c>
      <c r="CH238" s="88">
        <f t="shared" ca="1" si="464"/>
        <v>39069.166016000003</v>
      </c>
      <c r="CI238" s="88">
        <f t="shared" ca="1" si="464"/>
        <v>39069.166016000003</v>
      </c>
      <c r="CJ238" s="88">
        <f t="shared" ca="1" si="464"/>
        <v>39069.166016000003</v>
      </c>
      <c r="CK238" s="88">
        <f t="shared" ca="1" si="465"/>
        <v>39069.166016000003</v>
      </c>
      <c r="CL238" s="88">
        <f t="shared" ca="1" si="465"/>
        <v>39069.166016000003</v>
      </c>
      <c r="CM238" s="88">
        <f t="shared" ca="1" si="465"/>
        <v>39069.166016000003</v>
      </c>
      <c r="CN238" s="88">
        <f t="shared" ca="1" si="465"/>
        <v>39069.166016000003</v>
      </c>
      <c r="CO238" s="88">
        <f t="shared" ca="1" si="465"/>
        <v>39069.166016000003</v>
      </c>
      <c r="CP238" s="88">
        <f t="shared" ca="1" si="465"/>
        <v>39069.166016000003</v>
      </c>
      <c r="CQ238" s="88">
        <f t="shared" ca="1" si="465"/>
        <v>39069.166016000003</v>
      </c>
      <c r="CR238" s="88">
        <f t="shared" ca="1" si="465"/>
        <v>0</v>
      </c>
      <c r="CS238" s="88">
        <f t="shared" ca="1" si="465"/>
        <v>0</v>
      </c>
      <c r="CT238" s="88">
        <f t="shared" ca="1" si="465"/>
        <v>0</v>
      </c>
      <c r="CU238" s="88">
        <f t="shared" ca="1" si="466"/>
        <v>0</v>
      </c>
      <c r="CV238" s="88">
        <f t="shared" ca="1" si="466"/>
        <v>0</v>
      </c>
      <c r="CW238" s="88">
        <f t="shared" ca="1" si="466"/>
        <v>0</v>
      </c>
      <c r="CX238" s="88">
        <f t="shared" ca="1" si="466"/>
        <v>0</v>
      </c>
      <c r="CY238" s="88">
        <f t="shared" ca="1" si="466"/>
        <v>0</v>
      </c>
      <c r="CZ238" s="88">
        <f t="shared" ca="1" si="466"/>
        <v>0</v>
      </c>
      <c r="DA238" s="88">
        <f t="shared" ca="1" si="466"/>
        <v>0</v>
      </c>
      <c r="DB238" s="88">
        <f t="shared" ca="1" si="466"/>
        <v>0</v>
      </c>
      <c r="DC238" s="88">
        <f t="shared" ca="1" si="466"/>
        <v>0</v>
      </c>
      <c r="DD238" s="88">
        <f t="shared" ca="1" si="466"/>
        <v>0</v>
      </c>
      <c r="DE238" s="88">
        <f t="shared" ca="1" si="466"/>
        <v>0</v>
      </c>
      <c r="DF238" s="88">
        <f t="shared" ca="1" si="466"/>
        <v>0</v>
      </c>
      <c r="DG238" s="88">
        <f t="shared" ca="1" si="466"/>
        <v>0</v>
      </c>
      <c r="DH238" s="88">
        <f t="shared" ca="1" si="466"/>
        <v>0</v>
      </c>
      <c r="DI238" s="88">
        <f t="shared" ca="1" si="466"/>
        <v>0</v>
      </c>
      <c r="DJ238" s="169"/>
      <c r="DK238" s="88">
        <f t="shared" ca="1" si="467"/>
        <v>0</v>
      </c>
      <c r="DL238" s="88">
        <f t="shared" ca="1" si="467"/>
        <v>0</v>
      </c>
      <c r="DM238" s="88">
        <f t="shared" ca="1" si="467"/>
        <v>10.359104000000002</v>
      </c>
      <c r="DN238" s="88">
        <f t="shared" ca="1" si="467"/>
        <v>10.359104000000002</v>
      </c>
      <c r="DO238" s="88">
        <f t="shared" ca="1" si="467"/>
        <v>10.359104000000002</v>
      </c>
      <c r="DP238" s="88">
        <f t="shared" ca="1" si="467"/>
        <v>10.359104000000002</v>
      </c>
      <c r="DQ238" s="88">
        <f t="shared" ca="1" si="467"/>
        <v>10.359104000000002</v>
      </c>
      <c r="DR238" s="88">
        <f t="shared" ca="1" si="467"/>
        <v>10.359104000000002</v>
      </c>
      <c r="DS238" s="88">
        <f t="shared" ca="1" si="467"/>
        <v>10.359104000000002</v>
      </c>
      <c r="DT238" s="88">
        <f t="shared" ca="1" si="467"/>
        <v>10.359104000000002</v>
      </c>
      <c r="DU238" s="88">
        <f t="shared" ca="1" si="468"/>
        <v>10.359104000000002</v>
      </c>
      <c r="DV238" s="88">
        <f t="shared" ca="1" si="468"/>
        <v>10.359104000000002</v>
      </c>
      <c r="DW238" s="88">
        <f t="shared" ca="1" si="468"/>
        <v>10.359104000000002</v>
      </c>
      <c r="DX238" s="88">
        <f t="shared" ca="1" si="468"/>
        <v>10.359104000000002</v>
      </c>
      <c r="DY238" s="88">
        <f t="shared" ca="1" si="468"/>
        <v>10.359104000000002</v>
      </c>
      <c r="DZ238" s="88">
        <f t="shared" ca="1" si="468"/>
        <v>10.359104000000002</v>
      </c>
      <c r="EA238" s="88">
        <f t="shared" ca="1" si="468"/>
        <v>10.359104000000002</v>
      </c>
      <c r="EB238" s="88">
        <f t="shared" ca="1" si="468"/>
        <v>0</v>
      </c>
      <c r="EC238" s="88">
        <f t="shared" ca="1" si="468"/>
        <v>0</v>
      </c>
      <c r="ED238" s="88">
        <f t="shared" ca="1" si="468"/>
        <v>0</v>
      </c>
      <c r="EE238" s="88">
        <f t="shared" ca="1" si="469"/>
        <v>0</v>
      </c>
      <c r="EF238" s="88">
        <f t="shared" ca="1" si="469"/>
        <v>0</v>
      </c>
      <c r="EG238" s="88">
        <f t="shared" ca="1" si="469"/>
        <v>0</v>
      </c>
      <c r="EH238" s="88">
        <f t="shared" ca="1" si="469"/>
        <v>0</v>
      </c>
      <c r="EI238" s="88">
        <f t="shared" ca="1" si="469"/>
        <v>0</v>
      </c>
      <c r="EJ238" s="88">
        <f t="shared" ca="1" si="469"/>
        <v>0</v>
      </c>
      <c r="EK238" s="88">
        <f t="shared" ca="1" si="469"/>
        <v>0</v>
      </c>
      <c r="EL238" s="88">
        <f t="shared" ca="1" si="469"/>
        <v>0</v>
      </c>
      <c r="EM238" s="88">
        <f t="shared" ca="1" si="469"/>
        <v>0</v>
      </c>
      <c r="EN238" s="88">
        <f t="shared" ca="1" si="469"/>
        <v>0</v>
      </c>
      <c r="EO238" s="88">
        <f t="shared" ca="1" si="469"/>
        <v>0</v>
      </c>
      <c r="EP238" s="88">
        <f t="shared" ca="1" si="469"/>
        <v>0</v>
      </c>
      <c r="EQ238" s="88">
        <f t="shared" ca="1" si="469"/>
        <v>0</v>
      </c>
      <c r="ER238" s="88">
        <f t="shared" ca="1" si="469"/>
        <v>0</v>
      </c>
      <c r="ES238" s="88">
        <f t="shared" ca="1" si="469"/>
        <v>0</v>
      </c>
      <c r="ET238" s="169"/>
      <c r="EU238" s="88">
        <f t="shared" ca="1" si="470"/>
        <v>0</v>
      </c>
      <c r="EV238" s="88">
        <f t="shared" ca="1" si="470"/>
        <v>0</v>
      </c>
      <c r="EW238" s="88">
        <f t="shared" ca="1" si="470"/>
        <v>0</v>
      </c>
      <c r="EX238" s="88">
        <f t="shared" ca="1" si="470"/>
        <v>0</v>
      </c>
      <c r="EY238" s="88">
        <f t="shared" ca="1" si="470"/>
        <v>0</v>
      </c>
      <c r="EZ238" s="88">
        <f t="shared" ca="1" si="470"/>
        <v>0</v>
      </c>
      <c r="FA238" s="88">
        <f t="shared" ca="1" si="470"/>
        <v>0</v>
      </c>
      <c r="FB238" s="88">
        <f t="shared" ca="1" si="470"/>
        <v>0</v>
      </c>
      <c r="FC238" s="88">
        <f t="shared" ca="1" si="470"/>
        <v>0</v>
      </c>
      <c r="FD238" s="88">
        <f t="shared" ca="1" si="470"/>
        <v>0</v>
      </c>
      <c r="FE238" s="88">
        <f t="shared" ca="1" si="471"/>
        <v>0</v>
      </c>
      <c r="FF238" s="88">
        <f t="shared" ca="1" si="471"/>
        <v>0</v>
      </c>
      <c r="FG238" s="88">
        <f t="shared" ca="1" si="471"/>
        <v>0</v>
      </c>
      <c r="FH238" s="88">
        <f t="shared" ca="1" si="471"/>
        <v>0</v>
      </c>
      <c r="FI238" s="88">
        <f t="shared" ca="1" si="471"/>
        <v>0</v>
      </c>
      <c r="FJ238" s="88">
        <f t="shared" ca="1" si="471"/>
        <v>0</v>
      </c>
      <c r="FK238" s="88">
        <f t="shared" ca="1" si="471"/>
        <v>0</v>
      </c>
      <c r="FL238" s="88">
        <f t="shared" ca="1" si="471"/>
        <v>0</v>
      </c>
      <c r="FM238" s="88">
        <f t="shared" ca="1" si="471"/>
        <v>0</v>
      </c>
      <c r="FN238" s="88">
        <f t="shared" ca="1" si="471"/>
        <v>0</v>
      </c>
      <c r="FO238" s="88">
        <f t="shared" ca="1" si="472"/>
        <v>0</v>
      </c>
      <c r="FP238" s="88">
        <f t="shared" ca="1" si="472"/>
        <v>0</v>
      </c>
      <c r="FQ238" s="88">
        <f t="shared" ca="1" si="472"/>
        <v>0</v>
      </c>
      <c r="FR238" s="88">
        <f t="shared" ca="1" si="472"/>
        <v>0</v>
      </c>
      <c r="FS238" s="88">
        <f t="shared" ca="1" si="472"/>
        <v>0</v>
      </c>
      <c r="FT238" s="88">
        <f t="shared" ca="1" si="472"/>
        <v>0</v>
      </c>
      <c r="FU238" s="88">
        <f t="shared" ca="1" si="472"/>
        <v>0</v>
      </c>
      <c r="FV238" s="88">
        <f t="shared" ca="1" si="472"/>
        <v>0</v>
      </c>
      <c r="FW238" s="88">
        <f t="shared" ca="1" si="472"/>
        <v>0</v>
      </c>
      <c r="FX238" s="88">
        <f t="shared" ca="1" si="472"/>
        <v>0</v>
      </c>
      <c r="FY238" s="88">
        <f t="shared" ca="1" si="472"/>
        <v>0</v>
      </c>
      <c r="FZ238" s="88">
        <f t="shared" ca="1" si="472"/>
        <v>0</v>
      </c>
      <c r="GA238" s="88">
        <f t="shared" ca="1" si="472"/>
        <v>0</v>
      </c>
      <c r="GB238" s="88">
        <f t="shared" ca="1" si="472"/>
        <v>0</v>
      </c>
      <c r="GC238" s="88">
        <f t="shared" ca="1" si="472"/>
        <v>0</v>
      </c>
      <c r="GD238" s="60"/>
    </row>
    <row r="239" spans="1:186" s="54" customFormat="1" ht="14.45" customHeight="1">
      <c r="A239" s="61"/>
      <c r="B239" s="100" t="str">
        <f t="shared" si="418"/>
        <v>C&amp;I_C&amp;I Prescriptive_0_High Bay Fluorescent Fixture w/ HE Electronic Ballast (T8 6-8 lamp)_2019</v>
      </c>
      <c r="C239" s="100">
        <f>INDEX('Measure Inputs'!$D:$D,MATCH($B239,'Measure Inputs'!$B:$B,0))</f>
        <v>191</v>
      </c>
      <c r="D239" s="101" t="s">
        <v>256</v>
      </c>
      <c r="E239" s="101" t="s">
        <v>255</v>
      </c>
      <c r="F239" s="101">
        <v>0</v>
      </c>
      <c r="G239" s="101" t="s">
        <v>275</v>
      </c>
      <c r="H239" s="101">
        <v>2019</v>
      </c>
      <c r="I239" s="55"/>
      <c r="J239" s="58">
        <f t="shared" ca="1" si="229"/>
        <v>2.1803086089208787</v>
      </c>
      <c r="K239" s="58">
        <f t="shared" ca="1" si="246"/>
        <v>6.5409258267626358</v>
      </c>
      <c r="L239" s="58">
        <f t="shared" ca="1" si="230"/>
        <v>0.33333333333333337</v>
      </c>
      <c r="M239" s="58">
        <f t="shared" ca="1" si="231"/>
        <v>2.8582766847768277</v>
      </c>
      <c r="N239" s="58">
        <f t="shared" ca="1" si="232"/>
        <v>6.5409258267626358</v>
      </c>
      <c r="O239" s="55"/>
      <c r="P239" s="175">
        <f ca="1">IFERROR(($AW239+AV239)/SUMPRODUCT($CA239:$DI239,'General Inputs'!$F$51:$AN$51),"n/a")</f>
        <v>5.8814099463986858E-3</v>
      </c>
      <c r="Q239" s="175">
        <f t="shared" ca="1" si="454"/>
        <v>5.2090107478177196E-2</v>
      </c>
      <c r="R239" s="56">
        <f t="shared" ca="1" si="441"/>
        <v>1727.77527936</v>
      </c>
      <c r="S239" s="55"/>
      <c r="T239" s="56">
        <f ca="1">INDEX(OFFSET('Measure Inputs'!$L$7,,,InputRows),$C239)</f>
        <v>80</v>
      </c>
      <c r="U239" s="134">
        <f ca="1">INDEX(OFFSET('Measure Inputs'!$T$7,,,InputRows),$C239)</f>
        <v>1</v>
      </c>
      <c r="V239" s="134">
        <f ca="1">INDEX(OFFSET('Measure Inputs'!$U$7,,,InputRows),$C239)</f>
        <v>1</v>
      </c>
      <c r="W239" s="55"/>
      <c r="X239" s="96">
        <f ca="1">INDEX(OFFSET('Measure Inputs'!$V$7,,,InputRows),$C239)*$T239*$V239*$U239</f>
        <v>115185.01862399996</v>
      </c>
      <c r="Y239" s="96">
        <f ca="1">INDEX(OFFSET('Measure Inputs'!$W$7,,,InputRows),$C239)*$T239*$V239*$U239</f>
        <v>30.541055999999998</v>
      </c>
      <c r="Z239" s="96">
        <f ca="1">INDEX(OFFSET('Measure Inputs'!$X$7,,,InputRows),$C239)*$T239*$V239*$U239</f>
        <v>0</v>
      </c>
      <c r="AA239" s="55"/>
      <c r="AB239" s="96">
        <f ca="1">INDEX(OFFSET('Measure Inputs'!$Z$7,,,InputRows),$C239)*$T239*$V239*$U239</f>
        <v>0</v>
      </c>
      <c r="AC239" s="96">
        <f ca="1">INDEX(OFFSET('Measure Inputs'!$AA$7,,,InputRows),$C239)*$T239*$V239*$U239</f>
        <v>0</v>
      </c>
      <c r="AD239" s="96">
        <f ca="1">INDEX(OFFSET('Measure Inputs'!$AB$7,,,InputRows),$C239)*$T239*$V239*$U239</f>
        <v>0</v>
      </c>
      <c r="AE239" s="55"/>
      <c r="AF239" s="57">
        <f ca="1">INDEX(OFFSET('Measure Inputs'!$Q$7,,,InputRows),$C239)*$T239</f>
        <v>0</v>
      </c>
      <c r="AG239" s="57">
        <f ca="1">INDEX(OFFSET('Measure Inputs'!$P$7,,,InputRows),$C239)*$T239*$V239</f>
        <v>18000</v>
      </c>
      <c r="AH239" s="57">
        <f ca="1">INDEX(OFFSET('Measure Inputs'!$R$7,,,InputRows),$C239)*$T239*$V239</f>
        <v>0</v>
      </c>
      <c r="AI239" s="57">
        <f ca="1">INDEX(OFFSET('Measure Inputs'!$O$7,,,InputRows),$C239)*$T239</f>
        <v>6000</v>
      </c>
      <c r="AJ239" s="57">
        <f ca="1">INDEX(OFFSET('Measure Inputs'!$S$7,,,InputRows),$C239)*$T239</f>
        <v>0</v>
      </c>
      <c r="AK239" s="63">
        <f ca="1">INDEX(OFFSET('Measure Inputs'!$M$7,,,InputRows),$C239)</f>
        <v>15</v>
      </c>
      <c r="AL239" s="88">
        <f ca="1">INDEX(OFFSET('Measure Inputs'!$N$7,,,InputRows),$C239)</f>
        <v>0</v>
      </c>
      <c r="AM239" s="57">
        <f ca="1">SUMIFS(OFFSET('Program Inputs'!$N$5,,,TotalPrograms),OFFSET('Program Inputs'!$B$5,,,TotalPrograms),SUBSTITUTE($B239,"All","*"))+AF239</f>
        <v>0</v>
      </c>
      <c r="AN239" s="57">
        <f t="shared" ca="1" si="442"/>
        <v>6000</v>
      </c>
      <c r="AO239" s="55"/>
      <c r="AP239" s="59">
        <f t="shared" ca="1" si="443"/>
        <v>33129.387638605265</v>
      </c>
      <c r="AQ239" s="59">
        <f t="shared" ca="1" si="444"/>
        <v>15194.815771975653</v>
      </c>
      <c r="AR239" s="59">
        <f ca="1">SUMPRODUCT($CA239:$DI239,'General Inputs'!$F$32:$AN$32,'General Inputs'!$F$51:$AN$51)/(1-Loss_ElectricEnergy)</f>
        <v>27823.137202788592</v>
      </c>
      <c r="AS239" s="59">
        <f ca="1">SUMPRODUCT($DK239:$ES239,'General Inputs'!$F$33:$AN$33,'General Inputs'!$F$51:$AN$51)/(1-Loss_ElectricDemand)</f>
        <v>5306.2504358166743</v>
      </c>
      <c r="AT239" s="59">
        <f ca="1">SUMPRODUCT($EU239:$GC239,'General Inputs'!$F$34:$AN$34,'General Inputs'!$F$51:$AN$51)/(1-Loss_GasEnergy)</f>
        <v>0</v>
      </c>
      <c r="AU239" s="59">
        <f ca="1">INDEX('General Inputs'!$F$51:$AN$51,MATCH($H239,'General Inputs'!$F$50:$AN$50,0))*$AJ239</f>
        <v>0</v>
      </c>
      <c r="AV239" s="59">
        <f ca="1">INDEX('General Inputs'!$F$51:$AN$51,MATCH($H239,'General Inputs'!$F$50:$AN$50,0))*$AI239</f>
        <v>5064.9385906585512</v>
      </c>
      <c r="AW239" s="59">
        <f ca="1">INDEX('General Inputs'!$F$51:$AN$51,MATCH($H239,'General Inputs'!$F$50:$AN$50,0))*$AM239</f>
        <v>0</v>
      </c>
      <c r="AX239" s="59">
        <f ca="1">SUM(INDEX('General Inputs'!$F$51:$AN$51,MATCH($H239,'General Inputs'!$F$50:$AN$50,0))*$AG239,INDEX('General Inputs'!$F$51:$AN$51,MATCH($H239+$AL239,'General Inputs'!$F$50:$AN$50,0))*-$AH239)</f>
        <v>15194.815771975653</v>
      </c>
      <c r="AY239" s="55"/>
      <c r="AZ239" s="59">
        <f ca="1">SUMPRODUCT($CA239:$DI239,'General Inputs'!$F$32:$AN$32,'General Inputs'!$F$52:$AN$52)/(1-Loss_ElectricEnergy)</f>
        <v>27823.137202788592</v>
      </c>
      <c r="BA239" s="59">
        <f ca="1">SUMPRODUCT($DK239:$ES239,'General Inputs'!$F$33:$AN$33,'General Inputs'!$F$52:$AN$52)/(1-Loss_ElectricDemand)</f>
        <v>5306.2504358166743</v>
      </c>
      <c r="BB239" s="59">
        <f ca="1">SUMPRODUCT($EU239:$GC239,'General Inputs'!$F$34:$AN$34,'General Inputs'!$F$52:$AN$52)/(1-Loss_GasEnergy)</f>
        <v>0</v>
      </c>
      <c r="BC239" s="59">
        <f ca="1">INDEX('General Inputs'!$F$52:$AN$52,MATCH($H239,'General Inputs'!$F$50:$AN$50,0))*$AI239</f>
        <v>5064.9385906585512</v>
      </c>
      <c r="BD239" s="59">
        <f ca="1">INDEX('General Inputs'!$F$52:$AN$52,MATCH($H239,'General Inputs'!$F$50:$AN$50,0))*$AM239</f>
        <v>0</v>
      </c>
      <c r="BE239" s="55"/>
      <c r="BF239" s="59">
        <f ca="1">SUMPRODUCT($CA239:$DI239,OFFSET('General Inputs'!$F$40:$AN$40,MATCH($D239&amp;" Electric ($/kWh)",'General Inputs'!$E$40:$E$46,0),),'General Inputs'!$F$54:$AN$54)</f>
        <v>0</v>
      </c>
      <c r="BG239" s="59">
        <f ca="1">SUMPRODUCT($EU239:$GC239,OFFSET('General Inputs'!$F$40:$AN$40,MATCH($D239&amp;" Natural Gas ($/therm)",'General Inputs'!$E$40:$E$46,0),),'General Inputs'!$F$54:$AN$54)</f>
        <v>0</v>
      </c>
      <c r="BH239" s="59">
        <f ca="1">INDEX('General Inputs'!$F$54:$AN$54,MATCH($H239,'General Inputs'!$F$50:$AN$50,0))*$AI239</f>
        <v>5064.9385906585512</v>
      </c>
      <c r="BI239" s="59">
        <f ca="1">SUM(INDEX('General Inputs'!$F$54:$AN$54,MATCH($H239,'General Inputs'!$F$50:$AN$50,0))*$AG239,INDEX('General Inputs'!$F$51:$AN$51,MATCH($H239+$AL239,'General Inputs'!$F$50:$AN$50,0))*-$AH239)</f>
        <v>15194.815771975653</v>
      </c>
      <c r="BJ239" s="55"/>
      <c r="BK239" s="59">
        <f ca="1">SUMPRODUCT($CA239:$DI239,'General Inputs'!$F$32:$AN$32,'General Inputs'!$F$53:$AN$53)/(1-Loss_ElectricEnergy)</f>
        <v>27823.137202788592</v>
      </c>
      <c r="BL239" s="59">
        <f ca="1">SUMPRODUCT($DK239:$ES239,'General Inputs'!$F$33:$AN$33,'General Inputs'!$F$53:$AN$53)/(1-Loss_ElectricDemand)</f>
        <v>5306.2504358166743</v>
      </c>
      <c r="BM239" s="59">
        <f ca="1">SUMPRODUCT($EU239:$GC239,'General Inputs'!$F$34:$AN$34,'General Inputs'!$F$53:$AN$53)/(1-Loss_GasEnergy)</f>
        <v>0</v>
      </c>
      <c r="BN239" s="59">
        <f ca="1">INDEX('General Inputs'!$F$53:$AN$53,MATCH($H239,'General Inputs'!$F$50:$AN$50,0))*$AJ239</f>
        <v>0</v>
      </c>
      <c r="BO239" s="59">
        <f ca="1">SUMPRODUCT($CA239:$DI239,'General Inputs'!$F$35:$AN$35,'General Inputs'!$F$53:$AN$53)/(1-Loss_ElectricEnergy)</f>
        <v>10301.600011911958</v>
      </c>
      <c r="BP239" s="59">
        <f ca="1">INDEX('General Inputs'!$F$51:$AN$51,MATCH($H239,'General Inputs'!$F$50:$AN$50,0))*$AM239</f>
        <v>0</v>
      </c>
      <c r="BQ239" s="59">
        <f ca="1">SUM(INDEX('General Inputs'!$F$53:$AN$53,MATCH($H239,'General Inputs'!$F$50:$AN$50,0))*$AG239,INDEX('General Inputs'!$F$53:$AN$53,MATCH($H239+$AL239,'General Inputs'!$F$50:$AN$50,0))*-$AH239)</f>
        <v>15194.815771975653</v>
      </c>
      <c r="BR239" s="55"/>
      <c r="BS239" s="59">
        <f ca="1">SUMPRODUCT($CA239:$DI239,'General Inputs'!$F$32:$AN$32,'General Inputs'!$F$55:$AN$55)/(1-Loss_ElectricEnergy)</f>
        <v>27823.137202788592</v>
      </c>
      <c r="BT239" s="59">
        <f ca="1">SUMPRODUCT($DK239:$ES239,'General Inputs'!$F$33:$AN$33,'General Inputs'!$F$55:$AN$55)/(1-Loss_ElectricDemand)</f>
        <v>5306.2504358166743</v>
      </c>
      <c r="BU239" s="59">
        <f ca="1">SUMPRODUCT($EU239:$GC239,'General Inputs'!$F$34:$AN$34,'General Inputs'!$F$55:$AN$55)/(1-Loss_GasEnergy)</f>
        <v>0</v>
      </c>
      <c r="BV239" s="59">
        <f ca="1">SUMPRODUCT($CA239:$DI239,OFFSET('General Inputs'!$F$40:$AN$40,MATCH($D239&amp;" Electric ($/kWh)",'General Inputs'!$E$40:$E$46,0),),'General Inputs'!$F$55:$AN$55)</f>
        <v>0</v>
      </c>
      <c r="BW239" s="59">
        <f ca="1">SUMPRODUCT($EU239:$GC239,OFFSET('General Inputs'!$F$40:$AN$40,MATCH($D239&amp;" Natural Gas ($/therm)",'General Inputs'!$E$40:$E$46,0),),'General Inputs'!$F$55:$AN$55)</f>
        <v>0</v>
      </c>
      <c r="BX239" s="59">
        <f ca="1">INDEX('General Inputs'!$F$55:$AN$55,MATCH($H239,'General Inputs'!$F$50:$AN$50,0))*$AI239</f>
        <v>5064.9385906585512</v>
      </c>
      <c r="BY239" s="59">
        <f ca="1">INDEX('General Inputs'!$F$51:$AN$51,MATCH($H239,'General Inputs'!$F$50:$AN$50,0))*$AM239</f>
        <v>0</v>
      </c>
      <c r="BZ239" s="55"/>
      <c r="CA239" s="88">
        <f t="shared" ca="1" si="464"/>
        <v>0</v>
      </c>
      <c r="CB239" s="88">
        <f t="shared" ca="1" si="464"/>
        <v>0</v>
      </c>
      <c r="CC239" s="88">
        <f t="shared" ca="1" si="464"/>
        <v>115185.01862399996</v>
      </c>
      <c r="CD239" s="88">
        <f t="shared" ca="1" si="464"/>
        <v>115185.01862399996</v>
      </c>
      <c r="CE239" s="88">
        <f t="shared" ca="1" si="464"/>
        <v>115185.01862399996</v>
      </c>
      <c r="CF239" s="88">
        <f t="shared" ca="1" si="464"/>
        <v>115185.01862399996</v>
      </c>
      <c r="CG239" s="88">
        <f t="shared" ca="1" si="464"/>
        <v>115185.01862399996</v>
      </c>
      <c r="CH239" s="88">
        <f t="shared" ca="1" si="464"/>
        <v>115185.01862399996</v>
      </c>
      <c r="CI239" s="88">
        <f t="shared" ca="1" si="464"/>
        <v>115185.01862399996</v>
      </c>
      <c r="CJ239" s="88">
        <f t="shared" ca="1" si="464"/>
        <v>115185.01862399996</v>
      </c>
      <c r="CK239" s="88">
        <f t="shared" ca="1" si="465"/>
        <v>115185.01862399996</v>
      </c>
      <c r="CL239" s="88">
        <f t="shared" ca="1" si="465"/>
        <v>115185.01862399996</v>
      </c>
      <c r="CM239" s="88">
        <f t="shared" ca="1" si="465"/>
        <v>115185.01862399996</v>
      </c>
      <c r="CN239" s="88">
        <f t="shared" ca="1" si="465"/>
        <v>115185.01862399996</v>
      </c>
      <c r="CO239" s="88">
        <f t="shared" ca="1" si="465"/>
        <v>115185.01862399996</v>
      </c>
      <c r="CP239" s="88">
        <f t="shared" ca="1" si="465"/>
        <v>115185.01862399996</v>
      </c>
      <c r="CQ239" s="88">
        <f t="shared" ca="1" si="465"/>
        <v>115185.01862399996</v>
      </c>
      <c r="CR239" s="88">
        <f t="shared" ca="1" si="465"/>
        <v>0</v>
      </c>
      <c r="CS239" s="88">
        <f t="shared" ca="1" si="465"/>
        <v>0</v>
      </c>
      <c r="CT239" s="88">
        <f t="shared" ca="1" si="465"/>
        <v>0</v>
      </c>
      <c r="CU239" s="88">
        <f t="shared" ca="1" si="466"/>
        <v>0</v>
      </c>
      <c r="CV239" s="88">
        <f t="shared" ca="1" si="466"/>
        <v>0</v>
      </c>
      <c r="CW239" s="88">
        <f t="shared" ca="1" si="466"/>
        <v>0</v>
      </c>
      <c r="CX239" s="88">
        <f t="shared" ca="1" si="466"/>
        <v>0</v>
      </c>
      <c r="CY239" s="88">
        <f t="shared" ca="1" si="466"/>
        <v>0</v>
      </c>
      <c r="CZ239" s="88">
        <f t="shared" ca="1" si="466"/>
        <v>0</v>
      </c>
      <c r="DA239" s="88">
        <f t="shared" ca="1" si="466"/>
        <v>0</v>
      </c>
      <c r="DB239" s="88">
        <f t="shared" ca="1" si="466"/>
        <v>0</v>
      </c>
      <c r="DC239" s="88">
        <f t="shared" ca="1" si="466"/>
        <v>0</v>
      </c>
      <c r="DD239" s="88">
        <f t="shared" ca="1" si="466"/>
        <v>0</v>
      </c>
      <c r="DE239" s="88">
        <f t="shared" ca="1" si="466"/>
        <v>0</v>
      </c>
      <c r="DF239" s="88">
        <f t="shared" ca="1" si="466"/>
        <v>0</v>
      </c>
      <c r="DG239" s="88">
        <f t="shared" ca="1" si="466"/>
        <v>0</v>
      </c>
      <c r="DH239" s="88">
        <f t="shared" ca="1" si="466"/>
        <v>0</v>
      </c>
      <c r="DI239" s="88">
        <f t="shared" ca="1" si="466"/>
        <v>0</v>
      </c>
      <c r="DJ239" s="169"/>
      <c r="DK239" s="88">
        <f t="shared" ca="1" si="467"/>
        <v>0</v>
      </c>
      <c r="DL239" s="88">
        <f t="shared" ca="1" si="467"/>
        <v>0</v>
      </c>
      <c r="DM239" s="88">
        <f t="shared" ca="1" si="467"/>
        <v>30.541055999999998</v>
      </c>
      <c r="DN239" s="88">
        <f t="shared" ca="1" si="467"/>
        <v>30.541055999999998</v>
      </c>
      <c r="DO239" s="88">
        <f t="shared" ca="1" si="467"/>
        <v>30.541055999999998</v>
      </c>
      <c r="DP239" s="88">
        <f t="shared" ca="1" si="467"/>
        <v>30.541055999999998</v>
      </c>
      <c r="DQ239" s="88">
        <f t="shared" ca="1" si="467"/>
        <v>30.541055999999998</v>
      </c>
      <c r="DR239" s="88">
        <f t="shared" ca="1" si="467"/>
        <v>30.541055999999998</v>
      </c>
      <c r="DS239" s="88">
        <f t="shared" ca="1" si="467"/>
        <v>30.541055999999998</v>
      </c>
      <c r="DT239" s="88">
        <f t="shared" ca="1" si="467"/>
        <v>30.541055999999998</v>
      </c>
      <c r="DU239" s="88">
        <f t="shared" ca="1" si="468"/>
        <v>30.541055999999998</v>
      </c>
      <c r="DV239" s="88">
        <f t="shared" ca="1" si="468"/>
        <v>30.541055999999998</v>
      </c>
      <c r="DW239" s="88">
        <f t="shared" ca="1" si="468"/>
        <v>30.541055999999998</v>
      </c>
      <c r="DX239" s="88">
        <f t="shared" ca="1" si="468"/>
        <v>30.541055999999998</v>
      </c>
      <c r="DY239" s="88">
        <f t="shared" ca="1" si="468"/>
        <v>30.541055999999998</v>
      </c>
      <c r="DZ239" s="88">
        <f t="shared" ca="1" si="468"/>
        <v>30.541055999999998</v>
      </c>
      <c r="EA239" s="88">
        <f t="shared" ca="1" si="468"/>
        <v>30.541055999999998</v>
      </c>
      <c r="EB239" s="88">
        <f t="shared" ca="1" si="468"/>
        <v>0</v>
      </c>
      <c r="EC239" s="88">
        <f t="shared" ca="1" si="468"/>
        <v>0</v>
      </c>
      <c r="ED239" s="88">
        <f t="shared" ca="1" si="468"/>
        <v>0</v>
      </c>
      <c r="EE239" s="88">
        <f t="shared" ca="1" si="469"/>
        <v>0</v>
      </c>
      <c r="EF239" s="88">
        <f t="shared" ca="1" si="469"/>
        <v>0</v>
      </c>
      <c r="EG239" s="88">
        <f t="shared" ca="1" si="469"/>
        <v>0</v>
      </c>
      <c r="EH239" s="88">
        <f t="shared" ca="1" si="469"/>
        <v>0</v>
      </c>
      <c r="EI239" s="88">
        <f t="shared" ca="1" si="469"/>
        <v>0</v>
      </c>
      <c r="EJ239" s="88">
        <f t="shared" ca="1" si="469"/>
        <v>0</v>
      </c>
      <c r="EK239" s="88">
        <f t="shared" ca="1" si="469"/>
        <v>0</v>
      </c>
      <c r="EL239" s="88">
        <f t="shared" ca="1" si="469"/>
        <v>0</v>
      </c>
      <c r="EM239" s="88">
        <f t="shared" ca="1" si="469"/>
        <v>0</v>
      </c>
      <c r="EN239" s="88">
        <f t="shared" ca="1" si="469"/>
        <v>0</v>
      </c>
      <c r="EO239" s="88">
        <f t="shared" ca="1" si="469"/>
        <v>0</v>
      </c>
      <c r="EP239" s="88">
        <f t="shared" ca="1" si="469"/>
        <v>0</v>
      </c>
      <c r="EQ239" s="88">
        <f t="shared" ca="1" si="469"/>
        <v>0</v>
      </c>
      <c r="ER239" s="88">
        <f t="shared" ca="1" si="469"/>
        <v>0</v>
      </c>
      <c r="ES239" s="88">
        <f t="shared" ca="1" si="469"/>
        <v>0</v>
      </c>
      <c r="ET239" s="169"/>
      <c r="EU239" s="88">
        <f t="shared" ca="1" si="470"/>
        <v>0</v>
      </c>
      <c r="EV239" s="88">
        <f t="shared" ca="1" si="470"/>
        <v>0</v>
      </c>
      <c r="EW239" s="88">
        <f t="shared" ca="1" si="470"/>
        <v>0</v>
      </c>
      <c r="EX239" s="88">
        <f t="shared" ca="1" si="470"/>
        <v>0</v>
      </c>
      <c r="EY239" s="88">
        <f t="shared" ca="1" si="470"/>
        <v>0</v>
      </c>
      <c r="EZ239" s="88">
        <f t="shared" ca="1" si="470"/>
        <v>0</v>
      </c>
      <c r="FA239" s="88">
        <f t="shared" ca="1" si="470"/>
        <v>0</v>
      </c>
      <c r="FB239" s="88">
        <f t="shared" ca="1" si="470"/>
        <v>0</v>
      </c>
      <c r="FC239" s="88">
        <f t="shared" ca="1" si="470"/>
        <v>0</v>
      </c>
      <c r="FD239" s="88">
        <f t="shared" ca="1" si="470"/>
        <v>0</v>
      </c>
      <c r="FE239" s="88">
        <f t="shared" ca="1" si="471"/>
        <v>0</v>
      </c>
      <c r="FF239" s="88">
        <f t="shared" ca="1" si="471"/>
        <v>0</v>
      </c>
      <c r="FG239" s="88">
        <f t="shared" ca="1" si="471"/>
        <v>0</v>
      </c>
      <c r="FH239" s="88">
        <f t="shared" ca="1" si="471"/>
        <v>0</v>
      </c>
      <c r="FI239" s="88">
        <f t="shared" ca="1" si="471"/>
        <v>0</v>
      </c>
      <c r="FJ239" s="88">
        <f t="shared" ca="1" si="471"/>
        <v>0</v>
      </c>
      <c r="FK239" s="88">
        <f t="shared" ca="1" si="471"/>
        <v>0</v>
      </c>
      <c r="FL239" s="88">
        <f t="shared" ca="1" si="471"/>
        <v>0</v>
      </c>
      <c r="FM239" s="88">
        <f t="shared" ca="1" si="471"/>
        <v>0</v>
      </c>
      <c r="FN239" s="88">
        <f t="shared" ca="1" si="471"/>
        <v>0</v>
      </c>
      <c r="FO239" s="88">
        <f t="shared" ca="1" si="472"/>
        <v>0</v>
      </c>
      <c r="FP239" s="88">
        <f t="shared" ca="1" si="472"/>
        <v>0</v>
      </c>
      <c r="FQ239" s="88">
        <f t="shared" ca="1" si="472"/>
        <v>0</v>
      </c>
      <c r="FR239" s="88">
        <f t="shared" ca="1" si="472"/>
        <v>0</v>
      </c>
      <c r="FS239" s="88">
        <f t="shared" ca="1" si="472"/>
        <v>0</v>
      </c>
      <c r="FT239" s="88">
        <f t="shared" ca="1" si="472"/>
        <v>0</v>
      </c>
      <c r="FU239" s="88">
        <f t="shared" ca="1" si="472"/>
        <v>0</v>
      </c>
      <c r="FV239" s="88">
        <f t="shared" ca="1" si="472"/>
        <v>0</v>
      </c>
      <c r="FW239" s="88">
        <f t="shared" ca="1" si="472"/>
        <v>0</v>
      </c>
      <c r="FX239" s="88">
        <f t="shared" ca="1" si="472"/>
        <v>0</v>
      </c>
      <c r="FY239" s="88">
        <f t="shared" ca="1" si="472"/>
        <v>0</v>
      </c>
      <c r="FZ239" s="88">
        <f t="shared" ca="1" si="472"/>
        <v>0</v>
      </c>
      <c r="GA239" s="88">
        <f t="shared" ca="1" si="472"/>
        <v>0</v>
      </c>
      <c r="GB239" s="88">
        <f t="shared" ca="1" si="472"/>
        <v>0</v>
      </c>
      <c r="GC239" s="88">
        <f t="shared" ca="1" si="472"/>
        <v>0</v>
      </c>
      <c r="GD239" s="60"/>
    </row>
    <row r="240" spans="1:186" s="54" customFormat="1" ht="14.45" customHeight="1">
      <c r="A240" s="61"/>
      <c r="B240" s="100" t="str">
        <f t="shared" si="418"/>
        <v>C&amp;I_C&amp;I Prescriptive_0_High Bay Fluorescent Fixture w/ HE Electronic Ballast (T8 12-16 lamp)_2019</v>
      </c>
      <c r="C240" s="100">
        <f>INDEX('Measure Inputs'!$D:$D,MATCH($B240,'Measure Inputs'!$B:$B,0))</f>
        <v>192</v>
      </c>
      <c r="D240" s="101" t="s">
        <v>256</v>
      </c>
      <c r="E240" s="101" t="s">
        <v>255</v>
      </c>
      <c r="F240" s="101">
        <v>0</v>
      </c>
      <c r="G240" s="101" t="s">
        <v>276</v>
      </c>
      <c r="H240" s="101">
        <v>2019</v>
      </c>
      <c r="I240" s="55"/>
      <c r="J240" s="58">
        <f t="shared" ca="1" si="229"/>
        <v>3.1156901701560833</v>
      </c>
      <c r="K240" s="58">
        <f t="shared" ca="1" si="246"/>
        <v>9.1637946181061274</v>
      </c>
      <c r="L240" s="58">
        <f t="shared" ca="1" si="230"/>
        <v>0.34</v>
      </c>
      <c r="M240" s="58">
        <f t="shared" ca="1" si="231"/>
        <v>4.0845156203612696</v>
      </c>
      <c r="N240" s="58">
        <f t="shared" ca="1" si="232"/>
        <v>9.1637946181061274</v>
      </c>
      <c r="O240" s="55"/>
      <c r="P240" s="175">
        <f ca="1">IFERROR(($AW240+AV240)/SUMPRODUCT($CA240:$DI240,'General Inputs'!$F$51:$AN$51),"n/a")</f>
        <v>4.1980279806978424E-3</v>
      </c>
      <c r="Q240" s="175">
        <f t="shared" ca="1" si="454"/>
        <v>3.7180834307400323E-2</v>
      </c>
      <c r="R240" s="56">
        <f t="shared" ca="1" si="441"/>
        <v>2743.3488758400013</v>
      </c>
      <c r="S240" s="55"/>
      <c r="T240" s="56">
        <f ca="1">INDEX(OFFSET('Measure Inputs'!$L$7,,,InputRows),$C240)</f>
        <v>80</v>
      </c>
      <c r="U240" s="134">
        <f ca="1">INDEX(OFFSET('Measure Inputs'!$T$7,,,InputRows),$C240)</f>
        <v>1</v>
      </c>
      <c r="V240" s="134">
        <f ca="1">INDEX(OFFSET('Measure Inputs'!$U$7,,,InputRows),$C240)</f>
        <v>1</v>
      </c>
      <c r="W240" s="55"/>
      <c r="X240" s="96">
        <f ca="1">INDEX(OFFSET('Measure Inputs'!$V$7,,,InputRows),$C240)*$T240*$V240*$U240</f>
        <v>182889.92505600004</v>
      </c>
      <c r="Y240" s="96">
        <f ca="1">INDEX(OFFSET('Measure Inputs'!$W$7,,,InputRows),$C240)*$T240*$V240*$U240</f>
        <v>48.492864000000004</v>
      </c>
      <c r="Z240" s="96">
        <f ca="1">INDEX(OFFSET('Measure Inputs'!$X$7,,,InputRows),$C240)*$T240*$V240*$U240</f>
        <v>0</v>
      </c>
      <c r="AA240" s="55"/>
      <c r="AB240" s="96">
        <f ca="1">INDEX(OFFSET('Measure Inputs'!$Z$7,,,InputRows),$C240)*$T240*$V240*$U240</f>
        <v>0</v>
      </c>
      <c r="AC240" s="96">
        <f ca="1">INDEX(OFFSET('Measure Inputs'!$AA$7,,,InputRows),$C240)*$T240*$V240*$U240</f>
        <v>0</v>
      </c>
      <c r="AD240" s="96">
        <f ca="1">INDEX(OFFSET('Measure Inputs'!$AB$7,,,InputRows),$C240)*$T240*$V240*$U240</f>
        <v>0</v>
      </c>
      <c r="AE240" s="55"/>
      <c r="AF240" s="57">
        <f ca="1">INDEX(OFFSET('Measure Inputs'!$Q$7,,,InputRows),$C240)*$T240</f>
        <v>0</v>
      </c>
      <c r="AG240" s="57">
        <f ca="1">INDEX(OFFSET('Measure Inputs'!$P$7,,,InputRows),$C240)*$T240*$V240</f>
        <v>20000</v>
      </c>
      <c r="AH240" s="57">
        <f ca="1">INDEX(OFFSET('Measure Inputs'!$R$7,,,InputRows),$C240)*$T240*$V240</f>
        <v>0</v>
      </c>
      <c r="AI240" s="57">
        <f ca="1">INDEX(OFFSET('Measure Inputs'!$O$7,,,InputRows),$C240)*$T240</f>
        <v>6800</v>
      </c>
      <c r="AJ240" s="57">
        <f ca="1">INDEX(OFFSET('Measure Inputs'!$S$7,,,InputRows),$C240)*$T240</f>
        <v>0</v>
      </c>
      <c r="AK240" s="63">
        <f ca="1">INDEX(OFFSET('Measure Inputs'!$M$7,,,InputRows),$C240)</f>
        <v>15</v>
      </c>
      <c r="AL240" s="88">
        <f ca="1">INDEX(OFFSET('Measure Inputs'!$N$7,,,InputRows),$C240)</f>
        <v>0</v>
      </c>
      <c r="AM240" s="57">
        <f ca="1">SUMIFS(OFFSET('Program Inputs'!$N$5,,,TotalPrograms),OFFSET('Program Inputs'!$B$5,,,TotalPrograms),SUBSTITUTE($B240,"All","*"))+AF240</f>
        <v>0</v>
      </c>
      <c r="AN240" s="57">
        <f t="shared" ca="1" si="442"/>
        <v>6800</v>
      </c>
      <c r="AO240" s="55"/>
      <c r="AP240" s="59">
        <f t="shared" ca="1" si="443"/>
        <v>52602.597931196848</v>
      </c>
      <c r="AQ240" s="59">
        <f t="shared" ca="1" si="444"/>
        <v>16883.128635528505</v>
      </c>
      <c r="AR240" s="59">
        <f ca="1">SUMPRODUCT($CA240:$DI240,'General Inputs'!$F$32:$AN$32,'General Inputs'!$F$51:$AN$51)/(1-Loss_ElectricEnergy)</f>
        <v>44177.372531852481</v>
      </c>
      <c r="AS240" s="59">
        <f ca="1">SUMPRODUCT($DK240:$ES240,'General Inputs'!$F$33:$AN$33,'General Inputs'!$F$51:$AN$51)/(1-Loss_ElectricDemand)</f>
        <v>8425.2253993443683</v>
      </c>
      <c r="AT240" s="59">
        <f ca="1">SUMPRODUCT($EU240:$GC240,'General Inputs'!$F$34:$AN$34,'General Inputs'!$F$51:$AN$51)/(1-Loss_GasEnergy)</f>
        <v>0</v>
      </c>
      <c r="AU240" s="59">
        <f ca="1">INDEX('General Inputs'!$F$51:$AN$51,MATCH($H240,'General Inputs'!$F$50:$AN$50,0))*$AJ240</f>
        <v>0</v>
      </c>
      <c r="AV240" s="59">
        <f ca="1">INDEX('General Inputs'!$F$51:$AN$51,MATCH($H240,'General Inputs'!$F$50:$AN$50,0))*$AI240</f>
        <v>5740.2637360796916</v>
      </c>
      <c r="AW240" s="59">
        <f ca="1">INDEX('General Inputs'!$F$51:$AN$51,MATCH($H240,'General Inputs'!$F$50:$AN$50,0))*$AM240</f>
        <v>0</v>
      </c>
      <c r="AX240" s="59">
        <f ca="1">SUM(INDEX('General Inputs'!$F$51:$AN$51,MATCH($H240,'General Inputs'!$F$50:$AN$50,0))*$AG240,INDEX('General Inputs'!$F$51:$AN$51,MATCH($H240+$AL240,'General Inputs'!$F$50:$AN$50,0))*-$AH240)</f>
        <v>16883.128635528505</v>
      </c>
      <c r="AY240" s="55"/>
      <c r="AZ240" s="59">
        <f ca="1">SUMPRODUCT($CA240:$DI240,'General Inputs'!$F$32:$AN$32,'General Inputs'!$F$52:$AN$52)/(1-Loss_ElectricEnergy)</f>
        <v>44177.372531852481</v>
      </c>
      <c r="BA240" s="59">
        <f ca="1">SUMPRODUCT($DK240:$ES240,'General Inputs'!$F$33:$AN$33,'General Inputs'!$F$52:$AN$52)/(1-Loss_ElectricDemand)</f>
        <v>8425.2253993443683</v>
      </c>
      <c r="BB240" s="59">
        <f ca="1">SUMPRODUCT($EU240:$GC240,'General Inputs'!$F$34:$AN$34,'General Inputs'!$F$52:$AN$52)/(1-Loss_GasEnergy)</f>
        <v>0</v>
      </c>
      <c r="BC240" s="59">
        <f ca="1">INDEX('General Inputs'!$F$52:$AN$52,MATCH($H240,'General Inputs'!$F$50:$AN$50,0))*$AI240</f>
        <v>5740.2637360796916</v>
      </c>
      <c r="BD240" s="59">
        <f ca="1">INDEX('General Inputs'!$F$52:$AN$52,MATCH($H240,'General Inputs'!$F$50:$AN$50,0))*$AM240</f>
        <v>0</v>
      </c>
      <c r="BE240" s="55"/>
      <c r="BF240" s="59">
        <f ca="1">SUMPRODUCT($CA240:$DI240,OFFSET('General Inputs'!$F$40:$AN$40,MATCH($D240&amp;" Electric ($/kWh)",'General Inputs'!$E$40:$E$46,0),),'General Inputs'!$F$54:$AN$54)</f>
        <v>0</v>
      </c>
      <c r="BG240" s="59">
        <f ca="1">SUMPRODUCT($EU240:$GC240,OFFSET('General Inputs'!$F$40:$AN$40,MATCH($D240&amp;" Natural Gas ($/therm)",'General Inputs'!$E$40:$E$46,0),),'General Inputs'!$F$54:$AN$54)</f>
        <v>0</v>
      </c>
      <c r="BH240" s="59">
        <f ca="1">INDEX('General Inputs'!$F$54:$AN$54,MATCH($H240,'General Inputs'!$F$50:$AN$50,0))*$AI240</f>
        <v>5740.2637360796916</v>
      </c>
      <c r="BI240" s="59">
        <f ca="1">SUM(INDEX('General Inputs'!$F$54:$AN$54,MATCH($H240,'General Inputs'!$F$50:$AN$50,0))*$AG240,INDEX('General Inputs'!$F$51:$AN$51,MATCH($H240+$AL240,'General Inputs'!$F$50:$AN$50,0))*-$AH240)</f>
        <v>16883.128635528505</v>
      </c>
      <c r="BJ240" s="55"/>
      <c r="BK240" s="59">
        <f ca="1">SUMPRODUCT($CA240:$DI240,'General Inputs'!$F$32:$AN$32,'General Inputs'!$F$53:$AN$53)/(1-Loss_ElectricEnergy)</f>
        <v>44177.372531852481</v>
      </c>
      <c r="BL240" s="59">
        <f ca="1">SUMPRODUCT($DK240:$ES240,'General Inputs'!$F$33:$AN$33,'General Inputs'!$F$53:$AN$53)/(1-Loss_ElectricDemand)</f>
        <v>8425.2253993443683</v>
      </c>
      <c r="BM240" s="59">
        <f ca="1">SUMPRODUCT($EU240:$GC240,'General Inputs'!$F$34:$AN$34,'General Inputs'!$F$53:$AN$53)/(1-Loss_GasEnergy)</f>
        <v>0</v>
      </c>
      <c r="BN240" s="59">
        <f ca="1">INDEX('General Inputs'!$F$53:$AN$53,MATCH($H240,'General Inputs'!$F$50:$AN$50,0))*$AJ240</f>
        <v>0</v>
      </c>
      <c r="BO240" s="59">
        <f ca="1">SUMPRODUCT($CA240:$DI240,'General Inputs'!$F$35:$AN$35,'General Inputs'!$F$53:$AN$53)/(1-Loss_ElectricEnergy)</f>
        <v>16356.804701187981</v>
      </c>
      <c r="BP240" s="59">
        <f ca="1">INDEX('General Inputs'!$F$51:$AN$51,MATCH($H240,'General Inputs'!$F$50:$AN$50,0))*$AM240</f>
        <v>0</v>
      </c>
      <c r="BQ240" s="59">
        <f ca="1">SUM(INDEX('General Inputs'!$F$53:$AN$53,MATCH($H240,'General Inputs'!$F$50:$AN$50,0))*$AG240,INDEX('General Inputs'!$F$53:$AN$53,MATCH($H240+$AL240,'General Inputs'!$F$50:$AN$50,0))*-$AH240)</f>
        <v>16883.128635528505</v>
      </c>
      <c r="BR240" s="55"/>
      <c r="BS240" s="59">
        <f ca="1">SUMPRODUCT($CA240:$DI240,'General Inputs'!$F$32:$AN$32,'General Inputs'!$F$55:$AN$55)/(1-Loss_ElectricEnergy)</f>
        <v>44177.372531852481</v>
      </c>
      <c r="BT240" s="59">
        <f ca="1">SUMPRODUCT($DK240:$ES240,'General Inputs'!$F$33:$AN$33,'General Inputs'!$F$55:$AN$55)/(1-Loss_ElectricDemand)</f>
        <v>8425.2253993443683</v>
      </c>
      <c r="BU240" s="59">
        <f ca="1">SUMPRODUCT($EU240:$GC240,'General Inputs'!$F$34:$AN$34,'General Inputs'!$F$55:$AN$55)/(1-Loss_GasEnergy)</f>
        <v>0</v>
      </c>
      <c r="BV240" s="59">
        <f ca="1">SUMPRODUCT($CA240:$DI240,OFFSET('General Inputs'!$F$40:$AN$40,MATCH($D240&amp;" Electric ($/kWh)",'General Inputs'!$E$40:$E$46,0),),'General Inputs'!$F$55:$AN$55)</f>
        <v>0</v>
      </c>
      <c r="BW240" s="59">
        <f ca="1">SUMPRODUCT($EU240:$GC240,OFFSET('General Inputs'!$F$40:$AN$40,MATCH($D240&amp;" Natural Gas ($/therm)",'General Inputs'!$E$40:$E$46,0),),'General Inputs'!$F$55:$AN$55)</f>
        <v>0</v>
      </c>
      <c r="BX240" s="59">
        <f ca="1">INDEX('General Inputs'!$F$55:$AN$55,MATCH($H240,'General Inputs'!$F$50:$AN$50,0))*$AI240</f>
        <v>5740.2637360796916</v>
      </c>
      <c r="BY240" s="59">
        <f ca="1">INDEX('General Inputs'!$F$51:$AN$51,MATCH($H240,'General Inputs'!$F$50:$AN$50,0))*$AM240</f>
        <v>0</v>
      </c>
      <c r="BZ240" s="55"/>
      <c r="CA240" s="88">
        <f t="shared" ca="1" si="464"/>
        <v>0</v>
      </c>
      <c r="CB240" s="88">
        <f t="shared" ca="1" si="464"/>
        <v>0</v>
      </c>
      <c r="CC240" s="88">
        <f t="shared" ca="1" si="464"/>
        <v>182889.92505600004</v>
      </c>
      <c r="CD240" s="88">
        <f t="shared" ca="1" si="464"/>
        <v>182889.92505600004</v>
      </c>
      <c r="CE240" s="88">
        <f t="shared" ca="1" si="464"/>
        <v>182889.92505600004</v>
      </c>
      <c r="CF240" s="88">
        <f t="shared" ca="1" si="464"/>
        <v>182889.92505600004</v>
      </c>
      <c r="CG240" s="88">
        <f t="shared" ca="1" si="464"/>
        <v>182889.92505600004</v>
      </c>
      <c r="CH240" s="88">
        <f t="shared" ca="1" si="464"/>
        <v>182889.92505600004</v>
      </c>
      <c r="CI240" s="88">
        <f t="shared" ca="1" si="464"/>
        <v>182889.92505600004</v>
      </c>
      <c r="CJ240" s="88">
        <f t="shared" ca="1" si="464"/>
        <v>182889.92505600004</v>
      </c>
      <c r="CK240" s="88">
        <f t="shared" ca="1" si="465"/>
        <v>182889.92505600004</v>
      </c>
      <c r="CL240" s="88">
        <f t="shared" ca="1" si="465"/>
        <v>182889.92505600004</v>
      </c>
      <c r="CM240" s="88">
        <f t="shared" ca="1" si="465"/>
        <v>182889.92505600004</v>
      </c>
      <c r="CN240" s="88">
        <f t="shared" ca="1" si="465"/>
        <v>182889.92505600004</v>
      </c>
      <c r="CO240" s="88">
        <f t="shared" ca="1" si="465"/>
        <v>182889.92505600004</v>
      </c>
      <c r="CP240" s="88">
        <f t="shared" ca="1" si="465"/>
        <v>182889.92505600004</v>
      </c>
      <c r="CQ240" s="88">
        <f t="shared" ca="1" si="465"/>
        <v>182889.92505600004</v>
      </c>
      <c r="CR240" s="88">
        <f t="shared" ca="1" si="465"/>
        <v>0</v>
      </c>
      <c r="CS240" s="88">
        <f t="shared" ca="1" si="465"/>
        <v>0</v>
      </c>
      <c r="CT240" s="88">
        <f t="shared" ca="1" si="465"/>
        <v>0</v>
      </c>
      <c r="CU240" s="88">
        <f t="shared" ca="1" si="466"/>
        <v>0</v>
      </c>
      <c r="CV240" s="88">
        <f t="shared" ca="1" si="466"/>
        <v>0</v>
      </c>
      <c r="CW240" s="88">
        <f t="shared" ca="1" si="466"/>
        <v>0</v>
      </c>
      <c r="CX240" s="88">
        <f t="shared" ca="1" si="466"/>
        <v>0</v>
      </c>
      <c r="CY240" s="88">
        <f t="shared" ca="1" si="466"/>
        <v>0</v>
      </c>
      <c r="CZ240" s="88">
        <f t="shared" ca="1" si="466"/>
        <v>0</v>
      </c>
      <c r="DA240" s="88">
        <f t="shared" ca="1" si="466"/>
        <v>0</v>
      </c>
      <c r="DB240" s="88">
        <f t="shared" ca="1" si="466"/>
        <v>0</v>
      </c>
      <c r="DC240" s="88">
        <f t="shared" ca="1" si="466"/>
        <v>0</v>
      </c>
      <c r="DD240" s="88">
        <f t="shared" ca="1" si="466"/>
        <v>0</v>
      </c>
      <c r="DE240" s="88">
        <f t="shared" ca="1" si="466"/>
        <v>0</v>
      </c>
      <c r="DF240" s="88">
        <f t="shared" ca="1" si="466"/>
        <v>0</v>
      </c>
      <c r="DG240" s="88">
        <f t="shared" ca="1" si="466"/>
        <v>0</v>
      </c>
      <c r="DH240" s="88">
        <f t="shared" ca="1" si="466"/>
        <v>0</v>
      </c>
      <c r="DI240" s="88">
        <f t="shared" ca="1" si="466"/>
        <v>0</v>
      </c>
      <c r="DJ240" s="169"/>
      <c r="DK240" s="88">
        <f t="shared" ca="1" si="467"/>
        <v>0</v>
      </c>
      <c r="DL240" s="88">
        <f t="shared" ca="1" si="467"/>
        <v>0</v>
      </c>
      <c r="DM240" s="88">
        <f t="shared" ca="1" si="467"/>
        <v>48.492864000000004</v>
      </c>
      <c r="DN240" s="88">
        <f t="shared" ca="1" si="467"/>
        <v>48.492864000000004</v>
      </c>
      <c r="DO240" s="88">
        <f t="shared" ca="1" si="467"/>
        <v>48.492864000000004</v>
      </c>
      <c r="DP240" s="88">
        <f t="shared" ca="1" si="467"/>
        <v>48.492864000000004</v>
      </c>
      <c r="DQ240" s="88">
        <f t="shared" ca="1" si="467"/>
        <v>48.492864000000004</v>
      </c>
      <c r="DR240" s="88">
        <f t="shared" ca="1" si="467"/>
        <v>48.492864000000004</v>
      </c>
      <c r="DS240" s="88">
        <f t="shared" ca="1" si="467"/>
        <v>48.492864000000004</v>
      </c>
      <c r="DT240" s="88">
        <f t="shared" ca="1" si="467"/>
        <v>48.492864000000004</v>
      </c>
      <c r="DU240" s="88">
        <f t="shared" ca="1" si="468"/>
        <v>48.492864000000004</v>
      </c>
      <c r="DV240" s="88">
        <f t="shared" ca="1" si="468"/>
        <v>48.492864000000004</v>
      </c>
      <c r="DW240" s="88">
        <f t="shared" ca="1" si="468"/>
        <v>48.492864000000004</v>
      </c>
      <c r="DX240" s="88">
        <f t="shared" ca="1" si="468"/>
        <v>48.492864000000004</v>
      </c>
      <c r="DY240" s="88">
        <f t="shared" ca="1" si="468"/>
        <v>48.492864000000004</v>
      </c>
      <c r="DZ240" s="88">
        <f t="shared" ca="1" si="468"/>
        <v>48.492864000000004</v>
      </c>
      <c r="EA240" s="88">
        <f t="shared" ca="1" si="468"/>
        <v>48.492864000000004</v>
      </c>
      <c r="EB240" s="88">
        <f t="shared" ca="1" si="468"/>
        <v>0</v>
      </c>
      <c r="EC240" s="88">
        <f t="shared" ca="1" si="468"/>
        <v>0</v>
      </c>
      <c r="ED240" s="88">
        <f t="shared" ca="1" si="468"/>
        <v>0</v>
      </c>
      <c r="EE240" s="88">
        <f t="shared" ca="1" si="469"/>
        <v>0</v>
      </c>
      <c r="EF240" s="88">
        <f t="shared" ca="1" si="469"/>
        <v>0</v>
      </c>
      <c r="EG240" s="88">
        <f t="shared" ca="1" si="469"/>
        <v>0</v>
      </c>
      <c r="EH240" s="88">
        <f t="shared" ca="1" si="469"/>
        <v>0</v>
      </c>
      <c r="EI240" s="88">
        <f t="shared" ca="1" si="469"/>
        <v>0</v>
      </c>
      <c r="EJ240" s="88">
        <f t="shared" ca="1" si="469"/>
        <v>0</v>
      </c>
      <c r="EK240" s="88">
        <f t="shared" ca="1" si="469"/>
        <v>0</v>
      </c>
      <c r="EL240" s="88">
        <f t="shared" ca="1" si="469"/>
        <v>0</v>
      </c>
      <c r="EM240" s="88">
        <f t="shared" ca="1" si="469"/>
        <v>0</v>
      </c>
      <c r="EN240" s="88">
        <f t="shared" ca="1" si="469"/>
        <v>0</v>
      </c>
      <c r="EO240" s="88">
        <f t="shared" ca="1" si="469"/>
        <v>0</v>
      </c>
      <c r="EP240" s="88">
        <f t="shared" ca="1" si="469"/>
        <v>0</v>
      </c>
      <c r="EQ240" s="88">
        <f t="shared" ca="1" si="469"/>
        <v>0</v>
      </c>
      <c r="ER240" s="88">
        <f t="shared" ca="1" si="469"/>
        <v>0</v>
      </c>
      <c r="ES240" s="88">
        <f t="shared" ca="1" si="469"/>
        <v>0</v>
      </c>
      <c r="ET240" s="169"/>
      <c r="EU240" s="88">
        <f t="shared" ca="1" si="470"/>
        <v>0</v>
      </c>
      <c r="EV240" s="88">
        <f t="shared" ca="1" si="470"/>
        <v>0</v>
      </c>
      <c r="EW240" s="88">
        <f t="shared" ca="1" si="470"/>
        <v>0</v>
      </c>
      <c r="EX240" s="88">
        <f t="shared" ca="1" si="470"/>
        <v>0</v>
      </c>
      <c r="EY240" s="88">
        <f t="shared" ca="1" si="470"/>
        <v>0</v>
      </c>
      <c r="EZ240" s="88">
        <f t="shared" ca="1" si="470"/>
        <v>0</v>
      </c>
      <c r="FA240" s="88">
        <f t="shared" ca="1" si="470"/>
        <v>0</v>
      </c>
      <c r="FB240" s="88">
        <f t="shared" ca="1" si="470"/>
        <v>0</v>
      </c>
      <c r="FC240" s="88">
        <f t="shared" ca="1" si="470"/>
        <v>0</v>
      </c>
      <c r="FD240" s="88">
        <f t="shared" ca="1" si="470"/>
        <v>0</v>
      </c>
      <c r="FE240" s="88">
        <f t="shared" ca="1" si="471"/>
        <v>0</v>
      </c>
      <c r="FF240" s="88">
        <f t="shared" ca="1" si="471"/>
        <v>0</v>
      </c>
      <c r="FG240" s="88">
        <f t="shared" ca="1" si="471"/>
        <v>0</v>
      </c>
      <c r="FH240" s="88">
        <f t="shared" ca="1" si="471"/>
        <v>0</v>
      </c>
      <c r="FI240" s="88">
        <f t="shared" ca="1" si="471"/>
        <v>0</v>
      </c>
      <c r="FJ240" s="88">
        <f t="shared" ca="1" si="471"/>
        <v>0</v>
      </c>
      <c r="FK240" s="88">
        <f t="shared" ca="1" si="471"/>
        <v>0</v>
      </c>
      <c r="FL240" s="88">
        <f t="shared" ca="1" si="471"/>
        <v>0</v>
      </c>
      <c r="FM240" s="88">
        <f t="shared" ca="1" si="471"/>
        <v>0</v>
      </c>
      <c r="FN240" s="88">
        <f t="shared" ca="1" si="471"/>
        <v>0</v>
      </c>
      <c r="FO240" s="88">
        <f t="shared" ca="1" si="472"/>
        <v>0</v>
      </c>
      <c r="FP240" s="88">
        <f t="shared" ca="1" si="472"/>
        <v>0</v>
      </c>
      <c r="FQ240" s="88">
        <f t="shared" ca="1" si="472"/>
        <v>0</v>
      </c>
      <c r="FR240" s="88">
        <f t="shared" ca="1" si="472"/>
        <v>0</v>
      </c>
      <c r="FS240" s="88">
        <f t="shared" ca="1" si="472"/>
        <v>0</v>
      </c>
      <c r="FT240" s="88">
        <f t="shared" ca="1" si="472"/>
        <v>0</v>
      </c>
      <c r="FU240" s="88">
        <f t="shared" ca="1" si="472"/>
        <v>0</v>
      </c>
      <c r="FV240" s="88">
        <f t="shared" ca="1" si="472"/>
        <v>0</v>
      </c>
      <c r="FW240" s="88">
        <f t="shared" ca="1" si="472"/>
        <v>0</v>
      </c>
      <c r="FX240" s="88">
        <f t="shared" ca="1" si="472"/>
        <v>0</v>
      </c>
      <c r="FY240" s="88">
        <f t="shared" ca="1" si="472"/>
        <v>0</v>
      </c>
      <c r="FZ240" s="88">
        <f t="shared" ca="1" si="472"/>
        <v>0</v>
      </c>
      <c r="GA240" s="88">
        <f t="shared" ca="1" si="472"/>
        <v>0</v>
      </c>
      <c r="GB240" s="88">
        <f t="shared" ca="1" si="472"/>
        <v>0</v>
      </c>
      <c r="GC240" s="88">
        <f t="shared" ca="1" si="472"/>
        <v>0</v>
      </c>
      <c r="GD240" s="60"/>
    </row>
    <row r="241" spans="1:186" s="54" customFormat="1" ht="14.45" customHeight="1">
      <c r="A241" s="61"/>
      <c r="B241" s="100" t="str">
        <f t="shared" si="418"/>
        <v>C&amp;I_C&amp;I Prescriptive_0_High Bay Fluorescent Fixture w/ HE Electronic Ballast (T8 18-20 lamp)_2019</v>
      </c>
      <c r="C241" s="100">
        <f>INDEX('Measure Inputs'!$D:$D,MATCH($B241,'Measure Inputs'!$B:$B,0))</f>
        <v>193</v>
      </c>
      <c r="D241" s="101" t="s">
        <v>256</v>
      </c>
      <c r="E241" s="101" t="s">
        <v>255</v>
      </c>
      <c r="F241" s="101">
        <v>0</v>
      </c>
      <c r="G241" s="101" t="s">
        <v>355</v>
      </c>
      <c r="H241" s="101">
        <v>2019</v>
      </c>
      <c r="I241" s="55"/>
      <c r="J241" s="58">
        <f t="shared" ca="1" si="229"/>
        <v>3.9179926942247101</v>
      </c>
      <c r="K241" s="58">
        <f t="shared" ca="1" si="246"/>
        <v>10.310507090065029</v>
      </c>
      <c r="L241" s="58">
        <f t="shared" ca="1" si="230"/>
        <v>0.37999999999999995</v>
      </c>
      <c r="M241" s="58">
        <f t="shared" ca="1" si="231"/>
        <v>5.136294524182575</v>
      </c>
      <c r="N241" s="58">
        <f t="shared" ca="1" si="232"/>
        <v>10.310507090065029</v>
      </c>
      <c r="O241" s="55"/>
      <c r="P241" s="175">
        <f ca="1">IFERROR(($AW241+AV241)/SUMPRODUCT($CA241:$DI241,'General Inputs'!$F$51:$AN$51),"n/a")</f>
        <v>3.7311323177544303E-3</v>
      </c>
      <c r="Q241" s="175">
        <f t="shared" ca="1" si="454"/>
        <v>3.3045661706702915E-2</v>
      </c>
      <c r="R241" s="56">
        <f t="shared" ca="1" si="441"/>
        <v>3449.7720460799992</v>
      </c>
      <c r="S241" s="55"/>
      <c r="T241" s="56">
        <f ca="1">INDEX(OFFSET('Measure Inputs'!$L$7,,,InputRows),$C241)</f>
        <v>80</v>
      </c>
      <c r="U241" s="134">
        <f ca="1">INDEX(OFFSET('Measure Inputs'!$T$7,,,InputRows),$C241)</f>
        <v>1</v>
      </c>
      <c r="V241" s="134">
        <f ca="1">INDEX(OFFSET('Measure Inputs'!$U$7,,,InputRows),$C241)</f>
        <v>1</v>
      </c>
      <c r="W241" s="55"/>
      <c r="X241" s="96">
        <f ca="1">INDEX(OFFSET('Measure Inputs'!$V$7,,,InputRows),$C241)*$T241*$V241*$U241</f>
        <v>229984.80307199995</v>
      </c>
      <c r="Y241" s="96">
        <f ca="1">INDEX(OFFSET('Measure Inputs'!$W$7,,,InputRows),$C241)*$T241*$V241*$U241</f>
        <v>60.979968</v>
      </c>
      <c r="Z241" s="96">
        <f ca="1">INDEX(OFFSET('Measure Inputs'!$X$7,,,InputRows),$C241)*$T241*$V241*$U241</f>
        <v>0</v>
      </c>
      <c r="AA241" s="55"/>
      <c r="AB241" s="96">
        <f ca="1">INDEX(OFFSET('Measure Inputs'!$Z$7,,,InputRows),$C241)*$T241*$V241*$U241</f>
        <v>0</v>
      </c>
      <c r="AC241" s="96">
        <f ca="1">INDEX(OFFSET('Measure Inputs'!$AA$7,,,InputRows),$C241)*$T241*$V241*$U241</f>
        <v>0</v>
      </c>
      <c r="AD241" s="96">
        <f ca="1">INDEX(OFFSET('Measure Inputs'!$AB$7,,,InputRows),$C241)*$T241*$V241*$U241</f>
        <v>0</v>
      </c>
      <c r="AE241" s="55"/>
      <c r="AF241" s="57">
        <f ca="1">INDEX(OFFSET('Measure Inputs'!$Q$7,,,InputRows),$C241)*$T241</f>
        <v>0</v>
      </c>
      <c r="AG241" s="57">
        <f ca="1">INDEX(OFFSET('Measure Inputs'!$P$7,,,InputRows),$C241)*$T241*$V241</f>
        <v>20000</v>
      </c>
      <c r="AH241" s="57">
        <f ca="1">INDEX(OFFSET('Measure Inputs'!$R$7,,,InputRows),$C241)*$T241*$V241</f>
        <v>0</v>
      </c>
      <c r="AI241" s="57">
        <f ca="1">INDEX(OFFSET('Measure Inputs'!$O$7,,,InputRows),$C241)*$T241</f>
        <v>7600</v>
      </c>
      <c r="AJ241" s="57">
        <f ca="1">INDEX(OFFSET('Measure Inputs'!$S$7,,,InputRows),$C241)*$T241</f>
        <v>0</v>
      </c>
      <c r="AK241" s="63">
        <f ca="1">INDEX(OFFSET('Measure Inputs'!$M$7,,,InputRows),$C241)</f>
        <v>15</v>
      </c>
      <c r="AL241" s="88">
        <f ca="1">INDEX(OFFSET('Measure Inputs'!$N$7,,,InputRows),$C241)</f>
        <v>0</v>
      </c>
      <c r="AM241" s="57">
        <f ca="1">SUMIFS(OFFSET('Program Inputs'!$N$5,,,TotalPrograms),OFFSET('Program Inputs'!$B$5,,,TotalPrograms),SUBSTITUTE($B241,"All","*"))+AF241</f>
        <v>0</v>
      </c>
      <c r="AN241" s="57">
        <f t="shared" ca="1" si="442"/>
        <v>7600</v>
      </c>
      <c r="AO241" s="55"/>
      <c r="AP241" s="59">
        <f t="shared" ca="1" si="443"/>
        <v>66147.97464965668</v>
      </c>
      <c r="AQ241" s="59">
        <f t="shared" ca="1" si="444"/>
        <v>16883.128635528505</v>
      </c>
      <c r="AR241" s="59">
        <f ca="1">SUMPRODUCT($CA241:$DI241,'General Inputs'!$F$32:$AN$32,'General Inputs'!$F$51:$AN$51)/(1-Loss_ElectricEnergy)</f>
        <v>55553.220434999312</v>
      </c>
      <c r="AS241" s="59">
        <f ca="1">SUMPRODUCT($DK241:$ES241,'General Inputs'!$F$33:$AN$33,'General Inputs'!$F$51:$AN$51)/(1-Loss_ElectricDemand)</f>
        <v>10594.754214657372</v>
      </c>
      <c r="AT241" s="59">
        <f ca="1">SUMPRODUCT($EU241:$GC241,'General Inputs'!$F$34:$AN$34,'General Inputs'!$F$51:$AN$51)/(1-Loss_GasEnergy)</f>
        <v>0</v>
      </c>
      <c r="AU241" s="59">
        <f ca="1">INDEX('General Inputs'!$F$51:$AN$51,MATCH($H241,'General Inputs'!$F$50:$AN$50,0))*$AJ241</f>
        <v>0</v>
      </c>
      <c r="AV241" s="59">
        <f ca="1">INDEX('General Inputs'!$F$51:$AN$51,MATCH($H241,'General Inputs'!$F$50:$AN$50,0))*$AI241</f>
        <v>6415.5888815008311</v>
      </c>
      <c r="AW241" s="59">
        <f ca="1">INDEX('General Inputs'!$F$51:$AN$51,MATCH($H241,'General Inputs'!$F$50:$AN$50,0))*$AM241</f>
        <v>0</v>
      </c>
      <c r="AX241" s="59">
        <f ca="1">SUM(INDEX('General Inputs'!$F$51:$AN$51,MATCH($H241,'General Inputs'!$F$50:$AN$50,0))*$AG241,INDEX('General Inputs'!$F$51:$AN$51,MATCH($H241+$AL241,'General Inputs'!$F$50:$AN$50,0))*-$AH241)</f>
        <v>16883.128635528505</v>
      </c>
      <c r="AY241" s="55"/>
      <c r="AZ241" s="59">
        <f ca="1">SUMPRODUCT($CA241:$DI241,'General Inputs'!$F$32:$AN$32,'General Inputs'!$F$52:$AN$52)/(1-Loss_ElectricEnergy)</f>
        <v>55553.220434999312</v>
      </c>
      <c r="BA241" s="59">
        <f ca="1">SUMPRODUCT($DK241:$ES241,'General Inputs'!$F$33:$AN$33,'General Inputs'!$F$52:$AN$52)/(1-Loss_ElectricDemand)</f>
        <v>10594.754214657372</v>
      </c>
      <c r="BB241" s="59">
        <f ca="1">SUMPRODUCT($EU241:$GC241,'General Inputs'!$F$34:$AN$34,'General Inputs'!$F$52:$AN$52)/(1-Loss_GasEnergy)</f>
        <v>0</v>
      </c>
      <c r="BC241" s="59">
        <f ca="1">INDEX('General Inputs'!$F$52:$AN$52,MATCH($H241,'General Inputs'!$F$50:$AN$50,0))*$AI241</f>
        <v>6415.5888815008311</v>
      </c>
      <c r="BD241" s="59">
        <f ca="1">INDEX('General Inputs'!$F$52:$AN$52,MATCH($H241,'General Inputs'!$F$50:$AN$50,0))*$AM241</f>
        <v>0</v>
      </c>
      <c r="BE241" s="55"/>
      <c r="BF241" s="59">
        <f ca="1">SUMPRODUCT($CA241:$DI241,OFFSET('General Inputs'!$F$40:$AN$40,MATCH($D241&amp;" Electric ($/kWh)",'General Inputs'!$E$40:$E$46,0),),'General Inputs'!$F$54:$AN$54)</f>
        <v>0</v>
      </c>
      <c r="BG241" s="59">
        <f ca="1">SUMPRODUCT($EU241:$GC241,OFFSET('General Inputs'!$F$40:$AN$40,MATCH($D241&amp;" Natural Gas ($/therm)",'General Inputs'!$E$40:$E$46,0),),'General Inputs'!$F$54:$AN$54)</f>
        <v>0</v>
      </c>
      <c r="BH241" s="59">
        <f ca="1">INDEX('General Inputs'!$F$54:$AN$54,MATCH($H241,'General Inputs'!$F$50:$AN$50,0))*$AI241</f>
        <v>6415.5888815008311</v>
      </c>
      <c r="BI241" s="59">
        <f ca="1">SUM(INDEX('General Inputs'!$F$54:$AN$54,MATCH($H241,'General Inputs'!$F$50:$AN$50,0))*$AG241,INDEX('General Inputs'!$F$51:$AN$51,MATCH($H241+$AL241,'General Inputs'!$F$50:$AN$50,0))*-$AH241)</f>
        <v>16883.128635528505</v>
      </c>
      <c r="BJ241" s="55"/>
      <c r="BK241" s="59">
        <f ca="1">SUMPRODUCT($CA241:$DI241,'General Inputs'!$F$32:$AN$32,'General Inputs'!$F$53:$AN$53)/(1-Loss_ElectricEnergy)</f>
        <v>55553.220434999312</v>
      </c>
      <c r="BL241" s="59">
        <f ca="1">SUMPRODUCT($DK241:$ES241,'General Inputs'!$F$33:$AN$33,'General Inputs'!$F$53:$AN$53)/(1-Loss_ElectricDemand)</f>
        <v>10594.754214657372</v>
      </c>
      <c r="BM241" s="59">
        <f ca="1">SUMPRODUCT($EU241:$GC241,'General Inputs'!$F$34:$AN$34,'General Inputs'!$F$53:$AN$53)/(1-Loss_GasEnergy)</f>
        <v>0</v>
      </c>
      <c r="BN241" s="59">
        <f ca="1">INDEX('General Inputs'!$F$53:$AN$53,MATCH($H241,'General Inputs'!$F$50:$AN$50,0))*$AJ241</f>
        <v>0</v>
      </c>
      <c r="BO241" s="59">
        <f ca="1">SUMPRODUCT($CA241:$DI241,'General Inputs'!$F$35:$AN$35,'General Inputs'!$F$53:$AN$53)/(1-Loss_ElectricEnergy)</f>
        <v>20568.7465120784</v>
      </c>
      <c r="BP241" s="59">
        <f ca="1">INDEX('General Inputs'!$F$51:$AN$51,MATCH($H241,'General Inputs'!$F$50:$AN$50,0))*$AM241</f>
        <v>0</v>
      </c>
      <c r="BQ241" s="59">
        <f ca="1">SUM(INDEX('General Inputs'!$F$53:$AN$53,MATCH($H241,'General Inputs'!$F$50:$AN$50,0))*$AG241,INDEX('General Inputs'!$F$53:$AN$53,MATCH($H241+$AL241,'General Inputs'!$F$50:$AN$50,0))*-$AH241)</f>
        <v>16883.128635528505</v>
      </c>
      <c r="BR241" s="55"/>
      <c r="BS241" s="59">
        <f ca="1">SUMPRODUCT($CA241:$DI241,'General Inputs'!$F$32:$AN$32,'General Inputs'!$F$55:$AN$55)/(1-Loss_ElectricEnergy)</f>
        <v>55553.220434999312</v>
      </c>
      <c r="BT241" s="59">
        <f ca="1">SUMPRODUCT($DK241:$ES241,'General Inputs'!$F$33:$AN$33,'General Inputs'!$F$55:$AN$55)/(1-Loss_ElectricDemand)</f>
        <v>10594.754214657372</v>
      </c>
      <c r="BU241" s="59">
        <f ca="1">SUMPRODUCT($EU241:$GC241,'General Inputs'!$F$34:$AN$34,'General Inputs'!$F$55:$AN$55)/(1-Loss_GasEnergy)</f>
        <v>0</v>
      </c>
      <c r="BV241" s="59">
        <f ca="1">SUMPRODUCT($CA241:$DI241,OFFSET('General Inputs'!$F$40:$AN$40,MATCH($D241&amp;" Electric ($/kWh)",'General Inputs'!$E$40:$E$46,0),),'General Inputs'!$F$55:$AN$55)</f>
        <v>0</v>
      </c>
      <c r="BW241" s="59">
        <f ca="1">SUMPRODUCT($EU241:$GC241,OFFSET('General Inputs'!$F$40:$AN$40,MATCH($D241&amp;" Natural Gas ($/therm)",'General Inputs'!$E$40:$E$46,0),),'General Inputs'!$F$55:$AN$55)</f>
        <v>0</v>
      </c>
      <c r="BX241" s="59">
        <f ca="1">INDEX('General Inputs'!$F$55:$AN$55,MATCH($H241,'General Inputs'!$F$50:$AN$50,0))*$AI241</f>
        <v>6415.5888815008311</v>
      </c>
      <c r="BY241" s="59">
        <f ca="1">INDEX('General Inputs'!$F$51:$AN$51,MATCH($H241,'General Inputs'!$F$50:$AN$50,0))*$AM241</f>
        <v>0</v>
      </c>
      <c r="BZ241" s="55"/>
      <c r="CA241" s="88">
        <f t="shared" ca="1" si="464"/>
        <v>0</v>
      </c>
      <c r="CB241" s="88">
        <f t="shared" ca="1" si="464"/>
        <v>0</v>
      </c>
      <c r="CC241" s="88">
        <f t="shared" ca="1" si="464"/>
        <v>229984.80307199995</v>
      </c>
      <c r="CD241" s="88">
        <f t="shared" ca="1" si="464"/>
        <v>229984.80307199995</v>
      </c>
      <c r="CE241" s="88">
        <f t="shared" ca="1" si="464"/>
        <v>229984.80307199995</v>
      </c>
      <c r="CF241" s="88">
        <f t="shared" ca="1" si="464"/>
        <v>229984.80307199995</v>
      </c>
      <c r="CG241" s="88">
        <f t="shared" ca="1" si="464"/>
        <v>229984.80307199995</v>
      </c>
      <c r="CH241" s="88">
        <f t="shared" ca="1" si="464"/>
        <v>229984.80307199995</v>
      </c>
      <c r="CI241" s="88">
        <f t="shared" ca="1" si="464"/>
        <v>229984.80307199995</v>
      </c>
      <c r="CJ241" s="88">
        <f t="shared" ca="1" si="464"/>
        <v>229984.80307199995</v>
      </c>
      <c r="CK241" s="88">
        <f t="shared" ca="1" si="465"/>
        <v>229984.80307199995</v>
      </c>
      <c r="CL241" s="88">
        <f t="shared" ca="1" si="465"/>
        <v>229984.80307199995</v>
      </c>
      <c r="CM241" s="88">
        <f t="shared" ca="1" si="465"/>
        <v>229984.80307199995</v>
      </c>
      <c r="CN241" s="88">
        <f t="shared" ca="1" si="465"/>
        <v>229984.80307199995</v>
      </c>
      <c r="CO241" s="88">
        <f t="shared" ca="1" si="465"/>
        <v>229984.80307199995</v>
      </c>
      <c r="CP241" s="88">
        <f t="shared" ca="1" si="465"/>
        <v>229984.80307199995</v>
      </c>
      <c r="CQ241" s="88">
        <f t="shared" ca="1" si="465"/>
        <v>229984.80307199995</v>
      </c>
      <c r="CR241" s="88">
        <f t="shared" ca="1" si="465"/>
        <v>0</v>
      </c>
      <c r="CS241" s="88">
        <f t="shared" ca="1" si="465"/>
        <v>0</v>
      </c>
      <c r="CT241" s="88">
        <f t="shared" ca="1" si="465"/>
        <v>0</v>
      </c>
      <c r="CU241" s="88">
        <f t="shared" ca="1" si="466"/>
        <v>0</v>
      </c>
      <c r="CV241" s="88">
        <f t="shared" ca="1" si="466"/>
        <v>0</v>
      </c>
      <c r="CW241" s="88">
        <f t="shared" ca="1" si="466"/>
        <v>0</v>
      </c>
      <c r="CX241" s="88">
        <f t="shared" ca="1" si="466"/>
        <v>0</v>
      </c>
      <c r="CY241" s="88">
        <f t="shared" ca="1" si="466"/>
        <v>0</v>
      </c>
      <c r="CZ241" s="88">
        <f t="shared" ca="1" si="466"/>
        <v>0</v>
      </c>
      <c r="DA241" s="88">
        <f t="shared" ca="1" si="466"/>
        <v>0</v>
      </c>
      <c r="DB241" s="88">
        <f t="shared" ca="1" si="466"/>
        <v>0</v>
      </c>
      <c r="DC241" s="88">
        <f t="shared" ca="1" si="466"/>
        <v>0</v>
      </c>
      <c r="DD241" s="88">
        <f t="shared" ca="1" si="466"/>
        <v>0</v>
      </c>
      <c r="DE241" s="88">
        <f t="shared" ca="1" si="466"/>
        <v>0</v>
      </c>
      <c r="DF241" s="88">
        <f t="shared" ca="1" si="466"/>
        <v>0</v>
      </c>
      <c r="DG241" s="88">
        <f t="shared" ca="1" si="466"/>
        <v>0</v>
      </c>
      <c r="DH241" s="88">
        <f t="shared" ca="1" si="466"/>
        <v>0</v>
      </c>
      <c r="DI241" s="88">
        <f t="shared" ca="1" si="466"/>
        <v>0</v>
      </c>
      <c r="DJ241" s="169"/>
      <c r="DK241" s="88">
        <f t="shared" ca="1" si="467"/>
        <v>0</v>
      </c>
      <c r="DL241" s="88">
        <f t="shared" ca="1" si="467"/>
        <v>0</v>
      </c>
      <c r="DM241" s="88">
        <f t="shared" ca="1" si="467"/>
        <v>60.979968</v>
      </c>
      <c r="DN241" s="88">
        <f t="shared" ca="1" si="467"/>
        <v>60.979968</v>
      </c>
      <c r="DO241" s="88">
        <f t="shared" ca="1" si="467"/>
        <v>60.979968</v>
      </c>
      <c r="DP241" s="88">
        <f t="shared" ca="1" si="467"/>
        <v>60.979968</v>
      </c>
      <c r="DQ241" s="88">
        <f t="shared" ca="1" si="467"/>
        <v>60.979968</v>
      </c>
      <c r="DR241" s="88">
        <f t="shared" ca="1" si="467"/>
        <v>60.979968</v>
      </c>
      <c r="DS241" s="88">
        <f t="shared" ca="1" si="467"/>
        <v>60.979968</v>
      </c>
      <c r="DT241" s="88">
        <f t="shared" ca="1" si="467"/>
        <v>60.979968</v>
      </c>
      <c r="DU241" s="88">
        <f t="shared" ca="1" si="468"/>
        <v>60.979968</v>
      </c>
      <c r="DV241" s="88">
        <f t="shared" ca="1" si="468"/>
        <v>60.979968</v>
      </c>
      <c r="DW241" s="88">
        <f t="shared" ca="1" si="468"/>
        <v>60.979968</v>
      </c>
      <c r="DX241" s="88">
        <f t="shared" ca="1" si="468"/>
        <v>60.979968</v>
      </c>
      <c r="DY241" s="88">
        <f t="shared" ca="1" si="468"/>
        <v>60.979968</v>
      </c>
      <c r="DZ241" s="88">
        <f t="shared" ca="1" si="468"/>
        <v>60.979968</v>
      </c>
      <c r="EA241" s="88">
        <f t="shared" ca="1" si="468"/>
        <v>60.979968</v>
      </c>
      <c r="EB241" s="88">
        <f t="shared" ca="1" si="468"/>
        <v>0</v>
      </c>
      <c r="EC241" s="88">
        <f t="shared" ca="1" si="468"/>
        <v>0</v>
      </c>
      <c r="ED241" s="88">
        <f t="shared" ca="1" si="468"/>
        <v>0</v>
      </c>
      <c r="EE241" s="88">
        <f t="shared" ca="1" si="469"/>
        <v>0</v>
      </c>
      <c r="EF241" s="88">
        <f t="shared" ca="1" si="469"/>
        <v>0</v>
      </c>
      <c r="EG241" s="88">
        <f t="shared" ca="1" si="469"/>
        <v>0</v>
      </c>
      <c r="EH241" s="88">
        <f t="shared" ca="1" si="469"/>
        <v>0</v>
      </c>
      <c r="EI241" s="88">
        <f t="shared" ca="1" si="469"/>
        <v>0</v>
      </c>
      <c r="EJ241" s="88">
        <f t="shared" ca="1" si="469"/>
        <v>0</v>
      </c>
      <c r="EK241" s="88">
        <f t="shared" ca="1" si="469"/>
        <v>0</v>
      </c>
      <c r="EL241" s="88">
        <f t="shared" ca="1" si="469"/>
        <v>0</v>
      </c>
      <c r="EM241" s="88">
        <f t="shared" ca="1" si="469"/>
        <v>0</v>
      </c>
      <c r="EN241" s="88">
        <f t="shared" ca="1" si="469"/>
        <v>0</v>
      </c>
      <c r="EO241" s="88">
        <f t="shared" ca="1" si="469"/>
        <v>0</v>
      </c>
      <c r="EP241" s="88">
        <f t="shared" ca="1" si="469"/>
        <v>0</v>
      </c>
      <c r="EQ241" s="88">
        <f t="shared" ca="1" si="469"/>
        <v>0</v>
      </c>
      <c r="ER241" s="88">
        <f t="shared" ca="1" si="469"/>
        <v>0</v>
      </c>
      <c r="ES241" s="88">
        <f t="shared" ca="1" si="469"/>
        <v>0</v>
      </c>
      <c r="ET241" s="169"/>
      <c r="EU241" s="88">
        <f t="shared" ca="1" si="470"/>
        <v>0</v>
      </c>
      <c r="EV241" s="88">
        <f t="shared" ca="1" si="470"/>
        <v>0</v>
      </c>
      <c r="EW241" s="88">
        <f t="shared" ca="1" si="470"/>
        <v>0</v>
      </c>
      <c r="EX241" s="88">
        <f t="shared" ca="1" si="470"/>
        <v>0</v>
      </c>
      <c r="EY241" s="88">
        <f t="shared" ca="1" si="470"/>
        <v>0</v>
      </c>
      <c r="EZ241" s="88">
        <f t="shared" ca="1" si="470"/>
        <v>0</v>
      </c>
      <c r="FA241" s="88">
        <f t="shared" ca="1" si="470"/>
        <v>0</v>
      </c>
      <c r="FB241" s="88">
        <f t="shared" ca="1" si="470"/>
        <v>0</v>
      </c>
      <c r="FC241" s="88">
        <f t="shared" ca="1" si="470"/>
        <v>0</v>
      </c>
      <c r="FD241" s="88">
        <f t="shared" ca="1" si="470"/>
        <v>0</v>
      </c>
      <c r="FE241" s="88">
        <f t="shared" ca="1" si="471"/>
        <v>0</v>
      </c>
      <c r="FF241" s="88">
        <f t="shared" ca="1" si="471"/>
        <v>0</v>
      </c>
      <c r="FG241" s="88">
        <f t="shared" ca="1" si="471"/>
        <v>0</v>
      </c>
      <c r="FH241" s="88">
        <f t="shared" ca="1" si="471"/>
        <v>0</v>
      </c>
      <c r="FI241" s="88">
        <f t="shared" ca="1" si="471"/>
        <v>0</v>
      </c>
      <c r="FJ241" s="88">
        <f t="shared" ca="1" si="471"/>
        <v>0</v>
      </c>
      <c r="FK241" s="88">
        <f t="shared" ca="1" si="471"/>
        <v>0</v>
      </c>
      <c r="FL241" s="88">
        <f t="shared" ca="1" si="471"/>
        <v>0</v>
      </c>
      <c r="FM241" s="88">
        <f t="shared" ca="1" si="471"/>
        <v>0</v>
      </c>
      <c r="FN241" s="88">
        <f t="shared" ca="1" si="471"/>
        <v>0</v>
      </c>
      <c r="FO241" s="88">
        <f t="shared" ca="1" si="472"/>
        <v>0</v>
      </c>
      <c r="FP241" s="88">
        <f t="shared" ca="1" si="472"/>
        <v>0</v>
      </c>
      <c r="FQ241" s="88">
        <f t="shared" ca="1" si="472"/>
        <v>0</v>
      </c>
      <c r="FR241" s="88">
        <f t="shared" ca="1" si="472"/>
        <v>0</v>
      </c>
      <c r="FS241" s="88">
        <f t="shared" ca="1" si="472"/>
        <v>0</v>
      </c>
      <c r="FT241" s="88">
        <f t="shared" ca="1" si="472"/>
        <v>0</v>
      </c>
      <c r="FU241" s="88">
        <f t="shared" ca="1" si="472"/>
        <v>0</v>
      </c>
      <c r="FV241" s="88">
        <f t="shared" ca="1" si="472"/>
        <v>0</v>
      </c>
      <c r="FW241" s="88">
        <f t="shared" ca="1" si="472"/>
        <v>0</v>
      </c>
      <c r="FX241" s="88">
        <f t="shared" ca="1" si="472"/>
        <v>0</v>
      </c>
      <c r="FY241" s="88">
        <f t="shared" ca="1" si="472"/>
        <v>0</v>
      </c>
      <c r="FZ241" s="88">
        <f t="shared" ca="1" si="472"/>
        <v>0</v>
      </c>
      <c r="GA241" s="88">
        <f t="shared" ca="1" si="472"/>
        <v>0</v>
      </c>
      <c r="GB241" s="88">
        <f t="shared" ca="1" si="472"/>
        <v>0</v>
      </c>
      <c r="GC241" s="88">
        <f t="shared" ca="1" si="472"/>
        <v>0</v>
      </c>
      <c r="GD241" s="60"/>
    </row>
    <row r="242" spans="1:186" s="54" customFormat="1" ht="14.45" customHeight="1">
      <c r="A242" s="61"/>
      <c r="B242" s="100" t="str">
        <f t="shared" si="418"/>
        <v>C&amp;I_C&amp;I Prescriptive_0_Low-Wattage T8 _2019</v>
      </c>
      <c r="C242" s="100">
        <f>INDEX('Measure Inputs'!$D:$D,MATCH($B242,'Measure Inputs'!$B:$B,0))</f>
        <v>194</v>
      </c>
      <c r="D242" s="101" t="s">
        <v>256</v>
      </c>
      <c r="E242" s="101" t="s">
        <v>255</v>
      </c>
      <c r="F242" s="101">
        <v>0</v>
      </c>
      <c r="G242" s="101" t="s">
        <v>280</v>
      </c>
      <c r="H242" s="101">
        <v>2019</v>
      </c>
      <c r="I242" s="55"/>
      <c r="J242" s="58">
        <f t="shared" ca="1" si="229"/>
        <v>3.380400351088106</v>
      </c>
      <c r="K242" s="58">
        <f t="shared" ca="1" si="246"/>
        <v>13.521601404352424</v>
      </c>
      <c r="L242" s="58">
        <f t="shared" ca="1" si="230"/>
        <v>0.25</v>
      </c>
      <c r="M242" s="58">
        <f t="shared" ca="1" si="231"/>
        <v>4.4712770447715959</v>
      </c>
      <c r="N242" s="58">
        <f t="shared" ca="1" si="232"/>
        <v>13.521601404352424</v>
      </c>
      <c r="O242" s="55"/>
      <c r="P242" s="175">
        <f ca="1">IFERROR(($AW242+AV242)/SUMPRODUCT($CA242:$DI242,'General Inputs'!$F$51:$AN$51),"n/a")</f>
        <v>2.7414245403043292E-3</v>
      </c>
      <c r="Q242" s="175">
        <f t="shared" ca="1" si="454"/>
        <v>1.6613271611706643E-2</v>
      </c>
      <c r="R242" s="56">
        <f t="shared" ca="1" si="441"/>
        <v>204.65565599999999</v>
      </c>
      <c r="S242" s="55"/>
      <c r="T242" s="56">
        <f ca="1">INDEX(OFFSET('Measure Inputs'!$L$7,,,InputRows),$C242)</f>
        <v>850</v>
      </c>
      <c r="U242" s="134">
        <f ca="1">INDEX(OFFSET('Measure Inputs'!$T$7,,,InputRows),$C242)</f>
        <v>1</v>
      </c>
      <c r="V242" s="134">
        <f ca="1">INDEX(OFFSET('Measure Inputs'!$U$7,,,InputRows),$C242)</f>
        <v>1</v>
      </c>
      <c r="W242" s="55"/>
      <c r="X242" s="96">
        <f ca="1">INDEX(OFFSET('Measure Inputs'!$V$7,,,InputRows),$C242)*$T242*$V242*$U242</f>
        <v>25581.956999999999</v>
      </c>
      <c r="Y242" s="96">
        <f ca="1">INDEX(OFFSET('Measure Inputs'!$W$7,,,InputRows),$C242)*$T242*$V242*$U242</f>
        <v>6.7830000000000013</v>
      </c>
      <c r="Z242" s="96">
        <f ca="1">INDEX(OFFSET('Measure Inputs'!$X$7,,,InputRows),$C242)*$T242*$V242*$U242</f>
        <v>0</v>
      </c>
      <c r="AA242" s="55"/>
      <c r="AB242" s="96">
        <f ca="1">INDEX(OFFSET('Measure Inputs'!$Z$7,,,InputRows),$C242)*$T242*$V242*$U242</f>
        <v>0</v>
      </c>
      <c r="AC242" s="96">
        <f ca="1">INDEX(OFFSET('Measure Inputs'!$AA$7,,,InputRows),$C242)*$T242*$V242*$U242</f>
        <v>0</v>
      </c>
      <c r="AD242" s="96">
        <f ca="1">INDEX(OFFSET('Measure Inputs'!$AB$7,,,InputRows),$C242)*$T242*$V242*$U242</f>
        <v>0</v>
      </c>
      <c r="AE242" s="55"/>
      <c r="AF242" s="57">
        <f ca="1">INDEX(OFFSET('Measure Inputs'!$Q$7,,,InputRows),$C242)*$T242</f>
        <v>0</v>
      </c>
      <c r="AG242" s="57">
        <f ca="1">INDEX(OFFSET('Measure Inputs'!$P$7,,,InputRows),$C242)*$T242*$V242</f>
        <v>1700</v>
      </c>
      <c r="AH242" s="57">
        <f ca="1">INDEX(OFFSET('Measure Inputs'!$R$7,,,InputRows),$C242)*$T242*$V242</f>
        <v>0</v>
      </c>
      <c r="AI242" s="57">
        <f ca="1">INDEX(OFFSET('Measure Inputs'!$O$7,,,InputRows),$C242)*$T242</f>
        <v>425</v>
      </c>
      <c r="AJ242" s="57">
        <f ca="1">INDEX(OFFSET('Measure Inputs'!$S$7,,,InputRows),$C242)*$T242</f>
        <v>0</v>
      </c>
      <c r="AK242" s="63">
        <f ca="1">INDEX(OFFSET('Measure Inputs'!$M$7,,,InputRows),$C242)</f>
        <v>8</v>
      </c>
      <c r="AL242" s="88">
        <f ca="1">INDEX(OFFSET('Measure Inputs'!$N$7,,,InputRows),$C242)</f>
        <v>0</v>
      </c>
      <c r="AM242" s="57">
        <f ca="1">SUMIFS(OFFSET('Program Inputs'!$N$5,,,TotalPrograms),OFFSET('Program Inputs'!$B$5,,,TotalPrograms),SUBSTITUTE($B242,"All","*"))+AF242</f>
        <v>0</v>
      </c>
      <c r="AN242" s="57">
        <f t="shared" ca="1" si="442"/>
        <v>425</v>
      </c>
      <c r="AO242" s="55"/>
      <c r="AP242" s="59">
        <f t="shared" ca="1" si="443"/>
        <v>4851.0973871955284</v>
      </c>
      <c r="AQ242" s="59">
        <f t="shared" ca="1" si="444"/>
        <v>1435.0659340199229</v>
      </c>
      <c r="AR242" s="59">
        <f ca="1">SUMPRODUCT($CA242:$DI242,'General Inputs'!$F$32:$AN$32,'General Inputs'!$F$51:$AN$51)/(1-Loss_ElectricEnergy)</f>
        <v>4074.1093575405653</v>
      </c>
      <c r="AS242" s="59">
        <f ca="1">SUMPRODUCT($DK242:$ES242,'General Inputs'!$F$33:$AN$33,'General Inputs'!$F$51:$AN$51)/(1-Loss_ElectricDemand)</f>
        <v>776.98802965496304</v>
      </c>
      <c r="AT242" s="59">
        <f ca="1">SUMPRODUCT($EU242:$GC242,'General Inputs'!$F$34:$AN$34,'General Inputs'!$F$51:$AN$51)/(1-Loss_GasEnergy)</f>
        <v>0</v>
      </c>
      <c r="AU242" s="59">
        <f ca="1">INDEX('General Inputs'!$F$51:$AN$51,MATCH($H242,'General Inputs'!$F$50:$AN$50,0))*$AJ242</f>
        <v>0</v>
      </c>
      <c r="AV242" s="59">
        <f ca="1">INDEX('General Inputs'!$F$51:$AN$51,MATCH($H242,'General Inputs'!$F$50:$AN$50,0))*$AI242</f>
        <v>358.76648350498073</v>
      </c>
      <c r="AW242" s="59">
        <f ca="1">INDEX('General Inputs'!$F$51:$AN$51,MATCH($H242,'General Inputs'!$F$50:$AN$50,0))*$AM242</f>
        <v>0</v>
      </c>
      <c r="AX242" s="59">
        <f ca="1">SUM(INDEX('General Inputs'!$F$51:$AN$51,MATCH($H242,'General Inputs'!$F$50:$AN$50,0))*$AG242,INDEX('General Inputs'!$F$51:$AN$51,MATCH($H242+$AL242,'General Inputs'!$F$50:$AN$50,0))*-$AH242)</f>
        <v>1435.0659340199229</v>
      </c>
      <c r="AY242" s="55"/>
      <c r="AZ242" s="59">
        <f ca="1">SUMPRODUCT($CA242:$DI242,'General Inputs'!$F$32:$AN$32,'General Inputs'!$F$52:$AN$52)/(1-Loss_ElectricEnergy)</f>
        <v>4074.1093575405653</v>
      </c>
      <c r="BA242" s="59">
        <f ca="1">SUMPRODUCT($DK242:$ES242,'General Inputs'!$F$33:$AN$33,'General Inputs'!$F$52:$AN$52)/(1-Loss_ElectricDemand)</f>
        <v>776.98802965496304</v>
      </c>
      <c r="BB242" s="59">
        <f ca="1">SUMPRODUCT($EU242:$GC242,'General Inputs'!$F$34:$AN$34,'General Inputs'!$F$52:$AN$52)/(1-Loss_GasEnergy)</f>
        <v>0</v>
      </c>
      <c r="BC242" s="59">
        <f ca="1">INDEX('General Inputs'!$F$52:$AN$52,MATCH($H242,'General Inputs'!$F$50:$AN$50,0))*$AI242</f>
        <v>358.76648350498073</v>
      </c>
      <c r="BD242" s="59">
        <f ca="1">INDEX('General Inputs'!$F$52:$AN$52,MATCH($H242,'General Inputs'!$F$50:$AN$50,0))*$AM242</f>
        <v>0</v>
      </c>
      <c r="BE242" s="55"/>
      <c r="BF242" s="59">
        <f ca="1">SUMPRODUCT($CA242:$DI242,OFFSET('General Inputs'!$F$40:$AN$40,MATCH($D242&amp;" Electric ($/kWh)",'General Inputs'!$E$40:$E$46,0),),'General Inputs'!$F$54:$AN$54)</f>
        <v>0</v>
      </c>
      <c r="BG242" s="59">
        <f ca="1">SUMPRODUCT($EU242:$GC242,OFFSET('General Inputs'!$F$40:$AN$40,MATCH($D242&amp;" Natural Gas ($/therm)",'General Inputs'!$E$40:$E$46,0),),'General Inputs'!$F$54:$AN$54)</f>
        <v>0</v>
      </c>
      <c r="BH242" s="59">
        <f ca="1">INDEX('General Inputs'!$F$54:$AN$54,MATCH($H242,'General Inputs'!$F$50:$AN$50,0))*$AI242</f>
        <v>358.76648350498073</v>
      </c>
      <c r="BI242" s="59">
        <f ca="1">SUM(INDEX('General Inputs'!$F$54:$AN$54,MATCH($H242,'General Inputs'!$F$50:$AN$50,0))*$AG242,INDEX('General Inputs'!$F$51:$AN$51,MATCH($H242+$AL242,'General Inputs'!$F$50:$AN$50,0))*-$AH242)</f>
        <v>1435.0659340199229</v>
      </c>
      <c r="BJ242" s="55"/>
      <c r="BK242" s="59">
        <f ca="1">SUMPRODUCT($CA242:$DI242,'General Inputs'!$F$32:$AN$32,'General Inputs'!$F$53:$AN$53)/(1-Loss_ElectricEnergy)</f>
        <v>4074.1093575405653</v>
      </c>
      <c r="BL242" s="59">
        <f ca="1">SUMPRODUCT($DK242:$ES242,'General Inputs'!$F$33:$AN$33,'General Inputs'!$F$53:$AN$53)/(1-Loss_ElectricDemand)</f>
        <v>776.98802965496304</v>
      </c>
      <c r="BM242" s="59">
        <f ca="1">SUMPRODUCT($EU242:$GC242,'General Inputs'!$F$34:$AN$34,'General Inputs'!$F$53:$AN$53)/(1-Loss_GasEnergy)</f>
        <v>0</v>
      </c>
      <c r="BN242" s="59">
        <f ca="1">INDEX('General Inputs'!$F$53:$AN$53,MATCH($H242,'General Inputs'!$F$50:$AN$50,0))*$AJ242</f>
        <v>0</v>
      </c>
      <c r="BO242" s="59">
        <f ca="1">SUMPRODUCT($CA242:$DI242,'General Inputs'!$F$35:$AN$35,'General Inputs'!$F$53:$AN$53)/(1-Loss_ElectricEnergy)</f>
        <v>1565.4799813214631</v>
      </c>
      <c r="BP242" s="59">
        <f ca="1">INDEX('General Inputs'!$F$51:$AN$51,MATCH($H242,'General Inputs'!$F$50:$AN$50,0))*$AM242</f>
        <v>0</v>
      </c>
      <c r="BQ242" s="59">
        <f ca="1">SUM(INDEX('General Inputs'!$F$53:$AN$53,MATCH($H242,'General Inputs'!$F$50:$AN$50,0))*$AG242,INDEX('General Inputs'!$F$53:$AN$53,MATCH($H242+$AL242,'General Inputs'!$F$50:$AN$50,0))*-$AH242)</f>
        <v>1435.0659340199229</v>
      </c>
      <c r="BR242" s="55"/>
      <c r="BS242" s="59">
        <f ca="1">SUMPRODUCT($CA242:$DI242,'General Inputs'!$F$32:$AN$32,'General Inputs'!$F$55:$AN$55)/(1-Loss_ElectricEnergy)</f>
        <v>4074.1093575405653</v>
      </c>
      <c r="BT242" s="59">
        <f ca="1">SUMPRODUCT($DK242:$ES242,'General Inputs'!$F$33:$AN$33,'General Inputs'!$F$55:$AN$55)/(1-Loss_ElectricDemand)</f>
        <v>776.98802965496304</v>
      </c>
      <c r="BU242" s="59">
        <f ca="1">SUMPRODUCT($EU242:$GC242,'General Inputs'!$F$34:$AN$34,'General Inputs'!$F$55:$AN$55)/(1-Loss_GasEnergy)</f>
        <v>0</v>
      </c>
      <c r="BV242" s="59">
        <f ca="1">SUMPRODUCT($CA242:$DI242,OFFSET('General Inputs'!$F$40:$AN$40,MATCH($D242&amp;" Electric ($/kWh)",'General Inputs'!$E$40:$E$46,0),),'General Inputs'!$F$55:$AN$55)</f>
        <v>0</v>
      </c>
      <c r="BW242" s="59">
        <f ca="1">SUMPRODUCT($EU242:$GC242,OFFSET('General Inputs'!$F$40:$AN$40,MATCH($D242&amp;" Natural Gas ($/therm)",'General Inputs'!$E$40:$E$46,0),),'General Inputs'!$F$55:$AN$55)</f>
        <v>0</v>
      </c>
      <c r="BX242" s="59">
        <f ca="1">INDEX('General Inputs'!$F$55:$AN$55,MATCH($H242,'General Inputs'!$F$50:$AN$50,0))*$AI242</f>
        <v>358.76648350498073</v>
      </c>
      <c r="BY242" s="59">
        <f ca="1">INDEX('General Inputs'!$F$51:$AN$51,MATCH($H242,'General Inputs'!$F$50:$AN$50,0))*$AM242</f>
        <v>0</v>
      </c>
      <c r="BZ242" s="55"/>
      <c r="CA242" s="88">
        <f t="shared" ca="1" si="464"/>
        <v>0</v>
      </c>
      <c r="CB242" s="88">
        <f t="shared" ca="1" si="464"/>
        <v>0</v>
      </c>
      <c r="CC242" s="88">
        <f t="shared" ca="1" si="464"/>
        <v>25581.956999999999</v>
      </c>
      <c r="CD242" s="88">
        <f t="shared" ca="1" si="464"/>
        <v>25581.956999999999</v>
      </c>
      <c r="CE242" s="88">
        <f t="shared" ca="1" si="464"/>
        <v>25581.956999999999</v>
      </c>
      <c r="CF242" s="88">
        <f t="shared" ca="1" si="464"/>
        <v>25581.956999999999</v>
      </c>
      <c r="CG242" s="88">
        <f t="shared" ca="1" si="464"/>
        <v>25581.956999999999</v>
      </c>
      <c r="CH242" s="88">
        <f t="shared" ca="1" si="464"/>
        <v>25581.956999999999</v>
      </c>
      <c r="CI242" s="88">
        <f t="shared" ca="1" si="464"/>
        <v>25581.956999999999</v>
      </c>
      <c r="CJ242" s="88">
        <f t="shared" ca="1" si="464"/>
        <v>25581.956999999999</v>
      </c>
      <c r="CK242" s="88">
        <f t="shared" ca="1" si="465"/>
        <v>0</v>
      </c>
      <c r="CL242" s="88">
        <f t="shared" ca="1" si="465"/>
        <v>0</v>
      </c>
      <c r="CM242" s="88">
        <f t="shared" ca="1" si="465"/>
        <v>0</v>
      </c>
      <c r="CN242" s="88">
        <f t="shared" ca="1" si="465"/>
        <v>0</v>
      </c>
      <c r="CO242" s="88">
        <f t="shared" ca="1" si="465"/>
        <v>0</v>
      </c>
      <c r="CP242" s="88">
        <f t="shared" ca="1" si="465"/>
        <v>0</v>
      </c>
      <c r="CQ242" s="88">
        <f t="shared" ca="1" si="465"/>
        <v>0</v>
      </c>
      <c r="CR242" s="88">
        <f t="shared" ca="1" si="465"/>
        <v>0</v>
      </c>
      <c r="CS242" s="88">
        <f t="shared" ca="1" si="465"/>
        <v>0</v>
      </c>
      <c r="CT242" s="88">
        <f t="shared" ca="1" si="465"/>
        <v>0</v>
      </c>
      <c r="CU242" s="88">
        <f t="shared" ca="1" si="466"/>
        <v>0</v>
      </c>
      <c r="CV242" s="88">
        <f t="shared" ca="1" si="466"/>
        <v>0</v>
      </c>
      <c r="CW242" s="88">
        <f t="shared" ca="1" si="466"/>
        <v>0</v>
      </c>
      <c r="CX242" s="88">
        <f t="shared" ca="1" si="466"/>
        <v>0</v>
      </c>
      <c r="CY242" s="88">
        <f t="shared" ca="1" si="466"/>
        <v>0</v>
      </c>
      <c r="CZ242" s="88">
        <f t="shared" ca="1" si="466"/>
        <v>0</v>
      </c>
      <c r="DA242" s="88">
        <f t="shared" ca="1" si="466"/>
        <v>0</v>
      </c>
      <c r="DB242" s="88">
        <f t="shared" ca="1" si="466"/>
        <v>0</v>
      </c>
      <c r="DC242" s="88">
        <f t="shared" ca="1" si="466"/>
        <v>0</v>
      </c>
      <c r="DD242" s="88">
        <f t="shared" ca="1" si="466"/>
        <v>0</v>
      </c>
      <c r="DE242" s="88">
        <f t="shared" ca="1" si="466"/>
        <v>0</v>
      </c>
      <c r="DF242" s="88">
        <f t="shared" ca="1" si="466"/>
        <v>0</v>
      </c>
      <c r="DG242" s="88">
        <f t="shared" ca="1" si="466"/>
        <v>0</v>
      </c>
      <c r="DH242" s="88">
        <f t="shared" ca="1" si="466"/>
        <v>0</v>
      </c>
      <c r="DI242" s="88">
        <f t="shared" ca="1" si="466"/>
        <v>0</v>
      </c>
      <c r="DJ242" s="169"/>
      <c r="DK242" s="88">
        <f t="shared" ca="1" si="467"/>
        <v>0</v>
      </c>
      <c r="DL242" s="88">
        <f t="shared" ca="1" si="467"/>
        <v>0</v>
      </c>
      <c r="DM242" s="88">
        <f t="shared" ca="1" si="467"/>
        <v>6.7830000000000013</v>
      </c>
      <c r="DN242" s="88">
        <f t="shared" ca="1" si="467"/>
        <v>6.7830000000000013</v>
      </c>
      <c r="DO242" s="88">
        <f t="shared" ca="1" si="467"/>
        <v>6.7830000000000013</v>
      </c>
      <c r="DP242" s="88">
        <f t="shared" ca="1" si="467"/>
        <v>6.7830000000000013</v>
      </c>
      <c r="DQ242" s="88">
        <f t="shared" ca="1" si="467"/>
        <v>6.7830000000000013</v>
      </c>
      <c r="DR242" s="88">
        <f t="shared" ca="1" si="467"/>
        <v>6.7830000000000013</v>
      </c>
      <c r="DS242" s="88">
        <f t="shared" ca="1" si="467"/>
        <v>6.7830000000000013</v>
      </c>
      <c r="DT242" s="88">
        <f t="shared" ca="1" si="467"/>
        <v>6.7830000000000013</v>
      </c>
      <c r="DU242" s="88">
        <f t="shared" ca="1" si="468"/>
        <v>0</v>
      </c>
      <c r="DV242" s="88">
        <f t="shared" ca="1" si="468"/>
        <v>0</v>
      </c>
      <c r="DW242" s="88">
        <f t="shared" ca="1" si="468"/>
        <v>0</v>
      </c>
      <c r="DX242" s="88">
        <f t="shared" ca="1" si="468"/>
        <v>0</v>
      </c>
      <c r="DY242" s="88">
        <f t="shared" ca="1" si="468"/>
        <v>0</v>
      </c>
      <c r="DZ242" s="88">
        <f t="shared" ca="1" si="468"/>
        <v>0</v>
      </c>
      <c r="EA242" s="88">
        <f t="shared" ca="1" si="468"/>
        <v>0</v>
      </c>
      <c r="EB242" s="88">
        <f t="shared" ca="1" si="468"/>
        <v>0</v>
      </c>
      <c r="EC242" s="88">
        <f t="shared" ca="1" si="468"/>
        <v>0</v>
      </c>
      <c r="ED242" s="88">
        <f t="shared" ca="1" si="468"/>
        <v>0</v>
      </c>
      <c r="EE242" s="88">
        <f t="shared" ca="1" si="469"/>
        <v>0</v>
      </c>
      <c r="EF242" s="88">
        <f t="shared" ca="1" si="469"/>
        <v>0</v>
      </c>
      <c r="EG242" s="88">
        <f t="shared" ca="1" si="469"/>
        <v>0</v>
      </c>
      <c r="EH242" s="88">
        <f t="shared" ca="1" si="469"/>
        <v>0</v>
      </c>
      <c r="EI242" s="88">
        <f t="shared" ca="1" si="469"/>
        <v>0</v>
      </c>
      <c r="EJ242" s="88">
        <f t="shared" ca="1" si="469"/>
        <v>0</v>
      </c>
      <c r="EK242" s="88">
        <f t="shared" ca="1" si="469"/>
        <v>0</v>
      </c>
      <c r="EL242" s="88">
        <f t="shared" ca="1" si="469"/>
        <v>0</v>
      </c>
      <c r="EM242" s="88">
        <f t="shared" ca="1" si="469"/>
        <v>0</v>
      </c>
      <c r="EN242" s="88">
        <f t="shared" ca="1" si="469"/>
        <v>0</v>
      </c>
      <c r="EO242" s="88">
        <f t="shared" ca="1" si="469"/>
        <v>0</v>
      </c>
      <c r="EP242" s="88">
        <f t="shared" ca="1" si="469"/>
        <v>0</v>
      </c>
      <c r="EQ242" s="88">
        <f t="shared" ca="1" si="469"/>
        <v>0</v>
      </c>
      <c r="ER242" s="88">
        <f t="shared" ca="1" si="469"/>
        <v>0</v>
      </c>
      <c r="ES242" s="88">
        <f t="shared" ca="1" si="469"/>
        <v>0</v>
      </c>
      <c r="ET242" s="169"/>
      <c r="EU242" s="88">
        <f t="shared" ca="1" si="470"/>
        <v>0</v>
      </c>
      <c r="EV242" s="88">
        <f t="shared" ca="1" si="470"/>
        <v>0</v>
      </c>
      <c r="EW242" s="88">
        <f t="shared" ca="1" si="470"/>
        <v>0</v>
      </c>
      <c r="EX242" s="88">
        <f t="shared" ca="1" si="470"/>
        <v>0</v>
      </c>
      <c r="EY242" s="88">
        <f t="shared" ca="1" si="470"/>
        <v>0</v>
      </c>
      <c r="EZ242" s="88">
        <f t="shared" ca="1" si="470"/>
        <v>0</v>
      </c>
      <c r="FA242" s="88">
        <f t="shared" ca="1" si="470"/>
        <v>0</v>
      </c>
      <c r="FB242" s="88">
        <f t="shared" ca="1" si="470"/>
        <v>0</v>
      </c>
      <c r="FC242" s="88">
        <f t="shared" ca="1" si="470"/>
        <v>0</v>
      </c>
      <c r="FD242" s="88">
        <f t="shared" ca="1" si="470"/>
        <v>0</v>
      </c>
      <c r="FE242" s="88">
        <f t="shared" ca="1" si="471"/>
        <v>0</v>
      </c>
      <c r="FF242" s="88">
        <f t="shared" ca="1" si="471"/>
        <v>0</v>
      </c>
      <c r="FG242" s="88">
        <f t="shared" ca="1" si="471"/>
        <v>0</v>
      </c>
      <c r="FH242" s="88">
        <f t="shared" ca="1" si="471"/>
        <v>0</v>
      </c>
      <c r="FI242" s="88">
        <f t="shared" ca="1" si="471"/>
        <v>0</v>
      </c>
      <c r="FJ242" s="88">
        <f t="shared" ca="1" si="471"/>
        <v>0</v>
      </c>
      <c r="FK242" s="88">
        <f t="shared" ca="1" si="471"/>
        <v>0</v>
      </c>
      <c r="FL242" s="88">
        <f t="shared" ca="1" si="471"/>
        <v>0</v>
      </c>
      <c r="FM242" s="88">
        <f t="shared" ca="1" si="471"/>
        <v>0</v>
      </c>
      <c r="FN242" s="88">
        <f t="shared" ca="1" si="471"/>
        <v>0</v>
      </c>
      <c r="FO242" s="88">
        <f t="shared" ca="1" si="472"/>
        <v>0</v>
      </c>
      <c r="FP242" s="88">
        <f t="shared" ca="1" si="472"/>
        <v>0</v>
      </c>
      <c r="FQ242" s="88">
        <f t="shared" ca="1" si="472"/>
        <v>0</v>
      </c>
      <c r="FR242" s="88">
        <f t="shared" ca="1" si="472"/>
        <v>0</v>
      </c>
      <c r="FS242" s="88">
        <f t="shared" ca="1" si="472"/>
        <v>0</v>
      </c>
      <c r="FT242" s="88">
        <f t="shared" ca="1" si="472"/>
        <v>0</v>
      </c>
      <c r="FU242" s="88">
        <f t="shared" ca="1" si="472"/>
        <v>0</v>
      </c>
      <c r="FV242" s="88">
        <f t="shared" ca="1" si="472"/>
        <v>0</v>
      </c>
      <c r="FW242" s="88">
        <f t="shared" ca="1" si="472"/>
        <v>0</v>
      </c>
      <c r="FX242" s="88">
        <f t="shared" ca="1" si="472"/>
        <v>0</v>
      </c>
      <c r="FY242" s="88">
        <f t="shared" ca="1" si="472"/>
        <v>0</v>
      </c>
      <c r="FZ242" s="88">
        <f t="shared" ca="1" si="472"/>
        <v>0</v>
      </c>
      <c r="GA242" s="88">
        <f t="shared" ca="1" si="472"/>
        <v>0</v>
      </c>
      <c r="GB242" s="88">
        <f t="shared" ca="1" si="472"/>
        <v>0</v>
      </c>
      <c r="GC242" s="88">
        <f t="shared" ca="1" si="472"/>
        <v>0</v>
      </c>
      <c r="GD242" s="60"/>
    </row>
    <row r="243" spans="1:186" s="54" customFormat="1" ht="14.45" customHeight="1">
      <c r="A243" s="61"/>
      <c r="B243" s="100" t="str">
        <f t="shared" si="418"/>
        <v>C&amp;I_C&amp;I Prescriptive_0_Energy Star LED Lamp (≤5W)_2019</v>
      </c>
      <c r="C243" s="100">
        <f>INDEX('Measure Inputs'!$D:$D,MATCH($B243,'Measure Inputs'!$B:$B,0))</f>
        <v>195</v>
      </c>
      <c r="D243" s="101" t="s">
        <v>256</v>
      </c>
      <c r="E243" s="101" t="s">
        <v>255</v>
      </c>
      <c r="F243" s="101">
        <v>0</v>
      </c>
      <c r="G243" s="101" t="s">
        <v>288</v>
      </c>
      <c r="H243" s="101">
        <v>2019</v>
      </c>
      <c r="I243" s="55"/>
      <c r="J243" s="58">
        <f t="shared" ca="1" si="229"/>
        <v>2.0032002080522107</v>
      </c>
      <c r="K243" s="58">
        <f t="shared" ca="1" si="246"/>
        <v>3.6057603744939795</v>
      </c>
      <c r="L243" s="58">
        <f t="shared" ca="1" si="230"/>
        <v>0.55555555555555547</v>
      </c>
      <c r="M243" s="58">
        <f t="shared" ca="1" si="231"/>
        <v>2.6496456561609456</v>
      </c>
      <c r="N243" s="58">
        <f t="shared" ca="1" si="232"/>
        <v>3.6057603744939795</v>
      </c>
      <c r="O243" s="55"/>
      <c r="P243" s="175">
        <f ca="1">IFERROR(($AW243+AV243)/SUMPRODUCT($CA243:$DI243,'General Inputs'!$F$51:$AN$51),"n/a")</f>
        <v>1.0280342026141235E-2</v>
      </c>
      <c r="Q243" s="175">
        <f t="shared" ca="1" si="454"/>
        <v>6.229976854389991E-2</v>
      </c>
      <c r="R243" s="56">
        <f t="shared" ca="1" si="441"/>
        <v>96.308543999999998</v>
      </c>
      <c r="S243" s="55"/>
      <c r="T243" s="56">
        <f ca="1">INDEX(OFFSET('Measure Inputs'!$L$7,,,InputRows),$C243)</f>
        <v>150</v>
      </c>
      <c r="U243" s="134">
        <f ca="1">INDEX(OFFSET('Measure Inputs'!$T$7,,,InputRows),$C243)</f>
        <v>1</v>
      </c>
      <c r="V243" s="134">
        <f ca="1">INDEX(OFFSET('Measure Inputs'!$U$7,,,InputRows),$C243)</f>
        <v>1</v>
      </c>
      <c r="W243" s="55"/>
      <c r="X243" s="96">
        <f ca="1">INDEX(OFFSET('Measure Inputs'!$V$7,,,InputRows),$C243)*$T243*$V243*$U243</f>
        <v>12038.567999999999</v>
      </c>
      <c r="Y243" s="96">
        <f ca="1">INDEX(OFFSET('Measure Inputs'!$W$7,,,InputRows),$C243)*$T243*$V243*$U243</f>
        <v>3.1920000000000002</v>
      </c>
      <c r="Z243" s="96">
        <f ca="1">INDEX(OFFSET('Measure Inputs'!$X$7,,,InputRows),$C243)*$T243*$V243*$U243</f>
        <v>0</v>
      </c>
      <c r="AA243" s="55"/>
      <c r="AB243" s="96">
        <f ca="1">INDEX(OFFSET('Measure Inputs'!$Z$7,,,InputRows),$C243)*$T243*$V243*$U243</f>
        <v>0</v>
      </c>
      <c r="AC243" s="96">
        <f ca="1">INDEX(OFFSET('Measure Inputs'!$AA$7,,,InputRows),$C243)*$T243*$V243*$U243</f>
        <v>0</v>
      </c>
      <c r="AD243" s="96">
        <f ca="1">INDEX(OFFSET('Measure Inputs'!$AB$7,,,InputRows),$C243)*$T243*$V243*$U243</f>
        <v>0</v>
      </c>
      <c r="AE243" s="55"/>
      <c r="AF243" s="57">
        <f ca="1">INDEX(OFFSET('Measure Inputs'!$Q$7,,,InputRows),$C243)*$T243</f>
        <v>0</v>
      </c>
      <c r="AG243" s="57">
        <f ca="1">INDEX(OFFSET('Measure Inputs'!$P$7,,,InputRows),$C243)*$T243*$V243</f>
        <v>1350</v>
      </c>
      <c r="AH243" s="57">
        <f ca="1">INDEX(OFFSET('Measure Inputs'!$R$7,,,InputRows),$C243)*$T243*$V243</f>
        <v>0</v>
      </c>
      <c r="AI243" s="57">
        <f ca="1">INDEX(OFFSET('Measure Inputs'!$O$7,,,InputRows),$C243)*$T243</f>
        <v>750</v>
      </c>
      <c r="AJ243" s="57">
        <f ca="1">INDEX(OFFSET('Measure Inputs'!$S$7,,,InputRows),$C243)*$T243</f>
        <v>0</v>
      </c>
      <c r="AK243" s="63">
        <f ca="1">INDEX(OFFSET('Measure Inputs'!$M$7,,,InputRows),$C243)</f>
        <v>8</v>
      </c>
      <c r="AL243" s="88">
        <f ca="1">INDEX(OFFSET('Measure Inputs'!$N$7,,,InputRows),$C243)</f>
        <v>0</v>
      </c>
      <c r="AM243" s="57">
        <f ca="1">SUMIFS(OFFSET('Program Inputs'!$N$5,,,TotalPrograms),OFFSET('Program Inputs'!$B$5,,,TotalPrograms),SUBSTITUTE($B243,"All","*"))+AF243</f>
        <v>0</v>
      </c>
      <c r="AN243" s="57">
        <f t="shared" ca="1" si="442"/>
        <v>750</v>
      </c>
      <c r="AO243" s="55"/>
      <c r="AP243" s="59">
        <f t="shared" ca="1" si="443"/>
        <v>2282.8693586802483</v>
      </c>
      <c r="AQ243" s="59">
        <f t="shared" ca="1" si="444"/>
        <v>1139.6111828981741</v>
      </c>
      <c r="AR243" s="59">
        <f ca="1">SUMPRODUCT($CA243:$DI243,'General Inputs'!$F$32:$AN$32,'General Inputs'!$F$51:$AN$51)/(1-Loss_ElectricEnergy)</f>
        <v>1917.2279329602657</v>
      </c>
      <c r="AS243" s="59">
        <f ca="1">SUMPRODUCT($DK243:$ES243,'General Inputs'!$F$33:$AN$33,'General Inputs'!$F$51:$AN$51)/(1-Loss_ElectricDemand)</f>
        <v>365.64142571998246</v>
      </c>
      <c r="AT243" s="59">
        <f ca="1">SUMPRODUCT($EU243:$GC243,'General Inputs'!$F$34:$AN$34,'General Inputs'!$F$51:$AN$51)/(1-Loss_GasEnergy)</f>
        <v>0</v>
      </c>
      <c r="AU243" s="59">
        <f ca="1">INDEX('General Inputs'!$F$51:$AN$51,MATCH($H243,'General Inputs'!$F$50:$AN$50,0))*$AJ243</f>
        <v>0</v>
      </c>
      <c r="AV243" s="59">
        <f ca="1">INDEX('General Inputs'!$F$51:$AN$51,MATCH($H243,'General Inputs'!$F$50:$AN$50,0))*$AI243</f>
        <v>633.1173238323189</v>
      </c>
      <c r="AW243" s="59">
        <f ca="1">INDEX('General Inputs'!$F$51:$AN$51,MATCH($H243,'General Inputs'!$F$50:$AN$50,0))*$AM243</f>
        <v>0</v>
      </c>
      <c r="AX243" s="59">
        <f ca="1">SUM(INDEX('General Inputs'!$F$51:$AN$51,MATCH($H243,'General Inputs'!$F$50:$AN$50,0))*$AG243,INDEX('General Inputs'!$F$51:$AN$51,MATCH($H243+$AL243,'General Inputs'!$F$50:$AN$50,0))*-$AH243)</f>
        <v>1139.6111828981741</v>
      </c>
      <c r="AY243" s="55"/>
      <c r="AZ243" s="59">
        <f ca="1">SUMPRODUCT($CA243:$DI243,'General Inputs'!$F$32:$AN$32,'General Inputs'!$F$52:$AN$52)/(1-Loss_ElectricEnergy)</f>
        <v>1917.2279329602657</v>
      </c>
      <c r="BA243" s="59">
        <f ca="1">SUMPRODUCT($DK243:$ES243,'General Inputs'!$F$33:$AN$33,'General Inputs'!$F$52:$AN$52)/(1-Loss_ElectricDemand)</f>
        <v>365.64142571998246</v>
      </c>
      <c r="BB243" s="59">
        <f ca="1">SUMPRODUCT($EU243:$GC243,'General Inputs'!$F$34:$AN$34,'General Inputs'!$F$52:$AN$52)/(1-Loss_GasEnergy)</f>
        <v>0</v>
      </c>
      <c r="BC243" s="59">
        <f ca="1">INDEX('General Inputs'!$F$52:$AN$52,MATCH($H243,'General Inputs'!$F$50:$AN$50,0))*$AI243</f>
        <v>633.1173238323189</v>
      </c>
      <c r="BD243" s="59">
        <f ca="1">INDEX('General Inputs'!$F$52:$AN$52,MATCH($H243,'General Inputs'!$F$50:$AN$50,0))*$AM243</f>
        <v>0</v>
      </c>
      <c r="BE243" s="55"/>
      <c r="BF243" s="59">
        <f ca="1">SUMPRODUCT($CA243:$DI243,OFFSET('General Inputs'!$F$40:$AN$40,MATCH($D243&amp;" Electric ($/kWh)",'General Inputs'!$E$40:$E$46,0),),'General Inputs'!$F$54:$AN$54)</f>
        <v>0</v>
      </c>
      <c r="BG243" s="59">
        <f ca="1">SUMPRODUCT($EU243:$GC243,OFFSET('General Inputs'!$F$40:$AN$40,MATCH($D243&amp;" Natural Gas ($/therm)",'General Inputs'!$E$40:$E$46,0),),'General Inputs'!$F$54:$AN$54)</f>
        <v>0</v>
      </c>
      <c r="BH243" s="59">
        <f ca="1">INDEX('General Inputs'!$F$54:$AN$54,MATCH($H243,'General Inputs'!$F$50:$AN$50,0))*$AI243</f>
        <v>633.1173238323189</v>
      </c>
      <c r="BI243" s="59">
        <f ca="1">SUM(INDEX('General Inputs'!$F$54:$AN$54,MATCH($H243,'General Inputs'!$F$50:$AN$50,0))*$AG243,INDEX('General Inputs'!$F$51:$AN$51,MATCH($H243+$AL243,'General Inputs'!$F$50:$AN$50,0))*-$AH243)</f>
        <v>1139.6111828981741</v>
      </c>
      <c r="BJ243" s="55"/>
      <c r="BK243" s="59">
        <f ca="1">SUMPRODUCT($CA243:$DI243,'General Inputs'!$F$32:$AN$32,'General Inputs'!$F$53:$AN$53)/(1-Loss_ElectricEnergy)</f>
        <v>1917.2279329602657</v>
      </c>
      <c r="BL243" s="59">
        <f ca="1">SUMPRODUCT($DK243:$ES243,'General Inputs'!$F$33:$AN$33,'General Inputs'!$F$53:$AN$53)/(1-Loss_ElectricDemand)</f>
        <v>365.64142571998246</v>
      </c>
      <c r="BM243" s="59">
        <f ca="1">SUMPRODUCT($EU243:$GC243,'General Inputs'!$F$34:$AN$34,'General Inputs'!$F$53:$AN$53)/(1-Loss_GasEnergy)</f>
        <v>0</v>
      </c>
      <c r="BN243" s="59">
        <f ca="1">INDEX('General Inputs'!$F$53:$AN$53,MATCH($H243,'General Inputs'!$F$50:$AN$50,0))*$AJ243</f>
        <v>0</v>
      </c>
      <c r="BO243" s="59">
        <f ca="1">SUMPRODUCT($CA243:$DI243,'General Inputs'!$F$35:$AN$35,'General Inputs'!$F$53:$AN$53)/(1-Loss_ElectricEnergy)</f>
        <v>736.69646179833558</v>
      </c>
      <c r="BP243" s="59">
        <f ca="1">INDEX('General Inputs'!$F$51:$AN$51,MATCH($H243,'General Inputs'!$F$50:$AN$50,0))*$AM243</f>
        <v>0</v>
      </c>
      <c r="BQ243" s="59">
        <f ca="1">SUM(INDEX('General Inputs'!$F$53:$AN$53,MATCH($H243,'General Inputs'!$F$50:$AN$50,0))*$AG243,INDEX('General Inputs'!$F$53:$AN$53,MATCH($H243+$AL243,'General Inputs'!$F$50:$AN$50,0))*-$AH243)</f>
        <v>1139.6111828981741</v>
      </c>
      <c r="BR243" s="55"/>
      <c r="BS243" s="59">
        <f ca="1">SUMPRODUCT($CA243:$DI243,'General Inputs'!$F$32:$AN$32,'General Inputs'!$F$55:$AN$55)/(1-Loss_ElectricEnergy)</f>
        <v>1917.2279329602657</v>
      </c>
      <c r="BT243" s="59">
        <f ca="1">SUMPRODUCT($DK243:$ES243,'General Inputs'!$F$33:$AN$33,'General Inputs'!$F$55:$AN$55)/(1-Loss_ElectricDemand)</f>
        <v>365.64142571998246</v>
      </c>
      <c r="BU243" s="59">
        <f ca="1">SUMPRODUCT($EU243:$GC243,'General Inputs'!$F$34:$AN$34,'General Inputs'!$F$55:$AN$55)/(1-Loss_GasEnergy)</f>
        <v>0</v>
      </c>
      <c r="BV243" s="59">
        <f ca="1">SUMPRODUCT($CA243:$DI243,OFFSET('General Inputs'!$F$40:$AN$40,MATCH($D243&amp;" Electric ($/kWh)",'General Inputs'!$E$40:$E$46,0),),'General Inputs'!$F$55:$AN$55)</f>
        <v>0</v>
      </c>
      <c r="BW243" s="59">
        <f ca="1">SUMPRODUCT($EU243:$GC243,OFFSET('General Inputs'!$F$40:$AN$40,MATCH($D243&amp;" Natural Gas ($/therm)",'General Inputs'!$E$40:$E$46,0),),'General Inputs'!$F$55:$AN$55)</f>
        <v>0</v>
      </c>
      <c r="BX243" s="59">
        <f ca="1">INDEX('General Inputs'!$F$55:$AN$55,MATCH($H243,'General Inputs'!$F$50:$AN$50,0))*$AI243</f>
        <v>633.1173238323189</v>
      </c>
      <c r="BY243" s="59">
        <f ca="1">INDEX('General Inputs'!$F$51:$AN$51,MATCH($H243,'General Inputs'!$F$50:$AN$50,0))*$AM243</f>
        <v>0</v>
      </c>
      <c r="BZ243" s="55"/>
      <c r="CA243" s="88">
        <f t="shared" ca="1" si="464"/>
        <v>0</v>
      </c>
      <c r="CB243" s="88">
        <f t="shared" ca="1" si="464"/>
        <v>0</v>
      </c>
      <c r="CC243" s="88">
        <f t="shared" ca="1" si="464"/>
        <v>12038.567999999999</v>
      </c>
      <c r="CD243" s="88">
        <f t="shared" ca="1" si="464"/>
        <v>12038.567999999999</v>
      </c>
      <c r="CE243" s="88">
        <f t="shared" ca="1" si="464"/>
        <v>12038.567999999999</v>
      </c>
      <c r="CF243" s="88">
        <f t="shared" ca="1" si="464"/>
        <v>12038.567999999999</v>
      </c>
      <c r="CG243" s="88">
        <f t="shared" ca="1" si="464"/>
        <v>12038.567999999999</v>
      </c>
      <c r="CH243" s="88">
        <f t="shared" ca="1" si="464"/>
        <v>12038.567999999999</v>
      </c>
      <c r="CI243" s="88">
        <f t="shared" ca="1" si="464"/>
        <v>12038.567999999999</v>
      </c>
      <c r="CJ243" s="88">
        <f t="shared" ca="1" si="464"/>
        <v>12038.567999999999</v>
      </c>
      <c r="CK243" s="88">
        <f t="shared" ca="1" si="465"/>
        <v>0</v>
      </c>
      <c r="CL243" s="88">
        <f t="shared" ca="1" si="465"/>
        <v>0</v>
      </c>
      <c r="CM243" s="88">
        <f t="shared" ca="1" si="465"/>
        <v>0</v>
      </c>
      <c r="CN243" s="88">
        <f t="shared" ca="1" si="465"/>
        <v>0</v>
      </c>
      <c r="CO243" s="88">
        <f t="shared" ca="1" si="465"/>
        <v>0</v>
      </c>
      <c r="CP243" s="88">
        <f t="shared" ca="1" si="465"/>
        <v>0</v>
      </c>
      <c r="CQ243" s="88">
        <f t="shared" ca="1" si="465"/>
        <v>0</v>
      </c>
      <c r="CR243" s="88">
        <f t="shared" ca="1" si="465"/>
        <v>0</v>
      </c>
      <c r="CS243" s="88">
        <f t="shared" ca="1" si="465"/>
        <v>0</v>
      </c>
      <c r="CT243" s="88">
        <f t="shared" ca="1" si="465"/>
        <v>0</v>
      </c>
      <c r="CU243" s="88">
        <f t="shared" ca="1" si="466"/>
        <v>0</v>
      </c>
      <c r="CV243" s="88">
        <f t="shared" ca="1" si="466"/>
        <v>0</v>
      </c>
      <c r="CW243" s="88">
        <f t="shared" ca="1" si="466"/>
        <v>0</v>
      </c>
      <c r="CX243" s="88">
        <f t="shared" ca="1" si="466"/>
        <v>0</v>
      </c>
      <c r="CY243" s="88">
        <f t="shared" ca="1" si="466"/>
        <v>0</v>
      </c>
      <c r="CZ243" s="88">
        <f t="shared" ca="1" si="466"/>
        <v>0</v>
      </c>
      <c r="DA243" s="88">
        <f t="shared" ca="1" si="466"/>
        <v>0</v>
      </c>
      <c r="DB243" s="88">
        <f t="shared" ca="1" si="466"/>
        <v>0</v>
      </c>
      <c r="DC243" s="88">
        <f t="shared" ca="1" si="466"/>
        <v>0</v>
      </c>
      <c r="DD243" s="88">
        <f t="shared" ca="1" si="466"/>
        <v>0</v>
      </c>
      <c r="DE243" s="88">
        <f t="shared" ca="1" si="466"/>
        <v>0</v>
      </c>
      <c r="DF243" s="88">
        <f t="shared" ca="1" si="466"/>
        <v>0</v>
      </c>
      <c r="DG243" s="88">
        <f t="shared" ca="1" si="466"/>
        <v>0</v>
      </c>
      <c r="DH243" s="88">
        <f t="shared" ca="1" si="466"/>
        <v>0</v>
      </c>
      <c r="DI243" s="88">
        <f t="shared" ca="1" si="466"/>
        <v>0</v>
      </c>
      <c r="DJ243" s="169"/>
      <c r="DK243" s="88">
        <f t="shared" ca="1" si="467"/>
        <v>0</v>
      </c>
      <c r="DL243" s="88">
        <f t="shared" ca="1" si="467"/>
        <v>0</v>
      </c>
      <c r="DM243" s="88">
        <f t="shared" ca="1" si="467"/>
        <v>3.1920000000000002</v>
      </c>
      <c r="DN243" s="88">
        <f t="shared" ca="1" si="467"/>
        <v>3.1920000000000002</v>
      </c>
      <c r="DO243" s="88">
        <f t="shared" ca="1" si="467"/>
        <v>3.1920000000000002</v>
      </c>
      <c r="DP243" s="88">
        <f t="shared" ca="1" si="467"/>
        <v>3.1920000000000002</v>
      </c>
      <c r="DQ243" s="88">
        <f t="shared" ca="1" si="467"/>
        <v>3.1920000000000002</v>
      </c>
      <c r="DR243" s="88">
        <f t="shared" ca="1" si="467"/>
        <v>3.1920000000000002</v>
      </c>
      <c r="DS243" s="88">
        <f t="shared" ca="1" si="467"/>
        <v>3.1920000000000002</v>
      </c>
      <c r="DT243" s="88">
        <f t="shared" ca="1" si="467"/>
        <v>3.1920000000000002</v>
      </c>
      <c r="DU243" s="88">
        <f t="shared" ca="1" si="468"/>
        <v>0</v>
      </c>
      <c r="DV243" s="88">
        <f t="shared" ca="1" si="468"/>
        <v>0</v>
      </c>
      <c r="DW243" s="88">
        <f t="shared" ca="1" si="468"/>
        <v>0</v>
      </c>
      <c r="DX243" s="88">
        <f t="shared" ca="1" si="468"/>
        <v>0</v>
      </c>
      <c r="DY243" s="88">
        <f t="shared" ca="1" si="468"/>
        <v>0</v>
      </c>
      <c r="DZ243" s="88">
        <f t="shared" ca="1" si="468"/>
        <v>0</v>
      </c>
      <c r="EA243" s="88">
        <f t="shared" ca="1" si="468"/>
        <v>0</v>
      </c>
      <c r="EB243" s="88">
        <f t="shared" ca="1" si="468"/>
        <v>0</v>
      </c>
      <c r="EC243" s="88">
        <f t="shared" ca="1" si="468"/>
        <v>0</v>
      </c>
      <c r="ED243" s="88">
        <f t="shared" ca="1" si="468"/>
        <v>0</v>
      </c>
      <c r="EE243" s="88">
        <f t="shared" ca="1" si="469"/>
        <v>0</v>
      </c>
      <c r="EF243" s="88">
        <f t="shared" ca="1" si="469"/>
        <v>0</v>
      </c>
      <c r="EG243" s="88">
        <f t="shared" ca="1" si="469"/>
        <v>0</v>
      </c>
      <c r="EH243" s="88">
        <f t="shared" ca="1" si="469"/>
        <v>0</v>
      </c>
      <c r="EI243" s="88">
        <f t="shared" ca="1" si="469"/>
        <v>0</v>
      </c>
      <c r="EJ243" s="88">
        <f t="shared" ca="1" si="469"/>
        <v>0</v>
      </c>
      <c r="EK243" s="88">
        <f t="shared" ca="1" si="469"/>
        <v>0</v>
      </c>
      <c r="EL243" s="88">
        <f t="shared" ca="1" si="469"/>
        <v>0</v>
      </c>
      <c r="EM243" s="88">
        <f t="shared" ca="1" si="469"/>
        <v>0</v>
      </c>
      <c r="EN243" s="88">
        <f t="shared" ca="1" si="469"/>
        <v>0</v>
      </c>
      <c r="EO243" s="88">
        <f t="shared" ca="1" si="469"/>
        <v>0</v>
      </c>
      <c r="EP243" s="88">
        <f t="shared" ca="1" si="469"/>
        <v>0</v>
      </c>
      <c r="EQ243" s="88">
        <f t="shared" ca="1" si="469"/>
        <v>0</v>
      </c>
      <c r="ER243" s="88">
        <f t="shared" ca="1" si="469"/>
        <v>0</v>
      </c>
      <c r="ES243" s="88">
        <f t="shared" ca="1" si="469"/>
        <v>0</v>
      </c>
      <c r="ET243" s="169"/>
      <c r="EU243" s="88">
        <f t="shared" ca="1" si="470"/>
        <v>0</v>
      </c>
      <c r="EV243" s="88">
        <f t="shared" ca="1" si="470"/>
        <v>0</v>
      </c>
      <c r="EW243" s="88">
        <f t="shared" ca="1" si="470"/>
        <v>0</v>
      </c>
      <c r="EX243" s="88">
        <f t="shared" ca="1" si="470"/>
        <v>0</v>
      </c>
      <c r="EY243" s="88">
        <f t="shared" ca="1" si="470"/>
        <v>0</v>
      </c>
      <c r="EZ243" s="88">
        <f t="shared" ca="1" si="470"/>
        <v>0</v>
      </c>
      <c r="FA243" s="88">
        <f t="shared" ca="1" si="470"/>
        <v>0</v>
      </c>
      <c r="FB243" s="88">
        <f t="shared" ca="1" si="470"/>
        <v>0</v>
      </c>
      <c r="FC243" s="88">
        <f t="shared" ca="1" si="470"/>
        <v>0</v>
      </c>
      <c r="FD243" s="88">
        <f t="shared" ca="1" si="470"/>
        <v>0</v>
      </c>
      <c r="FE243" s="88">
        <f t="shared" ca="1" si="471"/>
        <v>0</v>
      </c>
      <c r="FF243" s="88">
        <f t="shared" ca="1" si="471"/>
        <v>0</v>
      </c>
      <c r="FG243" s="88">
        <f t="shared" ca="1" si="471"/>
        <v>0</v>
      </c>
      <c r="FH243" s="88">
        <f t="shared" ca="1" si="471"/>
        <v>0</v>
      </c>
      <c r="FI243" s="88">
        <f t="shared" ca="1" si="471"/>
        <v>0</v>
      </c>
      <c r="FJ243" s="88">
        <f t="shared" ca="1" si="471"/>
        <v>0</v>
      </c>
      <c r="FK243" s="88">
        <f t="shared" ca="1" si="471"/>
        <v>0</v>
      </c>
      <c r="FL243" s="88">
        <f t="shared" ca="1" si="471"/>
        <v>0</v>
      </c>
      <c r="FM243" s="88">
        <f t="shared" ca="1" si="471"/>
        <v>0</v>
      </c>
      <c r="FN243" s="88">
        <f t="shared" ca="1" si="471"/>
        <v>0</v>
      </c>
      <c r="FO243" s="88">
        <f t="shared" ca="1" si="472"/>
        <v>0</v>
      </c>
      <c r="FP243" s="88">
        <f t="shared" ca="1" si="472"/>
        <v>0</v>
      </c>
      <c r="FQ243" s="88">
        <f t="shared" ca="1" si="472"/>
        <v>0</v>
      </c>
      <c r="FR243" s="88">
        <f t="shared" ca="1" si="472"/>
        <v>0</v>
      </c>
      <c r="FS243" s="88">
        <f t="shared" ca="1" si="472"/>
        <v>0</v>
      </c>
      <c r="FT243" s="88">
        <f t="shared" ca="1" si="472"/>
        <v>0</v>
      </c>
      <c r="FU243" s="88">
        <f t="shared" ca="1" si="472"/>
        <v>0</v>
      </c>
      <c r="FV243" s="88">
        <f t="shared" ca="1" si="472"/>
        <v>0</v>
      </c>
      <c r="FW243" s="88">
        <f t="shared" ca="1" si="472"/>
        <v>0</v>
      </c>
      <c r="FX243" s="88">
        <f t="shared" ca="1" si="472"/>
        <v>0</v>
      </c>
      <c r="FY243" s="88">
        <f t="shared" ca="1" si="472"/>
        <v>0</v>
      </c>
      <c r="FZ243" s="88">
        <f t="shared" ca="1" si="472"/>
        <v>0</v>
      </c>
      <c r="GA243" s="88">
        <f t="shared" ca="1" si="472"/>
        <v>0</v>
      </c>
      <c r="GB243" s="88">
        <f t="shared" ca="1" si="472"/>
        <v>0</v>
      </c>
      <c r="GC243" s="88">
        <f t="shared" ca="1" si="472"/>
        <v>0</v>
      </c>
      <c r="GD243" s="60"/>
    </row>
    <row r="244" spans="1:186" s="54" customFormat="1" ht="14.45" customHeight="1">
      <c r="A244" s="61"/>
      <c r="B244" s="100" t="str">
        <f t="shared" si="418"/>
        <v>C&amp;I_C&amp;I Prescriptive_0_Energy Star LED Lamp (6-10W)_2019</v>
      </c>
      <c r="C244" s="100">
        <f>INDEX('Measure Inputs'!$D:$D,MATCH($B244,'Measure Inputs'!$B:$B,0))</f>
        <v>196</v>
      </c>
      <c r="D244" s="101" t="s">
        <v>256</v>
      </c>
      <c r="E244" s="101" t="s">
        <v>255</v>
      </c>
      <c r="F244" s="101">
        <v>0</v>
      </c>
      <c r="G244" s="101" t="s">
        <v>358</v>
      </c>
      <c r="H244" s="101">
        <v>2019</v>
      </c>
      <c r="I244" s="55"/>
      <c r="J244" s="58">
        <f t="shared" ca="1" si="229"/>
        <v>3.0048003120783164</v>
      </c>
      <c r="K244" s="58">
        <f t="shared" ca="1" si="246"/>
        <v>3.1815532716123349</v>
      </c>
      <c r="L244" s="58">
        <f t="shared" ca="1" si="230"/>
        <v>0.94444444444444453</v>
      </c>
      <c r="M244" s="58">
        <f t="shared" ca="1" si="231"/>
        <v>3.9744684842414193</v>
      </c>
      <c r="N244" s="58">
        <f t="shared" ca="1" si="232"/>
        <v>3.1815532716123349</v>
      </c>
      <c r="O244" s="55"/>
      <c r="P244" s="175">
        <f ca="1">IFERROR(($AW244+AV244)/SUMPRODUCT($CA244:$DI244,'General Inputs'!$F$51:$AN$51),"n/a")</f>
        <v>1.1651054296293401E-2</v>
      </c>
      <c r="Q244" s="175">
        <f t="shared" ca="1" si="454"/>
        <v>7.0606404349753224E-2</v>
      </c>
      <c r="R244" s="56">
        <f t="shared" ca="1" si="441"/>
        <v>192.617088</v>
      </c>
      <c r="S244" s="55"/>
      <c r="T244" s="56">
        <f ca="1">INDEX(OFFSET('Measure Inputs'!$L$7,,,InputRows),$C244)</f>
        <v>200</v>
      </c>
      <c r="U244" s="134">
        <f ca="1">INDEX(OFFSET('Measure Inputs'!$T$7,,,InputRows),$C244)</f>
        <v>1</v>
      </c>
      <c r="V244" s="134">
        <f ca="1">INDEX(OFFSET('Measure Inputs'!$U$7,,,InputRows),$C244)</f>
        <v>1</v>
      </c>
      <c r="W244" s="55"/>
      <c r="X244" s="96">
        <f ca="1">INDEX(OFFSET('Measure Inputs'!$V$7,,,InputRows),$C244)*$T244*$V244*$U244</f>
        <v>24077.135999999999</v>
      </c>
      <c r="Y244" s="96">
        <f ca="1">INDEX(OFFSET('Measure Inputs'!$W$7,,,InputRows),$C244)*$T244*$V244*$U244</f>
        <v>6.3840000000000003</v>
      </c>
      <c r="Z244" s="96">
        <f ca="1">INDEX(OFFSET('Measure Inputs'!$X$7,,,InputRows),$C244)*$T244*$V244*$U244</f>
        <v>0</v>
      </c>
      <c r="AA244" s="55"/>
      <c r="AB244" s="96">
        <f ca="1">INDEX(OFFSET('Measure Inputs'!$Z$7,,,InputRows),$C244)*$T244*$V244*$U244</f>
        <v>0</v>
      </c>
      <c r="AC244" s="96">
        <f ca="1">INDEX(OFFSET('Measure Inputs'!$AA$7,,,InputRows),$C244)*$T244*$V244*$U244</f>
        <v>0</v>
      </c>
      <c r="AD244" s="96">
        <f ca="1">INDEX(OFFSET('Measure Inputs'!$AB$7,,,InputRows),$C244)*$T244*$V244*$U244</f>
        <v>0</v>
      </c>
      <c r="AE244" s="55"/>
      <c r="AF244" s="57">
        <f ca="1">INDEX(OFFSET('Measure Inputs'!$Q$7,,,InputRows),$C244)*$T244</f>
        <v>0</v>
      </c>
      <c r="AG244" s="57">
        <f ca="1">INDEX(OFFSET('Measure Inputs'!$P$7,,,InputRows),$C244)*$T244*$V244</f>
        <v>1800</v>
      </c>
      <c r="AH244" s="57">
        <f ca="1">INDEX(OFFSET('Measure Inputs'!$R$7,,,InputRows),$C244)*$T244*$V244</f>
        <v>0</v>
      </c>
      <c r="AI244" s="57">
        <f ca="1">INDEX(OFFSET('Measure Inputs'!$O$7,,,InputRows),$C244)*$T244</f>
        <v>1700</v>
      </c>
      <c r="AJ244" s="57">
        <f ca="1">INDEX(OFFSET('Measure Inputs'!$S$7,,,InputRows),$C244)*$T244</f>
        <v>0</v>
      </c>
      <c r="AK244" s="63">
        <f ca="1">INDEX(OFFSET('Measure Inputs'!$M$7,,,InputRows),$C244)</f>
        <v>8</v>
      </c>
      <c r="AL244" s="88">
        <f ca="1">INDEX(OFFSET('Measure Inputs'!$N$7,,,InputRows),$C244)</f>
        <v>0</v>
      </c>
      <c r="AM244" s="57">
        <f ca="1">SUMIFS(OFFSET('Program Inputs'!$N$5,,,TotalPrograms),OFFSET('Program Inputs'!$B$5,,,TotalPrograms),SUBSTITUTE($B244,"All","*"))+AF244</f>
        <v>0</v>
      </c>
      <c r="AN244" s="57">
        <f t="shared" ca="1" si="442"/>
        <v>1700</v>
      </c>
      <c r="AO244" s="55"/>
      <c r="AP244" s="59">
        <f t="shared" ca="1" si="443"/>
        <v>4565.7387173604966</v>
      </c>
      <c r="AQ244" s="59">
        <f t="shared" ca="1" si="444"/>
        <v>1519.4815771975652</v>
      </c>
      <c r="AR244" s="59">
        <f ca="1">SUMPRODUCT($CA244:$DI244,'General Inputs'!$F$32:$AN$32,'General Inputs'!$F$51:$AN$51)/(1-Loss_ElectricEnergy)</f>
        <v>3834.4558659205313</v>
      </c>
      <c r="AS244" s="59">
        <f ca="1">SUMPRODUCT($DK244:$ES244,'General Inputs'!$F$33:$AN$33,'General Inputs'!$F$51:$AN$51)/(1-Loss_ElectricDemand)</f>
        <v>731.28285143996493</v>
      </c>
      <c r="AT244" s="59">
        <f ca="1">SUMPRODUCT($EU244:$GC244,'General Inputs'!$F$34:$AN$34,'General Inputs'!$F$51:$AN$51)/(1-Loss_GasEnergy)</f>
        <v>0</v>
      </c>
      <c r="AU244" s="59">
        <f ca="1">INDEX('General Inputs'!$F$51:$AN$51,MATCH($H244,'General Inputs'!$F$50:$AN$50,0))*$AJ244</f>
        <v>0</v>
      </c>
      <c r="AV244" s="59">
        <f ca="1">INDEX('General Inputs'!$F$51:$AN$51,MATCH($H244,'General Inputs'!$F$50:$AN$50,0))*$AI244</f>
        <v>1435.0659340199229</v>
      </c>
      <c r="AW244" s="59">
        <f ca="1">INDEX('General Inputs'!$F$51:$AN$51,MATCH($H244,'General Inputs'!$F$50:$AN$50,0))*$AM244</f>
        <v>0</v>
      </c>
      <c r="AX244" s="59">
        <f ca="1">SUM(INDEX('General Inputs'!$F$51:$AN$51,MATCH($H244,'General Inputs'!$F$50:$AN$50,0))*$AG244,INDEX('General Inputs'!$F$51:$AN$51,MATCH($H244+$AL244,'General Inputs'!$F$50:$AN$50,0))*-$AH244)</f>
        <v>1519.4815771975652</v>
      </c>
      <c r="AY244" s="55"/>
      <c r="AZ244" s="59">
        <f ca="1">SUMPRODUCT($CA244:$DI244,'General Inputs'!$F$32:$AN$32,'General Inputs'!$F$52:$AN$52)/(1-Loss_ElectricEnergy)</f>
        <v>3834.4558659205313</v>
      </c>
      <c r="BA244" s="59">
        <f ca="1">SUMPRODUCT($DK244:$ES244,'General Inputs'!$F$33:$AN$33,'General Inputs'!$F$52:$AN$52)/(1-Loss_ElectricDemand)</f>
        <v>731.28285143996493</v>
      </c>
      <c r="BB244" s="59">
        <f ca="1">SUMPRODUCT($EU244:$GC244,'General Inputs'!$F$34:$AN$34,'General Inputs'!$F$52:$AN$52)/(1-Loss_GasEnergy)</f>
        <v>0</v>
      </c>
      <c r="BC244" s="59">
        <f ca="1">INDEX('General Inputs'!$F$52:$AN$52,MATCH($H244,'General Inputs'!$F$50:$AN$50,0))*$AI244</f>
        <v>1435.0659340199229</v>
      </c>
      <c r="BD244" s="59">
        <f ca="1">INDEX('General Inputs'!$F$52:$AN$52,MATCH($H244,'General Inputs'!$F$50:$AN$50,0))*$AM244</f>
        <v>0</v>
      </c>
      <c r="BE244" s="55"/>
      <c r="BF244" s="59">
        <f ca="1">SUMPRODUCT($CA244:$DI244,OFFSET('General Inputs'!$F$40:$AN$40,MATCH($D244&amp;" Electric ($/kWh)",'General Inputs'!$E$40:$E$46,0),),'General Inputs'!$F$54:$AN$54)</f>
        <v>0</v>
      </c>
      <c r="BG244" s="59">
        <f ca="1">SUMPRODUCT($EU244:$GC244,OFFSET('General Inputs'!$F$40:$AN$40,MATCH($D244&amp;" Natural Gas ($/therm)",'General Inputs'!$E$40:$E$46,0),),'General Inputs'!$F$54:$AN$54)</f>
        <v>0</v>
      </c>
      <c r="BH244" s="59">
        <f ca="1">INDEX('General Inputs'!$F$54:$AN$54,MATCH($H244,'General Inputs'!$F$50:$AN$50,0))*$AI244</f>
        <v>1435.0659340199229</v>
      </c>
      <c r="BI244" s="59">
        <f ca="1">SUM(INDEX('General Inputs'!$F$54:$AN$54,MATCH($H244,'General Inputs'!$F$50:$AN$50,0))*$AG244,INDEX('General Inputs'!$F$51:$AN$51,MATCH($H244+$AL244,'General Inputs'!$F$50:$AN$50,0))*-$AH244)</f>
        <v>1519.4815771975652</v>
      </c>
      <c r="BJ244" s="55"/>
      <c r="BK244" s="59">
        <f ca="1">SUMPRODUCT($CA244:$DI244,'General Inputs'!$F$32:$AN$32,'General Inputs'!$F$53:$AN$53)/(1-Loss_ElectricEnergy)</f>
        <v>3834.4558659205313</v>
      </c>
      <c r="BL244" s="59">
        <f ca="1">SUMPRODUCT($DK244:$ES244,'General Inputs'!$F$33:$AN$33,'General Inputs'!$F$53:$AN$53)/(1-Loss_ElectricDemand)</f>
        <v>731.28285143996493</v>
      </c>
      <c r="BM244" s="59">
        <f ca="1">SUMPRODUCT($EU244:$GC244,'General Inputs'!$F$34:$AN$34,'General Inputs'!$F$53:$AN$53)/(1-Loss_GasEnergy)</f>
        <v>0</v>
      </c>
      <c r="BN244" s="59">
        <f ca="1">INDEX('General Inputs'!$F$53:$AN$53,MATCH($H244,'General Inputs'!$F$50:$AN$50,0))*$AJ244</f>
        <v>0</v>
      </c>
      <c r="BO244" s="59">
        <f ca="1">SUMPRODUCT($CA244:$DI244,'General Inputs'!$F$35:$AN$35,'General Inputs'!$F$53:$AN$53)/(1-Loss_ElectricEnergy)</f>
        <v>1473.3929235966712</v>
      </c>
      <c r="BP244" s="59">
        <f ca="1">INDEX('General Inputs'!$F$51:$AN$51,MATCH($H244,'General Inputs'!$F$50:$AN$50,0))*$AM244</f>
        <v>0</v>
      </c>
      <c r="BQ244" s="59">
        <f ca="1">SUM(INDEX('General Inputs'!$F$53:$AN$53,MATCH($H244,'General Inputs'!$F$50:$AN$50,0))*$AG244,INDEX('General Inputs'!$F$53:$AN$53,MATCH($H244+$AL244,'General Inputs'!$F$50:$AN$50,0))*-$AH244)</f>
        <v>1519.4815771975652</v>
      </c>
      <c r="BR244" s="55"/>
      <c r="BS244" s="59">
        <f ca="1">SUMPRODUCT($CA244:$DI244,'General Inputs'!$F$32:$AN$32,'General Inputs'!$F$55:$AN$55)/(1-Loss_ElectricEnergy)</f>
        <v>3834.4558659205313</v>
      </c>
      <c r="BT244" s="59">
        <f ca="1">SUMPRODUCT($DK244:$ES244,'General Inputs'!$F$33:$AN$33,'General Inputs'!$F$55:$AN$55)/(1-Loss_ElectricDemand)</f>
        <v>731.28285143996493</v>
      </c>
      <c r="BU244" s="59">
        <f ca="1">SUMPRODUCT($EU244:$GC244,'General Inputs'!$F$34:$AN$34,'General Inputs'!$F$55:$AN$55)/(1-Loss_GasEnergy)</f>
        <v>0</v>
      </c>
      <c r="BV244" s="59">
        <f ca="1">SUMPRODUCT($CA244:$DI244,OFFSET('General Inputs'!$F$40:$AN$40,MATCH($D244&amp;" Electric ($/kWh)",'General Inputs'!$E$40:$E$46,0),),'General Inputs'!$F$55:$AN$55)</f>
        <v>0</v>
      </c>
      <c r="BW244" s="59">
        <f ca="1">SUMPRODUCT($EU244:$GC244,OFFSET('General Inputs'!$F$40:$AN$40,MATCH($D244&amp;" Natural Gas ($/therm)",'General Inputs'!$E$40:$E$46,0),),'General Inputs'!$F$55:$AN$55)</f>
        <v>0</v>
      </c>
      <c r="BX244" s="59">
        <f ca="1">INDEX('General Inputs'!$F$55:$AN$55,MATCH($H244,'General Inputs'!$F$50:$AN$50,0))*$AI244</f>
        <v>1435.0659340199229</v>
      </c>
      <c r="BY244" s="59">
        <f ca="1">INDEX('General Inputs'!$F$51:$AN$51,MATCH($H244,'General Inputs'!$F$50:$AN$50,0))*$AM244</f>
        <v>0</v>
      </c>
      <c r="BZ244" s="55"/>
      <c r="CA244" s="88">
        <f t="shared" ca="1" si="464"/>
        <v>0</v>
      </c>
      <c r="CB244" s="88">
        <f t="shared" ca="1" si="464"/>
        <v>0</v>
      </c>
      <c r="CC244" s="88">
        <f t="shared" ca="1" si="464"/>
        <v>24077.135999999999</v>
      </c>
      <c r="CD244" s="88">
        <f t="shared" ca="1" si="464"/>
        <v>24077.135999999999</v>
      </c>
      <c r="CE244" s="88">
        <f t="shared" ca="1" si="464"/>
        <v>24077.135999999999</v>
      </c>
      <c r="CF244" s="88">
        <f t="shared" ca="1" si="464"/>
        <v>24077.135999999999</v>
      </c>
      <c r="CG244" s="88">
        <f t="shared" ca="1" si="464"/>
        <v>24077.135999999999</v>
      </c>
      <c r="CH244" s="88">
        <f t="shared" ca="1" si="464"/>
        <v>24077.135999999999</v>
      </c>
      <c r="CI244" s="88">
        <f t="shared" ca="1" si="464"/>
        <v>24077.135999999999</v>
      </c>
      <c r="CJ244" s="88">
        <f t="shared" ca="1" si="464"/>
        <v>24077.135999999999</v>
      </c>
      <c r="CK244" s="88">
        <f t="shared" ca="1" si="465"/>
        <v>0</v>
      </c>
      <c r="CL244" s="88">
        <f t="shared" ca="1" si="465"/>
        <v>0</v>
      </c>
      <c r="CM244" s="88">
        <f t="shared" ca="1" si="465"/>
        <v>0</v>
      </c>
      <c r="CN244" s="88">
        <f t="shared" ca="1" si="465"/>
        <v>0</v>
      </c>
      <c r="CO244" s="88">
        <f t="shared" ca="1" si="465"/>
        <v>0</v>
      </c>
      <c r="CP244" s="88">
        <f t="shared" ca="1" si="465"/>
        <v>0</v>
      </c>
      <c r="CQ244" s="88">
        <f t="shared" ca="1" si="465"/>
        <v>0</v>
      </c>
      <c r="CR244" s="88">
        <f t="shared" ca="1" si="465"/>
        <v>0</v>
      </c>
      <c r="CS244" s="88">
        <f t="shared" ca="1" si="465"/>
        <v>0</v>
      </c>
      <c r="CT244" s="88">
        <f t="shared" ca="1" si="465"/>
        <v>0</v>
      </c>
      <c r="CU244" s="88">
        <f t="shared" ca="1" si="466"/>
        <v>0</v>
      </c>
      <c r="CV244" s="88">
        <f t="shared" ca="1" si="466"/>
        <v>0</v>
      </c>
      <c r="CW244" s="88">
        <f t="shared" ca="1" si="466"/>
        <v>0</v>
      </c>
      <c r="CX244" s="88">
        <f t="shared" ca="1" si="466"/>
        <v>0</v>
      </c>
      <c r="CY244" s="88">
        <f t="shared" ca="1" si="466"/>
        <v>0</v>
      </c>
      <c r="CZ244" s="88">
        <f t="shared" ca="1" si="466"/>
        <v>0</v>
      </c>
      <c r="DA244" s="88">
        <f t="shared" ca="1" si="466"/>
        <v>0</v>
      </c>
      <c r="DB244" s="88">
        <f t="shared" ca="1" si="466"/>
        <v>0</v>
      </c>
      <c r="DC244" s="88">
        <f t="shared" ca="1" si="466"/>
        <v>0</v>
      </c>
      <c r="DD244" s="88">
        <f t="shared" ca="1" si="466"/>
        <v>0</v>
      </c>
      <c r="DE244" s="88">
        <f t="shared" ca="1" si="466"/>
        <v>0</v>
      </c>
      <c r="DF244" s="88">
        <f t="shared" ca="1" si="466"/>
        <v>0</v>
      </c>
      <c r="DG244" s="88">
        <f t="shared" ca="1" si="466"/>
        <v>0</v>
      </c>
      <c r="DH244" s="88">
        <f t="shared" ca="1" si="466"/>
        <v>0</v>
      </c>
      <c r="DI244" s="88">
        <f t="shared" ca="1" si="466"/>
        <v>0</v>
      </c>
      <c r="DJ244" s="169"/>
      <c r="DK244" s="88">
        <f t="shared" ca="1" si="467"/>
        <v>0</v>
      </c>
      <c r="DL244" s="88">
        <f t="shared" ca="1" si="467"/>
        <v>0</v>
      </c>
      <c r="DM244" s="88">
        <f t="shared" ca="1" si="467"/>
        <v>6.3840000000000003</v>
      </c>
      <c r="DN244" s="88">
        <f t="shared" ca="1" si="467"/>
        <v>6.3840000000000003</v>
      </c>
      <c r="DO244" s="88">
        <f t="shared" ca="1" si="467"/>
        <v>6.3840000000000003</v>
      </c>
      <c r="DP244" s="88">
        <f t="shared" ca="1" si="467"/>
        <v>6.3840000000000003</v>
      </c>
      <c r="DQ244" s="88">
        <f t="shared" ca="1" si="467"/>
        <v>6.3840000000000003</v>
      </c>
      <c r="DR244" s="88">
        <f t="shared" ca="1" si="467"/>
        <v>6.3840000000000003</v>
      </c>
      <c r="DS244" s="88">
        <f t="shared" ca="1" si="467"/>
        <v>6.3840000000000003</v>
      </c>
      <c r="DT244" s="88">
        <f t="shared" ca="1" si="467"/>
        <v>6.3840000000000003</v>
      </c>
      <c r="DU244" s="88">
        <f t="shared" ca="1" si="468"/>
        <v>0</v>
      </c>
      <c r="DV244" s="88">
        <f t="shared" ca="1" si="468"/>
        <v>0</v>
      </c>
      <c r="DW244" s="88">
        <f t="shared" ca="1" si="468"/>
        <v>0</v>
      </c>
      <c r="DX244" s="88">
        <f t="shared" ca="1" si="468"/>
        <v>0</v>
      </c>
      <c r="DY244" s="88">
        <f t="shared" ca="1" si="468"/>
        <v>0</v>
      </c>
      <c r="DZ244" s="88">
        <f t="shared" ca="1" si="468"/>
        <v>0</v>
      </c>
      <c r="EA244" s="88">
        <f t="shared" ca="1" si="468"/>
        <v>0</v>
      </c>
      <c r="EB244" s="88">
        <f t="shared" ca="1" si="468"/>
        <v>0</v>
      </c>
      <c r="EC244" s="88">
        <f t="shared" ca="1" si="468"/>
        <v>0</v>
      </c>
      <c r="ED244" s="88">
        <f t="shared" ca="1" si="468"/>
        <v>0</v>
      </c>
      <c r="EE244" s="88">
        <f t="shared" ca="1" si="469"/>
        <v>0</v>
      </c>
      <c r="EF244" s="88">
        <f t="shared" ca="1" si="469"/>
        <v>0</v>
      </c>
      <c r="EG244" s="88">
        <f t="shared" ca="1" si="469"/>
        <v>0</v>
      </c>
      <c r="EH244" s="88">
        <f t="shared" ca="1" si="469"/>
        <v>0</v>
      </c>
      <c r="EI244" s="88">
        <f t="shared" ca="1" si="469"/>
        <v>0</v>
      </c>
      <c r="EJ244" s="88">
        <f t="shared" ca="1" si="469"/>
        <v>0</v>
      </c>
      <c r="EK244" s="88">
        <f t="shared" ca="1" si="469"/>
        <v>0</v>
      </c>
      <c r="EL244" s="88">
        <f t="shared" ca="1" si="469"/>
        <v>0</v>
      </c>
      <c r="EM244" s="88">
        <f t="shared" ca="1" si="469"/>
        <v>0</v>
      </c>
      <c r="EN244" s="88">
        <f t="shared" ca="1" si="469"/>
        <v>0</v>
      </c>
      <c r="EO244" s="88">
        <f t="shared" ca="1" si="469"/>
        <v>0</v>
      </c>
      <c r="EP244" s="88">
        <f t="shared" ca="1" si="469"/>
        <v>0</v>
      </c>
      <c r="EQ244" s="88">
        <f t="shared" ca="1" si="469"/>
        <v>0</v>
      </c>
      <c r="ER244" s="88">
        <f t="shared" ca="1" si="469"/>
        <v>0</v>
      </c>
      <c r="ES244" s="88">
        <f t="shared" ca="1" si="469"/>
        <v>0</v>
      </c>
      <c r="ET244" s="169"/>
      <c r="EU244" s="88">
        <f t="shared" ca="1" si="470"/>
        <v>0</v>
      </c>
      <c r="EV244" s="88">
        <f t="shared" ca="1" si="470"/>
        <v>0</v>
      </c>
      <c r="EW244" s="88">
        <f t="shared" ca="1" si="470"/>
        <v>0</v>
      </c>
      <c r="EX244" s="88">
        <f t="shared" ca="1" si="470"/>
        <v>0</v>
      </c>
      <c r="EY244" s="88">
        <f t="shared" ca="1" si="470"/>
        <v>0</v>
      </c>
      <c r="EZ244" s="88">
        <f t="shared" ca="1" si="470"/>
        <v>0</v>
      </c>
      <c r="FA244" s="88">
        <f t="shared" ca="1" si="470"/>
        <v>0</v>
      </c>
      <c r="FB244" s="88">
        <f t="shared" ca="1" si="470"/>
        <v>0</v>
      </c>
      <c r="FC244" s="88">
        <f t="shared" ca="1" si="470"/>
        <v>0</v>
      </c>
      <c r="FD244" s="88">
        <f t="shared" ca="1" si="470"/>
        <v>0</v>
      </c>
      <c r="FE244" s="88">
        <f t="shared" ca="1" si="471"/>
        <v>0</v>
      </c>
      <c r="FF244" s="88">
        <f t="shared" ca="1" si="471"/>
        <v>0</v>
      </c>
      <c r="FG244" s="88">
        <f t="shared" ca="1" si="471"/>
        <v>0</v>
      </c>
      <c r="FH244" s="88">
        <f t="shared" ca="1" si="471"/>
        <v>0</v>
      </c>
      <c r="FI244" s="88">
        <f t="shared" ca="1" si="471"/>
        <v>0</v>
      </c>
      <c r="FJ244" s="88">
        <f t="shared" ca="1" si="471"/>
        <v>0</v>
      </c>
      <c r="FK244" s="88">
        <f t="shared" ca="1" si="471"/>
        <v>0</v>
      </c>
      <c r="FL244" s="88">
        <f t="shared" ca="1" si="471"/>
        <v>0</v>
      </c>
      <c r="FM244" s="88">
        <f t="shared" ca="1" si="471"/>
        <v>0</v>
      </c>
      <c r="FN244" s="88">
        <f t="shared" ca="1" si="471"/>
        <v>0</v>
      </c>
      <c r="FO244" s="88">
        <f t="shared" ca="1" si="472"/>
        <v>0</v>
      </c>
      <c r="FP244" s="88">
        <f t="shared" ca="1" si="472"/>
        <v>0</v>
      </c>
      <c r="FQ244" s="88">
        <f t="shared" ca="1" si="472"/>
        <v>0</v>
      </c>
      <c r="FR244" s="88">
        <f t="shared" ca="1" si="472"/>
        <v>0</v>
      </c>
      <c r="FS244" s="88">
        <f t="shared" ca="1" si="472"/>
        <v>0</v>
      </c>
      <c r="FT244" s="88">
        <f t="shared" ca="1" si="472"/>
        <v>0</v>
      </c>
      <c r="FU244" s="88">
        <f t="shared" ca="1" si="472"/>
        <v>0</v>
      </c>
      <c r="FV244" s="88">
        <f t="shared" ca="1" si="472"/>
        <v>0</v>
      </c>
      <c r="FW244" s="88">
        <f t="shared" ca="1" si="472"/>
        <v>0</v>
      </c>
      <c r="FX244" s="88">
        <f t="shared" ca="1" si="472"/>
        <v>0</v>
      </c>
      <c r="FY244" s="88">
        <f t="shared" ca="1" si="472"/>
        <v>0</v>
      </c>
      <c r="FZ244" s="88">
        <f t="shared" ca="1" si="472"/>
        <v>0</v>
      </c>
      <c r="GA244" s="88">
        <f t="shared" ca="1" si="472"/>
        <v>0</v>
      </c>
      <c r="GB244" s="88">
        <f t="shared" ca="1" si="472"/>
        <v>0</v>
      </c>
      <c r="GC244" s="88">
        <f t="shared" ca="1" si="472"/>
        <v>0</v>
      </c>
      <c r="GD244" s="60"/>
    </row>
    <row r="245" spans="1:186" s="54" customFormat="1" ht="14.45" customHeight="1">
      <c r="A245" s="61"/>
      <c r="B245" s="100" t="str">
        <f t="shared" si="418"/>
        <v>C&amp;I_C&amp;I Prescriptive_0_Energy Star LED Lamp (11 to 20W)_2019</v>
      </c>
      <c r="C245" s="100">
        <f>INDEX('Measure Inputs'!$D:$D,MATCH($B245,'Measure Inputs'!$B:$B,0))</f>
        <v>197</v>
      </c>
      <c r="D245" s="101" t="s">
        <v>256</v>
      </c>
      <c r="E245" s="101" t="s">
        <v>255</v>
      </c>
      <c r="F245" s="101">
        <v>0</v>
      </c>
      <c r="G245" s="101" t="s">
        <v>357</v>
      </c>
      <c r="H245" s="101">
        <v>2019</v>
      </c>
      <c r="I245" s="55"/>
      <c r="J245" s="58">
        <f t="shared" ca="1" si="229"/>
        <v>2.6761502779447501</v>
      </c>
      <c r="K245" s="58">
        <f t="shared" ca="1" si="246"/>
        <v>3.4254723557692803</v>
      </c>
      <c r="L245" s="58">
        <f t="shared" ca="1" si="230"/>
        <v>0.78125</v>
      </c>
      <c r="M245" s="58">
        <f t="shared" ca="1" si="231"/>
        <v>3.5397609937775134</v>
      </c>
      <c r="N245" s="58">
        <f t="shared" ca="1" si="232"/>
        <v>3.4254723557692803</v>
      </c>
      <c r="O245" s="55"/>
      <c r="P245" s="175">
        <f ca="1">IFERROR(($AW245+AV245)/SUMPRODUCT($CA245:$DI245,'General Inputs'!$F$51:$AN$51),"n/a")</f>
        <v>1.0821412659096039E-2</v>
      </c>
      <c r="Q245" s="175">
        <f t="shared" ca="1" si="454"/>
        <v>6.5578703730420976E-2</v>
      </c>
      <c r="R245" s="56">
        <f t="shared" ca="1" si="441"/>
        <v>152.48852799999997</v>
      </c>
      <c r="S245" s="55"/>
      <c r="T245" s="56">
        <f ca="1">INDEX(OFFSET('Measure Inputs'!$L$7,,,InputRows),$C245)</f>
        <v>100</v>
      </c>
      <c r="U245" s="134">
        <f ca="1">INDEX(OFFSET('Measure Inputs'!$T$7,,,InputRows),$C245)</f>
        <v>1</v>
      </c>
      <c r="V245" s="134">
        <f ca="1">INDEX(OFFSET('Measure Inputs'!$U$7,,,InputRows),$C245)</f>
        <v>1</v>
      </c>
      <c r="W245" s="55"/>
      <c r="X245" s="96">
        <f ca="1">INDEX(OFFSET('Measure Inputs'!$V$7,,,InputRows),$C245)*$T245*$V245*$U245</f>
        <v>19061.065999999995</v>
      </c>
      <c r="Y245" s="96">
        <f ca="1">INDEX(OFFSET('Measure Inputs'!$W$7,,,InputRows),$C245)*$T245*$V245*$U245</f>
        <v>5.0540000000000003</v>
      </c>
      <c r="Z245" s="96">
        <f ca="1">INDEX(OFFSET('Measure Inputs'!$X$7,,,InputRows),$C245)*$T245*$V245*$U245</f>
        <v>0</v>
      </c>
      <c r="AA245" s="55"/>
      <c r="AB245" s="96">
        <f ca="1">INDEX(OFFSET('Measure Inputs'!$Z$7,,,InputRows),$C245)*$T245*$V245*$U245</f>
        <v>0</v>
      </c>
      <c r="AC245" s="96">
        <f ca="1">INDEX(OFFSET('Measure Inputs'!$AA$7,,,InputRows),$C245)*$T245*$V245*$U245</f>
        <v>0</v>
      </c>
      <c r="AD245" s="96">
        <f ca="1">INDEX(OFFSET('Measure Inputs'!$AB$7,,,InputRows),$C245)*$T245*$V245*$U245</f>
        <v>0</v>
      </c>
      <c r="AE245" s="55"/>
      <c r="AF245" s="57">
        <f ca="1">INDEX(OFFSET('Measure Inputs'!$Q$7,,,InputRows),$C245)*$T245</f>
        <v>0</v>
      </c>
      <c r="AG245" s="57">
        <f ca="1">INDEX(OFFSET('Measure Inputs'!$P$7,,,InputRows),$C245)*$T245*$V245</f>
        <v>1600</v>
      </c>
      <c r="AH245" s="57">
        <f ca="1">INDEX(OFFSET('Measure Inputs'!$R$7,,,InputRows),$C245)*$T245*$V245</f>
        <v>0</v>
      </c>
      <c r="AI245" s="57">
        <f ca="1">INDEX(OFFSET('Measure Inputs'!$O$7,,,InputRows),$C245)*$T245</f>
        <v>1250</v>
      </c>
      <c r="AJ245" s="57">
        <f ca="1">INDEX(OFFSET('Measure Inputs'!$S$7,,,InputRows),$C245)*$T245</f>
        <v>0</v>
      </c>
      <c r="AK245" s="63">
        <f ca="1">INDEX(OFFSET('Measure Inputs'!$M$7,,,InputRows),$C245)</f>
        <v>8</v>
      </c>
      <c r="AL245" s="88">
        <f ca="1">INDEX(OFFSET('Measure Inputs'!$N$7,,,InputRows),$C245)</f>
        <v>0</v>
      </c>
      <c r="AM245" s="57">
        <f ca="1">SUMIFS(OFFSET('Program Inputs'!$N$5,,,TotalPrograms),OFFSET('Program Inputs'!$B$5,,,TotalPrograms),SUBSTITUTE($B245,"All","*"))+AF245</f>
        <v>0</v>
      </c>
      <c r="AN245" s="57">
        <f t="shared" ca="1" si="442"/>
        <v>1250</v>
      </c>
      <c r="AO245" s="55"/>
      <c r="AP245" s="59">
        <f t="shared" ca="1" si="443"/>
        <v>3614.5431512437262</v>
      </c>
      <c r="AQ245" s="59">
        <f t="shared" ca="1" si="444"/>
        <v>1350.6502908422804</v>
      </c>
      <c r="AR245" s="59">
        <f ca="1">SUMPRODUCT($CA245:$DI245,'General Inputs'!$F$32:$AN$32,'General Inputs'!$F$51:$AN$51)/(1-Loss_ElectricEnergy)</f>
        <v>3035.6108938537541</v>
      </c>
      <c r="AS245" s="59">
        <f ca="1">SUMPRODUCT($DK245:$ES245,'General Inputs'!$F$33:$AN$33,'General Inputs'!$F$51:$AN$51)/(1-Loss_ElectricDemand)</f>
        <v>578.93225738997239</v>
      </c>
      <c r="AT245" s="59">
        <f ca="1">SUMPRODUCT($EU245:$GC245,'General Inputs'!$F$34:$AN$34,'General Inputs'!$F$51:$AN$51)/(1-Loss_GasEnergy)</f>
        <v>0</v>
      </c>
      <c r="AU245" s="59">
        <f ca="1">INDEX('General Inputs'!$F$51:$AN$51,MATCH($H245,'General Inputs'!$F$50:$AN$50,0))*$AJ245</f>
        <v>0</v>
      </c>
      <c r="AV245" s="59">
        <f ca="1">INDEX('General Inputs'!$F$51:$AN$51,MATCH($H245,'General Inputs'!$F$50:$AN$50,0))*$AI245</f>
        <v>1055.1955397205315</v>
      </c>
      <c r="AW245" s="59">
        <f ca="1">INDEX('General Inputs'!$F$51:$AN$51,MATCH($H245,'General Inputs'!$F$50:$AN$50,0))*$AM245</f>
        <v>0</v>
      </c>
      <c r="AX245" s="59">
        <f ca="1">SUM(INDEX('General Inputs'!$F$51:$AN$51,MATCH($H245,'General Inputs'!$F$50:$AN$50,0))*$AG245,INDEX('General Inputs'!$F$51:$AN$51,MATCH($H245+$AL245,'General Inputs'!$F$50:$AN$50,0))*-$AH245)</f>
        <v>1350.6502908422804</v>
      </c>
      <c r="AY245" s="55"/>
      <c r="AZ245" s="59">
        <f ca="1">SUMPRODUCT($CA245:$DI245,'General Inputs'!$F$32:$AN$32,'General Inputs'!$F$52:$AN$52)/(1-Loss_ElectricEnergy)</f>
        <v>3035.6108938537541</v>
      </c>
      <c r="BA245" s="59">
        <f ca="1">SUMPRODUCT($DK245:$ES245,'General Inputs'!$F$33:$AN$33,'General Inputs'!$F$52:$AN$52)/(1-Loss_ElectricDemand)</f>
        <v>578.93225738997239</v>
      </c>
      <c r="BB245" s="59">
        <f ca="1">SUMPRODUCT($EU245:$GC245,'General Inputs'!$F$34:$AN$34,'General Inputs'!$F$52:$AN$52)/(1-Loss_GasEnergy)</f>
        <v>0</v>
      </c>
      <c r="BC245" s="59">
        <f ca="1">INDEX('General Inputs'!$F$52:$AN$52,MATCH($H245,'General Inputs'!$F$50:$AN$50,0))*$AI245</f>
        <v>1055.1955397205315</v>
      </c>
      <c r="BD245" s="59">
        <f ca="1">INDEX('General Inputs'!$F$52:$AN$52,MATCH($H245,'General Inputs'!$F$50:$AN$50,0))*$AM245</f>
        <v>0</v>
      </c>
      <c r="BE245" s="55"/>
      <c r="BF245" s="59">
        <f ca="1">SUMPRODUCT($CA245:$DI245,OFFSET('General Inputs'!$F$40:$AN$40,MATCH($D245&amp;" Electric ($/kWh)",'General Inputs'!$E$40:$E$46,0),),'General Inputs'!$F$54:$AN$54)</f>
        <v>0</v>
      </c>
      <c r="BG245" s="59">
        <f ca="1">SUMPRODUCT($EU245:$GC245,OFFSET('General Inputs'!$F$40:$AN$40,MATCH($D245&amp;" Natural Gas ($/therm)",'General Inputs'!$E$40:$E$46,0),),'General Inputs'!$F$54:$AN$54)</f>
        <v>0</v>
      </c>
      <c r="BH245" s="59">
        <f ca="1">INDEX('General Inputs'!$F$54:$AN$54,MATCH($H245,'General Inputs'!$F$50:$AN$50,0))*$AI245</f>
        <v>1055.1955397205315</v>
      </c>
      <c r="BI245" s="59">
        <f ca="1">SUM(INDEX('General Inputs'!$F$54:$AN$54,MATCH($H245,'General Inputs'!$F$50:$AN$50,0))*$AG245,INDEX('General Inputs'!$F$51:$AN$51,MATCH($H245+$AL245,'General Inputs'!$F$50:$AN$50,0))*-$AH245)</f>
        <v>1350.6502908422804</v>
      </c>
      <c r="BJ245" s="55"/>
      <c r="BK245" s="59">
        <f ca="1">SUMPRODUCT($CA245:$DI245,'General Inputs'!$F$32:$AN$32,'General Inputs'!$F$53:$AN$53)/(1-Loss_ElectricEnergy)</f>
        <v>3035.6108938537541</v>
      </c>
      <c r="BL245" s="59">
        <f ca="1">SUMPRODUCT($DK245:$ES245,'General Inputs'!$F$33:$AN$33,'General Inputs'!$F$53:$AN$53)/(1-Loss_ElectricDemand)</f>
        <v>578.93225738997239</v>
      </c>
      <c r="BM245" s="59">
        <f ca="1">SUMPRODUCT($EU245:$GC245,'General Inputs'!$F$34:$AN$34,'General Inputs'!$F$53:$AN$53)/(1-Loss_GasEnergy)</f>
        <v>0</v>
      </c>
      <c r="BN245" s="59">
        <f ca="1">INDEX('General Inputs'!$F$53:$AN$53,MATCH($H245,'General Inputs'!$F$50:$AN$50,0))*$AJ245</f>
        <v>0</v>
      </c>
      <c r="BO245" s="59">
        <f ca="1">SUMPRODUCT($CA245:$DI245,'General Inputs'!$F$35:$AN$35,'General Inputs'!$F$53:$AN$53)/(1-Loss_ElectricEnergy)</f>
        <v>1166.4360645140312</v>
      </c>
      <c r="BP245" s="59">
        <f ca="1">INDEX('General Inputs'!$F$51:$AN$51,MATCH($H245,'General Inputs'!$F$50:$AN$50,0))*$AM245</f>
        <v>0</v>
      </c>
      <c r="BQ245" s="59">
        <f ca="1">SUM(INDEX('General Inputs'!$F$53:$AN$53,MATCH($H245,'General Inputs'!$F$50:$AN$50,0))*$AG245,INDEX('General Inputs'!$F$53:$AN$53,MATCH($H245+$AL245,'General Inputs'!$F$50:$AN$50,0))*-$AH245)</f>
        <v>1350.6502908422804</v>
      </c>
      <c r="BR245" s="55"/>
      <c r="BS245" s="59">
        <f ca="1">SUMPRODUCT($CA245:$DI245,'General Inputs'!$F$32:$AN$32,'General Inputs'!$F$55:$AN$55)/(1-Loss_ElectricEnergy)</f>
        <v>3035.6108938537541</v>
      </c>
      <c r="BT245" s="59">
        <f ca="1">SUMPRODUCT($DK245:$ES245,'General Inputs'!$F$33:$AN$33,'General Inputs'!$F$55:$AN$55)/(1-Loss_ElectricDemand)</f>
        <v>578.93225738997239</v>
      </c>
      <c r="BU245" s="59">
        <f ca="1">SUMPRODUCT($EU245:$GC245,'General Inputs'!$F$34:$AN$34,'General Inputs'!$F$55:$AN$55)/(1-Loss_GasEnergy)</f>
        <v>0</v>
      </c>
      <c r="BV245" s="59">
        <f ca="1">SUMPRODUCT($CA245:$DI245,OFFSET('General Inputs'!$F$40:$AN$40,MATCH($D245&amp;" Electric ($/kWh)",'General Inputs'!$E$40:$E$46,0),),'General Inputs'!$F$55:$AN$55)</f>
        <v>0</v>
      </c>
      <c r="BW245" s="59">
        <f ca="1">SUMPRODUCT($EU245:$GC245,OFFSET('General Inputs'!$F$40:$AN$40,MATCH($D245&amp;" Natural Gas ($/therm)",'General Inputs'!$E$40:$E$46,0),),'General Inputs'!$F$55:$AN$55)</f>
        <v>0</v>
      </c>
      <c r="BX245" s="59">
        <f ca="1">INDEX('General Inputs'!$F$55:$AN$55,MATCH($H245,'General Inputs'!$F$50:$AN$50,0))*$AI245</f>
        <v>1055.1955397205315</v>
      </c>
      <c r="BY245" s="59">
        <f ca="1">INDEX('General Inputs'!$F$51:$AN$51,MATCH($H245,'General Inputs'!$F$50:$AN$50,0))*$AM245</f>
        <v>0</v>
      </c>
      <c r="BZ245" s="55"/>
      <c r="CA245" s="88">
        <f t="shared" ca="1" si="464"/>
        <v>0</v>
      </c>
      <c r="CB245" s="88">
        <f t="shared" ca="1" si="464"/>
        <v>0</v>
      </c>
      <c r="CC245" s="88">
        <f t="shared" ca="1" si="464"/>
        <v>19061.065999999995</v>
      </c>
      <c r="CD245" s="88">
        <f t="shared" ca="1" si="464"/>
        <v>19061.065999999995</v>
      </c>
      <c r="CE245" s="88">
        <f t="shared" ca="1" si="464"/>
        <v>19061.065999999995</v>
      </c>
      <c r="CF245" s="88">
        <f t="shared" ca="1" si="464"/>
        <v>19061.065999999995</v>
      </c>
      <c r="CG245" s="88">
        <f t="shared" ca="1" si="464"/>
        <v>19061.065999999995</v>
      </c>
      <c r="CH245" s="88">
        <f t="shared" ca="1" si="464"/>
        <v>19061.065999999995</v>
      </c>
      <c r="CI245" s="88">
        <f t="shared" ca="1" si="464"/>
        <v>19061.065999999995</v>
      </c>
      <c r="CJ245" s="88">
        <f t="shared" ca="1" si="464"/>
        <v>19061.065999999995</v>
      </c>
      <c r="CK245" s="88">
        <f t="shared" ca="1" si="465"/>
        <v>0</v>
      </c>
      <c r="CL245" s="88">
        <f t="shared" ca="1" si="465"/>
        <v>0</v>
      </c>
      <c r="CM245" s="88">
        <f t="shared" ca="1" si="465"/>
        <v>0</v>
      </c>
      <c r="CN245" s="88">
        <f t="shared" ca="1" si="465"/>
        <v>0</v>
      </c>
      <c r="CO245" s="88">
        <f t="shared" ca="1" si="465"/>
        <v>0</v>
      </c>
      <c r="CP245" s="88">
        <f t="shared" ca="1" si="465"/>
        <v>0</v>
      </c>
      <c r="CQ245" s="88">
        <f t="shared" ca="1" si="465"/>
        <v>0</v>
      </c>
      <c r="CR245" s="88">
        <f t="shared" ca="1" si="465"/>
        <v>0</v>
      </c>
      <c r="CS245" s="88">
        <f t="shared" ca="1" si="465"/>
        <v>0</v>
      </c>
      <c r="CT245" s="88">
        <f t="shared" ca="1" si="465"/>
        <v>0</v>
      </c>
      <c r="CU245" s="88">
        <f t="shared" ca="1" si="466"/>
        <v>0</v>
      </c>
      <c r="CV245" s="88">
        <f t="shared" ca="1" si="466"/>
        <v>0</v>
      </c>
      <c r="CW245" s="88">
        <f t="shared" ca="1" si="466"/>
        <v>0</v>
      </c>
      <c r="CX245" s="88">
        <f t="shared" ca="1" si="466"/>
        <v>0</v>
      </c>
      <c r="CY245" s="88">
        <f t="shared" ca="1" si="466"/>
        <v>0</v>
      </c>
      <c r="CZ245" s="88">
        <f t="shared" ca="1" si="466"/>
        <v>0</v>
      </c>
      <c r="DA245" s="88">
        <f t="shared" ca="1" si="466"/>
        <v>0</v>
      </c>
      <c r="DB245" s="88">
        <f t="shared" ca="1" si="466"/>
        <v>0</v>
      </c>
      <c r="DC245" s="88">
        <f t="shared" ca="1" si="466"/>
        <v>0</v>
      </c>
      <c r="DD245" s="88">
        <f t="shared" ca="1" si="466"/>
        <v>0</v>
      </c>
      <c r="DE245" s="88">
        <f t="shared" ca="1" si="466"/>
        <v>0</v>
      </c>
      <c r="DF245" s="88">
        <f t="shared" ca="1" si="466"/>
        <v>0</v>
      </c>
      <c r="DG245" s="88">
        <f t="shared" ca="1" si="466"/>
        <v>0</v>
      </c>
      <c r="DH245" s="88">
        <f t="shared" ca="1" si="466"/>
        <v>0</v>
      </c>
      <c r="DI245" s="88">
        <f t="shared" ca="1" si="466"/>
        <v>0</v>
      </c>
      <c r="DJ245" s="169"/>
      <c r="DK245" s="88">
        <f t="shared" ca="1" si="467"/>
        <v>0</v>
      </c>
      <c r="DL245" s="88">
        <f t="shared" ca="1" si="467"/>
        <v>0</v>
      </c>
      <c r="DM245" s="88">
        <f t="shared" ca="1" si="467"/>
        <v>5.0540000000000003</v>
      </c>
      <c r="DN245" s="88">
        <f t="shared" ca="1" si="467"/>
        <v>5.0540000000000003</v>
      </c>
      <c r="DO245" s="88">
        <f t="shared" ca="1" si="467"/>
        <v>5.0540000000000003</v>
      </c>
      <c r="DP245" s="88">
        <f t="shared" ca="1" si="467"/>
        <v>5.0540000000000003</v>
      </c>
      <c r="DQ245" s="88">
        <f t="shared" ca="1" si="467"/>
        <v>5.0540000000000003</v>
      </c>
      <c r="DR245" s="88">
        <f t="shared" ca="1" si="467"/>
        <v>5.0540000000000003</v>
      </c>
      <c r="DS245" s="88">
        <f t="shared" ca="1" si="467"/>
        <v>5.0540000000000003</v>
      </c>
      <c r="DT245" s="88">
        <f t="shared" ca="1" si="467"/>
        <v>5.0540000000000003</v>
      </c>
      <c r="DU245" s="88">
        <f t="shared" ca="1" si="468"/>
        <v>0</v>
      </c>
      <c r="DV245" s="88">
        <f t="shared" ca="1" si="468"/>
        <v>0</v>
      </c>
      <c r="DW245" s="88">
        <f t="shared" ca="1" si="468"/>
        <v>0</v>
      </c>
      <c r="DX245" s="88">
        <f t="shared" ca="1" si="468"/>
        <v>0</v>
      </c>
      <c r="DY245" s="88">
        <f t="shared" ca="1" si="468"/>
        <v>0</v>
      </c>
      <c r="DZ245" s="88">
        <f t="shared" ca="1" si="468"/>
        <v>0</v>
      </c>
      <c r="EA245" s="88">
        <f t="shared" ca="1" si="468"/>
        <v>0</v>
      </c>
      <c r="EB245" s="88">
        <f t="shared" ca="1" si="468"/>
        <v>0</v>
      </c>
      <c r="EC245" s="88">
        <f t="shared" ca="1" si="468"/>
        <v>0</v>
      </c>
      <c r="ED245" s="88">
        <f t="shared" ca="1" si="468"/>
        <v>0</v>
      </c>
      <c r="EE245" s="88">
        <f t="shared" ca="1" si="469"/>
        <v>0</v>
      </c>
      <c r="EF245" s="88">
        <f t="shared" ca="1" si="469"/>
        <v>0</v>
      </c>
      <c r="EG245" s="88">
        <f t="shared" ca="1" si="469"/>
        <v>0</v>
      </c>
      <c r="EH245" s="88">
        <f t="shared" ca="1" si="469"/>
        <v>0</v>
      </c>
      <c r="EI245" s="88">
        <f t="shared" ca="1" si="469"/>
        <v>0</v>
      </c>
      <c r="EJ245" s="88">
        <f t="shared" ca="1" si="469"/>
        <v>0</v>
      </c>
      <c r="EK245" s="88">
        <f t="shared" ca="1" si="469"/>
        <v>0</v>
      </c>
      <c r="EL245" s="88">
        <f t="shared" ca="1" si="469"/>
        <v>0</v>
      </c>
      <c r="EM245" s="88">
        <f t="shared" ca="1" si="469"/>
        <v>0</v>
      </c>
      <c r="EN245" s="88">
        <f t="shared" ca="1" si="469"/>
        <v>0</v>
      </c>
      <c r="EO245" s="88">
        <f t="shared" ca="1" si="469"/>
        <v>0</v>
      </c>
      <c r="EP245" s="88">
        <f t="shared" ca="1" si="469"/>
        <v>0</v>
      </c>
      <c r="EQ245" s="88">
        <f t="shared" ca="1" si="469"/>
        <v>0</v>
      </c>
      <c r="ER245" s="88">
        <f t="shared" ca="1" si="469"/>
        <v>0</v>
      </c>
      <c r="ES245" s="88">
        <f t="shared" ca="1" si="469"/>
        <v>0</v>
      </c>
      <c r="ET245" s="169"/>
      <c r="EU245" s="88">
        <f t="shared" ca="1" si="470"/>
        <v>0</v>
      </c>
      <c r="EV245" s="88">
        <f t="shared" ca="1" si="470"/>
        <v>0</v>
      </c>
      <c r="EW245" s="88">
        <f t="shared" ca="1" si="470"/>
        <v>0</v>
      </c>
      <c r="EX245" s="88">
        <f t="shared" ca="1" si="470"/>
        <v>0</v>
      </c>
      <c r="EY245" s="88">
        <f t="shared" ca="1" si="470"/>
        <v>0</v>
      </c>
      <c r="EZ245" s="88">
        <f t="shared" ca="1" si="470"/>
        <v>0</v>
      </c>
      <c r="FA245" s="88">
        <f t="shared" ca="1" si="470"/>
        <v>0</v>
      </c>
      <c r="FB245" s="88">
        <f t="shared" ca="1" si="470"/>
        <v>0</v>
      </c>
      <c r="FC245" s="88">
        <f t="shared" ca="1" si="470"/>
        <v>0</v>
      </c>
      <c r="FD245" s="88">
        <f t="shared" ca="1" si="470"/>
        <v>0</v>
      </c>
      <c r="FE245" s="88">
        <f t="shared" ca="1" si="471"/>
        <v>0</v>
      </c>
      <c r="FF245" s="88">
        <f t="shared" ca="1" si="471"/>
        <v>0</v>
      </c>
      <c r="FG245" s="88">
        <f t="shared" ca="1" si="471"/>
        <v>0</v>
      </c>
      <c r="FH245" s="88">
        <f t="shared" ca="1" si="471"/>
        <v>0</v>
      </c>
      <c r="FI245" s="88">
        <f t="shared" ca="1" si="471"/>
        <v>0</v>
      </c>
      <c r="FJ245" s="88">
        <f t="shared" ca="1" si="471"/>
        <v>0</v>
      </c>
      <c r="FK245" s="88">
        <f t="shared" ca="1" si="471"/>
        <v>0</v>
      </c>
      <c r="FL245" s="88">
        <f t="shared" ca="1" si="471"/>
        <v>0</v>
      </c>
      <c r="FM245" s="88">
        <f t="shared" ca="1" si="471"/>
        <v>0</v>
      </c>
      <c r="FN245" s="88">
        <f t="shared" ca="1" si="471"/>
        <v>0</v>
      </c>
      <c r="FO245" s="88">
        <f t="shared" ca="1" si="472"/>
        <v>0</v>
      </c>
      <c r="FP245" s="88">
        <f t="shared" ca="1" si="472"/>
        <v>0</v>
      </c>
      <c r="FQ245" s="88">
        <f t="shared" ca="1" si="472"/>
        <v>0</v>
      </c>
      <c r="FR245" s="88">
        <f t="shared" ca="1" si="472"/>
        <v>0</v>
      </c>
      <c r="FS245" s="88">
        <f t="shared" ca="1" si="472"/>
        <v>0</v>
      </c>
      <c r="FT245" s="88">
        <f t="shared" ca="1" si="472"/>
        <v>0</v>
      </c>
      <c r="FU245" s="88">
        <f t="shared" ca="1" si="472"/>
        <v>0</v>
      </c>
      <c r="FV245" s="88">
        <f t="shared" ca="1" si="472"/>
        <v>0</v>
      </c>
      <c r="FW245" s="88">
        <f t="shared" ca="1" si="472"/>
        <v>0</v>
      </c>
      <c r="FX245" s="88">
        <f t="shared" ca="1" si="472"/>
        <v>0</v>
      </c>
      <c r="FY245" s="88">
        <f t="shared" ca="1" si="472"/>
        <v>0</v>
      </c>
      <c r="FZ245" s="88">
        <f t="shared" ca="1" si="472"/>
        <v>0</v>
      </c>
      <c r="GA245" s="88">
        <f t="shared" ca="1" si="472"/>
        <v>0</v>
      </c>
      <c r="GB245" s="88">
        <f t="shared" ca="1" si="472"/>
        <v>0</v>
      </c>
      <c r="GC245" s="88">
        <f t="shared" ca="1" si="472"/>
        <v>0</v>
      </c>
      <c r="GD245" s="60"/>
    </row>
    <row r="246" spans="1:186" s="54" customFormat="1" ht="14.45" customHeight="1">
      <c r="A246" s="61"/>
      <c r="B246" s="100" t="str">
        <f t="shared" si="418"/>
        <v>C&amp;I_C&amp;I Prescriptive_0_Energy Star LED Lamp (&gt;20W)_2019</v>
      </c>
      <c r="C246" s="100">
        <f>INDEX('Measure Inputs'!$D:$D,MATCH($B246,'Measure Inputs'!$B:$B,0))</f>
        <v>198</v>
      </c>
      <c r="D246" s="101" t="s">
        <v>256</v>
      </c>
      <c r="E246" s="101" t="s">
        <v>255</v>
      </c>
      <c r="F246" s="101">
        <v>0</v>
      </c>
      <c r="G246" s="101" t="s">
        <v>356</v>
      </c>
      <c r="H246" s="101">
        <v>2019</v>
      </c>
      <c r="I246" s="55"/>
      <c r="J246" s="58">
        <f t="shared" ca="1" si="229"/>
        <v>2.4584729826095315</v>
      </c>
      <c r="K246" s="58">
        <f t="shared" ca="1" si="246"/>
        <v>3.6057603744939795</v>
      </c>
      <c r="L246" s="58">
        <f t="shared" ca="1" si="230"/>
        <v>0.68181818181818188</v>
      </c>
      <c r="M246" s="58">
        <f t="shared" ca="1" si="231"/>
        <v>3.2518378507429793</v>
      </c>
      <c r="N246" s="58">
        <f t="shared" ca="1" si="232"/>
        <v>3.6057603744939795</v>
      </c>
      <c r="O246" s="55"/>
      <c r="P246" s="175">
        <f ca="1">IFERROR(($AW246+AV246)/SUMPRODUCT($CA246:$DI246,'General Inputs'!$F$51:$AN$51),"n/a")</f>
        <v>1.0280342026141235E-2</v>
      </c>
      <c r="Q246" s="175">
        <f t="shared" ca="1" si="454"/>
        <v>6.229976854389991E-2</v>
      </c>
      <c r="R246" s="56">
        <f t="shared" ca="1" si="441"/>
        <v>192.617088</v>
      </c>
      <c r="S246" s="55"/>
      <c r="T246" s="56">
        <f ca="1">INDEX(OFFSET('Measure Inputs'!$L$7,,,InputRows),$C246)</f>
        <v>100</v>
      </c>
      <c r="U246" s="134">
        <f ca="1">INDEX(OFFSET('Measure Inputs'!$T$7,,,InputRows),$C246)</f>
        <v>1</v>
      </c>
      <c r="V246" s="134">
        <f ca="1">INDEX(OFFSET('Measure Inputs'!$U$7,,,InputRows),$C246)</f>
        <v>1</v>
      </c>
      <c r="W246" s="55"/>
      <c r="X246" s="96">
        <f ca="1">INDEX(OFFSET('Measure Inputs'!$V$7,,,InputRows),$C246)*$T246*$V246*$U246</f>
        <v>24077.135999999999</v>
      </c>
      <c r="Y246" s="96">
        <f ca="1">INDEX(OFFSET('Measure Inputs'!$W$7,,,InputRows),$C246)*$T246*$V246*$U246</f>
        <v>6.3840000000000003</v>
      </c>
      <c r="Z246" s="96">
        <f ca="1">INDEX(OFFSET('Measure Inputs'!$X$7,,,InputRows),$C246)*$T246*$V246*$U246</f>
        <v>0</v>
      </c>
      <c r="AA246" s="55"/>
      <c r="AB246" s="96">
        <f ca="1">INDEX(OFFSET('Measure Inputs'!$Z$7,,,InputRows),$C246)*$T246*$V246*$U246</f>
        <v>0</v>
      </c>
      <c r="AC246" s="96">
        <f ca="1">INDEX(OFFSET('Measure Inputs'!$AA$7,,,InputRows),$C246)*$T246*$V246*$U246</f>
        <v>0</v>
      </c>
      <c r="AD246" s="96">
        <f ca="1">INDEX(OFFSET('Measure Inputs'!$AB$7,,,InputRows),$C246)*$T246*$V246*$U246</f>
        <v>0</v>
      </c>
      <c r="AE246" s="55"/>
      <c r="AF246" s="57">
        <f ca="1">INDEX(OFFSET('Measure Inputs'!$Q$7,,,InputRows),$C246)*$T246</f>
        <v>0</v>
      </c>
      <c r="AG246" s="57">
        <f ca="1">INDEX(OFFSET('Measure Inputs'!$P$7,,,InputRows),$C246)*$T246*$V246</f>
        <v>2200</v>
      </c>
      <c r="AH246" s="57">
        <f ca="1">INDEX(OFFSET('Measure Inputs'!$R$7,,,InputRows),$C246)*$T246*$V246</f>
        <v>0</v>
      </c>
      <c r="AI246" s="57">
        <f ca="1">INDEX(OFFSET('Measure Inputs'!$O$7,,,InputRows),$C246)*$T246</f>
        <v>1500</v>
      </c>
      <c r="AJ246" s="57">
        <f ca="1">INDEX(OFFSET('Measure Inputs'!$S$7,,,InputRows),$C246)*$T246</f>
        <v>0</v>
      </c>
      <c r="AK246" s="63">
        <f ca="1">INDEX(OFFSET('Measure Inputs'!$M$7,,,InputRows),$C246)</f>
        <v>8</v>
      </c>
      <c r="AL246" s="88">
        <f ca="1">INDEX(OFFSET('Measure Inputs'!$N$7,,,InputRows),$C246)</f>
        <v>0</v>
      </c>
      <c r="AM246" s="57">
        <f ca="1">SUMIFS(OFFSET('Program Inputs'!$N$5,,,TotalPrograms),OFFSET('Program Inputs'!$B$5,,,TotalPrograms),SUBSTITUTE($B246,"All","*"))+AF246</f>
        <v>0</v>
      </c>
      <c r="AN246" s="57">
        <f t="shared" ca="1" si="442"/>
        <v>1500</v>
      </c>
      <c r="AO246" s="55"/>
      <c r="AP246" s="59">
        <f t="shared" ca="1" si="443"/>
        <v>4565.7387173604966</v>
      </c>
      <c r="AQ246" s="59">
        <f t="shared" ca="1" si="444"/>
        <v>1857.1441499081354</v>
      </c>
      <c r="AR246" s="59">
        <f ca="1">SUMPRODUCT($CA246:$DI246,'General Inputs'!$F$32:$AN$32,'General Inputs'!$F$51:$AN$51)/(1-Loss_ElectricEnergy)</f>
        <v>3834.4558659205313</v>
      </c>
      <c r="AS246" s="59">
        <f ca="1">SUMPRODUCT($DK246:$ES246,'General Inputs'!$F$33:$AN$33,'General Inputs'!$F$51:$AN$51)/(1-Loss_ElectricDemand)</f>
        <v>731.28285143996493</v>
      </c>
      <c r="AT246" s="59">
        <f ca="1">SUMPRODUCT($EU246:$GC246,'General Inputs'!$F$34:$AN$34,'General Inputs'!$F$51:$AN$51)/(1-Loss_GasEnergy)</f>
        <v>0</v>
      </c>
      <c r="AU246" s="59">
        <f ca="1">INDEX('General Inputs'!$F$51:$AN$51,MATCH($H246,'General Inputs'!$F$50:$AN$50,0))*$AJ246</f>
        <v>0</v>
      </c>
      <c r="AV246" s="59">
        <f ca="1">INDEX('General Inputs'!$F$51:$AN$51,MATCH($H246,'General Inputs'!$F$50:$AN$50,0))*$AI246</f>
        <v>1266.2346476646378</v>
      </c>
      <c r="AW246" s="59">
        <f ca="1">INDEX('General Inputs'!$F$51:$AN$51,MATCH($H246,'General Inputs'!$F$50:$AN$50,0))*$AM246</f>
        <v>0</v>
      </c>
      <c r="AX246" s="59">
        <f ca="1">SUM(INDEX('General Inputs'!$F$51:$AN$51,MATCH($H246,'General Inputs'!$F$50:$AN$50,0))*$AG246,INDEX('General Inputs'!$F$51:$AN$51,MATCH($H246+$AL246,'General Inputs'!$F$50:$AN$50,0))*-$AH246)</f>
        <v>1857.1441499081354</v>
      </c>
      <c r="AY246" s="55"/>
      <c r="AZ246" s="59">
        <f ca="1">SUMPRODUCT($CA246:$DI246,'General Inputs'!$F$32:$AN$32,'General Inputs'!$F$52:$AN$52)/(1-Loss_ElectricEnergy)</f>
        <v>3834.4558659205313</v>
      </c>
      <c r="BA246" s="59">
        <f ca="1">SUMPRODUCT($DK246:$ES246,'General Inputs'!$F$33:$AN$33,'General Inputs'!$F$52:$AN$52)/(1-Loss_ElectricDemand)</f>
        <v>731.28285143996493</v>
      </c>
      <c r="BB246" s="59">
        <f ca="1">SUMPRODUCT($EU246:$GC246,'General Inputs'!$F$34:$AN$34,'General Inputs'!$F$52:$AN$52)/(1-Loss_GasEnergy)</f>
        <v>0</v>
      </c>
      <c r="BC246" s="59">
        <f ca="1">INDEX('General Inputs'!$F$52:$AN$52,MATCH($H246,'General Inputs'!$F$50:$AN$50,0))*$AI246</f>
        <v>1266.2346476646378</v>
      </c>
      <c r="BD246" s="59">
        <f ca="1">INDEX('General Inputs'!$F$52:$AN$52,MATCH($H246,'General Inputs'!$F$50:$AN$50,0))*$AM246</f>
        <v>0</v>
      </c>
      <c r="BE246" s="55"/>
      <c r="BF246" s="59">
        <f ca="1">SUMPRODUCT($CA246:$DI246,OFFSET('General Inputs'!$F$40:$AN$40,MATCH($D246&amp;" Electric ($/kWh)",'General Inputs'!$E$40:$E$46,0),),'General Inputs'!$F$54:$AN$54)</f>
        <v>0</v>
      </c>
      <c r="BG246" s="59">
        <f ca="1">SUMPRODUCT($EU246:$GC246,OFFSET('General Inputs'!$F$40:$AN$40,MATCH($D246&amp;" Natural Gas ($/therm)",'General Inputs'!$E$40:$E$46,0),),'General Inputs'!$F$54:$AN$54)</f>
        <v>0</v>
      </c>
      <c r="BH246" s="59">
        <f ca="1">INDEX('General Inputs'!$F$54:$AN$54,MATCH($H246,'General Inputs'!$F$50:$AN$50,0))*$AI246</f>
        <v>1266.2346476646378</v>
      </c>
      <c r="BI246" s="59">
        <f ca="1">SUM(INDEX('General Inputs'!$F$54:$AN$54,MATCH($H246,'General Inputs'!$F$50:$AN$50,0))*$AG246,INDEX('General Inputs'!$F$51:$AN$51,MATCH($H246+$AL246,'General Inputs'!$F$50:$AN$50,0))*-$AH246)</f>
        <v>1857.1441499081354</v>
      </c>
      <c r="BJ246" s="55"/>
      <c r="BK246" s="59">
        <f ca="1">SUMPRODUCT($CA246:$DI246,'General Inputs'!$F$32:$AN$32,'General Inputs'!$F$53:$AN$53)/(1-Loss_ElectricEnergy)</f>
        <v>3834.4558659205313</v>
      </c>
      <c r="BL246" s="59">
        <f ca="1">SUMPRODUCT($DK246:$ES246,'General Inputs'!$F$33:$AN$33,'General Inputs'!$F$53:$AN$53)/(1-Loss_ElectricDemand)</f>
        <v>731.28285143996493</v>
      </c>
      <c r="BM246" s="59">
        <f ca="1">SUMPRODUCT($EU246:$GC246,'General Inputs'!$F$34:$AN$34,'General Inputs'!$F$53:$AN$53)/(1-Loss_GasEnergy)</f>
        <v>0</v>
      </c>
      <c r="BN246" s="59">
        <f ca="1">INDEX('General Inputs'!$F$53:$AN$53,MATCH($H246,'General Inputs'!$F$50:$AN$50,0))*$AJ246</f>
        <v>0</v>
      </c>
      <c r="BO246" s="59">
        <f ca="1">SUMPRODUCT($CA246:$DI246,'General Inputs'!$F$35:$AN$35,'General Inputs'!$F$53:$AN$53)/(1-Loss_ElectricEnergy)</f>
        <v>1473.3929235966712</v>
      </c>
      <c r="BP246" s="59">
        <f ca="1">INDEX('General Inputs'!$F$51:$AN$51,MATCH($H246,'General Inputs'!$F$50:$AN$50,0))*$AM246</f>
        <v>0</v>
      </c>
      <c r="BQ246" s="59">
        <f ca="1">SUM(INDEX('General Inputs'!$F$53:$AN$53,MATCH($H246,'General Inputs'!$F$50:$AN$50,0))*$AG246,INDEX('General Inputs'!$F$53:$AN$53,MATCH($H246+$AL246,'General Inputs'!$F$50:$AN$50,0))*-$AH246)</f>
        <v>1857.1441499081354</v>
      </c>
      <c r="BR246" s="55"/>
      <c r="BS246" s="59">
        <f ca="1">SUMPRODUCT($CA246:$DI246,'General Inputs'!$F$32:$AN$32,'General Inputs'!$F$55:$AN$55)/(1-Loss_ElectricEnergy)</f>
        <v>3834.4558659205313</v>
      </c>
      <c r="BT246" s="59">
        <f ca="1">SUMPRODUCT($DK246:$ES246,'General Inputs'!$F$33:$AN$33,'General Inputs'!$F$55:$AN$55)/(1-Loss_ElectricDemand)</f>
        <v>731.28285143996493</v>
      </c>
      <c r="BU246" s="59">
        <f ca="1">SUMPRODUCT($EU246:$GC246,'General Inputs'!$F$34:$AN$34,'General Inputs'!$F$55:$AN$55)/(1-Loss_GasEnergy)</f>
        <v>0</v>
      </c>
      <c r="BV246" s="59">
        <f ca="1">SUMPRODUCT($CA246:$DI246,OFFSET('General Inputs'!$F$40:$AN$40,MATCH($D246&amp;" Electric ($/kWh)",'General Inputs'!$E$40:$E$46,0),),'General Inputs'!$F$55:$AN$55)</f>
        <v>0</v>
      </c>
      <c r="BW246" s="59">
        <f ca="1">SUMPRODUCT($EU246:$GC246,OFFSET('General Inputs'!$F$40:$AN$40,MATCH($D246&amp;" Natural Gas ($/therm)",'General Inputs'!$E$40:$E$46,0),),'General Inputs'!$F$55:$AN$55)</f>
        <v>0</v>
      </c>
      <c r="BX246" s="59">
        <f ca="1">INDEX('General Inputs'!$F$55:$AN$55,MATCH($H246,'General Inputs'!$F$50:$AN$50,0))*$AI246</f>
        <v>1266.2346476646378</v>
      </c>
      <c r="BY246" s="59">
        <f ca="1">INDEX('General Inputs'!$F$51:$AN$51,MATCH($H246,'General Inputs'!$F$50:$AN$50,0))*$AM246</f>
        <v>0</v>
      </c>
      <c r="BZ246" s="55"/>
      <c r="CA246" s="88">
        <f t="shared" ca="1" si="464"/>
        <v>0</v>
      </c>
      <c r="CB246" s="88">
        <f t="shared" ca="1" si="464"/>
        <v>0</v>
      </c>
      <c r="CC246" s="88">
        <f t="shared" ca="1" si="464"/>
        <v>24077.135999999999</v>
      </c>
      <c r="CD246" s="88">
        <f t="shared" ca="1" si="464"/>
        <v>24077.135999999999</v>
      </c>
      <c r="CE246" s="88">
        <f t="shared" ca="1" si="464"/>
        <v>24077.135999999999</v>
      </c>
      <c r="CF246" s="88">
        <f t="shared" ca="1" si="464"/>
        <v>24077.135999999999</v>
      </c>
      <c r="CG246" s="88">
        <f t="shared" ca="1" si="464"/>
        <v>24077.135999999999</v>
      </c>
      <c r="CH246" s="88">
        <f t="shared" ca="1" si="464"/>
        <v>24077.135999999999</v>
      </c>
      <c r="CI246" s="88">
        <f t="shared" ca="1" si="464"/>
        <v>24077.135999999999</v>
      </c>
      <c r="CJ246" s="88">
        <f t="shared" ca="1" si="464"/>
        <v>24077.135999999999</v>
      </c>
      <c r="CK246" s="88">
        <f t="shared" ca="1" si="465"/>
        <v>0</v>
      </c>
      <c r="CL246" s="88">
        <f t="shared" ca="1" si="465"/>
        <v>0</v>
      </c>
      <c r="CM246" s="88">
        <f t="shared" ca="1" si="465"/>
        <v>0</v>
      </c>
      <c r="CN246" s="88">
        <f t="shared" ca="1" si="465"/>
        <v>0</v>
      </c>
      <c r="CO246" s="88">
        <f t="shared" ca="1" si="465"/>
        <v>0</v>
      </c>
      <c r="CP246" s="88">
        <f t="shared" ca="1" si="465"/>
        <v>0</v>
      </c>
      <c r="CQ246" s="88">
        <f t="shared" ca="1" si="465"/>
        <v>0</v>
      </c>
      <c r="CR246" s="88">
        <f t="shared" ca="1" si="465"/>
        <v>0</v>
      </c>
      <c r="CS246" s="88">
        <f t="shared" ca="1" si="465"/>
        <v>0</v>
      </c>
      <c r="CT246" s="88">
        <f t="shared" ca="1" si="465"/>
        <v>0</v>
      </c>
      <c r="CU246" s="88">
        <f t="shared" ca="1" si="466"/>
        <v>0</v>
      </c>
      <c r="CV246" s="88">
        <f t="shared" ca="1" si="466"/>
        <v>0</v>
      </c>
      <c r="CW246" s="88">
        <f t="shared" ca="1" si="466"/>
        <v>0</v>
      </c>
      <c r="CX246" s="88">
        <f t="shared" ca="1" si="466"/>
        <v>0</v>
      </c>
      <c r="CY246" s="88">
        <f t="shared" ca="1" si="466"/>
        <v>0</v>
      </c>
      <c r="CZ246" s="88">
        <f t="shared" ca="1" si="466"/>
        <v>0</v>
      </c>
      <c r="DA246" s="88">
        <f t="shared" ca="1" si="466"/>
        <v>0</v>
      </c>
      <c r="DB246" s="88">
        <f t="shared" ca="1" si="466"/>
        <v>0</v>
      </c>
      <c r="DC246" s="88">
        <f t="shared" ca="1" si="466"/>
        <v>0</v>
      </c>
      <c r="DD246" s="88">
        <f t="shared" ca="1" si="466"/>
        <v>0</v>
      </c>
      <c r="DE246" s="88">
        <f t="shared" ca="1" si="466"/>
        <v>0</v>
      </c>
      <c r="DF246" s="88">
        <f t="shared" ca="1" si="466"/>
        <v>0</v>
      </c>
      <c r="DG246" s="88">
        <f t="shared" ca="1" si="466"/>
        <v>0</v>
      </c>
      <c r="DH246" s="88">
        <f t="shared" ca="1" si="466"/>
        <v>0</v>
      </c>
      <c r="DI246" s="88">
        <f t="shared" ca="1" si="466"/>
        <v>0</v>
      </c>
      <c r="DJ246" s="169"/>
      <c r="DK246" s="88">
        <f t="shared" ca="1" si="467"/>
        <v>0</v>
      </c>
      <c r="DL246" s="88">
        <f t="shared" ca="1" si="467"/>
        <v>0</v>
      </c>
      <c r="DM246" s="88">
        <f t="shared" ca="1" si="467"/>
        <v>6.3840000000000003</v>
      </c>
      <c r="DN246" s="88">
        <f t="shared" ca="1" si="467"/>
        <v>6.3840000000000003</v>
      </c>
      <c r="DO246" s="88">
        <f t="shared" ca="1" si="467"/>
        <v>6.3840000000000003</v>
      </c>
      <c r="DP246" s="88">
        <f t="shared" ca="1" si="467"/>
        <v>6.3840000000000003</v>
      </c>
      <c r="DQ246" s="88">
        <f t="shared" ca="1" si="467"/>
        <v>6.3840000000000003</v>
      </c>
      <c r="DR246" s="88">
        <f t="shared" ca="1" si="467"/>
        <v>6.3840000000000003</v>
      </c>
      <c r="DS246" s="88">
        <f t="shared" ca="1" si="467"/>
        <v>6.3840000000000003</v>
      </c>
      <c r="DT246" s="88">
        <f t="shared" ca="1" si="467"/>
        <v>6.3840000000000003</v>
      </c>
      <c r="DU246" s="88">
        <f t="shared" ca="1" si="468"/>
        <v>0</v>
      </c>
      <c r="DV246" s="88">
        <f t="shared" ca="1" si="468"/>
        <v>0</v>
      </c>
      <c r="DW246" s="88">
        <f t="shared" ca="1" si="468"/>
        <v>0</v>
      </c>
      <c r="DX246" s="88">
        <f t="shared" ca="1" si="468"/>
        <v>0</v>
      </c>
      <c r="DY246" s="88">
        <f t="shared" ca="1" si="468"/>
        <v>0</v>
      </c>
      <c r="DZ246" s="88">
        <f t="shared" ca="1" si="468"/>
        <v>0</v>
      </c>
      <c r="EA246" s="88">
        <f t="shared" ca="1" si="468"/>
        <v>0</v>
      </c>
      <c r="EB246" s="88">
        <f t="shared" ca="1" si="468"/>
        <v>0</v>
      </c>
      <c r="EC246" s="88">
        <f t="shared" ca="1" si="468"/>
        <v>0</v>
      </c>
      <c r="ED246" s="88">
        <f t="shared" ca="1" si="468"/>
        <v>0</v>
      </c>
      <c r="EE246" s="88">
        <f t="shared" ca="1" si="469"/>
        <v>0</v>
      </c>
      <c r="EF246" s="88">
        <f t="shared" ca="1" si="469"/>
        <v>0</v>
      </c>
      <c r="EG246" s="88">
        <f t="shared" ca="1" si="469"/>
        <v>0</v>
      </c>
      <c r="EH246" s="88">
        <f t="shared" ca="1" si="469"/>
        <v>0</v>
      </c>
      <c r="EI246" s="88">
        <f t="shared" ca="1" si="469"/>
        <v>0</v>
      </c>
      <c r="EJ246" s="88">
        <f t="shared" ca="1" si="469"/>
        <v>0</v>
      </c>
      <c r="EK246" s="88">
        <f t="shared" ca="1" si="469"/>
        <v>0</v>
      </c>
      <c r="EL246" s="88">
        <f t="shared" ca="1" si="469"/>
        <v>0</v>
      </c>
      <c r="EM246" s="88">
        <f t="shared" ca="1" si="469"/>
        <v>0</v>
      </c>
      <c r="EN246" s="88">
        <f t="shared" ca="1" si="469"/>
        <v>0</v>
      </c>
      <c r="EO246" s="88">
        <f t="shared" ca="1" si="469"/>
        <v>0</v>
      </c>
      <c r="EP246" s="88">
        <f t="shared" ca="1" si="469"/>
        <v>0</v>
      </c>
      <c r="EQ246" s="88">
        <f t="shared" ca="1" si="469"/>
        <v>0</v>
      </c>
      <c r="ER246" s="88">
        <f t="shared" ca="1" si="469"/>
        <v>0</v>
      </c>
      <c r="ES246" s="88">
        <f t="shared" ca="1" si="469"/>
        <v>0</v>
      </c>
      <c r="ET246" s="169"/>
      <c r="EU246" s="88">
        <f t="shared" ca="1" si="470"/>
        <v>0</v>
      </c>
      <c r="EV246" s="88">
        <f t="shared" ca="1" si="470"/>
        <v>0</v>
      </c>
      <c r="EW246" s="88">
        <f t="shared" ca="1" si="470"/>
        <v>0</v>
      </c>
      <c r="EX246" s="88">
        <f t="shared" ca="1" si="470"/>
        <v>0</v>
      </c>
      <c r="EY246" s="88">
        <f t="shared" ca="1" si="470"/>
        <v>0</v>
      </c>
      <c r="EZ246" s="88">
        <f t="shared" ca="1" si="470"/>
        <v>0</v>
      </c>
      <c r="FA246" s="88">
        <f t="shared" ca="1" si="470"/>
        <v>0</v>
      </c>
      <c r="FB246" s="88">
        <f t="shared" ca="1" si="470"/>
        <v>0</v>
      </c>
      <c r="FC246" s="88">
        <f t="shared" ca="1" si="470"/>
        <v>0</v>
      </c>
      <c r="FD246" s="88">
        <f t="shared" ca="1" si="470"/>
        <v>0</v>
      </c>
      <c r="FE246" s="88">
        <f t="shared" ca="1" si="471"/>
        <v>0</v>
      </c>
      <c r="FF246" s="88">
        <f t="shared" ca="1" si="471"/>
        <v>0</v>
      </c>
      <c r="FG246" s="88">
        <f t="shared" ca="1" si="471"/>
        <v>0</v>
      </c>
      <c r="FH246" s="88">
        <f t="shared" ca="1" si="471"/>
        <v>0</v>
      </c>
      <c r="FI246" s="88">
        <f t="shared" ca="1" si="471"/>
        <v>0</v>
      </c>
      <c r="FJ246" s="88">
        <f t="shared" ca="1" si="471"/>
        <v>0</v>
      </c>
      <c r="FK246" s="88">
        <f t="shared" ca="1" si="471"/>
        <v>0</v>
      </c>
      <c r="FL246" s="88">
        <f t="shared" ca="1" si="471"/>
        <v>0</v>
      </c>
      <c r="FM246" s="88">
        <f t="shared" ca="1" si="471"/>
        <v>0</v>
      </c>
      <c r="FN246" s="88">
        <f t="shared" ca="1" si="471"/>
        <v>0</v>
      </c>
      <c r="FO246" s="88">
        <f t="shared" ca="1" si="472"/>
        <v>0</v>
      </c>
      <c r="FP246" s="88">
        <f t="shared" ca="1" si="472"/>
        <v>0</v>
      </c>
      <c r="FQ246" s="88">
        <f t="shared" ca="1" si="472"/>
        <v>0</v>
      </c>
      <c r="FR246" s="88">
        <f t="shared" ca="1" si="472"/>
        <v>0</v>
      </c>
      <c r="FS246" s="88">
        <f t="shared" ca="1" si="472"/>
        <v>0</v>
      </c>
      <c r="FT246" s="88">
        <f t="shared" ca="1" si="472"/>
        <v>0</v>
      </c>
      <c r="FU246" s="88">
        <f t="shared" ca="1" si="472"/>
        <v>0</v>
      </c>
      <c r="FV246" s="88">
        <f t="shared" ca="1" si="472"/>
        <v>0</v>
      </c>
      <c r="FW246" s="88">
        <f t="shared" ca="1" si="472"/>
        <v>0</v>
      </c>
      <c r="FX246" s="88">
        <f t="shared" ca="1" si="472"/>
        <v>0</v>
      </c>
      <c r="FY246" s="88">
        <f t="shared" ca="1" si="472"/>
        <v>0</v>
      </c>
      <c r="FZ246" s="88">
        <f t="shared" ca="1" si="472"/>
        <v>0</v>
      </c>
      <c r="GA246" s="88">
        <f t="shared" ca="1" si="472"/>
        <v>0</v>
      </c>
      <c r="GB246" s="88">
        <f t="shared" ca="1" si="472"/>
        <v>0</v>
      </c>
      <c r="GC246" s="88">
        <f t="shared" ca="1" si="472"/>
        <v>0</v>
      </c>
      <c r="GD246" s="60"/>
    </row>
    <row r="247" spans="1:186" s="54" customFormat="1" ht="14.45" customHeight="1">
      <c r="A247" s="61"/>
      <c r="B247" s="100" t="str">
        <f t="shared" si="418"/>
        <v>C&amp;I_C&amp;I Prescriptive_0_High Performance T8 (1-2 Lamp)_2019</v>
      </c>
      <c r="C247" s="100">
        <f>INDEX('Measure Inputs'!$D:$D,MATCH($B247,'Measure Inputs'!$B:$B,0))</f>
        <v>199</v>
      </c>
      <c r="D247" s="101" t="s">
        <v>256</v>
      </c>
      <c r="E247" s="101" t="s">
        <v>255</v>
      </c>
      <c r="F247" s="101">
        <v>0</v>
      </c>
      <c r="G247" s="101" t="s">
        <v>289</v>
      </c>
      <c r="H247" s="101">
        <v>2019</v>
      </c>
      <c r="I247" s="55"/>
      <c r="J247" s="58">
        <f t="shared" ca="1" si="229"/>
        <v>0.94947943183915107</v>
      </c>
      <c r="K247" s="58">
        <f t="shared" ca="1" si="246"/>
        <v>1.8989588636783021</v>
      </c>
      <c r="L247" s="58">
        <f t="shared" ca="1" si="230"/>
        <v>0.5</v>
      </c>
      <c r="M247" s="58">
        <f t="shared" ca="1" si="231"/>
        <v>1.244720546255238</v>
      </c>
      <c r="N247" s="58">
        <f t="shared" ca="1" si="232"/>
        <v>1.8989588636783021</v>
      </c>
      <c r="O247" s="55"/>
      <c r="P247" s="175">
        <f ca="1">IFERROR(($AW247+AV247)/SUMPRODUCT($CA247:$DI247,'General Inputs'!$F$51:$AN$51),"n/a")</f>
        <v>2.0258398932171347E-2</v>
      </c>
      <c r="Q247" s="175">
        <f t="shared" ca="1" si="454"/>
        <v>0.17942333340643174</v>
      </c>
      <c r="R247" s="56">
        <f t="shared" ca="1" si="441"/>
        <v>112.86157499999996</v>
      </c>
      <c r="S247" s="55"/>
      <c r="T247" s="56">
        <f ca="1">INDEX(OFFSET('Measure Inputs'!$L$7,,,InputRows),$C247)</f>
        <v>150</v>
      </c>
      <c r="U247" s="134">
        <f ca="1">INDEX(OFFSET('Measure Inputs'!$T$7,,,InputRows),$C247)</f>
        <v>1</v>
      </c>
      <c r="V247" s="134">
        <f ca="1">INDEX(OFFSET('Measure Inputs'!$U$7,,,InputRows),$C247)</f>
        <v>1</v>
      </c>
      <c r="W247" s="55"/>
      <c r="X247" s="96">
        <f ca="1">INDEX(OFFSET('Measure Inputs'!$V$7,,,InputRows),$C247)*$T247*$V247*$U247</f>
        <v>7524.1049999999996</v>
      </c>
      <c r="Y247" s="96">
        <f ca="1">INDEX(OFFSET('Measure Inputs'!$W$7,,,InputRows),$C247)*$T247*$V247*$U247</f>
        <v>1.9950000000000001</v>
      </c>
      <c r="Z247" s="96">
        <f ca="1">INDEX(OFFSET('Measure Inputs'!$X$7,,,InputRows),$C247)*$T247*$V247*$U247</f>
        <v>0</v>
      </c>
      <c r="AA247" s="55"/>
      <c r="AB247" s="96">
        <f ca="1">INDEX(OFFSET('Measure Inputs'!$Z$7,,,InputRows),$C247)*$T247*$V247*$U247</f>
        <v>0</v>
      </c>
      <c r="AC247" s="96">
        <f ca="1">INDEX(OFFSET('Measure Inputs'!$AA$7,,,InputRows),$C247)*$T247*$V247*$U247</f>
        <v>0</v>
      </c>
      <c r="AD247" s="96">
        <f ca="1">INDEX(OFFSET('Measure Inputs'!$AB$7,,,InputRows),$C247)*$T247*$V247*$U247</f>
        <v>0</v>
      </c>
      <c r="AE247" s="55"/>
      <c r="AF247" s="57">
        <f ca="1">INDEX(OFFSET('Measure Inputs'!$Q$7,,,InputRows),$C247)*$T247</f>
        <v>0</v>
      </c>
      <c r="AG247" s="57">
        <f ca="1">INDEX(OFFSET('Measure Inputs'!$P$7,,,InputRows),$C247)*$T247*$V247</f>
        <v>2700</v>
      </c>
      <c r="AH247" s="57">
        <f ca="1">INDEX(OFFSET('Measure Inputs'!$R$7,,,InputRows),$C247)*$T247*$V247</f>
        <v>0</v>
      </c>
      <c r="AI247" s="57">
        <f ca="1">INDEX(OFFSET('Measure Inputs'!$O$7,,,InputRows),$C247)*$T247</f>
        <v>1350</v>
      </c>
      <c r="AJ247" s="57">
        <f ca="1">INDEX(OFFSET('Measure Inputs'!$S$7,,,InputRows),$C247)*$T247</f>
        <v>0</v>
      </c>
      <c r="AK247" s="63">
        <f ca="1">INDEX(OFFSET('Measure Inputs'!$M$7,,,InputRows),$C247)</f>
        <v>15</v>
      </c>
      <c r="AL247" s="88">
        <f ca="1">INDEX(OFFSET('Measure Inputs'!$N$7,,,InputRows),$C247)</f>
        <v>0</v>
      </c>
      <c r="AM247" s="57">
        <f ca="1">SUMIFS(OFFSET('Program Inputs'!$N$5,,,TotalPrograms),OFFSET('Program Inputs'!$B$5,,,TotalPrograms),SUBSTITUTE($B247,"All","*"))+AF247</f>
        <v>0</v>
      </c>
      <c r="AN247" s="57">
        <f t="shared" ca="1" si="442"/>
        <v>1350</v>
      </c>
      <c r="AO247" s="55"/>
      <c r="AP247" s="59">
        <f t="shared" ca="1" si="443"/>
        <v>2164.0747569114023</v>
      </c>
      <c r="AQ247" s="59">
        <f t="shared" ca="1" si="444"/>
        <v>2279.2223657963482</v>
      </c>
      <c r="AR247" s="59">
        <f ca="1">SUMPRODUCT($CA247:$DI247,'General Inputs'!$F$32:$AN$32,'General Inputs'!$F$51:$AN$51)/(1-Loss_ElectricEnergy)</f>
        <v>1817.4603628493808</v>
      </c>
      <c r="AS247" s="59">
        <f ca="1">SUMPRODUCT($DK247:$ES247,'General Inputs'!$F$33:$AN$33,'General Inputs'!$F$51:$AN$51)/(1-Loss_ElectricDemand)</f>
        <v>346.61439406202146</v>
      </c>
      <c r="AT247" s="59">
        <f ca="1">SUMPRODUCT($EU247:$GC247,'General Inputs'!$F$34:$AN$34,'General Inputs'!$F$51:$AN$51)/(1-Loss_GasEnergy)</f>
        <v>0</v>
      </c>
      <c r="AU247" s="59">
        <f ca="1">INDEX('General Inputs'!$F$51:$AN$51,MATCH($H247,'General Inputs'!$F$50:$AN$50,0))*$AJ247</f>
        <v>0</v>
      </c>
      <c r="AV247" s="59">
        <f ca="1">INDEX('General Inputs'!$F$51:$AN$51,MATCH($H247,'General Inputs'!$F$50:$AN$50,0))*$AI247</f>
        <v>1139.6111828981741</v>
      </c>
      <c r="AW247" s="59">
        <f ca="1">INDEX('General Inputs'!$F$51:$AN$51,MATCH($H247,'General Inputs'!$F$50:$AN$50,0))*$AM247</f>
        <v>0</v>
      </c>
      <c r="AX247" s="59">
        <f ca="1">SUM(INDEX('General Inputs'!$F$51:$AN$51,MATCH($H247,'General Inputs'!$F$50:$AN$50,0))*$AG247,INDEX('General Inputs'!$F$51:$AN$51,MATCH($H247+$AL247,'General Inputs'!$F$50:$AN$50,0))*-$AH247)</f>
        <v>2279.2223657963482</v>
      </c>
      <c r="AY247" s="55"/>
      <c r="AZ247" s="59">
        <f ca="1">SUMPRODUCT($CA247:$DI247,'General Inputs'!$F$32:$AN$32,'General Inputs'!$F$52:$AN$52)/(1-Loss_ElectricEnergy)</f>
        <v>1817.4603628493808</v>
      </c>
      <c r="BA247" s="59">
        <f ca="1">SUMPRODUCT($DK247:$ES247,'General Inputs'!$F$33:$AN$33,'General Inputs'!$F$52:$AN$52)/(1-Loss_ElectricDemand)</f>
        <v>346.61439406202146</v>
      </c>
      <c r="BB247" s="59">
        <f ca="1">SUMPRODUCT($EU247:$GC247,'General Inputs'!$F$34:$AN$34,'General Inputs'!$F$52:$AN$52)/(1-Loss_GasEnergy)</f>
        <v>0</v>
      </c>
      <c r="BC247" s="59">
        <f ca="1">INDEX('General Inputs'!$F$52:$AN$52,MATCH($H247,'General Inputs'!$F$50:$AN$50,0))*$AI247</f>
        <v>1139.6111828981741</v>
      </c>
      <c r="BD247" s="59">
        <f ca="1">INDEX('General Inputs'!$F$52:$AN$52,MATCH($H247,'General Inputs'!$F$50:$AN$50,0))*$AM247</f>
        <v>0</v>
      </c>
      <c r="BE247" s="55"/>
      <c r="BF247" s="59">
        <f ca="1">SUMPRODUCT($CA247:$DI247,OFFSET('General Inputs'!$F$40:$AN$40,MATCH($D247&amp;" Electric ($/kWh)",'General Inputs'!$E$40:$E$46,0),),'General Inputs'!$F$54:$AN$54)</f>
        <v>0</v>
      </c>
      <c r="BG247" s="59">
        <f ca="1">SUMPRODUCT($EU247:$GC247,OFFSET('General Inputs'!$F$40:$AN$40,MATCH($D247&amp;" Natural Gas ($/therm)",'General Inputs'!$E$40:$E$46,0),),'General Inputs'!$F$54:$AN$54)</f>
        <v>0</v>
      </c>
      <c r="BH247" s="59">
        <f ca="1">INDEX('General Inputs'!$F$54:$AN$54,MATCH($H247,'General Inputs'!$F$50:$AN$50,0))*$AI247</f>
        <v>1139.6111828981741</v>
      </c>
      <c r="BI247" s="59">
        <f ca="1">SUM(INDEX('General Inputs'!$F$54:$AN$54,MATCH($H247,'General Inputs'!$F$50:$AN$50,0))*$AG247,INDEX('General Inputs'!$F$51:$AN$51,MATCH($H247+$AL247,'General Inputs'!$F$50:$AN$50,0))*-$AH247)</f>
        <v>2279.2223657963482</v>
      </c>
      <c r="BJ247" s="55"/>
      <c r="BK247" s="59">
        <f ca="1">SUMPRODUCT($CA247:$DI247,'General Inputs'!$F$32:$AN$32,'General Inputs'!$F$53:$AN$53)/(1-Loss_ElectricEnergy)</f>
        <v>1817.4603628493808</v>
      </c>
      <c r="BL247" s="59">
        <f ca="1">SUMPRODUCT($DK247:$ES247,'General Inputs'!$F$33:$AN$33,'General Inputs'!$F$53:$AN$53)/(1-Loss_ElectricDemand)</f>
        <v>346.61439406202146</v>
      </c>
      <c r="BM247" s="59">
        <f ca="1">SUMPRODUCT($EU247:$GC247,'General Inputs'!$F$34:$AN$34,'General Inputs'!$F$53:$AN$53)/(1-Loss_GasEnergy)</f>
        <v>0</v>
      </c>
      <c r="BN247" s="59">
        <f ca="1">INDEX('General Inputs'!$F$53:$AN$53,MATCH($H247,'General Inputs'!$F$50:$AN$50,0))*$AJ247</f>
        <v>0</v>
      </c>
      <c r="BO247" s="59">
        <f ca="1">SUMPRODUCT($CA247:$DI247,'General Inputs'!$F$35:$AN$35,'General Inputs'!$F$53:$AN$53)/(1-Loss_ElectricEnergy)</f>
        <v>672.92015127978425</v>
      </c>
      <c r="BP247" s="59">
        <f ca="1">INDEX('General Inputs'!$F$51:$AN$51,MATCH($H247,'General Inputs'!$F$50:$AN$50,0))*$AM247</f>
        <v>0</v>
      </c>
      <c r="BQ247" s="59">
        <f ca="1">SUM(INDEX('General Inputs'!$F$53:$AN$53,MATCH($H247,'General Inputs'!$F$50:$AN$50,0))*$AG247,INDEX('General Inputs'!$F$53:$AN$53,MATCH($H247+$AL247,'General Inputs'!$F$50:$AN$50,0))*-$AH247)</f>
        <v>2279.2223657963482</v>
      </c>
      <c r="BR247" s="55"/>
      <c r="BS247" s="59">
        <f ca="1">SUMPRODUCT($CA247:$DI247,'General Inputs'!$F$32:$AN$32,'General Inputs'!$F$55:$AN$55)/(1-Loss_ElectricEnergy)</f>
        <v>1817.4603628493808</v>
      </c>
      <c r="BT247" s="59">
        <f ca="1">SUMPRODUCT($DK247:$ES247,'General Inputs'!$F$33:$AN$33,'General Inputs'!$F$55:$AN$55)/(1-Loss_ElectricDemand)</f>
        <v>346.61439406202146</v>
      </c>
      <c r="BU247" s="59">
        <f ca="1">SUMPRODUCT($EU247:$GC247,'General Inputs'!$F$34:$AN$34,'General Inputs'!$F$55:$AN$55)/(1-Loss_GasEnergy)</f>
        <v>0</v>
      </c>
      <c r="BV247" s="59">
        <f ca="1">SUMPRODUCT($CA247:$DI247,OFFSET('General Inputs'!$F$40:$AN$40,MATCH($D247&amp;" Electric ($/kWh)",'General Inputs'!$E$40:$E$46,0),),'General Inputs'!$F$55:$AN$55)</f>
        <v>0</v>
      </c>
      <c r="BW247" s="59">
        <f ca="1">SUMPRODUCT($EU247:$GC247,OFFSET('General Inputs'!$F$40:$AN$40,MATCH($D247&amp;" Natural Gas ($/therm)",'General Inputs'!$E$40:$E$46,0),),'General Inputs'!$F$55:$AN$55)</f>
        <v>0</v>
      </c>
      <c r="BX247" s="59">
        <f ca="1">INDEX('General Inputs'!$F$55:$AN$55,MATCH($H247,'General Inputs'!$F$50:$AN$50,0))*$AI247</f>
        <v>1139.6111828981741</v>
      </c>
      <c r="BY247" s="59">
        <f ca="1">INDEX('General Inputs'!$F$51:$AN$51,MATCH($H247,'General Inputs'!$F$50:$AN$50,0))*$AM247</f>
        <v>0</v>
      </c>
      <c r="BZ247" s="55"/>
      <c r="CA247" s="88">
        <f t="shared" ref="CA247:CJ256" ca="1" si="473">IF(AND($H247&lt;=CA$8,$H247+$AK247&gt;CA$8),IF(AND($H247+$AL247&lt;=CA$8,$AL247&gt;0),$AB247,$X247),0)</f>
        <v>0</v>
      </c>
      <c r="CB247" s="88">
        <f t="shared" ca="1" si="473"/>
        <v>0</v>
      </c>
      <c r="CC247" s="88">
        <f t="shared" ca="1" si="473"/>
        <v>7524.1049999999996</v>
      </c>
      <c r="CD247" s="88">
        <f t="shared" ca="1" si="473"/>
        <v>7524.1049999999996</v>
      </c>
      <c r="CE247" s="88">
        <f t="shared" ca="1" si="473"/>
        <v>7524.1049999999996</v>
      </c>
      <c r="CF247" s="88">
        <f t="shared" ca="1" si="473"/>
        <v>7524.1049999999996</v>
      </c>
      <c r="CG247" s="88">
        <f t="shared" ca="1" si="473"/>
        <v>7524.1049999999996</v>
      </c>
      <c r="CH247" s="88">
        <f t="shared" ca="1" si="473"/>
        <v>7524.1049999999996</v>
      </c>
      <c r="CI247" s="88">
        <f t="shared" ca="1" si="473"/>
        <v>7524.1049999999996</v>
      </c>
      <c r="CJ247" s="88">
        <f t="shared" ca="1" si="473"/>
        <v>7524.1049999999996</v>
      </c>
      <c r="CK247" s="88">
        <f t="shared" ref="CK247:CT256" ca="1" si="474">IF(AND($H247&lt;=CK$8,$H247+$AK247&gt;CK$8),IF(AND($H247+$AL247&lt;=CK$8,$AL247&gt;0),$AB247,$X247),0)</f>
        <v>7524.1049999999996</v>
      </c>
      <c r="CL247" s="88">
        <f t="shared" ca="1" si="474"/>
        <v>7524.1049999999996</v>
      </c>
      <c r="CM247" s="88">
        <f t="shared" ca="1" si="474"/>
        <v>7524.1049999999996</v>
      </c>
      <c r="CN247" s="88">
        <f t="shared" ca="1" si="474"/>
        <v>7524.1049999999996</v>
      </c>
      <c r="CO247" s="88">
        <f t="shared" ca="1" si="474"/>
        <v>7524.1049999999996</v>
      </c>
      <c r="CP247" s="88">
        <f t="shared" ca="1" si="474"/>
        <v>7524.1049999999996</v>
      </c>
      <c r="CQ247" s="88">
        <f t="shared" ca="1" si="474"/>
        <v>7524.1049999999996</v>
      </c>
      <c r="CR247" s="88">
        <f t="shared" ca="1" si="474"/>
        <v>0</v>
      </c>
      <c r="CS247" s="88">
        <f t="shared" ca="1" si="474"/>
        <v>0</v>
      </c>
      <c r="CT247" s="88">
        <f t="shared" ca="1" si="474"/>
        <v>0</v>
      </c>
      <c r="CU247" s="88">
        <f t="shared" ref="CU247:DI256" ca="1" si="475">IF(AND($H247&lt;=CU$8,$H247+$AK247&gt;CU$8),IF(AND($H247+$AL247&lt;=CU$8,$AL247&gt;0),$AB247,$X247),0)</f>
        <v>0</v>
      </c>
      <c r="CV247" s="88">
        <f t="shared" ca="1" si="475"/>
        <v>0</v>
      </c>
      <c r="CW247" s="88">
        <f t="shared" ca="1" si="475"/>
        <v>0</v>
      </c>
      <c r="CX247" s="88">
        <f t="shared" ca="1" si="475"/>
        <v>0</v>
      </c>
      <c r="CY247" s="88">
        <f t="shared" ca="1" si="475"/>
        <v>0</v>
      </c>
      <c r="CZ247" s="88">
        <f t="shared" ca="1" si="475"/>
        <v>0</v>
      </c>
      <c r="DA247" s="88">
        <f t="shared" ca="1" si="475"/>
        <v>0</v>
      </c>
      <c r="DB247" s="88">
        <f t="shared" ca="1" si="475"/>
        <v>0</v>
      </c>
      <c r="DC247" s="88">
        <f t="shared" ca="1" si="475"/>
        <v>0</v>
      </c>
      <c r="DD247" s="88">
        <f t="shared" ca="1" si="475"/>
        <v>0</v>
      </c>
      <c r="DE247" s="88">
        <f t="shared" ca="1" si="475"/>
        <v>0</v>
      </c>
      <c r="DF247" s="88">
        <f t="shared" ca="1" si="475"/>
        <v>0</v>
      </c>
      <c r="DG247" s="88">
        <f t="shared" ca="1" si="475"/>
        <v>0</v>
      </c>
      <c r="DH247" s="88">
        <f t="shared" ca="1" si="475"/>
        <v>0</v>
      </c>
      <c r="DI247" s="88">
        <f t="shared" ca="1" si="475"/>
        <v>0</v>
      </c>
      <c r="DJ247" s="169"/>
      <c r="DK247" s="88">
        <f t="shared" ref="DK247:DT256" ca="1" si="476">IF(AND($H247&lt;=DK$8,$H247+$AK247&gt;DK$8),IF(AND($H247+$AL247&lt;=DK$8,$AL247&gt;0),$AC247,$Y247),0)</f>
        <v>0</v>
      </c>
      <c r="DL247" s="88">
        <f t="shared" ca="1" si="476"/>
        <v>0</v>
      </c>
      <c r="DM247" s="88">
        <f t="shared" ca="1" si="476"/>
        <v>1.9950000000000001</v>
      </c>
      <c r="DN247" s="88">
        <f t="shared" ca="1" si="476"/>
        <v>1.9950000000000001</v>
      </c>
      <c r="DO247" s="88">
        <f t="shared" ca="1" si="476"/>
        <v>1.9950000000000001</v>
      </c>
      <c r="DP247" s="88">
        <f t="shared" ca="1" si="476"/>
        <v>1.9950000000000001</v>
      </c>
      <c r="DQ247" s="88">
        <f t="shared" ca="1" si="476"/>
        <v>1.9950000000000001</v>
      </c>
      <c r="DR247" s="88">
        <f t="shared" ca="1" si="476"/>
        <v>1.9950000000000001</v>
      </c>
      <c r="DS247" s="88">
        <f t="shared" ca="1" si="476"/>
        <v>1.9950000000000001</v>
      </c>
      <c r="DT247" s="88">
        <f t="shared" ca="1" si="476"/>
        <v>1.9950000000000001</v>
      </c>
      <c r="DU247" s="88">
        <f t="shared" ref="DU247:ED256" ca="1" si="477">IF(AND($H247&lt;=DU$8,$H247+$AK247&gt;DU$8),IF(AND($H247+$AL247&lt;=DU$8,$AL247&gt;0),$AC247,$Y247),0)</f>
        <v>1.9950000000000001</v>
      </c>
      <c r="DV247" s="88">
        <f t="shared" ca="1" si="477"/>
        <v>1.9950000000000001</v>
      </c>
      <c r="DW247" s="88">
        <f t="shared" ca="1" si="477"/>
        <v>1.9950000000000001</v>
      </c>
      <c r="DX247" s="88">
        <f t="shared" ca="1" si="477"/>
        <v>1.9950000000000001</v>
      </c>
      <c r="DY247" s="88">
        <f t="shared" ca="1" si="477"/>
        <v>1.9950000000000001</v>
      </c>
      <c r="DZ247" s="88">
        <f t="shared" ca="1" si="477"/>
        <v>1.9950000000000001</v>
      </c>
      <c r="EA247" s="88">
        <f t="shared" ca="1" si="477"/>
        <v>1.9950000000000001</v>
      </c>
      <c r="EB247" s="88">
        <f t="shared" ca="1" si="477"/>
        <v>0</v>
      </c>
      <c r="EC247" s="88">
        <f t="shared" ca="1" si="477"/>
        <v>0</v>
      </c>
      <c r="ED247" s="88">
        <f t="shared" ca="1" si="477"/>
        <v>0</v>
      </c>
      <c r="EE247" s="88">
        <f t="shared" ref="EE247:ES256" ca="1" si="478">IF(AND($H247&lt;=EE$8,$H247+$AK247&gt;EE$8),IF(AND($H247+$AL247&lt;=EE$8,$AL247&gt;0),$AC247,$Y247),0)</f>
        <v>0</v>
      </c>
      <c r="EF247" s="88">
        <f t="shared" ca="1" si="478"/>
        <v>0</v>
      </c>
      <c r="EG247" s="88">
        <f t="shared" ca="1" si="478"/>
        <v>0</v>
      </c>
      <c r="EH247" s="88">
        <f t="shared" ca="1" si="478"/>
        <v>0</v>
      </c>
      <c r="EI247" s="88">
        <f t="shared" ca="1" si="478"/>
        <v>0</v>
      </c>
      <c r="EJ247" s="88">
        <f t="shared" ca="1" si="478"/>
        <v>0</v>
      </c>
      <c r="EK247" s="88">
        <f t="shared" ca="1" si="478"/>
        <v>0</v>
      </c>
      <c r="EL247" s="88">
        <f t="shared" ca="1" si="478"/>
        <v>0</v>
      </c>
      <c r="EM247" s="88">
        <f t="shared" ca="1" si="478"/>
        <v>0</v>
      </c>
      <c r="EN247" s="88">
        <f t="shared" ca="1" si="478"/>
        <v>0</v>
      </c>
      <c r="EO247" s="88">
        <f t="shared" ca="1" si="478"/>
        <v>0</v>
      </c>
      <c r="EP247" s="88">
        <f t="shared" ca="1" si="478"/>
        <v>0</v>
      </c>
      <c r="EQ247" s="88">
        <f t="shared" ca="1" si="478"/>
        <v>0</v>
      </c>
      <c r="ER247" s="88">
        <f t="shared" ca="1" si="478"/>
        <v>0</v>
      </c>
      <c r="ES247" s="88">
        <f t="shared" ca="1" si="478"/>
        <v>0</v>
      </c>
      <c r="ET247" s="169"/>
      <c r="EU247" s="88">
        <f t="shared" ref="EU247:FD256" ca="1" si="479">IF(AND($H247&lt;=EU$8,$H247+$AK247&gt;EU$8),IF(AND($H247+$AL247&lt;=EU$8,$AL247&gt;0),$AD247,$Z247),0)</f>
        <v>0</v>
      </c>
      <c r="EV247" s="88">
        <f t="shared" ca="1" si="479"/>
        <v>0</v>
      </c>
      <c r="EW247" s="88">
        <f t="shared" ca="1" si="479"/>
        <v>0</v>
      </c>
      <c r="EX247" s="88">
        <f t="shared" ca="1" si="479"/>
        <v>0</v>
      </c>
      <c r="EY247" s="88">
        <f t="shared" ca="1" si="479"/>
        <v>0</v>
      </c>
      <c r="EZ247" s="88">
        <f t="shared" ca="1" si="479"/>
        <v>0</v>
      </c>
      <c r="FA247" s="88">
        <f t="shared" ca="1" si="479"/>
        <v>0</v>
      </c>
      <c r="FB247" s="88">
        <f t="shared" ca="1" si="479"/>
        <v>0</v>
      </c>
      <c r="FC247" s="88">
        <f t="shared" ca="1" si="479"/>
        <v>0</v>
      </c>
      <c r="FD247" s="88">
        <f t="shared" ca="1" si="479"/>
        <v>0</v>
      </c>
      <c r="FE247" s="88">
        <f t="shared" ref="FE247:FN256" ca="1" si="480">IF(AND($H247&lt;=FE$8,$H247+$AK247&gt;FE$8),IF(AND($H247+$AL247&lt;=FE$8,$AL247&gt;0),$AD247,$Z247),0)</f>
        <v>0</v>
      </c>
      <c r="FF247" s="88">
        <f t="shared" ca="1" si="480"/>
        <v>0</v>
      </c>
      <c r="FG247" s="88">
        <f t="shared" ca="1" si="480"/>
        <v>0</v>
      </c>
      <c r="FH247" s="88">
        <f t="shared" ca="1" si="480"/>
        <v>0</v>
      </c>
      <c r="FI247" s="88">
        <f t="shared" ca="1" si="480"/>
        <v>0</v>
      </c>
      <c r="FJ247" s="88">
        <f t="shared" ca="1" si="480"/>
        <v>0</v>
      </c>
      <c r="FK247" s="88">
        <f t="shared" ca="1" si="480"/>
        <v>0</v>
      </c>
      <c r="FL247" s="88">
        <f t="shared" ca="1" si="480"/>
        <v>0</v>
      </c>
      <c r="FM247" s="88">
        <f t="shared" ca="1" si="480"/>
        <v>0</v>
      </c>
      <c r="FN247" s="88">
        <f t="shared" ca="1" si="480"/>
        <v>0</v>
      </c>
      <c r="FO247" s="88">
        <f t="shared" ref="FO247:GC256" ca="1" si="481">IF(AND($H247&lt;=FO$8,$H247+$AK247&gt;FO$8),IF(AND($H247+$AL247&lt;=FO$8,$AL247&gt;0),$AD247,$Z247),0)</f>
        <v>0</v>
      </c>
      <c r="FP247" s="88">
        <f t="shared" ca="1" si="481"/>
        <v>0</v>
      </c>
      <c r="FQ247" s="88">
        <f t="shared" ca="1" si="481"/>
        <v>0</v>
      </c>
      <c r="FR247" s="88">
        <f t="shared" ca="1" si="481"/>
        <v>0</v>
      </c>
      <c r="FS247" s="88">
        <f t="shared" ca="1" si="481"/>
        <v>0</v>
      </c>
      <c r="FT247" s="88">
        <f t="shared" ca="1" si="481"/>
        <v>0</v>
      </c>
      <c r="FU247" s="88">
        <f t="shared" ca="1" si="481"/>
        <v>0</v>
      </c>
      <c r="FV247" s="88">
        <f t="shared" ca="1" si="481"/>
        <v>0</v>
      </c>
      <c r="FW247" s="88">
        <f t="shared" ca="1" si="481"/>
        <v>0</v>
      </c>
      <c r="FX247" s="88">
        <f t="shared" ca="1" si="481"/>
        <v>0</v>
      </c>
      <c r="FY247" s="88">
        <f t="shared" ca="1" si="481"/>
        <v>0</v>
      </c>
      <c r="FZ247" s="88">
        <f t="shared" ca="1" si="481"/>
        <v>0</v>
      </c>
      <c r="GA247" s="88">
        <f t="shared" ca="1" si="481"/>
        <v>0</v>
      </c>
      <c r="GB247" s="88">
        <f t="shared" ca="1" si="481"/>
        <v>0</v>
      </c>
      <c r="GC247" s="88">
        <f t="shared" ca="1" si="481"/>
        <v>0</v>
      </c>
      <c r="GD247" s="60"/>
    </row>
    <row r="248" spans="1:186" s="54" customFormat="1" ht="14.45" customHeight="1">
      <c r="A248" s="61"/>
      <c r="B248" s="100" t="str">
        <f t="shared" si="418"/>
        <v>C&amp;I_C&amp;I Prescriptive_0_High Performance T8 (3-4 Lamp)_2019</v>
      </c>
      <c r="C248" s="100">
        <f>INDEX('Measure Inputs'!$D:$D,MATCH($B248,'Measure Inputs'!$B:$B,0))</f>
        <v>200</v>
      </c>
      <c r="D248" s="101" t="s">
        <v>256</v>
      </c>
      <c r="E248" s="101" t="s">
        <v>255</v>
      </c>
      <c r="F248" s="101">
        <v>0</v>
      </c>
      <c r="G248" s="101" t="s">
        <v>290</v>
      </c>
      <c r="H248" s="101">
        <v>2019</v>
      </c>
      <c r="I248" s="55"/>
      <c r="J248" s="58">
        <f t="shared" ca="1" si="229"/>
        <v>1.41183463343039</v>
      </c>
      <c r="K248" s="58">
        <f t="shared" ca="1" si="246"/>
        <v>2.7060163807415809</v>
      </c>
      <c r="L248" s="58">
        <f t="shared" ca="1" si="230"/>
        <v>0.52173913043478259</v>
      </c>
      <c r="M248" s="58">
        <f t="shared" ca="1" si="231"/>
        <v>1.8508453339969195</v>
      </c>
      <c r="N248" s="58">
        <f t="shared" ca="1" si="232"/>
        <v>2.7060163807415809</v>
      </c>
      <c r="O248" s="55"/>
      <c r="P248" s="175">
        <f ca="1">IFERROR(($AW248+AV248)/SUMPRODUCT($CA248:$DI248,'General Inputs'!$F$51:$AN$51),"n/a")</f>
        <v>1.4216420303278132E-2</v>
      </c>
      <c r="Q248" s="175">
        <f t="shared" ca="1" si="454"/>
        <v>0.12591111116240825</v>
      </c>
      <c r="R248" s="56">
        <f t="shared" ca="1" si="441"/>
        <v>214.43699249999995</v>
      </c>
      <c r="S248" s="55"/>
      <c r="T248" s="56">
        <f ca="1">INDEX(OFFSET('Measure Inputs'!$L$7,,,InputRows),$C248)</f>
        <v>150</v>
      </c>
      <c r="U248" s="134">
        <f ca="1">INDEX(OFFSET('Measure Inputs'!$T$7,,,InputRows),$C248)</f>
        <v>1</v>
      </c>
      <c r="V248" s="134">
        <f ca="1">INDEX(OFFSET('Measure Inputs'!$U$7,,,InputRows),$C248)</f>
        <v>1</v>
      </c>
      <c r="W248" s="55"/>
      <c r="X248" s="96">
        <f ca="1">INDEX(OFFSET('Measure Inputs'!$V$7,,,InputRows),$C248)*$T248*$V248*$U248</f>
        <v>14295.799499999997</v>
      </c>
      <c r="Y248" s="96">
        <f ca="1">INDEX(OFFSET('Measure Inputs'!$W$7,,,InputRows),$C248)*$T248*$V248*$U248</f>
        <v>3.7905000000000002</v>
      </c>
      <c r="Z248" s="96">
        <f ca="1">INDEX(OFFSET('Measure Inputs'!$X$7,,,InputRows),$C248)*$T248*$V248*$U248</f>
        <v>0</v>
      </c>
      <c r="AA248" s="55"/>
      <c r="AB248" s="96">
        <f ca="1">INDEX(OFFSET('Measure Inputs'!$Z$7,,,InputRows),$C248)*$T248*$V248*$U248</f>
        <v>0</v>
      </c>
      <c r="AC248" s="96">
        <f ca="1">INDEX(OFFSET('Measure Inputs'!$AA$7,,,InputRows),$C248)*$T248*$V248*$U248</f>
        <v>0</v>
      </c>
      <c r="AD248" s="96">
        <f ca="1">INDEX(OFFSET('Measure Inputs'!$AB$7,,,InputRows),$C248)*$T248*$V248*$U248</f>
        <v>0</v>
      </c>
      <c r="AE248" s="55"/>
      <c r="AF248" s="57">
        <f ca="1">INDEX(OFFSET('Measure Inputs'!$Q$7,,,InputRows),$C248)*$T248</f>
        <v>0</v>
      </c>
      <c r="AG248" s="57">
        <f ca="1">INDEX(OFFSET('Measure Inputs'!$P$7,,,InputRows),$C248)*$T248*$V248</f>
        <v>3450</v>
      </c>
      <c r="AH248" s="57">
        <f ca="1">INDEX(OFFSET('Measure Inputs'!$R$7,,,InputRows),$C248)*$T248*$V248</f>
        <v>0</v>
      </c>
      <c r="AI248" s="57">
        <f ca="1">INDEX(OFFSET('Measure Inputs'!$O$7,,,InputRows),$C248)*$T248</f>
        <v>1800</v>
      </c>
      <c r="AJ248" s="57">
        <f ca="1">INDEX(OFFSET('Measure Inputs'!$S$7,,,InputRows),$C248)*$T248</f>
        <v>0</v>
      </c>
      <c r="AK248" s="63">
        <f ca="1">INDEX(OFFSET('Measure Inputs'!$M$7,,,InputRows),$C248)</f>
        <v>15</v>
      </c>
      <c r="AL248" s="88">
        <f ca="1">INDEX(OFFSET('Measure Inputs'!$N$7,,,InputRows),$C248)</f>
        <v>0</v>
      </c>
      <c r="AM248" s="57">
        <f ca="1">SUMIFS(OFFSET('Program Inputs'!$N$5,,,TotalPrograms),OFFSET('Program Inputs'!$B$5,,,TotalPrograms),SUBSTITUTE($B248,"All","*"))+AF248</f>
        <v>0</v>
      </c>
      <c r="AN248" s="57">
        <f t="shared" ca="1" si="442"/>
        <v>1800</v>
      </c>
      <c r="AO248" s="55"/>
      <c r="AP248" s="59">
        <f t="shared" ca="1" si="443"/>
        <v>4111.7420381316642</v>
      </c>
      <c r="AQ248" s="59">
        <f t="shared" ca="1" si="444"/>
        <v>2912.3396896286667</v>
      </c>
      <c r="AR248" s="59">
        <f ca="1">SUMPRODUCT($CA248:$DI248,'General Inputs'!$F$32:$AN$32,'General Inputs'!$F$51:$AN$51)/(1-Loss_ElectricEnergy)</f>
        <v>3453.1746894138232</v>
      </c>
      <c r="AS248" s="59">
        <f ca="1">SUMPRODUCT($DK248:$ES248,'General Inputs'!$F$33:$AN$33,'General Inputs'!$F$51:$AN$51)/(1-Loss_ElectricDemand)</f>
        <v>658.56734871784079</v>
      </c>
      <c r="AT248" s="59">
        <f ca="1">SUMPRODUCT($EU248:$GC248,'General Inputs'!$F$34:$AN$34,'General Inputs'!$F$51:$AN$51)/(1-Loss_GasEnergy)</f>
        <v>0</v>
      </c>
      <c r="AU248" s="59">
        <f ca="1">INDEX('General Inputs'!$F$51:$AN$51,MATCH($H248,'General Inputs'!$F$50:$AN$50,0))*$AJ248</f>
        <v>0</v>
      </c>
      <c r="AV248" s="59">
        <f ca="1">INDEX('General Inputs'!$F$51:$AN$51,MATCH($H248,'General Inputs'!$F$50:$AN$50,0))*$AI248</f>
        <v>1519.4815771975652</v>
      </c>
      <c r="AW248" s="59">
        <f ca="1">INDEX('General Inputs'!$F$51:$AN$51,MATCH($H248,'General Inputs'!$F$50:$AN$50,0))*$AM248</f>
        <v>0</v>
      </c>
      <c r="AX248" s="59">
        <f ca="1">SUM(INDEX('General Inputs'!$F$51:$AN$51,MATCH($H248,'General Inputs'!$F$50:$AN$50,0))*$AG248,INDEX('General Inputs'!$F$51:$AN$51,MATCH($H248+$AL248,'General Inputs'!$F$50:$AN$50,0))*-$AH248)</f>
        <v>2912.3396896286667</v>
      </c>
      <c r="AY248" s="55"/>
      <c r="AZ248" s="59">
        <f ca="1">SUMPRODUCT($CA248:$DI248,'General Inputs'!$F$32:$AN$32,'General Inputs'!$F$52:$AN$52)/(1-Loss_ElectricEnergy)</f>
        <v>3453.1746894138232</v>
      </c>
      <c r="BA248" s="59">
        <f ca="1">SUMPRODUCT($DK248:$ES248,'General Inputs'!$F$33:$AN$33,'General Inputs'!$F$52:$AN$52)/(1-Loss_ElectricDemand)</f>
        <v>658.56734871784079</v>
      </c>
      <c r="BB248" s="59">
        <f ca="1">SUMPRODUCT($EU248:$GC248,'General Inputs'!$F$34:$AN$34,'General Inputs'!$F$52:$AN$52)/(1-Loss_GasEnergy)</f>
        <v>0</v>
      </c>
      <c r="BC248" s="59">
        <f ca="1">INDEX('General Inputs'!$F$52:$AN$52,MATCH($H248,'General Inputs'!$F$50:$AN$50,0))*$AI248</f>
        <v>1519.4815771975652</v>
      </c>
      <c r="BD248" s="59">
        <f ca="1">INDEX('General Inputs'!$F$52:$AN$52,MATCH($H248,'General Inputs'!$F$50:$AN$50,0))*$AM248</f>
        <v>0</v>
      </c>
      <c r="BE248" s="55"/>
      <c r="BF248" s="59">
        <f ca="1">SUMPRODUCT($CA248:$DI248,OFFSET('General Inputs'!$F$40:$AN$40,MATCH($D248&amp;" Electric ($/kWh)",'General Inputs'!$E$40:$E$46,0),),'General Inputs'!$F$54:$AN$54)</f>
        <v>0</v>
      </c>
      <c r="BG248" s="59">
        <f ca="1">SUMPRODUCT($EU248:$GC248,OFFSET('General Inputs'!$F$40:$AN$40,MATCH($D248&amp;" Natural Gas ($/therm)",'General Inputs'!$E$40:$E$46,0),),'General Inputs'!$F$54:$AN$54)</f>
        <v>0</v>
      </c>
      <c r="BH248" s="59">
        <f ca="1">INDEX('General Inputs'!$F$54:$AN$54,MATCH($H248,'General Inputs'!$F$50:$AN$50,0))*$AI248</f>
        <v>1519.4815771975652</v>
      </c>
      <c r="BI248" s="59">
        <f ca="1">SUM(INDEX('General Inputs'!$F$54:$AN$54,MATCH($H248,'General Inputs'!$F$50:$AN$50,0))*$AG248,INDEX('General Inputs'!$F$51:$AN$51,MATCH($H248+$AL248,'General Inputs'!$F$50:$AN$50,0))*-$AH248)</f>
        <v>2912.3396896286667</v>
      </c>
      <c r="BJ248" s="55"/>
      <c r="BK248" s="59">
        <f ca="1">SUMPRODUCT($CA248:$DI248,'General Inputs'!$F$32:$AN$32,'General Inputs'!$F$53:$AN$53)/(1-Loss_ElectricEnergy)</f>
        <v>3453.1746894138232</v>
      </c>
      <c r="BL248" s="59">
        <f ca="1">SUMPRODUCT($DK248:$ES248,'General Inputs'!$F$33:$AN$33,'General Inputs'!$F$53:$AN$53)/(1-Loss_ElectricDemand)</f>
        <v>658.56734871784079</v>
      </c>
      <c r="BM248" s="59">
        <f ca="1">SUMPRODUCT($EU248:$GC248,'General Inputs'!$F$34:$AN$34,'General Inputs'!$F$53:$AN$53)/(1-Loss_GasEnergy)</f>
        <v>0</v>
      </c>
      <c r="BN248" s="59">
        <f ca="1">INDEX('General Inputs'!$F$53:$AN$53,MATCH($H248,'General Inputs'!$F$50:$AN$50,0))*$AJ248</f>
        <v>0</v>
      </c>
      <c r="BO248" s="59">
        <f ca="1">SUMPRODUCT($CA248:$DI248,'General Inputs'!$F$35:$AN$35,'General Inputs'!$F$53:$AN$53)/(1-Loss_ElectricEnergy)</f>
        <v>1278.5482874315901</v>
      </c>
      <c r="BP248" s="59">
        <f ca="1">INDEX('General Inputs'!$F$51:$AN$51,MATCH($H248,'General Inputs'!$F$50:$AN$50,0))*$AM248</f>
        <v>0</v>
      </c>
      <c r="BQ248" s="59">
        <f ca="1">SUM(INDEX('General Inputs'!$F$53:$AN$53,MATCH($H248,'General Inputs'!$F$50:$AN$50,0))*$AG248,INDEX('General Inputs'!$F$53:$AN$53,MATCH($H248+$AL248,'General Inputs'!$F$50:$AN$50,0))*-$AH248)</f>
        <v>2912.3396896286667</v>
      </c>
      <c r="BR248" s="55"/>
      <c r="BS248" s="59">
        <f ca="1">SUMPRODUCT($CA248:$DI248,'General Inputs'!$F$32:$AN$32,'General Inputs'!$F$55:$AN$55)/(1-Loss_ElectricEnergy)</f>
        <v>3453.1746894138232</v>
      </c>
      <c r="BT248" s="59">
        <f ca="1">SUMPRODUCT($DK248:$ES248,'General Inputs'!$F$33:$AN$33,'General Inputs'!$F$55:$AN$55)/(1-Loss_ElectricDemand)</f>
        <v>658.56734871784079</v>
      </c>
      <c r="BU248" s="59">
        <f ca="1">SUMPRODUCT($EU248:$GC248,'General Inputs'!$F$34:$AN$34,'General Inputs'!$F$55:$AN$55)/(1-Loss_GasEnergy)</f>
        <v>0</v>
      </c>
      <c r="BV248" s="59">
        <f ca="1">SUMPRODUCT($CA248:$DI248,OFFSET('General Inputs'!$F$40:$AN$40,MATCH($D248&amp;" Electric ($/kWh)",'General Inputs'!$E$40:$E$46,0),),'General Inputs'!$F$55:$AN$55)</f>
        <v>0</v>
      </c>
      <c r="BW248" s="59">
        <f ca="1">SUMPRODUCT($EU248:$GC248,OFFSET('General Inputs'!$F$40:$AN$40,MATCH($D248&amp;" Natural Gas ($/therm)",'General Inputs'!$E$40:$E$46,0),),'General Inputs'!$F$55:$AN$55)</f>
        <v>0</v>
      </c>
      <c r="BX248" s="59">
        <f ca="1">INDEX('General Inputs'!$F$55:$AN$55,MATCH($H248,'General Inputs'!$F$50:$AN$50,0))*$AI248</f>
        <v>1519.4815771975652</v>
      </c>
      <c r="BY248" s="59">
        <f ca="1">INDEX('General Inputs'!$F$51:$AN$51,MATCH($H248,'General Inputs'!$F$50:$AN$50,0))*$AM248</f>
        <v>0</v>
      </c>
      <c r="BZ248" s="55"/>
      <c r="CA248" s="88">
        <f t="shared" ca="1" si="473"/>
        <v>0</v>
      </c>
      <c r="CB248" s="88">
        <f t="shared" ca="1" si="473"/>
        <v>0</v>
      </c>
      <c r="CC248" s="88">
        <f t="shared" ca="1" si="473"/>
        <v>14295.799499999997</v>
      </c>
      <c r="CD248" s="88">
        <f t="shared" ca="1" si="473"/>
        <v>14295.799499999997</v>
      </c>
      <c r="CE248" s="88">
        <f t="shared" ca="1" si="473"/>
        <v>14295.799499999997</v>
      </c>
      <c r="CF248" s="88">
        <f t="shared" ca="1" si="473"/>
        <v>14295.799499999997</v>
      </c>
      <c r="CG248" s="88">
        <f t="shared" ca="1" si="473"/>
        <v>14295.799499999997</v>
      </c>
      <c r="CH248" s="88">
        <f t="shared" ca="1" si="473"/>
        <v>14295.799499999997</v>
      </c>
      <c r="CI248" s="88">
        <f t="shared" ca="1" si="473"/>
        <v>14295.799499999997</v>
      </c>
      <c r="CJ248" s="88">
        <f t="shared" ca="1" si="473"/>
        <v>14295.799499999997</v>
      </c>
      <c r="CK248" s="88">
        <f t="shared" ca="1" si="474"/>
        <v>14295.799499999997</v>
      </c>
      <c r="CL248" s="88">
        <f t="shared" ca="1" si="474"/>
        <v>14295.799499999997</v>
      </c>
      <c r="CM248" s="88">
        <f t="shared" ca="1" si="474"/>
        <v>14295.799499999997</v>
      </c>
      <c r="CN248" s="88">
        <f t="shared" ca="1" si="474"/>
        <v>14295.799499999997</v>
      </c>
      <c r="CO248" s="88">
        <f t="shared" ca="1" si="474"/>
        <v>14295.799499999997</v>
      </c>
      <c r="CP248" s="88">
        <f t="shared" ca="1" si="474"/>
        <v>14295.799499999997</v>
      </c>
      <c r="CQ248" s="88">
        <f t="shared" ca="1" si="474"/>
        <v>14295.799499999997</v>
      </c>
      <c r="CR248" s="88">
        <f t="shared" ca="1" si="474"/>
        <v>0</v>
      </c>
      <c r="CS248" s="88">
        <f t="shared" ca="1" si="474"/>
        <v>0</v>
      </c>
      <c r="CT248" s="88">
        <f t="shared" ca="1" si="474"/>
        <v>0</v>
      </c>
      <c r="CU248" s="88">
        <f t="shared" ca="1" si="475"/>
        <v>0</v>
      </c>
      <c r="CV248" s="88">
        <f t="shared" ca="1" si="475"/>
        <v>0</v>
      </c>
      <c r="CW248" s="88">
        <f t="shared" ca="1" si="475"/>
        <v>0</v>
      </c>
      <c r="CX248" s="88">
        <f t="shared" ca="1" si="475"/>
        <v>0</v>
      </c>
      <c r="CY248" s="88">
        <f t="shared" ca="1" si="475"/>
        <v>0</v>
      </c>
      <c r="CZ248" s="88">
        <f t="shared" ca="1" si="475"/>
        <v>0</v>
      </c>
      <c r="DA248" s="88">
        <f t="shared" ca="1" si="475"/>
        <v>0</v>
      </c>
      <c r="DB248" s="88">
        <f t="shared" ca="1" si="475"/>
        <v>0</v>
      </c>
      <c r="DC248" s="88">
        <f t="shared" ca="1" si="475"/>
        <v>0</v>
      </c>
      <c r="DD248" s="88">
        <f t="shared" ca="1" si="475"/>
        <v>0</v>
      </c>
      <c r="DE248" s="88">
        <f t="shared" ca="1" si="475"/>
        <v>0</v>
      </c>
      <c r="DF248" s="88">
        <f t="shared" ca="1" si="475"/>
        <v>0</v>
      </c>
      <c r="DG248" s="88">
        <f t="shared" ca="1" si="475"/>
        <v>0</v>
      </c>
      <c r="DH248" s="88">
        <f t="shared" ca="1" si="475"/>
        <v>0</v>
      </c>
      <c r="DI248" s="88">
        <f t="shared" ca="1" si="475"/>
        <v>0</v>
      </c>
      <c r="DJ248" s="169"/>
      <c r="DK248" s="88">
        <f t="shared" ca="1" si="476"/>
        <v>0</v>
      </c>
      <c r="DL248" s="88">
        <f t="shared" ca="1" si="476"/>
        <v>0</v>
      </c>
      <c r="DM248" s="88">
        <f t="shared" ca="1" si="476"/>
        <v>3.7905000000000002</v>
      </c>
      <c r="DN248" s="88">
        <f t="shared" ca="1" si="476"/>
        <v>3.7905000000000002</v>
      </c>
      <c r="DO248" s="88">
        <f t="shared" ca="1" si="476"/>
        <v>3.7905000000000002</v>
      </c>
      <c r="DP248" s="88">
        <f t="shared" ca="1" si="476"/>
        <v>3.7905000000000002</v>
      </c>
      <c r="DQ248" s="88">
        <f t="shared" ca="1" si="476"/>
        <v>3.7905000000000002</v>
      </c>
      <c r="DR248" s="88">
        <f t="shared" ca="1" si="476"/>
        <v>3.7905000000000002</v>
      </c>
      <c r="DS248" s="88">
        <f t="shared" ca="1" si="476"/>
        <v>3.7905000000000002</v>
      </c>
      <c r="DT248" s="88">
        <f t="shared" ca="1" si="476"/>
        <v>3.7905000000000002</v>
      </c>
      <c r="DU248" s="88">
        <f t="shared" ca="1" si="477"/>
        <v>3.7905000000000002</v>
      </c>
      <c r="DV248" s="88">
        <f t="shared" ca="1" si="477"/>
        <v>3.7905000000000002</v>
      </c>
      <c r="DW248" s="88">
        <f t="shared" ca="1" si="477"/>
        <v>3.7905000000000002</v>
      </c>
      <c r="DX248" s="88">
        <f t="shared" ca="1" si="477"/>
        <v>3.7905000000000002</v>
      </c>
      <c r="DY248" s="88">
        <f t="shared" ca="1" si="477"/>
        <v>3.7905000000000002</v>
      </c>
      <c r="DZ248" s="88">
        <f t="shared" ca="1" si="477"/>
        <v>3.7905000000000002</v>
      </c>
      <c r="EA248" s="88">
        <f t="shared" ca="1" si="477"/>
        <v>3.7905000000000002</v>
      </c>
      <c r="EB248" s="88">
        <f t="shared" ca="1" si="477"/>
        <v>0</v>
      </c>
      <c r="EC248" s="88">
        <f t="shared" ca="1" si="477"/>
        <v>0</v>
      </c>
      <c r="ED248" s="88">
        <f t="shared" ca="1" si="477"/>
        <v>0</v>
      </c>
      <c r="EE248" s="88">
        <f t="shared" ca="1" si="478"/>
        <v>0</v>
      </c>
      <c r="EF248" s="88">
        <f t="shared" ca="1" si="478"/>
        <v>0</v>
      </c>
      <c r="EG248" s="88">
        <f t="shared" ca="1" si="478"/>
        <v>0</v>
      </c>
      <c r="EH248" s="88">
        <f t="shared" ca="1" si="478"/>
        <v>0</v>
      </c>
      <c r="EI248" s="88">
        <f t="shared" ca="1" si="478"/>
        <v>0</v>
      </c>
      <c r="EJ248" s="88">
        <f t="shared" ca="1" si="478"/>
        <v>0</v>
      </c>
      <c r="EK248" s="88">
        <f t="shared" ca="1" si="478"/>
        <v>0</v>
      </c>
      <c r="EL248" s="88">
        <f t="shared" ca="1" si="478"/>
        <v>0</v>
      </c>
      <c r="EM248" s="88">
        <f t="shared" ca="1" si="478"/>
        <v>0</v>
      </c>
      <c r="EN248" s="88">
        <f t="shared" ca="1" si="478"/>
        <v>0</v>
      </c>
      <c r="EO248" s="88">
        <f t="shared" ca="1" si="478"/>
        <v>0</v>
      </c>
      <c r="EP248" s="88">
        <f t="shared" ca="1" si="478"/>
        <v>0</v>
      </c>
      <c r="EQ248" s="88">
        <f t="shared" ca="1" si="478"/>
        <v>0</v>
      </c>
      <c r="ER248" s="88">
        <f t="shared" ca="1" si="478"/>
        <v>0</v>
      </c>
      <c r="ES248" s="88">
        <f t="shared" ca="1" si="478"/>
        <v>0</v>
      </c>
      <c r="ET248" s="169"/>
      <c r="EU248" s="88">
        <f t="shared" ca="1" si="479"/>
        <v>0</v>
      </c>
      <c r="EV248" s="88">
        <f t="shared" ca="1" si="479"/>
        <v>0</v>
      </c>
      <c r="EW248" s="88">
        <f t="shared" ca="1" si="479"/>
        <v>0</v>
      </c>
      <c r="EX248" s="88">
        <f t="shared" ca="1" si="479"/>
        <v>0</v>
      </c>
      <c r="EY248" s="88">
        <f t="shared" ca="1" si="479"/>
        <v>0</v>
      </c>
      <c r="EZ248" s="88">
        <f t="shared" ca="1" si="479"/>
        <v>0</v>
      </c>
      <c r="FA248" s="88">
        <f t="shared" ca="1" si="479"/>
        <v>0</v>
      </c>
      <c r="FB248" s="88">
        <f t="shared" ca="1" si="479"/>
        <v>0</v>
      </c>
      <c r="FC248" s="88">
        <f t="shared" ca="1" si="479"/>
        <v>0</v>
      </c>
      <c r="FD248" s="88">
        <f t="shared" ca="1" si="479"/>
        <v>0</v>
      </c>
      <c r="FE248" s="88">
        <f t="shared" ca="1" si="480"/>
        <v>0</v>
      </c>
      <c r="FF248" s="88">
        <f t="shared" ca="1" si="480"/>
        <v>0</v>
      </c>
      <c r="FG248" s="88">
        <f t="shared" ca="1" si="480"/>
        <v>0</v>
      </c>
      <c r="FH248" s="88">
        <f t="shared" ca="1" si="480"/>
        <v>0</v>
      </c>
      <c r="FI248" s="88">
        <f t="shared" ca="1" si="480"/>
        <v>0</v>
      </c>
      <c r="FJ248" s="88">
        <f t="shared" ca="1" si="480"/>
        <v>0</v>
      </c>
      <c r="FK248" s="88">
        <f t="shared" ca="1" si="480"/>
        <v>0</v>
      </c>
      <c r="FL248" s="88">
        <f t="shared" ca="1" si="480"/>
        <v>0</v>
      </c>
      <c r="FM248" s="88">
        <f t="shared" ca="1" si="480"/>
        <v>0</v>
      </c>
      <c r="FN248" s="88">
        <f t="shared" ca="1" si="480"/>
        <v>0</v>
      </c>
      <c r="FO248" s="88">
        <f t="shared" ca="1" si="481"/>
        <v>0</v>
      </c>
      <c r="FP248" s="88">
        <f t="shared" ca="1" si="481"/>
        <v>0</v>
      </c>
      <c r="FQ248" s="88">
        <f t="shared" ca="1" si="481"/>
        <v>0</v>
      </c>
      <c r="FR248" s="88">
        <f t="shared" ca="1" si="481"/>
        <v>0</v>
      </c>
      <c r="FS248" s="88">
        <f t="shared" ca="1" si="481"/>
        <v>0</v>
      </c>
      <c r="FT248" s="88">
        <f t="shared" ca="1" si="481"/>
        <v>0</v>
      </c>
      <c r="FU248" s="88">
        <f t="shared" ca="1" si="481"/>
        <v>0</v>
      </c>
      <c r="FV248" s="88">
        <f t="shared" ca="1" si="481"/>
        <v>0</v>
      </c>
      <c r="FW248" s="88">
        <f t="shared" ca="1" si="481"/>
        <v>0</v>
      </c>
      <c r="FX248" s="88">
        <f t="shared" ca="1" si="481"/>
        <v>0</v>
      </c>
      <c r="FY248" s="88">
        <f t="shared" ca="1" si="481"/>
        <v>0</v>
      </c>
      <c r="FZ248" s="88">
        <f t="shared" ca="1" si="481"/>
        <v>0</v>
      </c>
      <c r="GA248" s="88">
        <f t="shared" ca="1" si="481"/>
        <v>0</v>
      </c>
      <c r="GB248" s="88">
        <f t="shared" ca="1" si="481"/>
        <v>0</v>
      </c>
      <c r="GC248" s="88">
        <f t="shared" ca="1" si="481"/>
        <v>0</v>
      </c>
      <c r="GD248" s="60"/>
    </row>
    <row r="249" spans="1:186" s="54" customFormat="1" ht="14.45" customHeight="1">
      <c r="A249" s="61"/>
      <c r="B249" s="100" t="str">
        <f t="shared" si="418"/>
        <v>C&amp;I_C&amp;I Prescriptive_0_LED Parking Garage/Canopy (&lt;30W)_2019</v>
      </c>
      <c r="C249" s="100">
        <f>INDEX('Measure Inputs'!$D:$D,MATCH($B249,'Measure Inputs'!$B:$B,0))</f>
        <v>201</v>
      </c>
      <c r="D249" s="101" t="s">
        <v>256</v>
      </c>
      <c r="E249" s="101" t="s">
        <v>255</v>
      </c>
      <c r="F249" s="101">
        <v>0</v>
      </c>
      <c r="G249" s="101" t="s">
        <v>291</v>
      </c>
      <c r="H249" s="101">
        <v>2019</v>
      </c>
      <c r="I249" s="55"/>
      <c r="J249" s="58">
        <f t="shared" ca="1" si="229"/>
        <v>0.62685669668423305</v>
      </c>
      <c r="K249" s="58">
        <f t="shared" ca="1" si="246"/>
        <v>1.9850462061667378</v>
      </c>
      <c r="L249" s="58">
        <f t="shared" ca="1" si="230"/>
        <v>0.31578947368421056</v>
      </c>
      <c r="M249" s="58">
        <f t="shared" ca="1" si="231"/>
        <v>0.82914733970589072</v>
      </c>
      <c r="N249" s="58">
        <f t="shared" ca="1" si="232"/>
        <v>1.9850462061667378</v>
      </c>
      <c r="O249" s="55"/>
      <c r="P249" s="175">
        <f ca="1">IFERROR(($AW249+AV249)/SUMPRODUCT($CA249:$DI249,'General Inputs'!$F$51:$AN$51),"n/a")</f>
        <v>1.8673847389017194E-2</v>
      </c>
      <c r="Q249" s="175">
        <f t="shared" ca="1" si="454"/>
        <v>0.11316514248276995</v>
      </c>
      <c r="R249" s="56">
        <f t="shared" ca="1" si="441"/>
        <v>1060.3971979999999</v>
      </c>
      <c r="S249" s="55"/>
      <c r="T249" s="56">
        <f ca="1">INDEX(OFFSET('Measure Inputs'!$L$7,,,InputRows),$C249)</f>
        <v>250</v>
      </c>
      <c r="U249" s="134">
        <f ca="1">INDEX(OFFSET('Measure Inputs'!$T$7,,,InputRows),$C249)</f>
        <v>1</v>
      </c>
      <c r="V249" s="134">
        <f ca="1">INDEX(OFFSET('Measure Inputs'!$U$7,,,InputRows),$C249)</f>
        <v>1</v>
      </c>
      <c r="W249" s="55"/>
      <c r="X249" s="96">
        <f ca="1">INDEX(OFFSET('Measure Inputs'!$V$7,,,InputRows),$C249)*$T249*$V249*$U249</f>
        <v>132549.64974999998</v>
      </c>
      <c r="Y249" s="96">
        <f ca="1">INDEX(OFFSET('Measure Inputs'!$W$7,,,InputRows),$C249)*$T249*$V249*$U249</f>
        <v>35.145249999999997</v>
      </c>
      <c r="Z249" s="96">
        <f ca="1">INDEX(OFFSET('Measure Inputs'!$X$7,,,InputRows),$C249)*$T249*$V249*$U249</f>
        <v>0</v>
      </c>
      <c r="AA249" s="55"/>
      <c r="AB249" s="96">
        <f ca="1">INDEX(OFFSET('Measure Inputs'!$Z$7,,,InputRows),$C249)*$T249*$V249*$U249</f>
        <v>0</v>
      </c>
      <c r="AC249" s="96">
        <f ca="1">INDEX(OFFSET('Measure Inputs'!$AA$7,,,InputRows),$C249)*$T249*$V249*$U249</f>
        <v>0</v>
      </c>
      <c r="AD249" s="96">
        <f ca="1">INDEX(OFFSET('Measure Inputs'!$AB$7,,,InputRows),$C249)*$T249*$V249*$U249</f>
        <v>0</v>
      </c>
      <c r="AE249" s="55"/>
      <c r="AF249" s="57">
        <f ca="1">INDEX(OFFSET('Measure Inputs'!$Q$7,,,InputRows),$C249)*$T249</f>
        <v>0</v>
      </c>
      <c r="AG249" s="57">
        <f ca="1">INDEX(OFFSET('Measure Inputs'!$P$7,,,InputRows),$C249)*$T249*$V249</f>
        <v>47500</v>
      </c>
      <c r="AH249" s="57">
        <f ca="1">INDEX(OFFSET('Measure Inputs'!$R$7,,,InputRows),$C249)*$T249*$V249</f>
        <v>0</v>
      </c>
      <c r="AI249" s="57">
        <f ca="1">INDEX(OFFSET('Measure Inputs'!$O$7,,,InputRows),$C249)*$T249</f>
        <v>15000</v>
      </c>
      <c r="AJ249" s="57">
        <f ca="1">INDEX(OFFSET('Measure Inputs'!$S$7,,,InputRows),$C249)*$T249</f>
        <v>0</v>
      </c>
      <c r="AK249" s="63">
        <f ca="1">INDEX(OFFSET('Measure Inputs'!$M$7,,,InputRows),$C249)</f>
        <v>8</v>
      </c>
      <c r="AL249" s="88">
        <f ca="1">INDEX(OFFSET('Measure Inputs'!$N$7,,,InputRows),$C249)</f>
        <v>0</v>
      </c>
      <c r="AM249" s="57">
        <f ca="1">SUMIFS(OFFSET('Program Inputs'!$N$5,,,TotalPrograms),OFFSET('Program Inputs'!$B$5,,,TotalPrograms),SUBSTITUTE($B249,"All","*"))+AF249</f>
        <v>0</v>
      </c>
      <c r="AN249" s="57">
        <f t="shared" ca="1" si="442"/>
        <v>15000</v>
      </c>
      <c r="AO249" s="55"/>
      <c r="AP249" s="59">
        <f t="shared" ca="1" si="443"/>
        <v>25135.342834635652</v>
      </c>
      <c r="AQ249" s="59">
        <f t="shared" ca="1" si="444"/>
        <v>40097.430509380196</v>
      </c>
      <c r="AR249" s="59">
        <f ca="1">SUMPRODUCT($CA249:$DI249,'General Inputs'!$F$32:$AN$32,'General Inputs'!$F$51:$AN$51)/(1-Loss_ElectricEnergy)</f>
        <v>21109.478386864594</v>
      </c>
      <c r="AS249" s="59">
        <f ca="1">SUMPRODUCT($DK249:$ES249,'General Inputs'!$F$33:$AN$33,'General Inputs'!$F$51:$AN$51)/(1-Loss_ElectricDemand)</f>
        <v>4025.8644477710568</v>
      </c>
      <c r="AT249" s="59">
        <f ca="1">SUMPRODUCT($EU249:$GC249,'General Inputs'!$F$34:$AN$34,'General Inputs'!$F$51:$AN$51)/(1-Loss_GasEnergy)</f>
        <v>0</v>
      </c>
      <c r="AU249" s="59">
        <f ca="1">INDEX('General Inputs'!$F$51:$AN$51,MATCH($H249,'General Inputs'!$F$50:$AN$50,0))*$AJ249</f>
        <v>0</v>
      </c>
      <c r="AV249" s="59">
        <f ca="1">INDEX('General Inputs'!$F$51:$AN$51,MATCH($H249,'General Inputs'!$F$50:$AN$50,0))*$AI249</f>
        <v>12662.346476646379</v>
      </c>
      <c r="AW249" s="59">
        <f ca="1">INDEX('General Inputs'!$F$51:$AN$51,MATCH($H249,'General Inputs'!$F$50:$AN$50,0))*$AM249</f>
        <v>0</v>
      </c>
      <c r="AX249" s="59">
        <f ca="1">SUM(INDEX('General Inputs'!$F$51:$AN$51,MATCH($H249,'General Inputs'!$F$50:$AN$50,0))*$AG249,INDEX('General Inputs'!$F$51:$AN$51,MATCH($H249+$AL249,'General Inputs'!$F$50:$AN$50,0))*-$AH249)</f>
        <v>40097.430509380196</v>
      </c>
      <c r="AY249" s="55"/>
      <c r="AZ249" s="59">
        <f ca="1">SUMPRODUCT($CA249:$DI249,'General Inputs'!$F$32:$AN$32,'General Inputs'!$F$52:$AN$52)/(1-Loss_ElectricEnergy)</f>
        <v>21109.478386864594</v>
      </c>
      <c r="BA249" s="59">
        <f ca="1">SUMPRODUCT($DK249:$ES249,'General Inputs'!$F$33:$AN$33,'General Inputs'!$F$52:$AN$52)/(1-Loss_ElectricDemand)</f>
        <v>4025.8644477710568</v>
      </c>
      <c r="BB249" s="59">
        <f ca="1">SUMPRODUCT($EU249:$GC249,'General Inputs'!$F$34:$AN$34,'General Inputs'!$F$52:$AN$52)/(1-Loss_GasEnergy)</f>
        <v>0</v>
      </c>
      <c r="BC249" s="59">
        <f ca="1">INDEX('General Inputs'!$F$52:$AN$52,MATCH($H249,'General Inputs'!$F$50:$AN$50,0))*$AI249</f>
        <v>12662.346476646379</v>
      </c>
      <c r="BD249" s="59">
        <f ca="1">INDEX('General Inputs'!$F$52:$AN$52,MATCH($H249,'General Inputs'!$F$50:$AN$50,0))*$AM249</f>
        <v>0</v>
      </c>
      <c r="BE249" s="55"/>
      <c r="BF249" s="59">
        <f ca="1">SUMPRODUCT($CA249:$DI249,OFFSET('General Inputs'!$F$40:$AN$40,MATCH($D249&amp;" Electric ($/kWh)",'General Inputs'!$E$40:$E$46,0),),'General Inputs'!$F$54:$AN$54)</f>
        <v>0</v>
      </c>
      <c r="BG249" s="59">
        <f ca="1">SUMPRODUCT($EU249:$GC249,OFFSET('General Inputs'!$F$40:$AN$40,MATCH($D249&amp;" Natural Gas ($/therm)",'General Inputs'!$E$40:$E$46,0),),'General Inputs'!$F$54:$AN$54)</f>
        <v>0</v>
      </c>
      <c r="BH249" s="59">
        <f ca="1">INDEX('General Inputs'!$F$54:$AN$54,MATCH($H249,'General Inputs'!$F$50:$AN$50,0))*$AI249</f>
        <v>12662.346476646379</v>
      </c>
      <c r="BI249" s="59">
        <f ca="1">SUM(INDEX('General Inputs'!$F$54:$AN$54,MATCH($H249,'General Inputs'!$F$50:$AN$50,0))*$AG249,INDEX('General Inputs'!$F$51:$AN$51,MATCH($H249+$AL249,'General Inputs'!$F$50:$AN$50,0))*-$AH249)</f>
        <v>40097.430509380196</v>
      </c>
      <c r="BJ249" s="55"/>
      <c r="BK249" s="59">
        <f ca="1">SUMPRODUCT($CA249:$DI249,'General Inputs'!$F$32:$AN$32,'General Inputs'!$F$53:$AN$53)/(1-Loss_ElectricEnergy)</f>
        <v>21109.478386864594</v>
      </c>
      <c r="BL249" s="59">
        <f ca="1">SUMPRODUCT($DK249:$ES249,'General Inputs'!$F$33:$AN$33,'General Inputs'!$F$53:$AN$53)/(1-Loss_ElectricDemand)</f>
        <v>4025.8644477710568</v>
      </c>
      <c r="BM249" s="59">
        <f ca="1">SUMPRODUCT($EU249:$GC249,'General Inputs'!$F$34:$AN$34,'General Inputs'!$F$53:$AN$53)/(1-Loss_GasEnergy)</f>
        <v>0</v>
      </c>
      <c r="BN249" s="59">
        <f ca="1">INDEX('General Inputs'!$F$53:$AN$53,MATCH($H249,'General Inputs'!$F$50:$AN$50,0))*$AJ249</f>
        <v>0</v>
      </c>
      <c r="BO249" s="59">
        <f ca="1">SUMPRODUCT($CA249:$DI249,'General Inputs'!$F$35:$AN$35,'General Inputs'!$F$53:$AN$53)/(1-Loss_ElectricEnergy)</f>
        <v>8111.3350012587571</v>
      </c>
      <c r="BP249" s="59">
        <f ca="1">INDEX('General Inputs'!$F$51:$AN$51,MATCH($H249,'General Inputs'!$F$50:$AN$50,0))*$AM249</f>
        <v>0</v>
      </c>
      <c r="BQ249" s="59">
        <f ca="1">SUM(INDEX('General Inputs'!$F$53:$AN$53,MATCH($H249,'General Inputs'!$F$50:$AN$50,0))*$AG249,INDEX('General Inputs'!$F$53:$AN$53,MATCH($H249+$AL249,'General Inputs'!$F$50:$AN$50,0))*-$AH249)</f>
        <v>40097.430509380196</v>
      </c>
      <c r="BR249" s="55"/>
      <c r="BS249" s="59">
        <f ca="1">SUMPRODUCT($CA249:$DI249,'General Inputs'!$F$32:$AN$32,'General Inputs'!$F$55:$AN$55)/(1-Loss_ElectricEnergy)</f>
        <v>21109.478386864594</v>
      </c>
      <c r="BT249" s="59">
        <f ca="1">SUMPRODUCT($DK249:$ES249,'General Inputs'!$F$33:$AN$33,'General Inputs'!$F$55:$AN$55)/(1-Loss_ElectricDemand)</f>
        <v>4025.8644477710568</v>
      </c>
      <c r="BU249" s="59">
        <f ca="1">SUMPRODUCT($EU249:$GC249,'General Inputs'!$F$34:$AN$34,'General Inputs'!$F$55:$AN$55)/(1-Loss_GasEnergy)</f>
        <v>0</v>
      </c>
      <c r="BV249" s="59">
        <f ca="1">SUMPRODUCT($CA249:$DI249,OFFSET('General Inputs'!$F$40:$AN$40,MATCH($D249&amp;" Electric ($/kWh)",'General Inputs'!$E$40:$E$46,0),),'General Inputs'!$F$55:$AN$55)</f>
        <v>0</v>
      </c>
      <c r="BW249" s="59">
        <f ca="1">SUMPRODUCT($EU249:$GC249,OFFSET('General Inputs'!$F$40:$AN$40,MATCH($D249&amp;" Natural Gas ($/therm)",'General Inputs'!$E$40:$E$46,0),),'General Inputs'!$F$55:$AN$55)</f>
        <v>0</v>
      </c>
      <c r="BX249" s="59">
        <f ca="1">INDEX('General Inputs'!$F$55:$AN$55,MATCH($H249,'General Inputs'!$F$50:$AN$50,0))*$AI249</f>
        <v>12662.346476646379</v>
      </c>
      <c r="BY249" s="59">
        <f ca="1">INDEX('General Inputs'!$F$51:$AN$51,MATCH($H249,'General Inputs'!$F$50:$AN$50,0))*$AM249</f>
        <v>0</v>
      </c>
      <c r="BZ249" s="55"/>
      <c r="CA249" s="88">
        <f t="shared" ca="1" si="473"/>
        <v>0</v>
      </c>
      <c r="CB249" s="88">
        <f t="shared" ca="1" si="473"/>
        <v>0</v>
      </c>
      <c r="CC249" s="88">
        <f t="shared" ca="1" si="473"/>
        <v>132549.64974999998</v>
      </c>
      <c r="CD249" s="88">
        <f t="shared" ca="1" si="473"/>
        <v>132549.64974999998</v>
      </c>
      <c r="CE249" s="88">
        <f t="shared" ca="1" si="473"/>
        <v>132549.64974999998</v>
      </c>
      <c r="CF249" s="88">
        <f t="shared" ca="1" si="473"/>
        <v>132549.64974999998</v>
      </c>
      <c r="CG249" s="88">
        <f t="shared" ca="1" si="473"/>
        <v>132549.64974999998</v>
      </c>
      <c r="CH249" s="88">
        <f t="shared" ca="1" si="473"/>
        <v>132549.64974999998</v>
      </c>
      <c r="CI249" s="88">
        <f t="shared" ca="1" si="473"/>
        <v>132549.64974999998</v>
      </c>
      <c r="CJ249" s="88">
        <f t="shared" ca="1" si="473"/>
        <v>132549.64974999998</v>
      </c>
      <c r="CK249" s="88">
        <f t="shared" ca="1" si="474"/>
        <v>0</v>
      </c>
      <c r="CL249" s="88">
        <f t="shared" ca="1" si="474"/>
        <v>0</v>
      </c>
      <c r="CM249" s="88">
        <f t="shared" ca="1" si="474"/>
        <v>0</v>
      </c>
      <c r="CN249" s="88">
        <f t="shared" ca="1" si="474"/>
        <v>0</v>
      </c>
      <c r="CO249" s="88">
        <f t="shared" ca="1" si="474"/>
        <v>0</v>
      </c>
      <c r="CP249" s="88">
        <f t="shared" ca="1" si="474"/>
        <v>0</v>
      </c>
      <c r="CQ249" s="88">
        <f t="shared" ca="1" si="474"/>
        <v>0</v>
      </c>
      <c r="CR249" s="88">
        <f t="shared" ca="1" si="474"/>
        <v>0</v>
      </c>
      <c r="CS249" s="88">
        <f t="shared" ca="1" si="474"/>
        <v>0</v>
      </c>
      <c r="CT249" s="88">
        <f t="shared" ca="1" si="474"/>
        <v>0</v>
      </c>
      <c r="CU249" s="88">
        <f t="shared" ca="1" si="475"/>
        <v>0</v>
      </c>
      <c r="CV249" s="88">
        <f t="shared" ca="1" si="475"/>
        <v>0</v>
      </c>
      <c r="CW249" s="88">
        <f t="shared" ca="1" si="475"/>
        <v>0</v>
      </c>
      <c r="CX249" s="88">
        <f t="shared" ca="1" si="475"/>
        <v>0</v>
      </c>
      <c r="CY249" s="88">
        <f t="shared" ca="1" si="475"/>
        <v>0</v>
      </c>
      <c r="CZ249" s="88">
        <f t="shared" ca="1" si="475"/>
        <v>0</v>
      </c>
      <c r="DA249" s="88">
        <f t="shared" ca="1" si="475"/>
        <v>0</v>
      </c>
      <c r="DB249" s="88">
        <f t="shared" ca="1" si="475"/>
        <v>0</v>
      </c>
      <c r="DC249" s="88">
        <f t="shared" ca="1" si="475"/>
        <v>0</v>
      </c>
      <c r="DD249" s="88">
        <f t="shared" ca="1" si="475"/>
        <v>0</v>
      </c>
      <c r="DE249" s="88">
        <f t="shared" ca="1" si="475"/>
        <v>0</v>
      </c>
      <c r="DF249" s="88">
        <f t="shared" ca="1" si="475"/>
        <v>0</v>
      </c>
      <c r="DG249" s="88">
        <f t="shared" ca="1" si="475"/>
        <v>0</v>
      </c>
      <c r="DH249" s="88">
        <f t="shared" ca="1" si="475"/>
        <v>0</v>
      </c>
      <c r="DI249" s="88">
        <f t="shared" ca="1" si="475"/>
        <v>0</v>
      </c>
      <c r="DJ249" s="169"/>
      <c r="DK249" s="88">
        <f t="shared" ca="1" si="476"/>
        <v>0</v>
      </c>
      <c r="DL249" s="88">
        <f t="shared" ca="1" si="476"/>
        <v>0</v>
      </c>
      <c r="DM249" s="88">
        <f t="shared" ca="1" si="476"/>
        <v>35.145249999999997</v>
      </c>
      <c r="DN249" s="88">
        <f t="shared" ca="1" si="476"/>
        <v>35.145249999999997</v>
      </c>
      <c r="DO249" s="88">
        <f t="shared" ca="1" si="476"/>
        <v>35.145249999999997</v>
      </c>
      <c r="DP249" s="88">
        <f t="shared" ca="1" si="476"/>
        <v>35.145249999999997</v>
      </c>
      <c r="DQ249" s="88">
        <f t="shared" ca="1" si="476"/>
        <v>35.145249999999997</v>
      </c>
      <c r="DR249" s="88">
        <f t="shared" ca="1" si="476"/>
        <v>35.145249999999997</v>
      </c>
      <c r="DS249" s="88">
        <f t="shared" ca="1" si="476"/>
        <v>35.145249999999997</v>
      </c>
      <c r="DT249" s="88">
        <f t="shared" ca="1" si="476"/>
        <v>35.145249999999997</v>
      </c>
      <c r="DU249" s="88">
        <f t="shared" ca="1" si="477"/>
        <v>0</v>
      </c>
      <c r="DV249" s="88">
        <f t="shared" ca="1" si="477"/>
        <v>0</v>
      </c>
      <c r="DW249" s="88">
        <f t="shared" ca="1" si="477"/>
        <v>0</v>
      </c>
      <c r="DX249" s="88">
        <f t="shared" ca="1" si="477"/>
        <v>0</v>
      </c>
      <c r="DY249" s="88">
        <f t="shared" ca="1" si="477"/>
        <v>0</v>
      </c>
      <c r="DZ249" s="88">
        <f t="shared" ca="1" si="477"/>
        <v>0</v>
      </c>
      <c r="EA249" s="88">
        <f t="shared" ca="1" si="477"/>
        <v>0</v>
      </c>
      <c r="EB249" s="88">
        <f t="shared" ca="1" si="477"/>
        <v>0</v>
      </c>
      <c r="EC249" s="88">
        <f t="shared" ca="1" si="477"/>
        <v>0</v>
      </c>
      <c r="ED249" s="88">
        <f t="shared" ca="1" si="477"/>
        <v>0</v>
      </c>
      <c r="EE249" s="88">
        <f t="shared" ca="1" si="478"/>
        <v>0</v>
      </c>
      <c r="EF249" s="88">
        <f t="shared" ca="1" si="478"/>
        <v>0</v>
      </c>
      <c r="EG249" s="88">
        <f t="shared" ca="1" si="478"/>
        <v>0</v>
      </c>
      <c r="EH249" s="88">
        <f t="shared" ca="1" si="478"/>
        <v>0</v>
      </c>
      <c r="EI249" s="88">
        <f t="shared" ca="1" si="478"/>
        <v>0</v>
      </c>
      <c r="EJ249" s="88">
        <f t="shared" ca="1" si="478"/>
        <v>0</v>
      </c>
      <c r="EK249" s="88">
        <f t="shared" ca="1" si="478"/>
        <v>0</v>
      </c>
      <c r="EL249" s="88">
        <f t="shared" ca="1" si="478"/>
        <v>0</v>
      </c>
      <c r="EM249" s="88">
        <f t="shared" ca="1" si="478"/>
        <v>0</v>
      </c>
      <c r="EN249" s="88">
        <f t="shared" ca="1" si="478"/>
        <v>0</v>
      </c>
      <c r="EO249" s="88">
        <f t="shared" ca="1" si="478"/>
        <v>0</v>
      </c>
      <c r="EP249" s="88">
        <f t="shared" ca="1" si="478"/>
        <v>0</v>
      </c>
      <c r="EQ249" s="88">
        <f t="shared" ca="1" si="478"/>
        <v>0</v>
      </c>
      <c r="ER249" s="88">
        <f t="shared" ca="1" si="478"/>
        <v>0</v>
      </c>
      <c r="ES249" s="88">
        <f t="shared" ca="1" si="478"/>
        <v>0</v>
      </c>
      <c r="ET249" s="169"/>
      <c r="EU249" s="88">
        <f t="shared" ca="1" si="479"/>
        <v>0</v>
      </c>
      <c r="EV249" s="88">
        <f t="shared" ca="1" si="479"/>
        <v>0</v>
      </c>
      <c r="EW249" s="88">
        <f t="shared" ca="1" si="479"/>
        <v>0</v>
      </c>
      <c r="EX249" s="88">
        <f t="shared" ca="1" si="479"/>
        <v>0</v>
      </c>
      <c r="EY249" s="88">
        <f t="shared" ca="1" si="479"/>
        <v>0</v>
      </c>
      <c r="EZ249" s="88">
        <f t="shared" ca="1" si="479"/>
        <v>0</v>
      </c>
      <c r="FA249" s="88">
        <f t="shared" ca="1" si="479"/>
        <v>0</v>
      </c>
      <c r="FB249" s="88">
        <f t="shared" ca="1" si="479"/>
        <v>0</v>
      </c>
      <c r="FC249" s="88">
        <f t="shared" ca="1" si="479"/>
        <v>0</v>
      </c>
      <c r="FD249" s="88">
        <f t="shared" ca="1" si="479"/>
        <v>0</v>
      </c>
      <c r="FE249" s="88">
        <f t="shared" ca="1" si="480"/>
        <v>0</v>
      </c>
      <c r="FF249" s="88">
        <f t="shared" ca="1" si="480"/>
        <v>0</v>
      </c>
      <c r="FG249" s="88">
        <f t="shared" ca="1" si="480"/>
        <v>0</v>
      </c>
      <c r="FH249" s="88">
        <f t="shared" ca="1" si="480"/>
        <v>0</v>
      </c>
      <c r="FI249" s="88">
        <f t="shared" ca="1" si="480"/>
        <v>0</v>
      </c>
      <c r="FJ249" s="88">
        <f t="shared" ca="1" si="480"/>
        <v>0</v>
      </c>
      <c r="FK249" s="88">
        <f t="shared" ca="1" si="480"/>
        <v>0</v>
      </c>
      <c r="FL249" s="88">
        <f t="shared" ca="1" si="480"/>
        <v>0</v>
      </c>
      <c r="FM249" s="88">
        <f t="shared" ca="1" si="480"/>
        <v>0</v>
      </c>
      <c r="FN249" s="88">
        <f t="shared" ca="1" si="480"/>
        <v>0</v>
      </c>
      <c r="FO249" s="88">
        <f t="shared" ca="1" si="481"/>
        <v>0</v>
      </c>
      <c r="FP249" s="88">
        <f t="shared" ca="1" si="481"/>
        <v>0</v>
      </c>
      <c r="FQ249" s="88">
        <f t="shared" ca="1" si="481"/>
        <v>0</v>
      </c>
      <c r="FR249" s="88">
        <f t="shared" ca="1" si="481"/>
        <v>0</v>
      </c>
      <c r="FS249" s="88">
        <f t="shared" ca="1" si="481"/>
        <v>0</v>
      </c>
      <c r="FT249" s="88">
        <f t="shared" ca="1" si="481"/>
        <v>0</v>
      </c>
      <c r="FU249" s="88">
        <f t="shared" ca="1" si="481"/>
        <v>0</v>
      </c>
      <c r="FV249" s="88">
        <f t="shared" ca="1" si="481"/>
        <v>0</v>
      </c>
      <c r="FW249" s="88">
        <f t="shared" ca="1" si="481"/>
        <v>0</v>
      </c>
      <c r="FX249" s="88">
        <f t="shared" ca="1" si="481"/>
        <v>0</v>
      </c>
      <c r="FY249" s="88">
        <f t="shared" ca="1" si="481"/>
        <v>0</v>
      </c>
      <c r="FZ249" s="88">
        <f t="shared" ca="1" si="481"/>
        <v>0</v>
      </c>
      <c r="GA249" s="88">
        <f t="shared" ca="1" si="481"/>
        <v>0</v>
      </c>
      <c r="GB249" s="88">
        <f t="shared" ca="1" si="481"/>
        <v>0</v>
      </c>
      <c r="GC249" s="88">
        <f t="shared" ca="1" si="481"/>
        <v>0</v>
      </c>
      <c r="GD249" s="60"/>
    </row>
    <row r="250" spans="1:186" s="54" customFormat="1" ht="14.45" customHeight="1">
      <c r="A250" s="61"/>
      <c r="B250" s="100" t="str">
        <f t="shared" si="418"/>
        <v>C&amp;I_C&amp;I Prescriptive_0_LED Parking Garage/Canopy (30-75W)_2019</v>
      </c>
      <c r="C250" s="100">
        <f>INDEX('Measure Inputs'!$D:$D,MATCH($B250,'Measure Inputs'!$B:$B,0))</f>
        <v>202</v>
      </c>
      <c r="D250" s="101" t="s">
        <v>256</v>
      </c>
      <c r="E250" s="101" t="s">
        <v>255</v>
      </c>
      <c r="F250" s="101">
        <v>0</v>
      </c>
      <c r="G250" s="101" t="s">
        <v>292</v>
      </c>
      <c r="H250" s="101">
        <v>2019</v>
      </c>
      <c r="I250" s="55"/>
      <c r="J250" s="58">
        <f t="shared" ca="1" si="229"/>
        <v>0.51196771867815227</v>
      </c>
      <c r="K250" s="58">
        <f t="shared" ca="1" si="246"/>
        <v>1.4693473526062968</v>
      </c>
      <c r="L250" s="58">
        <f t="shared" ca="1" si="230"/>
        <v>0.34843205574912889</v>
      </c>
      <c r="M250" s="58">
        <f t="shared" ca="1" si="231"/>
        <v>0.677182957767963</v>
      </c>
      <c r="N250" s="58">
        <f t="shared" ca="1" si="232"/>
        <v>1.4693473526062968</v>
      </c>
      <c r="O250" s="55"/>
      <c r="P250" s="175">
        <f ca="1">IFERROR(($AW250+AV250)/SUMPRODUCT($CA250:$DI250,'General Inputs'!$F$51:$AN$51),"n/a")</f>
        <v>2.5227833192984619E-2</v>
      </c>
      <c r="Q250" s="175">
        <f t="shared" ca="1" si="454"/>
        <v>0.15288286759239239</v>
      </c>
      <c r="R250" s="56">
        <f t="shared" ca="1" si="441"/>
        <v>523.2764224</v>
      </c>
      <c r="S250" s="55"/>
      <c r="T250" s="56">
        <f ca="1">INDEX(OFFSET('Measure Inputs'!$L$7,,,InputRows),$C250)</f>
        <v>100</v>
      </c>
      <c r="U250" s="134">
        <f ca="1">INDEX(OFFSET('Measure Inputs'!$T$7,,,InputRows),$C250)</f>
        <v>1</v>
      </c>
      <c r="V250" s="134">
        <f ca="1">INDEX(OFFSET('Measure Inputs'!$U$7,,,InputRows),$C250)</f>
        <v>1</v>
      </c>
      <c r="W250" s="55"/>
      <c r="X250" s="96">
        <f ca="1">INDEX(OFFSET('Measure Inputs'!$V$7,,,InputRows),$C250)*$T250*$V250*$U250</f>
        <v>65409.552800000005</v>
      </c>
      <c r="Y250" s="96">
        <f ca="1">INDEX(OFFSET('Measure Inputs'!$W$7,,,InputRows),$C250)*$T250*$V250*$U250</f>
        <v>17.343200000000003</v>
      </c>
      <c r="Z250" s="96">
        <f ca="1">INDEX(OFFSET('Measure Inputs'!$X$7,,,InputRows),$C250)*$T250*$V250*$U250</f>
        <v>0</v>
      </c>
      <c r="AA250" s="55"/>
      <c r="AB250" s="96">
        <f ca="1">INDEX(OFFSET('Measure Inputs'!$Z$7,,,InputRows),$C250)*$T250*$V250*$U250</f>
        <v>0</v>
      </c>
      <c r="AC250" s="96">
        <f ca="1">INDEX(OFFSET('Measure Inputs'!$AA$7,,,InputRows),$C250)*$T250*$V250*$U250</f>
        <v>0</v>
      </c>
      <c r="AD250" s="96">
        <f ca="1">INDEX(OFFSET('Measure Inputs'!$AB$7,,,InputRows),$C250)*$T250*$V250*$U250</f>
        <v>0</v>
      </c>
      <c r="AE250" s="55"/>
      <c r="AF250" s="57">
        <f ca="1">INDEX(OFFSET('Measure Inputs'!$Q$7,,,InputRows),$C250)*$T250</f>
        <v>0</v>
      </c>
      <c r="AG250" s="57">
        <f ca="1">INDEX(OFFSET('Measure Inputs'!$P$7,,,InputRows),$C250)*$T250*$V250</f>
        <v>28700</v>
      </c>
      <c r="AH250" s="57">
        <f ca="1">INDEX(OFFSET('Measure Inputs'!$R$7,,,InputRows),$C250)*$T250*$V250</f>
        <v>0</v>
      </c>
      <c r="AI250" s="57">
        <f ca="1">INDEX(OFFSET('Measure Inputs'!$O$7,,,InputRows),$C250)*$T250</f>
        <v>10000</v>
      </c>
      <c r="AJ250" s="57">
        <f ca="1">INDEX(OFFSET('Measure Inputs'!$S$7,,,InputRows),$C250)*$T250</f>
        <v>0</v>
      </c>
      <c r="AK250" s="63">
        <f ca="1">INDEX(OFFSET('Measure Inputs'!$M$7,,,InputRows),$C250)</f>
        <v>8</v>
      </c>
      <c r="AL250" s="88">
        <f ca="1">INDEX(OFFSET('Measure Inputs'!$N$7,,,InputRows),$C250)</f>
        <v>0</v>
      </c>
      <c r="AM250" s="57">
        <f ca="1">SUMIFS(OFFSET('Program Inputs'!$N$5,,,TotalPrograms),OFFSET('Program Inputs'!$B$5,,,TotalPrograms),SUBSTITUTE($B250,"All","*"))+AF250</f>
        <v>0</v>
      </c>
      <c r="AN250" s="57">
        <f t="shared" ca="1" si="442"/>
        <v>10000</v>
      </c>
      <c r="AO250" s="55"/>
      <c r="AP250" s="59">
        <f t="shared" ca="1" si="443"/>
        <v>12403.590182162685</v>
      </c>
      <c r="AQ250" s="59">
        <f t="shared" ca="1" si="444"/>
        <v>24227.289591983405</v>
      </c>
      <c r="AR250" s="59">
        <f ca="1">SUMPRODUCT($CA250:$DI250,'General Inputs'!$F$32:$AN$32,'General Inputs'!$F$51:$AN$51)/(1-Loss_ElectricEnergy)</f>
        <v>10416.938435750779</v>
      </c>
      <c r="AS250" s="59">
        <f ca="1">SUMPRODUCT($DK250:$ES250,'General Inputs'!$F$33:$AN$33,'General Inputs'!$F$51:$AN$51)/(1-Loss_ElectricDemand)</f>
        <v>1986.6517464119056</v>
      </c>
      <c r="AT250" s="59">
        <f ca="1">SUMPRODUCT($EU250:$GC250,'General Inputs'!$F$34:$AN$34,'General Inputs'!$F$51:$AN$51)/(1-Loss_GasEnergy)</f>
        <v>0</v>
      </c>
      <c r="AU250" s="59">
        <f ca="1">INDEX('General Inputs'!$F$51:$AN$51,MATCH($H250,'General Inputs'!$F$50:$AN$50,0))*$AJ250</f>
        <v>0</v>
      </c>
      <c r="AV250" s="59">
        <f ca="1">INDEX('General Inputs'!$F$51:$AN$51,MATCH($H250,'General Inputs'!$F$50:$AN$50,0))*$AI250</f>
        <v>8441.5643177642523</v>
      </c>
      <c r="AW250" s="59">
        <f ca="1">INDEX('General Inputs'!$F$51:$AN$51,MATCH($H250,'General Inputs'!$F$50:$AN$50,0))*$AM250</f>
        <v>0</v>
      </c>
      <c r="AX250" s="59">
        <f ca="1">SUM(INDEX('General Inputs'!$F$51:$AN$51,MATCH($H250,'General Inputs'!$F$50:$AN$50,0))*$AG250,INDEX('General Inputs'!$F$51:$AN$51,MATCH($H250+$AL250,'General Inputs'!$F$50:$AN$50,0))*-$AH250)</f>
        <v>24227.289591983405</v>
      </c>
      <c r="AY250" s="55"/>
      <c r="AZ250" s="59">
        <f ca="1">SUMPRODUCT($CA250:$DI250,'General Inputs'!$F$32:$AN$32,'General Inputs'!$F$52:$AN$52)/(1-Loss_ElectricEnergy)</f>
        <v>10416.938435750779</v>
      </c>
      <c r="BA250" s="59">
        <f ca="1">SUMPRODUCT($DK250:$ES250,'General Inputs'!$F$33:$AN$33,'General Inputs'!$F$52:$AN$52)/(1-Loss_ElectricDemand)</f>
        <v>1986.6517464119056</v>
      </c>
      <c r="BB250" s="59">
        <f ca="1">SUMPRODUCT($EU250:$GC250,'General Inputs'!$F$34:$AN$34,'General Inputs'!$F$52:$AN$52)/(1-Loss_GasEnergy)</f>
        <v>0</v>
      </c>
      <c r="BC250" s="59">
        <f ca="1">INDEX('General Inputs'!$F$52:$AN$52,MATCH($H250,'General Inputs'!$F$50:$AN$50,0))*$AI250</f>
        <v>8441.5643177642523</v>
      </c>
      <c r="BD250" s="59">
        <f ca="1">INDEX('General Inputs'!$F$52:$AN$52,MATCH($H250,'General Inputs'!$F$50:$AN$50,0))*$AM250</f>
        <v>0</v>
      </c>
      <c r="BE250" s="55"/>
      <c r="BF250" s="59">
        <f ca="1">SUMPRODUCT($CA250:$DI250,OFFSET('General Inputs'!$F$40:$AN$40,MATCH($D250&amp;" Electric ($/kWh)",'General Inputs'!$E$40:$E$46,0),),'General Inputs'!$F$54:$AN$54)</f>
        <v>0</v>
      </c>
      <c r="BG250" s="59">
        <f ca="1">SUMPRODUCT($EU250:$GC250,OFFSET('General Inputs'!$F$40:$AN$40,MATCH($D250&amp;" Natural Gas ($/therm)",'General Inputs'!$E$40:$E$46,0),),'General Inputs'!$F$54:$AN$54)</f>
        <v>0</v>
      </c>
      <c r="BH250" s="59">
        <f ca="1">INDEX('General Inputs'!$F$54:$AN$54,MATCH($H250,'General Inputs'!$F$50:$AN$50,0))*$AI250</f>
        <v>8441.5643177642523</v>
      </c>
      <c r="BI250" s="59">
        <f ca="1">SUM(INDEX('General Inputs'!$F$54:$AN$54,MATCH($H250,'General Inputs'!$F$50:$AN$50,0))*$AG250,INDEX('General Inputs'!$F$51:$AN$51,MATCH($H250+$AL250,'General Inputs'!$F$50:$AN$50,0))*-$AH250)</f>
        <v>24227.289591983405</v>
      </c>
      <c r="BJ250" s="55"/>
      <c r="BK250" s="59">
        <f ca="1">SUMPRODUCT($CA250:$DI250,'General Inputs'!$F$32:$AN$32,'General Inputs'!$F$53:$AN$53)/(1-Loss_ElectricEnergy)</f>
        <v>10416.938435750779</v>
      </c>
      <c r="BL250" s="59">
        <f ca="1">SUMPRODUCT($DK250:$ES250,'General Inputs'!$F$33:$AN$33,'General Inputs'!$F$53:$AN$53)/(1-Loss_ElectricDemand)</f>
        <v>1986.6517464119056</v>
      </c>
      <c r="BM250" s="59">
        <f ca="1">SUMPRODUCT($EU250:$GC250,'General Inputs'!$F$34:$AN$34,'General Inputs'!$F$53:$AN$53)/(1-Loss_GasEnergy)</f>
        <v>0</v>
      </c>
      <c r="BN250" s="59">
        <f ca="1">INDEX('General Inputs'!$F$53:$AN$53,MATCH($H250,'General Inputs'!$F$50:$AN$50,0))*$AJ250</f>
        <v>0</v>
      </c>
      <c r="BO250" s="59">
        <f ca="1">SUMPRODUCT($CA250:$DI250,'General Inputs'!$F$35:$AN$35,'General Inputs'!$F$53:$AN$53)/(1-Loss_ElectricEnergy)</f>
        <v>4002.717442437623</v>
      </c>
      <c r="BP250" s="59">
        <f ca="1">INDEX('General Inputs'!$F$51:$AN$51,MATCH($H250,'General Inputs'!$F$50:$AN$50,0))*$AM250</f>
        <v>0</v>
      </c>
      <c r="BQ250" s="59">
        <f ca="1">SUM(INDEX('General Inputs'!$F$53:$AN$53,MATCH($H250,'General Inputs'!$F$50:$AN$50,0))*$AG250,INDEX('General Inputs'!$F$53:$AN$53,MATCH($H250+$AL250,'General Inputs'!$F$50:$AN$50,0))*-$AH250)</f>
        <v>24227.289591983405</v>
      </c>
      <c r="BR250" s="55"/>
      <c r="BS250" s="59">
        <f ca="1">SUMPRODUCT($CA250:$DI250,'General Inputs'!$F$32:$AN$32,'General Inputs'!$F$55:$AN$55)/(1-Loss_ElectricEnergy)</f>
        <v>10416.938435750779</v>
      </c>
      <c r="BT250" s="59">
        <f ca="1">SUMPRODUCT($DK250:$ES250,'General Inputs'!$F$33:$AN$33,'General Inputs'!$F$55:$AN$55)/(1-Loss_ElectricDemand)</f>
        <v>1986.6517464119056</v>
      </c>
      <c r="BU250" s="59">
        <f ca="1">SUMPRODUCT($EU250:$GC250,'General Inputs'!$F$34:$AN$34,'General Inputs'!$F$55:$AN$55)/(1-Loss_GasEnergy)</f>
        <v>0</v>
      </c>
      <c r="BV250" s="59">
        <f ca="1">SUMPRODUCT($CA250:$DI250,OFFSET('General Inputs'!$F$40:$AN$40,MATCH($D250&amp;" Electric ($/kWh)",'General Inputs'!$E$40:$E$46,0),),'General Inputs'!$F$55:$AN$55)</f>
        <v>0</v>
      </c>
      <c r="BW250" s="59">
        <f ca="1">SUMPRODUCT($EU250:$GC250,OFFSET('General Inputs'!$F$40:$AN$40,MATCH($D250&amp;" Natural Gas ($/therm)",'General Inputs'!$E$40:$E$46,0),),'General Inputs'!$F$55:$AN$55)</f>
        <v>0</v>
      </c>
      <c r="BX250" s="59">
        <f ca="1">INDEX('General Inputs'!$F$55:$AN$55,MATCH($H250,'General Inputs'!$F$50:$AN$50,0))*$AI250</f>
        <v>8441.5643177642523</v>
      </c>
      <c r="BY250" s="59">
        <f ca="1">INDEX('General Inputs'!$F$51:$AN$51,MATCH($H250,'General Inputs'!$F$50:$AN$50,0))*$AM250</f>
        <v>0</v>
      </c>
      <c r="BZ250" s="55"/>
      <c r="CA250" s="88">
        <f t="shared" ca="1" si="473"/>
        <v>0</v>
      </c>
      <c r="CB250" s="88">
        <f t="shared" ca="1" si="473"/>
        <v>0</v>
      </c>
      <c r="CC250" s="88">
        <f t="shared" ca="1" si="473"/>
        <v>65409.552800000005</v>
      </c>
      <c r="CD250" s="88">
        <f t="shared" ca="1" si="473"/>
        <v>65409.552800000005</v>
      </c>
      <c r="CE250" s="88">
        <f t="shared" ca="1" si="473"/>
        <v>65409.552800000005</v>
      </c>
      <c r="CF250" s="88">
        <f t="shared" ca="1" si="473"/>
        <v>65409.552800000005</v>
      </c>
      <c r="CG250" s="88">
        <f t="shared" ca="1" si="473"/>
        <v>65409.552800000005</v>
      </c>
      <c r="CH250" s="88">
        <f t="shared" ca="1" si="473"/>
        <v>65409.552800000005</v>
      </c>
      <c r="CI250" s="88">
        <f t="shared" ca="1" si="473"/>
        <v>65409.552800000005</v>
      </c>
      <c r="CJ250" s="88">
        <f t="shared" ca="1" si="473"/>
        <v>65409.552800000005</v>
      </c>
      <c r="CK250" s="88">
        <f t="shared" ca="1" si="474"/>
        <v>0</v>
      </c>
      <c r="CL250" s="88">
        <f t="shared" ca="1" si="474"/>
        <v>0</v>
      </c>
      <c r="CM250" s="88">
        <f t="shared" ca="1" si="474"/>
        <v>0</v>
      </c>
      <c r="CN250" s="88">
        <f t="shared" ca="1" si="474"/>
        <v>0</v>
      </c>
      <c r="CO250" s="88">
        <f t="shared" ca="1" si="474"/>
        <v>0</v>
      </c>
      <c r="CP250" s="88">
        <f t="shared" ca="1" si="474"/>
        <v>0</v>
      </c>
      <c r="CQ250" s="88">
        <f t="shared" ca="1" si="474"/>
        <v>0</v>
      </c>
      <c r="CR250" s="88">
        <f t="shared" ca="1" si="474"/>
        <v>0</v>
      </c>
      <c r="CS250" s="88">
        <f t="shared" ca="1" si="474"/>
        <v>0</v>
      </c>
      <c r="CT250" s="88">
        <f t="shared" ca="1" si="474"/>
        <v>0</v>
      </c>
      <c r="CU250" s="88">
        <f t="shared" ca="1" si="475"/>
        <v>0</v>
      </c>
      <c r="CV250" s="88">
        <f t="shared" ca="1" si="475"/>
        <v>0</v>
      </c>
      <c r="CW250" s="88">
        <f t="shared" ca="1" si="475"/>
        <v>0</v>
      </c>
      <c r="CX250" s="88">
        <f t="shared" ca="1" si="475"/>
        <v>0</v>
      </c>
      <c r="CY250" s="88">
        <f t="shared" ca="1" si="475"/>
        <v>0</v>
      </c>
      <c r="CZ250" s="88">
        <f t="shared" ca="1" si="475"/>
        <v>0</v>
      </c>
      <c r="DA250" s="88">
        <f t="shared" ca="1" si="475"/>
        <v>0</v>
      </c>
      <c r="DB250" s="88">
        <f t="shared" ca="1" si="475"/>
        <v>0</v>
      </c>
      <c r="DC250" s="88">
        <f t="shared" ca="1" si="475"/>
        <v>0</v>
      </c>
      <c r="DD250" s="88">
        <f t="shared" ca="1" si="475"/>
        <v>0</v>
      </c>
      <c r="DE250" s="88">
        <f t="shared" ca="1" si="475"/>
        <v>0</v>
      </c>
      <c r="DF250" s="88">
        <f t="shared" ca="1" si="475"/>
        <v>0</v>
      </c>
      <c r="DG250" s="88">
        <f t="shared" ca="1" si="475"/>
        <v>0</v>
      </c>
      <c r="DH250" s="88">
        <f t="shared" ca="1" si="475"/>
        <v>0</v>
      </c>
      <c r="DI250" s="88">
        <f t="shared" ca="1" si="475"/>
        <v>0</v>
      </c>
      <c r="DJ250" s="169"/>
      <c r="DK250" s="88">
        <f t="shared" ca="1" si="476"/>
        <v>0</v>
      </c>
      <c r="DL250" s="88">
        <f t="shared" ca="1" si="476"/>
        <v>0</v>
      </c>
      <c r="DM250" s="88">
        <f t="shared" ca="1" si="476"/>
        <v>17.343200000000003</v>
      </c>
      <c r="DN250" s="88">
        <f t="shared" ca="1" si="476"/>
        <v>17.343200000000003</v>
      </c>
      <c r="DO250" s="88">
        <f t="shared" ca="1" si="476"/>
        <v>17.343200000000003</v>
      </c>
      <c r="DP250" s="88">
        <f t="shared" ca="1" si="476"/>
        <v>17.343200000000003</v>
      </c>
      <c r="DQ250" s="88">
        <f t="shared" ca="1" si="476"/>
        <v>17.343200000000003</v>
      </c>
      <c r="DR250" s="88">
        <f t="shared" ca="1" si="476"/>
        <v>17.343200000000003</v>
      </c>
      <c r="DS250" s="88">
        <f t="shared" ca="1" si="476"/>
        <v>17.343200000000003</v>
      </c>
      <c r="DT250" s="88">
        <f t="shared" ca="1" si="476"/>
        <v>17.343200000000003</v>
      </c>
      <c r="DU250" s="88">
        <f t="shared" ca="1" si="477"/>
        <v>0</v>
      </c>
      <c r="DV250" s="88">
        <f t="shared" ca="1" si="477"/>
        <v>0</v>
      </c>
      <c r="DW250" s="88">
        <f t="shared" ca="1" si="477"/>
        <v>0</v>
      </c>
      <c r="DX250" s="88">
        <f t="shared" ca="1" si="477"/>
        <v>0</v>
      </c>
      <c r="DY250" s="88">
        <f t="shared" ca="1" si="477"/>
        <v>0</v>
      </c>
      <c r="DZ250" s="88">
        <f t="shared" ca="1" si="477"/>
        <v>0</v>
      </c>
      <c r="EA250" s="88">
        <f t="shared" ca="1" si="477"/>
        <v>0</v>
      </c>
      <c r="EB250" s="88">
        <f t="shared" ca="1" si="477"/>
        <v>0</v>
      </c>
      <c r="EC250" s="88">
        <f t="shared" ca="1" si="477"/>
        <v>0</v>
      </c>
      <c r="ED250" s="88">
        <f t="shared" ca="1" si="477"/>
        <v>0</v>
      </c>
      <c r="EE250" s="88">
        <f t="shared" ca="1" si="478"/>
        <v>0</v>
      </c>
      <c r="EF250" s="88">
        <f t="shared" ca="1" si="478"/>
        <v>0</v>
      </c>
      <c r="EG250" s="88">
        <f t="shared" ca="1" si="478"/>
        <v>0</v>
      </c>
      <c r="EH250" s="88">
        <f t="shared" ca="1" si="478"/>
        <v>0</v>
      </c>
      <c r="EI250" s="88">
        <f t="shared" ca="1" si="478"/>
        <v>0</v>
      </c>
      <c r="EJ250" s="88">
        <f t="shared" ca="1" si="478"/>
        <v>0</v>
      </c>
      <c r="EK250" s="88">
        <f t="shared" ca="1" si="478"/>
        <v>0</v>
      </c>
      <c r="EL250" s="88">
        <f t="shared" ca="1" si="478"/>
        <v>0</v>
      </c>
      <c r="EM250" s="88">
        <f t="shared" ca="1" si="478"/>
        <v>0</v>
      </c>
      <c r="EN250" s="88">
        <f t="shared" ca="1" si="478"/>
        <v>0</v>
      </c>
      <c r="EO250" s="88">
        <f t="shared" ca="1" si="478"/>
        <v>0</v>
      </c>
      <c r="EP250" s="88">
        <f t="shared" ca="1" si="478"/>
        <v>0</v>
      </c>
      <c r="EQ250" s="88">
        <f t="shared" ca="1" si="478"/>
        <v>0</v>
      </c>
      <c r="ER250" s="88">
        <f t="shared" ca="1" si="478"/>
        <v>0</v>
      </c>
      <c r="ES250" s="88">
        <f t="shared" ca="1" si="478"/>
        <v>0</v>
      </c>
      <c r="ET250" s="169"/>
      <c r="EU250" s="88">
        <f t="shared" ca="1" si="479"/>
        <v>0</v>
      </c>
      <c r="EV250" s="88">
        <f t="shared" ca="1" si="479"/>
        <v>0</v>
      </c>
      <c r="EW250" s="88">
        <f t="shared" ca="1" si="479"/>
        <v>0</v>
      </c>
      <c r="EX250" s="88">
        <f t="shared" ca="1" si="479"/>
        <v>0</v>
      </c>
      <c r="EY250" s="88">
        <f t="shared" ca="1" si="479"/>
        <v>0</v>
      </c>
      <c r="EZ250" s="88">
        <f t="shared" ca="1" si="479"/>
        <v>0</v>
      </c>
      <c r="FA250" s="88">
        <f t="shared" ca="1" si="479"/>
        <v>0</v>
      </c>
      <c r="FB250" s="88">
        <f t="shared" ca="1" si="479"/>
        <v>0</v>
      </c>
      <c r="FC250" s="88">
        <f t="shared" ca="1" si="479"/>
        <v>0</v>
      </c>
      <c r="FD250" s="88">
        <f t="shared" ca="1" si="479"/>
        <v>0</v>
      </c>
      <c r="FE250" s="88">
        <f t="shared" ca="1" si="480"/>
        <v>0</v>
      </c>
      <c r="FF250" s="88">
        <f t="shared" ca="1" si="480"/>
        <v>0</v>
      </c>
      <c r="FG250" s="88">
        <f t="shared" ca="1" si="480"/>
        <v>0</v>
      </c>
      <c r="FH250" s="88">
        <f t="shared" ca="1" si="480"/>
        <v>0</v>
      </c>
      <c r="FI250" s="88">
        <f t="shared" ca="1" si="480"/>
        <v>0</v>
      </c>
      <c r="FJ250" s="88">
        <f t="shared" ca="1" si="480"/>
        <v>0</v>
      </c>
      <c r="FK250" s="88">
        <f t="shared" ca="1" si="480"/>
        <v>0</v>
      </c>
      <c r="FL250" s="88">
        <f t="shared" ca="1" si="480"/>
        <v>0</v>
      </c>
      <c r="FM250" s="88">
        <f t="shared" ca="1" si="480"/>
        <v>0</v>
      </c>
      <c r="FN250" s="88">
        <f t="shared" ca="1" si="480"/>
        <v>0</v>
      </c>
      <c r="FO250" s="88">
        <f t="shared" ca="1" si="481"/>
        <v>0</v>
      </c>
      <c r="FP250" s="88">
        <f t="shared" ca="1" si="481"/>
        <v>0</v>
      </c>
      <c r="FQ250" s="88">
        <f t="shared" ca="1" si="481"/>
        <v>0</v>
      </c>
      <c r="FR250" s="88">
        <f t="shared" ca="1" si="481"/>
        <v>0</v>
      </c>
      <c r="FS250" s="88">
        <f t="shared" ca="1" si="481"/>
        <v>0</v>
      </c>
      <c r="FT250" s="88">
        <f t="shared" ca="1" si="481"/>
        <v>0</v>
      </c>
      <c r="FU250" s="88">
        <f t="shared" ca="1" si="481"/>
        <v>0</v>
      </c>
      <c r="FV250" s="88">
        <f t="shared" ca="1" si="481"/>
        <v>0</v>
      </c>
      <c r="FW250" s="88">
        <f t="shared" ca="1" si="481"/>
        <v>0</v>
      </c>
      <c r="FX250" s="88">
        <f t="shared" ca="1" si="481"/>
        <v>0</v>
      </c>
      <c r="FY250" s="88">
        <f t="shared" ca="1" si="481"/>
        <v>0</v>
      </c>
      <c r="FZ250" s="88">
        <f t="shared" ca="1" si="481"/>
        <v>0</v>
      </c>
      <c r="GA250" s="88">
        <f t="shared" ca="1" si="481"/>
        <v>0</v>
      </c>
      <c r="GB250" s="88">
        <f t="shared" ca="1" si="481"/>
        <v>0</v>
      </c>
      <c r="GC250" s="88">
        <f t="shared" ca="1" si="481"/>
        <v>0</v>
      </c>
      <c r="GD250" s="60"/>
    </row>
    <row r="251" spans="1:186" s="54" customFormat="1" ht="14.45" customHeight="1">
      <c r="A251" s="61"/>
      <c r="B251" s="100" t="str">
        <f t="shared" si="418"/>
        <v>C&amp;I_C&amp;I Prescriptive_0_LED Parking Garage/Canopy (≥75W)_2019</v>
      </c>
      <c r="C251" s="100">
        <f>INDEX('Measure Inputs'!$D:$D,MATCH($B251,'Measure Inputs'!$B:$B,0))</f>
        <v>203</v>
      </c>
      <c r="D251" s="101" t="s">
        <v>256</v>
      </c>
      <c r="E251" s="101" t="s">
        <v>255</v>
      </c>
      <c r="F251" s="101">
        <v>0</v>
      </c>
      <c r="G251" s="101" t="s">
        <v>293</v>
      </c>
      <c r="H251" s="101">
        <v>2019</v>
      </c>
      <c r="I251" s="55"/>
      <c r="J251" s="58">
        <f t="shared" ca="1" si="229"/>
        <v>0.70489848753295015</v>
      </c>
      <c r="K251" s="58">
        <f t="shared" ca="1" si="246"/>
        <v>1.9686807758955964</v>
      </c>
      <c r="L251" s="58">
        <f t="shared" ca="1" si="230"/>
        <v>0.35805626598465473</v>
      </c>
      <c r="M251" s="58">
        <f t="shared" ca="1" si="231"/>
        <v>0.93237371283131465</v>
      </c>
      <c r="N251" s="58">
        <f t="shared" ca="1" si="232"/>
        <v>1.9686807758955964</v>
      </c>
      <c r="O251" s="55"/>
      <c r="P251" s="175">
        <f ca="1">IFERROR(($AW251+AV251)/SUMPRODUCT($CA251:$DI251,'General Inputs'!$F$51:$AN$51),"n/a")</f>
        <v>1.8829081061779537E-2</v>
      </c>
      <c r="Q251" s="175">
        <f t="shared" ca="1" si="454"/>
        <v>0.11410587206732284</v>
      </c>
      <c r="R251" s="56">
        <f t="shared" ca="1" si="441"/>
        <v>2453.8614439999988</v>
      </c>
      <c r="S251" s="55"/>
      <c r="T251" s="56">
        <f ca="1">INDEX(OFFSET('Measure Inputs'!$L$7,,,InputRows),$C251)</f>
        <v>250</v>
      </c>
      <c r="U251" s="134">
        <f ca="1">INDEX(OFFSET('Measure Inputs'!$T$7,,,InputRows),$C251)</f>
        <v>1</v>
      </c>
      <c r="V251" s="134">
        <f ca="1">INDEX(OFFSET('Measure Inputs'!$U$7,,,InputRows),$C251)</f>
        <v>1</v>
      </c>
      <c r="W251" s="55"/>
      <c r="X251" s="96">
        <f ca="1">INDEX(OFFSET('Measure Inputs'!$V$7,,,InputRows),$C251)*$T251*$V251*$U251</f>
        <v>306732.6804999999</v>
      </c>
      <c r="Y251" s="96">
        <f ca="1">INDEX(OFFSET('Measure Inputs'!$W$7,,,InputRows),$C251)*$T251*$V251*$U251</f>
        <v>81.329499999999982</v>
      </c>
      <c r="Z251" s="96">
        <f ca="1">INDEX(OFFSET('Measure Inputs'!$X$7,,,InputRows),$C251)*$T251*$V251*$U251</f>
        <v>0</v>
      </c>
      <c r="AA251" s="55"/>
      <c r="AB251" s="96">
        <f ca="1">INDEX(OFFSET('Measure Inputs'!$Z$7,,,InputRows),$C251)*$T251*$V251*$U251</f>
        <v>0</v>
      </c>
      <c r="AC251" s="96">
        <f ca="1">INDEX(OFFSET('Measure Inputs'!$AA$7,,,InputRows),$C251)*$T251*$V251*$U251</f>
        <v>0</v>
      </c>
      <c r="AD251" s="96">
        <f ca="1">INDEX(OFFSET('Measure Inputs'!$AB$7,,,InputRows),$C251)*$T251*$V251*$U251</f>
        <v>0</v>
      </c>
      <c r="AE251" s="55"/>
      <c r="AF251" s="57">
        <f ca="1">INDEX(OFFSET('Measure Inputs'!$Q$7,,,InputRows),$C251)*$T251</f>
        <v>0</v>
      </c>
      <c r="AG251" s="57">
        <f ca="1">INDEX(OFFSET('Measure Inputs'!$P$7,,,InputRows),$C251)*$T251*$V251</f>
        <v>97750</v>
      </c>
      <c r="AH251" s="57">
        <f ca="1">INDEX(OFFSET('Measure Inputs'!$R$7,,,InputRows),$C251)*$T251*$V251</f>
        <v>0</v>
      </c>
      <c r="AI251" s="57">
        <f ca="1">INDEX(OFFSET('Measure Inputs'!$O$7,,,InputRows),$C251)*$T251</f>
        <v>35000</v>
      </c>
      <c r="AJ251" s="57">
        <f ca="1">INDEX(OFFSET('Measure Inputs'!$S$7,,,InputRows),$C251)*$T251</f>
        <v>0</v>
      </c>
      <c r="AK251" s="63">
        <f ca="1">INDEX(OFFSET('Measure Inputs'!$M$7,,,InputRows),$C251)</f>
        <v>8</v>
      </c>
      <c r="AL251" s="88">
        <f ca="1">INDEX(OFFSET('Measure Inputs'!$N$7,,,InputRows),$C251)</f>
        <v>0</v>
      </c>
      <c r="AM251" s="57">
        <f ca="1">SUMIFS(OFFSET('Program Inputs'!$N$5,,,TotalPrograms),OFFSET('Program Inputs'!$B$5,,,TotalPrograms),SUBSTITUTE($B251,"All","*"))+AF251</f>
        <v>0</v>
      </c>
      <c r="AN251" s="57">
        <f t="shared" ca="1" si="442"/>
        <v>35000</v>
      </c>
      <c r="AO251" s="55"/>
      <c r="AP251" s="59">
        <f t="shared" ca="1" si="443"/>
        <v>58165.608868040479</v>
      </c>
      <c r="AQ251" s="59">
        <f t="shared" ca="1" si="444"/>
        <v>82516.291206145557</v>
      </c>
      <c r="AR251" s="59">
        <f ca="1">SUMPRODUCT($CA251:$DI251,'General Inputs'!$F$32:$AN$32,'General Inputs'!$F$51:$AN$51)/(1-Loss_ElectricEnergy)</f>
        <v>48849.370041883427</v>
      </c>
      <c r="AS251" s="59">
        <f ca="1">SUMPRODUCT($DK251:$ES251,'General Inputs'!$F$33:$AN$33,'General Inputs'!$F$51:$AN$51)/(1-Loss_ElectricDemand)</f>
        <v>9316.2388261570541</v>
      </c>
      <c r="AT251" s="59">
        <f ca="1">SUMPRODUCT($EU251:$GC251,'General Inputs'!$F$34:$AN$34,'General Inputs'!$F$51:$AN$51)/(1-Loss_GasEnergy)</f>
        <v>0</v>
      </c>
      <c r="AU251" s="59">
        <f ca="1">INDEX('General Inputs'!$F$51:$AN$51,MATCH($H251,'General Inputs'!$F$50:$AN$50,0))*$AJ251</f>
        <v>0</v>
      </c>
      <c r="AV251" s="59">
        <f ca="1">INDEX('General Inputs'!$F$51:$AN$51,MATCH($H251,'General Inputs'!$F$50:$AN$50,0))*$AI251</f>
        <v>29545.475112174881</v>
      </c>
      <c r="AW251" s="59">
        <f ca="1">INDEX('General Inputs'!$F$51:$AN$51,MATCH($H251,'General Inputs'!$F$50:$AN$50,0))*$AM251</f>
        <v>0</v>
      </c>
      <c r="AX251" s="59">
        <f ca="1">SUM(INDEX('General Inputs'!$F$51:$AN$51,MATCH($H251,'General Inputs'!$F$50:$AN$50,0))*$AG251,INDEX('General Inputs'!$F$51:$AN$51,MATCH($H251+$AL251,'General Inputs'!$F$50:$AN$50,0))*-$AH251)</f>
        <v>82516.291206145557</v>
      </c>
      <c r="AY251" s="55"/>
      <c r="AZ251" s="59">
        <f ca="1">SUMPRODUCT($CA251:$DI251,'General Inputs'!$F$32:$AN$32,'General Inputs'!$F$52:$AN$52)/(1-Loss_ElectricEnergy)</f>
        <v>48849.370041883427</v>
      </c>
      <c r="BA251" s="59">
        <f ca="1">SUMPRODUCT($DK251:$ES251,'General Inputs'!$F$33:$AN$33,'General Inputs'!$F$52:$AN$52)/(1-Loss_ElectricDemand)</f>
        <v>9316.2388261570541</v>
      </c>
      <c r="BB251" s="59">
        <f ca="1">SUMPRODUCT($EU251:$GC251,'General Inputs'!$F$34:$AN$34,'General Inputs'!$F$52:$AN$52)/(1-Loss_GasEnergy)</f>
        <v>0</v>
      </c>
      <c r="BC251" s="59">
        <f ca="1">INDEX('General Inputs'!$F$52:$AN$52,MATCH($H251,'General Inputs'!$F$50:$AN$50,0))*$AI251</f>
        <v>29545.475112174881</v>
      </c>
      <c r="BD251" s="59">
        <f ca="1">INDEX('General Inputs'!$F$52:$AN$52,MATCH($H251,'General Inputs'!$F$50:$AN$50,0))*$AM251</f>
        <v>0</v>
      </c>
      <c r="BE251" s="55"/>
      <c r="BF251" s="59">
        <f ca="1">SUMPRODUCT($CA251:$DI251,OFFSET('General Inputs'!$F$40:$AN$40,MATCH($D251&amp;" Electric ($/kWh)",'General Inputs'!$E$40:$E$46,0),),'General Inputs'!$F$54:$AN$54)</f>
        <v>0</v>
      </c>
      <c r="BG251" s="59">
        <f ca="1">SUMPRODUCT($EU251:$GC251,OFFSET('General Inputs'!$F$40:$AN$40,MATCH($D251&amp;" Natural Gas ($/therm)",'General Inputs'!$E$40:$E$46,0),),'General Inputs'!$F$54:$AN$54)</f>
        <v>0</v>
      </c>
      <c r="BH251" s="59">
        <f ca="1">INDEX('General Inputs'!$F$54:$AN$54,MATCH($H251,'General Inputs'!$F$50:$AN$50,0))*$AI251</f>
        <v>29545.475112174881</v>
      </c>
      <c r="BI251" s="59">
        <f ca="1">SUM(INDEX('General Inputs'!$F$54:$AN$54,MATCH($H251,'General Inputs'!$F$50:$AN$50,0))*$AG251,INDEX('General Inputs'!$F$51:$AN$51,MATCH($H251+$AL251,'General Inputs'!$F$50:$AN$50,0))*-$AH251)</f>
        <v>82516.291206145557</v>
      </c>
      <c r="BJ251" s="55"/>
      <c r="BK251" s="59">
        <f ca="1">SUMPRODUCT($CA251:$DI251,'General Inputs'!$F$32:$AN$32,'General Inputs'!$F$53:$AN$53)/(1-Loss_ElectricEnergy)</f>
        <v>48849.370041883427</v>
      </c>
      <c r="BL251" s="59">
        <f ca="1">SUMPRODUCT($DK251:$ES251,'General Inputs'!$F$33:$AN$33,'General Inputs'!$F$53:$AN$53)/(1-Loss_ElectricDemand)</f>
        <v>9316.2388261570541</v>
      </c>
      <c r="BM251" s="59">
        <f ca="1">SUMPRODUCT($EU251:$GC251,'General Inputs'!$F$34:$AN$34,'General Inputs'!$F$53:$AN$53)/(1-Loss_GasEnergy)</f>
        <v>0</v>
      </c>
      <c r="BN251" s="59">
        <f ca="1">INDEX('General Inputs'!$F$53:$AN$53,MATCH($H251,'General Inputs'!$F$50:$AN$50,0))*$AJ251</f>
        <v>0</v>
      </c>
      <c r="BO251" s="59">
        <f ca="1">SUMPRODUCT($CA251:$DI251,'General Inputs'!$F$35:$AN$35,'General Inputs'!$F$53:$AN$53)/(1-Loss_ElectricEnergy)</f>
        <v>18770.411932903418</v>
      </c>
      <c r="BP251" s="59">
        <f ca="1">INDEX('General Inputs'!$F$51:$AN$51,MATCH($H251,'General Inputs'!$F$50:$AN$50,0))*$AM251</f>
        <v>0</v>
      </c>
      <c r="BQ251" s="59">
        <f ca="1">SUM(INDEX('General Inputs'!$F$53:$AN$53,MATCH($H251,'General Inputs'!$F$50:$AN$50,0))*$AG251,INDEX('General Inputs'!$F$53:$AN$53,MATCH($H251+$AL251,'General Inputs'!$F$50:$AN$50,0))*-$AH251)</f>
        <v>82516.291206145557</v>
      </c>
      <c r="BR251" s="55"/>
      <c r="BS251" s="59">
        <f ca="1">SUMPRODUCT($CA251:$DI251,'General Inputs'!$F$32:$AN$32,'General Inputs'!$F$55:$AN$55)/(1-Loss_ElectricEnergy)</f>
        <v>48849.370041883427</v>
      </c>
      <c r="BT251" s="59">
        <f ca="1">SUMPRODUCT($DK251:$ES251,'General Inputs'!$F$33:$AN$33,'General Inputs'!$F$55:$AN$55)/(1-Loss_ElectricDemand)</f>
        <v>9316.2388261570541</v>
      </c>
      <c r="BU251" s="59">
        <f ca="1">SUMPRODUCT($EU251:$GC251,'General Inputs'!$F$34:$AN$34,'General Inputs'!$F$55:$AN$55)/(1-Loss_GasEnergy)</f>
        <v>0</v>
      </c>
      <c r="BV251" s="59">
        <f ca="1">SUMPRODUCT($CA251:$DI251,OFFSET('General Inputs'!$F$40:$AN$40,MATCH($D251&amp;" Electric ($/kWh)",'General Inputs'!$E$40:$E$46,0),),'General Inputs'!$F$55:$AN$55)</f>
        <v>0</v>
      </c>
      <c r="BW251" s="59">
        <f ca="1">SUMPRODUCT($EU251:$GC251,OFFSET('General Inputs'!$F$40:$AN$40,MATCH($D251&amp;" Natural Gas ($/therm)",'General Inputs'!$E$40:$E$46,0),),'General Inputs'!$F$55:$AN$55)</f>
        <v>0</v>
      </c>
      <c r="BX251" s="59">
        <f ca="1">INDEX('General Inputs'!$F$55:$AN$55,MATCH($H251,'General Inputs'!$F$50:$AN$50,0))*$AI251</f>
        <v>29545.475112174881</v>
      </c>
      <c r="BY251" s="59">
        <f ca="1">INDEX('General Inputs'!$F$51:$AN$51,MATCH($H251,'General Inputs'!$F$50:$AN$50,0))*$AM251</f>
        <v>0</v>
      </c>
      <c r="BZ251" s="55"/>
      <c r="CA251" s="88">
        <f t="shared" ca="1" si="473"/>
        <v>0</v>
      </c>
      <c r="CB251" s="88">
        <f t="shared" ca="1" si="473"/>
        <v>0</v>
      </c>
      <c r="CC251" s="88">
        <f t="shared" ca="1" si="473"/>
        <v>306732.6804999999</v>
      </c>
      <c r="CD251" s="88">
        <f t="shared" ca="1" si="473"/>
        <v>306732.6804999999</v>
      </c>
      <c r="CE251" s="88">
        <f t="shared" ca="1" si="473"/>
        <v>306732.6804999999</v>
      </c>
      <c r="CF251" s="88">
        <f t="shared" ca="1" si="473"/>
        <v>306732.6804999999</v>
      </c>
      <c r="CG251" s="88">
        <f t="shared" ca="1" si="473"/>
        <v>306732.6804999999</v>
      </c>
      <c r="CH251" s="88">
        <f t="shared" ca="1" si="473"/>
        <v>306732.6804999999</v>
      </c>
      <c r="CI251" s="88">
        <f t="shared" ca="1" si="473"/>
        <v>306732.6804999999</v>
      </c>
      <c r="CJ251" s="88">
        <f t="shared" ca="1" si="473"/>
        <v>306732.6804999999</v>
      </c>
      <c r="CK251" s="88">
        <f t="shared" ca="1" si="474"/>
        <v>0</v>
      </c>
      <c r="CL251" s="88">
        <f t="shared" ca="1" si="474"/>
        <v>0</v>
      </c>
      <c r="CM251" s="88">
        <f t="shared" ca="1" si="474"/>
        <v>0</v>
      </c>
      <c r="CN251" s="88">
        <f t="shared" ca="1" si="474"/>
        <v>0</v>
      </c>
      <c r="CO251" s="88">
        <f t="shared" ca="1" si="474"/>
        <v>0</v>
      </c>
      <c r="CP251" s="88">
        <f t="shared" ca="1" si="474"/>
        <v>0</v>
      </c>
      <c r="CQ251" s="88">
        <f t="shared" ca="1" si="474"/>
        <v>0</v>
      </c>
      <c r="CR251" s="88">
        <f t="shared" ca="1" si="474"/>
        <v>0</v>
      </c>
      <c r="CS251" s="88">
        <f t="shared" ca="1" si="474"/>
        <v>0</v>
      </c>
      <c r="CT251" s="88">
        <f t="shared" ca="1" si="474"/>
        <v>0</v>
      </c>
      <c r="CU251" s="88">
        <f t="shared" ca="1" si="475"/>
        <v>0</v>
      </c>
      <c r="CV251" s="88">
        <f t="shared" ca="1" si="475"/>
        <v>0</v>
      </c>
      <c r="CW251" s="88">
        <f t="shared" ca="1" si="475"/>
        <v>0</v>
      </c>
      <c r="CX251" s="88">
        <f t="shared" ca="1" si="475"/>
        <v>0</v>
      </c>
      <c r="CY251" s="88">
        <f t="shared" ca="1" si="475"/>
        <v>0</v>
      </c>
      <c r="CZ251" s="88">
        <f t="shared" ca="1" si="475"/>
        <v>0</v>
      </c>
      <c r="DA251" s="88">
        <f t="shared" ca="1" si="475"/>
        <v>0</v>
      </c>
      <c r="DB251" s="88">
        <f t="shared" ca="1" si="475"/>
        <v>0</v>
      </c>
      <c r="DC251" s="88">
        <f t="shared" ca="1" si="475"/>
        <v>0</v>
      </c>
      <c r="DD251" s="88">
        <f t="shared" ca="1" si="475"/>
        <v>0</v>
      </c>
      <c r="DE251" s="88">
        <f t="shared" ca="1" si="475"/>
        <v>0</v>
      </c>
      <c r="DF251" s="88">
        <f t="shared" ca="1" si="475"/>
        <v>0</v>
      </c>
      <c r="DG251" s="88">
        <f t="shared" ca="1" si="475"/>
        <v>0</v>
      </c>
      <c r="DH251" s="88">
        <f t="shared" ca="1" si="475"/>
        <v>0</v>
      </c>
      <c r="DI251" s="88">
        <f t="shared" ca="1" si="475"/>
        <v>0</v>
      </c>
      <c r="DJ251" s="169"/>
      <c r="DK251" s="88">
        <f t="shared" ca="1" si="476"/>
        <v>0</v>
      </c>
      <c r="DL251" s="88">
        <f t="shared" ca="1" si="476"/>
        <v>0</v>
      </c>
      <c r="DM251" s="88">
        <f t="shared" ca="1" si="476"/>
        <v>81.329499999999982</v>
      </c>
      <c r="DN251" s="88">
        <f t="shared" ca="1" si="476"/>
        <v>81.329499999999982</v>
      </c>
      <c r="DO251" s="88">
        <f t="shared" ca="1" si="476"/>
        <v>81.329499999999982</v>
      </c>
      <c r="DP251" s="88">
        <f t="shared" ca="1" si="476"/>
        <v>81.329499999999982</v>
      </c>
      <c r="DQ251" s="88">
        <f t="shared" ca="1" si="476"/>
        <v>81.329499999999982</v>
      </c>
      <c r="DR251" s="88">
        <f t="shared" ca="1" si="476"/>
        <v>81.329499999999982</v>
      </c>
      <c r="DS251" s="88">
        <f t="shared" ca="1" si="476"/>
        <v>81.329499999999982</v>
      </c>
      <c r="DT251" s="88">
        <f t="shared" ca="1" si="476"/>
        <v>81.329499999999982</v>
      </c>
      <c r="DU251" s="88">
        <f t="shared" ca="1" si="477"/>
        <v>0</v>
      </c>
      <c r="DV251" s="88">
        <f t="shared" ca="1" si="477"/>
        <v>0</v>
      </c>
      <c r="DW251" s="88">
        <f t="shared" ca="1" si="477"/>
        <v>0</v>
      </c>
      <c r="DX251" s="88">
        <f t="shared" ca="1" si="477"/>
        <v>0</v>
      </c>
      <c r="DY251" s="88">
        <f t="shared" ca="1" si="477"/>
        <v>0</v>
      </c>
      <c r="DZ251" s="88">
        <f t="shared" ca="1" si="477"/>
        <v>0</v>
      </c>
      <c r="EA251" s="88">
        <f t="shared" ca="1" si="477"/>
        <v>0</v>
      </c>
      <c r="EB251" s="88">
        <f t="shared" ca="1" si="477"/>
        <v>0</v>
      </c>
      <c r="EC251" s="88">
        <f t="shared" ca="1" si="477"/>
        <v>0</v>
      </c>
      <c r="ED251" s="88">
        <f t="shared" ca="1" si="477"/>
        <v>0</v>
      </c>
      <c r="EE251" s="88">
        <f t="shared" ca="1" si="478"/>
        <v>0</v>
      </c>
      <c r="EF251" s="88">
        <f t="shared" ca="1" si="478"/>
        <v>0</v>
      </c>
      <c r="EG251" s="88">
        <f t="shared" ca="1" si="478"/>
        <v>0</v>
      </c>
      <c r="EH251" s="88">
        <f t="shared" ca="1" si="478"/>
        <v>0</v>
      </c>
      <c r="EI251" s="88">
        <f t="shared" ca="1" si="478"/>
        <v>0</v>
      </c>
      <c r="EJ251" s="88">
        <f t="shared" ca="1" si="478"/>
        <v>0</v>
      </c>
      <c r="EK251" s="88">
        <f t="shared" ca="1" si="478"/>
        <v>0</v>
      </c>
      <c r="EL251" s="88">
        <f t="shared" ca="1" si="478"/>
        <v>0</v>
      </c>
      <c r="EM251" s="88">
        <f t="shared" ca="1" si="478"/>
        <v>0</v>
      </c>
      <c r="EN251" s="88">
        <f t="shared" ca="1" si="478"/>
        <v>0</v>
      </c>
      <c r="EO251" s="88">
        <f t="shared" ca="1" si="478"/>
        <v>0</v>
      </c>
      <c r="EP251" s="88">
        <f t="shared" ca="1" si="478"/>
        <v>0</v>
      </c>
      <c r="EQ251" s="88">
        <f t="shared" ca="1" si="478"/>
        <v>0</v>
      </c>
      <c r="ER251" s="88">
        <f t="shared" ca="1" si="478"/>
        <v>0</v>
      </c>
      <c r="ES251" s="88">
        <f t="shared" ca="1" si="478"/>
        <v>0</v>
      </c>
      <c r="ET251" s="169"/>
      <c r="EU251" s="88">
        <f t="shared" ca="1" si="479"/>
        <v>0</v>
      </c>
      <c r="EV251" s="88">
        <f t="shared" ca="1" si="479"/>
        <v>0</v>
      </c>
      <c r="EW251" s="88">
        <f t="shared" ca="1" si="479"/>
        <v>0</v>
      </c>
      <c r="EX251" s="88">
        <f t="shared" ca="1" si="479"/>
        <v>0</v>
      </c>
      <c r="EY251" s="88">
        <f t="shared" ca="1" si="479"/>
        <v>0</v>
      </c>
      <c r="EZ251" s="88">
        <f t="shared" ca="1" si="479"/>
        <v>0</v>
      </c>
      <c r="FA251" s="88">
        <f t="shared" ca="1" si="479"/>
        <v>0</v>
      </c>
      <c r="FB251" s="88">
        <f t="shared" ca="1" si="479"/>
        <v>0</v>
      </c>
      <c r="FC251" s="88">
        <f t="shared" ca="1" si="479"/>
        <v>0</v>
      </c>
      <c r="FD251" s="88">
        <f t="shared" ca="1" si="479"/>
        <v>0</v>
      </c>
      <c r="FE251" s="88">
        <f t="shared" ca="1" si="480"/>
        <v>0</v>
      </c>
      <c r="FF251" s="88">
        <f t="shared" ca="1" si="480"/>
        <v>0</v>
      </c>
      <c r="FG251" s="88">
        <f t="shared" ca="1" si="480"/>
        <v>0</v>
      </c>
      <c r="FH251" s="88">
        <f t="shared" ca="1" si="480"/>
        <v>0</v>
      </c>
      <c r="FI251" s="88">
        <f t="shared" ca="1" si="480"/>
        <v>0</v>
      </c>
      <c r="FJ251" s="88">
        <f t="shared" ca="1" si="480"/>
        <v>0</v>
      </c>
      <c r="FK251" s="88">
        <f t="shared" ca="1" si="480"/>
        <v>0</v>
      </c>
      <c r="FL251" s="88">
        <f t="shared" ca="1" si="480"/>
        <v>0</v>
      </c>
      <c r="FM251" s="88">
        <f t="shared" ca="1" si="480"/>
        <v>0</v>
      </c>
      <c r="FN251" s="88">
        <f t="shared" ca="1" si="480"/>
        <v>0</v>
      </c>
      <c r="FO251" s="88">
        <f t="shared" ca="1" si="481"/>
        <v>0</v>
      </c>
      <c r="FP251" s="88">
        <f t="shared" ca="1" si="481"/>
        <v>0</v>
      </c>
      <c r="FQ251" s="88">
        <f t="shared" ca="1" si="481"/>
        <v>0</v>
      </c>
      <c r="FR251" s="88">
        <f t="shared" ca="1" si="481"/>
        <v>0</v>
      </c>
      <c r="FS251" s="88">
        <f t="shared" ca="1" si="481"/>
        <v>0</v>
      </c>
      <c r="FT251" s="88">
        <f t="shared" ca="1" si="481"/>
        <v>0</v>
      </c>
      <c r="FU251" s="88">
        <f t="shared" ca="1" si="481"/>
        <v>0</v>
      </c>
      <c r="FV251" s="88">
        <f t="shared" ca="1" si="481"/>
        <v>0</v>
      </c>
      <c r="FW251" s="88">
        <f t="shared" ca="1" si="481"/>
        <v>0</v>
      </c>
      <c r="FX251" s="88">
        <f t="shared" ca="1" si="481"/>
        <v>0</v>
      </c>
      <c r="FY251" s="88">
        <f t="shared" ca="1" si="481"/>
        <v>0</v>
      </c>
      <c r="FZ251" s="88">
        <f t="shared" ca="1" si="481"/>
        <v>0</v>
      </c>
      <c r="GA251" s="88">
        <f t="shared" ca="1" si="481"/>
        <v>0</v>
      </c>
      <c r="GB251" s="88">
        <f t="shared" ca="1" si="481"/>
        <v>0</v>
      </c>
      <c r="GC251" s="88">
        <f t="shared" ca="1" si="481"/>
        <v>0</v>
      </c>
      <c r="GD251" s="60"/>
    </row>
    <row r="252" spans="1:186" s="54" customFormat="1" ht="14.45" customHeight="1">
      <c r="A252" s="61"/>
      <c r="B252" s="100" t="str">
        <f t="shared" ref="B252:B276" si="482">D252&amp;"_"&amp;E252&amp;"_"&amp;F252&amp;"_"&amp;G252&amp;"_"&amp;H252</f>
        <v>C&amp;I_C&amp;I Prescriptive_0_LED Linear Replacement Lamp (≤4ft)_2019</v>
      </c>
      <c r="C252" s="100">
        <f>INDEX('Measure Inputs'!$D:$D,MATCH($B252,'Measure Inputs'!$B:$B,0))</f>
        <v>204</v>
      </c>
      <c r="D252" s="101" t="s">
        <v>256</v>
      </c>
      <c r="E252" s="101" t="s">
        <v>255</v>
      </c>
      <c r="F252" s="101">
        <v>0</v>
      </c>
      <c r="G252" s="101" t="s">
        <v>299</v>
      </c>
      <c r="H252" s="101">
        <v>2019</v>
      </c>
      <c r="I252" s="55"/>
      <c r="J252" s="58">
        <f t="shared" ca="1" si="229"/>
        <v>0.82141788979622887</v>
      </c>
      <c r="K252" s="58">
        <f t="shared" ca="1" si="246"/>
        <v>3.2856715591849155</v>
      </c>
      <c r="L252" s="58">
        <f t="shared" ca="1" si="230"/>
        <v>0.25</v>
      </c>
      <c r="M252" s="58">
        <f t="shared" ca="1" si="231"/>
        <v>1.0834654870827236</v>
      </c>
      <c r="N252" s="58">
        <f t="shared" ca="1" si="232"/>
        <v>3.2856715591849155</v>
      </c>
      <c r="O252" s="55"/>
      <c r="P252" s="175">
        <f ca="1">IFERROR(($AW252+AV252)/SUMPRODUCT($CA252:$DI252,'General Inputs'!$F$51:$AN$51),"n/a")</f>
        <v>1.1412263151722066E-2</v>
      </c>
      <c r="Q252" s="175">
        <f t="shared" ca="1" si="454"/>
        <v>8.0278896378716644E-2</v>
      </c>
      <c r="R252" s="56">
        <f t="shared" ca="1" si="441"/>
        <v>2989.5777200000002</v>
      </c>
      <c r="S252" s="55"/>
      <c r="T252" s="56">
        <f ca="1">INDEX(OFFSET('Measure Inputs'!$L$7,,,InputRows),$C252)</f>
        <v>4000</v>
      </c>
      <c r="U252" s="134">
        <f ca="1">INDEX(OFFSET('Measure Inputs'!$T$7,,,InputRows),$C252)</f>
        <v>1</v>
      </c>
      <c r="V252" s="134">
        <f ca="1">INDEX(OFFSET('Measure Inputs'!$U$7,,,InputRows),$C252)</f>
        <v>1</v>
      </c>
      <c r="W252" s="55"/>
      <c r="X252" s="96">
        <f ca="1">INDEX(OFFSET('Measure Inputs'!$V$7,,,InputRows),$C252)*$T252*$V252*$U252</f>
        <v>298957.77200000006</v>
      </c>
      <c r="Y252" s="96">
        <f ca="1">INDEX(OFFSET('Measure Inputs'!$W$7,,,InputRows),$C252)*$T252*$V252*$U252</f>
        <v>79.268000000000015</v>
      </c>
      <c r="Z252" s="96">
        <f ca="1">INDEX(OFFSET('Measure Inputs'!$X$7,,,InputRows),$C252)*$T252*$V252*$U252</f>
        <v>0</v>
      </c>
      <c r="AA252" s="55"/>
      <c r="AB252" s="96">
        <f ca="1">INDEX(OFFSET('Measure Inputs'!$Z$7,,,InputRows),$C252)*$T252*$V252*$U252</f>
        <v>0</v>
      </c>
      <c r="AC252" s="96">
        <f ca="1">INDEX(OFFSET('Measure Inputs'!$AA$7,,,InputRows),$C252)*$T252*$V252*$U252</f>
        <v>0</v>
      </c>
      <c r="AD252" s="96">
        <f ca="1">INDEX(OFFSET('Measure Inputs'!$AB$7,,,InputRows),$C252)*$T252*$V252*$U252</f>
        <v>0</v>
      </c>
      <c r="AE252" s="55"/>
      <c r="AF252" s="57">
        <f ca="1">INDEX(OFFSET('Measure Inputs'!$Q$7,,,InputRows),$C252)*$T252</f>
        <v>0</v>
      </c>
      <c r="AG252" s="57">
        <f ca="1">INDEX(OFFSET('Measure Inputs'!$P$7,,,InputRows),$C252)*$T252*$V252</f>
        <v>96000</v>
      </c>
      <c r="AH252" s="57">
        <f ca="1">INDEX(OFFSET('Measure Inputs'!$R$7,,,InputRows),$C252)*$T252*$V252</f>
        <v>0</v>
      </c>
      <c r="AI252" s="57">
        <f ca="1">INDEX(OFFSET('Measure Inputs'!$O$7,,,InputRows),$C252)*$T252</f>
        <v>24000</v>
      </c>
      <c r="AJ252" s="57">
        <f ca="1">INDEX(OFFSET('Measure Inputs'!$S$7,,,InputRows),$C252)*$T252</f>
        <v>0</v>
      </c>
      <c r="AK252" s="63">
        <f ca="1">INDEX(OFFSET('Measure Inputs'!$M$7,,,InputRows),$C252)</f>
        <v>10</v>
      </c>
      <c r="AL252" s="88">
        <f ca="1">INDEX(OFFSET('Measure Inputs'!$N$7,,,InputRows),$C252)</f>
        <v>0</v>
      </c>
      <c r="AM252" s="57">
        <f ca="1">SUMIFS(OFFSET('Program Inputs'!$N$5,,,TotalPrograms),OFFSET('Program Inputs'!$B$5,,,TotalPrograms),SUBSTITUTE($B252,"All","*"))+AF252</f>
        <v>0</v>
      </c>
      <c r="AN252" s="57">
        <f t="shared" ca="1" si="442"/>
        <v>24000</v>
      </c>
      <c r="AO252" s="55"/>
      <c r="AP252" s="59">
        <f t="shared" ca="1" si="443"/>
        <v>66566.898705379717</v>
      </c>
      <c r="AQ252" s="59">
        <f t="shared" ca="1" si="444"/>
        <v>81039.01745053682</v>
      </c>
      <c r="AR252" s="59">
        <f ca="1">SUMPRODUCT($CA252:$DI252,'General Inputs'!$F$32:$AN$32,'General Inputs'!$F$51:$AN$51)/(1-Loss_ElectricEnergy)</f>
        <v>55905.046481622296</v>
      </c>
      <c r="AS252" s="59">
        <f ca="1">SUMPRODUCT($DK252:$ES252,'General Inputs'!$F$33:$AN$33,'General Inputs'!$F$51:$AN$51)/(1-Loss_ElectricDemand)</f>
        <v>10661.852223757425</v>
      </c>
      <c r="AT252" s="59">
        <f ca="1">SUMPRODUCT($EU252:$GC252,'General Inputs'!$F$34:$AN$34,'General Inputs'!$F$51:$AN$51)/(1-Loss_GasEnergy)</f>
        <v>0</v>
      </c>
      <c r="AU252" s="59">
        <f ca="1">INDEX('General Inputs'!$F$51:$AN$51,MATCH($H252,'General Inputs'!$F$50:$AN$50,0))*$AJ252</f>
        <v>0</v>
      </c>
      <c r="AV252" s="59">
        <f ca="1">INDEX('General Inputs'!$F$51:$AN$51,MATCH($H252,'General Inputs'!$F$50:$AN$50,0))*$AI252</f>
        <v>20259.754362634205</v>
      </c>
      <c r="AW252" s="59">
        <f ca="1">INDEX('General Inputs'!$F$51:$AN$51,MATCH($H252,'General Inputs'!$F$50:$AN$50,0))*$AM252</f>
        <v>0</v>
      </c>
      <c r="AX252" s="59">
        <f ca="1">SUM(INDEX('General Inputs'!$F$51:$AN$51,MATCH($H252,'General Inputs'!$F$50:$AN$50,0))*$AG252,INDEX('General Inputs'!$F$51:$AN$51,MATCH($H252+$AL252,'General Inputs'!$F$50:$AN$50,0))*-$AH252)</f>
        <v>81039.01745053682</v>
      </c>
      <c r="AY252" s="55"/>
      <c r="AZ252" s="59">
        <f ca="1">SUMPRODUCT($CA252:$DI252,'General Inputs'!$F$32:$AN$32,'General Inputs'!$F$52:$AN$52)/(1-Loss_ElectricEnergy)</f>
        <v>55905.046481622296</v>
      </c>
      <c r="BA252" s="59">
        <f ca="1">SUMPRODUCT($DK252:$ES252,'General Inputs'!$F$33:$AN$33,'General Inputs'!$F$52:$AN$52)/(1-Loss_ElectricDemand)</f>
        <v>10661.852223757425</v>
      </c>
      <c r="BB252" s="59">
        <f ca="1">SUMPRODUCT($EU252:$GC252,'General Inputs'!$F$34:$AN$34,'General Inputs'!$F$52:$AN$52)/(1-Loss_GasEnergy)</f>
        <v>0</v>
      </c>
      <c r="BC252" s="59">
        <f ca="1">INDEX('General Inputs'!$F$52:$AN$52,MATCH($H252,'General Inputs'!$F$50:$AN$50,0))*$AI252</f>
        <v>20259.754362634205</v>
      </c>
      <c r="BD252" s="59">
        <f ca="1">INDEX('General Inputs'!$F$52:$AN$52,MATCH($H252,'General Inputs'!$F$50:$AN$50,0))*$AM252</f>
        <v>0</v>
      </c>
      <c r="BE252" s="55"/>
      <c r="BF252" s="59">
        <f ca="1">SUMPRODUCT($CA252:$DI252,OFFSET('General Inputs'!$F$40:$AN$40,MATCH($D252&amp;" Electric ($/kWh)",'General Inputs'!$E$40:$E$46,0),),'General Inputs'!$F$54:$AN$54)</f>
        <v>0</v>
      </c>
      <c r="BG252" s="59">
        <f ca="1">SUMPRODUCT($EU252:$GC252,OFFSET('General Inputs'!$F$40:$AN$40,MATCH($D252&amp;" Natural Gas ($/therm)",'General Inputs'!$E$40:$E$46,0),),'General Inputs'!$F$54:$AN$54)</f>
        <v>0</v>
      </c>
      <c r="BH252" s="59">
        <f ca="1">INDEX('General Inputs'!$F$54:$AN$54,MATCH($H252,'General Inputs'!$F$50:$AN$50,0))*$AI252</f>
        <v>20259.754362634205</v>
      </c>
      <c r="BI252" s="59">
        <f ca="1">SUM(INDEX('General Inputs'!$F$54:$AN$54,MATCH($H252,'General Inputs'!$F$50:$AN$50,0))*$AG252,INDEX('General Inputs'!$F$51:$AN$51,MATCH($H252+$AL252,'General Inputs'!$F$50:$AN$50,0))*-$AH252)</f>
        <v>81039.01745053682</v>
      </c>
      <c r="BJ252" s="55"/>
      <c r="BK252" s="59">
        <f ca="1">SUMPRODUCT($CA252:$DI252,'General Inputs'!$F$32:$AN$32,'General Inputs'!$F$53:$AN$53)/(1-Loss_ElectricEnergy)</f>
        <v>55905.046481622296</v>
      </c>
      <c r="BL252" s="59">
        <f ca="1">SUMPRODUCT($DK252:$ES252,'General Inputs'!$F$33:$AN$33,'General Inputs'!$F$53:$AN$53)/(1-Loss_ElectricDemand)</f>
        <v>10661.852223757425</v>
      </c>
      <c r="BM252" s="59">
        <f ca="1">SUMPRODUCT($EU252:$GC252,'General Inputs'!$F$34:$AN$34,'General Inputs'!$F$53:$AN$53)/(1-Loss_GasEnergy)</f>
        <v>0</v>
      </c>
      <c r="BN252" s="59">
        <f ca="1">INDEX('General Inputs'!$F$53:$AN$53,MATCH($H252,'General Inputs'!$F$50:$AN$50,0))*$AJ252</f>
        <v>0</v>
      </c>
      <c r="BO252" s="59">
        <f ca="1">SUMPRODUCT($CA252:$DI252,'General Inputs'!$F$35:$AN$35,'General Inputs'!$F$53:$AN$53)/(1-Loss_ElectricEnergy)</f>
        <v>21236.079809371502</v>
      </c>
      <c r="BP252" s="59">
        <f ca="1">INDEX('General Inputs'!$F$51:$AN$51,MATCH($H252,'General Inputs'!$F$50:$AN$50,0))*$AM252</f>
        <v>0</v>
      </c>
      <c r="BQ252" s="59">
        <f ca="1">SUM(INDEX('General Inputs'!$F$53:$AN$53,MATCH($H252,'General Inputs'!$F$50:$AN$50,0))*$AG252,INDEX('General Inputs'!$F$53:$AN$53,MATCH($H252+$AL252,'General Inputs'!$F$50:$AN$50,0))*-$AH252)</f>
        <v>81039.01745053682</v>
      </c>
      <c r="BR252" s="55"/>
      <c r="BS252" s="59">
        <f ca="1">SUMPRODUCT($CA252:$DI252,'General Inputs'!$F$32:$AN$32,'General Inputs'!$F$55:$AN$55)/(1-Loss_ElectricEnergy)</f>
        <v>55905.046481622296</v>
      </c>
      <c r="BT252" s="59">
        <f ca="1">SUMPRODUCT($DK252:$ES252,'General Inputs'!$F$33:$AN$33,'General Inputs'!$F$55:$AN$55)/(1-Loss_ElectricDemand)</f>
        <v>10661.852223757425</v>
      </c>
      <c r="BU252" s="59">
        <f ca="1">SUMPRODUCT($EU252:$GC252,'General Inputs'!$F$34:$AN$34,'General Inputs'!$F$55:$AN$55)/(1-Loss_GasEnergy)</f>
        <v>0</v>
      </c>
      <c r="BV252" s="59">
        <f ca="1">SUMPRODUCT($CA252:$DI252,OFFSET('General Inputs'!$F$40:$AN$40,MATCH($D252&amp;" Electric ($/kWh)",'General Inputs'!$E$40:$E$46,0),),'General Inputs'!$F$55:$AN$55)</f>
        <v>0</v>
      </c>
      <c r="BW252" s="59">
        <f ca="1">SUMPRODUCT($EU252:$GC252,OFFSET('General Inputs'!$F$40:$AN$40,MATCH($D252&amp;" Natural Gas ($/therm)",'General Inputs'!$E$40:$E$46,0),),'General Inputs'!$F$55:$AN$55)</f>
        <v>0</v>
      </c>
      <c r="BX252" s="59">
        <f ca="1">INDEX('General Inputs'!$F$55:$AN$55,MATCH($H252,'General Inputs'!$F$50:$AN$50,0))*$AI252</f>
        <v>20259.754362634205</v>
      </c>
      <c r="BY252" s="59">
        <f ca="1">INDEX('General Inputs'!$F$51:$AN$51,MATCH($H252,'General Inputs'!$F$50:$AN$50,0))*$AM252</f>
        <v>0</v>
      </c>
      <c r="BZ252" s="55"/>
      <c r="CA252" s="88">
        <f t="shared" ca="1" si="473"/>
        <v>0</v>
      </c>
      <c r="CB252" s="88">
        <f t="shared" ca="1" si="473"/>
        <v>0</v>
      </c>
      <c r="CC252" s="88">
        <f t="shared" ca="1" si="473"/>
        <v>298957.77200000006</v>
      </c>
      <c r="CD252" s="88">
        <f t="shared" ca="1" si="473"/>
        <v>298957.77200000006</v>
      </c>
      <c r="CE252" s="88">
        <f t="shared" ca="1" si="473"/>
        <v>298957.77200000006</v>
      </c>
      <c r="CF252" s="88">
        <f t="shared" ca="1" si="473"/>
        <v>298957.77200000006</v>
      </c>
      <c r="CG252" s="88">
        <f t="shared" ca="1" si="473"/>
        <v>298957.77200000006</v>
      </c>
      <c r="CH252" s="88">
        <f t="shared" ca="1" si="473"/>
        <v>298957.77200000006</v>
      </c>
      <c r="CI252" s="88">
        <f t="shared" ca="1" si="473"/>
        <v>298957.77200000006</v>
      </c>
      <c r="CJ252" s="88">
        <f t="shared" ca="1" si="473"/>
        <v>298957.77200000006</v>
      </c>
      <c r="CK252" s="88">
        <f t="shared" ca="1" si="474"/>
        <v>298957.77200000006</v>
      </c>
      <c r="CL252" s="88">
        <f t="shared" ca="1" si="474"/>
        <v>298957.77200000006</v>
      </c>
      <c r="CM252" s="88">
        <f t="shared" ca="1" si="474"/>
        <v>0</v>
      </c>
      <c r="CN252" s="88">
        <f t="shared" ca="1" si="474"/>
        <v>0</v>
      </c>
      <c r="CO252" s="88">
        <f t="shared" ca="1" si="474"/>
        <v>0</v>
      </c>
      <c r="CP252" s="88">
        <f t="shared" ca="1" si="474"/>
        <v>0</v>
      </c>
      <c r="CQ252" s="88">
        <f t="shared" ca="1" si="474"/>
        <v>0</v>
      </c>
      <c r="CR252" s="88">
        <f t="shared" ca="1" si="474"/>
        <v>0</v>
      </c>
      <c r="CS252" s="88">
        <f t="shared" ca="1" si="474"/>
        <v>0</v>
      </c>
      <c r="CT252" s="88">
        <f t="shared" ca="1" si="474"/>
        <v>0</v>
      </c>
      <c r="CU252" s="88">
        <f t="shared" ca="1" si="475"/>
        <v>0</v>
      </c>
      <c r="CV252" s="88">
        <f t="shared" ca="1" si="475"/>
        <v>0</v>
      </c>
      <c r="CW252" s="88">
        <f t="shared" ca="1" si="475"/>
        <v>0</v>
      </c>
      <c r="CX252" s="88">
        <f t="shared" ca="1" si="475"/>
        <v>0</v>
      </c>
      <c r="CY252" s="88">
        <f t="shared" ca="1" si="475"/>
        <v>0</v>
      </c>
      <c r="CZ252" s="88">
        <f t="shared" ca="1" si="475"/>
        <v>0</v>
      </c>
      <c r="DA252" s="88">
        <f t="shared" ca="1" si="475"/>
        <v>0</v>
      </c>
      <c r="DB252" s="88">
        <f t="shared" ca="1" si="475"/>
        <v>0</v>
      </c>
      <c r="DC252" s="88">
        <f t="shared" ca="1" si="475"/>
        <v>0</v>
      </c>
      <c r="DD252" s="88">
        <f t="shared" ca="1" si="475"/>
        <v>0</v>
      </c>
      <c r="DE252" s="88">
        <f t="shared" ca="1" si="475"/>
        <v>0</v>
      </c>
      <c r="DF252" s="88">
        <f t="shared" ca="1" si="475"/>
        <v>0</v>
      </c>
      <c r="DG252" s="88">
        <f t="shared" ca="1" si="475"/>
        <v>0</v>
      </c>
      <c r="DH252" s="88">
        <f t="shared" ca="1" si="475"/>
        <v>0</v>
      </c>
      <c r="DI252" s="88">
        <f t="shared" ca="1" si="475"/>
        <v>0</v>
      </c>
      <c r="DJ252" s="169"/>
      <c r="DK252" s="88">
        <f t="shared" ca="1" si="476"/>
        <v>0</v>
      </c>
      <c r="DL252" s="88">
        <f t="shared" ca="1" si="476"/>
        <v>0</v>
      </c>
      <c r="DM252" s="88">
        <f t="shared" ca="1" si="476"/>
        <v>79.268000000000015</v>
      </c>
      <c r="DN252" s="88">
        <f t="shared" ca="1" si="476"/>
        <v>79.268000000000015</v>
      </c>
      <c r="DO252" s="88">
        <f t="shared" ca="1" si="476"/>
        <v>79.268000000000015</v>
      </c>
      <c r="DP252" s="88">
        <f t="shared" ca="1" si="476"/>
        <v>79.268000000000015</v>
      </c>
      <c r="DQ252" s="88">
        <f t="shared" ca="1" si="476"/>
        <v>79.268000000000015</v>
      </c>
      <c r="DR252" s="88">
        <f t="shared" ca="1" si="476"/>
        <v>79.268000000000015</v>
      </c>
      <c r="DS252" s="88">
        <f t="shared" ca="1" si="476"/>
        <v>79.268000000000015</v>
      </c>
      <c r="DT252" s="88">
        <f t="shared" ca="1" si="476"/>
        <v>79.268000000000015</v>
      </c>
      <c r="DU252" s="88">
        <f t="shared" ca="1" si="477"/>
        <v>79.268000000000015</v>
      </c>
      <c r="DV252" s="88">
        <f t="shared" ca="1" si="477"/>
        <v>79.268000000000015</v>
      </c>
      <c r="DW252" s="88">
        <f t="shared" ca="1" si="477"/>
        <v>0</v>
      </c>
      <c r="DX252" s="88">
        <f t="shared" ca="1" si="477"/>
        <v>0</v>
      </c>
      <c r="DY252" s="88">
        <f t="shared" ca="1" si="477"/>
        <v>0</v>
      </c>
      <c r="DZ252" s="88">
        <f t="shared" ca="1" si="477"/>
        <v>0</v>
      </c>
      <c r="EA252" s="88">
        <f t="shared" ca="1" si="477"/>
        <v>0</v>
      </c>
      <c r="EB252" s="88">
        <f t="shared" ca="1" si="477"/>
        <v>0</v>
      </c>
      <c r="EC252" s="88">
        <f t="shared" ca="1" si="477"/>
        <v>0</v>
      </c>
      <c r="ED252" s="88">
        <f t="shared" ca="1" si="477"/>
        <v>0</v>
      </c>
      <c r="EE252" s="88">
        <f t="shared" ca="1" si="478"/>
        <v>0</v>
      </c>
      <c r="EF252" s="88">
        <f t="shared" ca="1" si="478"/>
        <v>0</v>
      </c>
      <c r="EG252" s="88">
        <f t="shared" ca="1" si="478"/>
        <v>0</v>
      </c>
      <c r="EH252" s="88">
        <f t="shared" ca="1" si="478"/>
        <v>0</v>
      </c>
      <c r="EI252" s="88">
        <f t="shared" ca="1" si="478"/>
        <v>0</v>
      </c>
      <c r="EJ252" s="88">
        <f t="shared" ca="1" si="478"/>
        <v>0</v>
      </c>
      <c r="EK252" s="88">
        <f t="shared" ca="1" si="478"/>
        <v>0</v>
      </c>
      <c r="EL252" s="88">
        <f t="shared" ca="1" si="478"/>
        <v>0</v>
      </c>
      <c r="EM252" s="88">
        <f t="shared" ca="1" si="478"/>
        <v>0</v>
      </c>
      <c r="EN252" s="88">
        <f t="shared" ca="1" si="478"/>
        <v>0</v>
      </c>
      <c r="EO252" s="88">
        <f t="shared" ca="1" si="478"/>
        <v>0</v>
      </c>
      <c r="EP252" s="88">
        <f t="shared" ca="1" si="478"/>
        <v>0</v>
      </c>
      <c r="EQ252" s="88">
        <f t="shared" ca="1" si="478"/>
        <v>0</v>
      </c>
      <c r="ER252" s="88">
        <f t="shared" ca="1" si="478"/>
        <v>0</v>
      </c>
      <c r="ES252" s="88">
        <f t="shared" ca="1" si="478"/>
        <v>0</v>
      </c>
      <c r="ET252" s="169"/>
      <c r="EU252" s="88">
        <f t="shared" ca="1" si="479"/>
        <v>0</v>
      </c>
      <c r="EV252" s="88">
        <f t="shared" ca="1" si="479"/>
        <v>0</v>
      </c>
      <c r="EW252" s="88">
        <f t="shared" ca="1" si="479"/>
        <v>0</v>
      </c>
      <c r="EX252" s="88">
        <f t="shared" ca="1" si="479"/>
        <v>0</v>
      </c>
      <c r="EY252" s="88">
        <f t="shared" ca="1" si="479"/>
        <v>0</v>
      </c>
      <c r="EZ252" s="88">
        <f t="shared" ca="1" si="479"/>
        <v>0</v>
      </c>
      <c r="FA252" s="88">
        <f t="shared" ca="1" si="479"/>
        <v>0</v>
      </c>
      <c r="FB252" s="88">
        <f t="shared" ca="1" si="479"/>
        <v>0</v>
      </c>
      <c r="FC252" s="88">
        <f t="shared" ca="1" si="479"/>
        <v>0</v>
      </c>
      <c r="FD252" s="88">
        <f t="shared" ca="1" si="479"/>
        <v>0</v>
      </c>
      <c r="FE252" s="88">
        <f t="shared" ca="1" si="480"/>
        <v>0</v>
      </c>
      <c r="FF252" s="88">
        <f t="shared" ca="1" si="480"/>
        <v>0</v>
      </c>
      <c r="FG252" s="88">
        <f t="shared" ca="1" si="480"/>
        <v>0</v>
      </c>
      <c r="FH252" s="88">
        <f t="shared" ca="1" si="480"/>
        <v>0</v>
      </c>
      <c r="FI252" s="88">
        <f t="shared" ca="1" si="480"/>
        <v>0</v>
      </c>
      <c r="FJ252" s="88">
        <f t="shared" ca="1" si="480"/>
        <v>0</v>
      </c>
      <c r="FK252" s="88">
        <f t="shared" ca="1" si="480"/>
        <v>0</v>
      </c>
      <c r="FL252" s="88">
        <f t="shared" ca="1" si="480"/>
        <v>0</v>
      </c>
      <c r="FM252" s="88">
        <f t="shared" ca="1" si="480"/>
        <v>0</v>
      </c>
      <c r="FN252" s="88">
        <f t="shared" ca="1" si="480"/>
        <v>0</v>
      </c>
      <c r="FO252" s="88">
        <f t="shared" ca="1" si="481"/>
        <v>0</v>
      </c>
      <c r="FP252" s="88">
        <f t="shared" ca="1" si="481"/>
        <v>0</v>
      </c>
      <c r="FQ252" s="88">
        <f t="shared" ca="1" si="481"/>
        <v>0</v>
      </c>
      <c r="FR252" s="88">
        <f t="shared" ca="1" si="481"/>
        <v>0</v>
      </c>
      <c r="FS252" s="88">
        <f t="shared" ca="1" si="481"/>
        <v>0</v>
      </c>
      <c r="FT252" s="88">
        <f t="shared" ca="1" si="481"/>
        <v>0</v>
      </c>
      <c r="FU252" s="88">
        <f t="shared" ca="1" si="481"/>
        <v>0</v>
      </c>
      <c r="FV252" s="88">
        <f t="shared" ca="1" si="481"/>
        <v>0</v>
      </c>
      <c r="FW252" s="88">
        <f t="shared" ca="1" si="481"/>
        <v>0</v>
      </c>
      <c r="FX252" s="88">
        <f t="shared" ca="1" si="481"/>
        <v>0</v>
      </c>
      <c r="FY252" s="88">
        <f t="shared" ca="1" si="481"/>
        <v>0</v>
      </c>
      <c r="FZ252" s="88">
        <f t="shared" ca="1" si="481"/>
        <v>0</v>
      </c>
      <c r="GA252" s="88">
        <f t="shared" ca="1" si="481"/>
        <v>0</v>
      </c>
      <c r="GB252" s="88">
        <f t="shared" ca="1" si="481"/>
        <v>0</v>
      </c>
      <c r="GC252" s="88">
        <f t="shared" ca="1" si="481"/>
        <v>0</v>
      </c>
      <c r="GD252" s="60"/>
    </row>
    <row r="253" spans="1:186" s="54" customFormat="1" ht="14.45" customHeight="1">
      <c r="A253" s="61"/>
      <c r="B253" s="100" t="str">
        <f t="shared" si="482"/>
        <v>C&amp;I_C&amp;I Prescriptive_0_LED Linear Replacement Lamp (5-8ft)_2019</v>
      </c>
      <c r="C253" s="100">
        <f>INDEX('Measure Inputs'!$D:$D,MATCH($B253,'Measure Inputs'!$B:$B,0))</f>
        <v>205</v>
      </c>
      <c r="D253" s="101" t="s">
        <v>256</v>
      </c>
      <c r="E253" s="101" t="s">
        <v>255</v>
      </c>
      <c r="F253" s="101">
        <v>0</v>
      </c>
      <c r="G253" s="101" t="s">
        <v>300</v>
      </c>
      <c r="H253" s="101">
        <v>2019</v>
      </c>
      <c r="I253" s="55"/>
      <c r="J253" s="58">
        <f t="shared" ca="1" si="229"/>
        <v>1.2128317835917468</v>
      </c>
      <c r="K253" s="58">
        <f t="shared" ca="1" si="246"/>
        <v>2.9107962806201924</v>
      </c>
      <c r="L253" s="58">
        <f t="shared" ca="1" si="230"/>
        <v>0.41666666666666669</v>
      </c>
      <c r="M253" s="58">
        <f t="shared" ca="1" si="231"/>
        <v>1.5997476990483164</v>
      </c>
      <c r="N253" s="58">
        <f t="shared" ca="1" si="232"/>
        <v>2.9107962806201924</v>
      </c>
      <c r="O253" s="55"/>
      <c r="P253" s="175">
        <f ca="1">IFERROR(($AW253+AV253)/SUMPRODUCT($CA253:$DI253,'General Inputs'!$F$51:$AN$51),"n/a")</f>
        <v>1.288202431520143E-2</v>
      </c>
      <c r="Q253" s="175">
        <f t="shared" ca="1" si="454"/>
        <v>9.061784515476351E-2</v>
      </c>
      <c r="R253" s="56">
        <f t="shared" ca="1" si="441"/>
        <v>579.35608499999989</v>
      </c>
      <c r="S253" s="55"/>
      <c r="T253" s="56">
        <f ca="1">INDEX(OFFSET('Measure Inputs'!$L$7,,,InputRows),$C253)</f>
        <v>350</v>
      </c>
      <c r="U253" s="134">
        <f ca="1">INDEX(OFFSET('Measure Inputs'!$T$7,,,InputRows),$C253)</f>
        <v>1</v>
      </c>
      <c r="V253" s="134">
        <f ca="1">INDEX(OFFSET('Measure Inputs'!$U$7,,,InputRows),$C253)</f>
        <v>1</v>
      </c>
      <c r="W253" s="55"/>
      <c r="X253" s="96">
        <f ca="1">INDEX(OFFSET('Measure Inputs'!$V$7,,,InputRows),$C253)*$T253*$V253*$U253</f>
        <v>57935.608499999995</v>
      </c>
      <c r="Y253" s="96">
        <f ca="1">INDEX(OFFSET('Measure Inputs'!$W$7,,,InputRows),$C253)*$T253*$V253*$U253</f>
        <v>15.361500000000001</v>
      </c>
      <c r="Z253" s="96">
        <f ca="1">INDEX(OFFSET('Measure Inputs'!$X$7,,,InputRows),$C253)*$T253*$V253*$U253</f>
        <v>0</v>
      </c>
      <c r="AA253" s="55"/>
      <c r="AB253" s="96">
        <f ca="1">INDEX(OFFSET('Measure Inputs'!$Z$7,,,InputRows),$C253)*$T253*$V253*$U253</f>
        <v>0</v>
      </c>
      <c r="AC253" s="96">
        <f ca="1">INDEX(OFFSET('Measure Inputs'!$AA$7,,,InputRows),$C253)*$T253*$V253*$U253</f>
        <v>0</v>
      </c>
      <c r="AD253" s="96">
        <f ca="1">INDEX(OFFSET('Measure Inputs'!$AB$7,,,InputRows),$C253)*$T253*$V253*$U253</f>
        <v>0</v>
      </c>
      <c r="AE253" s="55"/>
      <c r="AF253" s="57">
        <f ca="1">INDEX(OFFSET('Measure Inputs'!$Q$7,,,InputRows),$C253)*$T253</f>
        <v>0</v>
      </c>
      <c r="AG253" s="57">
        <f ca="1">INDEX(OFFSET('Measure Inputs'!$P$7,,,InputRows),$C253)*$T253*$V253</f>
        <v>12600</v>
      </c>
      <c r="AH253" s="57">
        <f ca="1">INDEX(OFFSET('Measure Inputs'!$R$7,,,InputRows),$C253)*$T253*$V253</f>
        <v>0</v>
      </c>
      <c r="AI253" s="57">
        <f ca="1">INDEX(OFFSET('Measure Inputs'!$O$7,,,InputRows),$C253)*$T253</f>
        <v>5250</v>
      </c>
      <c r="AJ253" s="57">
        <f ca="1">INDEX(OFFSET('Measure Inputs'!$S$7,,,InputRows),$C253)*$T253</f>
        <v>0</v>
      </c>
      <c r="AK253" s="63">
        <f ca="1">INDEX(OFFSET('Measure Inputs'!$M$7,,,InputRows),$C253)</f>
        <v>10</v>
      </c>
      <c r="AL253" s="88">
        <f ca="1">INDEX(OFFSET('Measure Inputs'!$N$7,,,InputRows),$C253)</f>
        <v>0</v>
      </c>
      <c r="AM253" s="57">
        <f ca="1">SUMIFS(OFFSET('Program Inputs'!$N$5,,,TotalPrograms),OFFSET('Program Inputs'!$B$5,,,TotalPrograms),SUBSTITUTE($B253,"All","*"))+AF253</f>
        <v>0</v>
      </c>
      <c r="AN253" s="57">
        <f t="shared" ca="1" si="442"/>
        <v>5250</v>
      </c>
      <c r="AO253" s="55"/>
      <c r="AP253" s="59">
        <f t="shared" ca="1" si="443"/>
        <v>12900.128859851266</v>
      </c>
      <c r="AQ253" s="59">
        <f t="shared" ca="1" si="444"/>
        <v>10636.371040382957</v>
      </c>
      <c r="AR253" s="59">
        <f ca="1">SUMPRODUCT($CA253:$DI253,'General Inputs'!$F$32:$AN$32,'General Inputs'!$F$51:$AN$51)/(1-Loss_ElectricEnergy)</f>
        <v>10833.947766153307</v>
      </c>
      <c r="AS253" s="59">
        <f ca="1">SUMPRODUCT($DK253:$ES253,'General Inputs'!$F$33:$AN$33,'General Inputs'!$F$51:$AN$51)/(1-Loss_ElectricDemand)</f>
        <v>2066.1810936979577</v>
      </c>
      <c r="AT253" s="59">
        <f ca="1">SUMPRODUCT($EU253:$GC253,'General Inputs'!$F$34:$AN$34,'General Inputs'!$F$51:$AN$51)/(1-Loss_GasEnergy)</f>
        <v>0</v>
      </c>
      <c r="AU253" s="59">
        <f ca="1">INDEX('General Inputs'!$F$51:$AN$51,MATCH($H253,'General Inputs'!$F$50:$AN$50,0))*$AJ253</f>
        <v>0</v>
      </c>
      <c r="AV253" s="59">
        <f ca="1">INDEX('General Inputs'!$F$51:$AN$51,MATCH($H253,'General Inputs'!$F$50:$AN$50,0))*$AI253</f>
        <v>4431.8212668262322</v>
      </c>
      <c r="AW253" s="59">
        <f ca="1">INDEX('General Inputs'!$F$51:$AN$51,MATCH($H253,'General Inputs'!$F$50:$AN$50,0))*$AM253</f>
        <v>0</v>
      </c>
      <c r="AX253" s="59">
        <f ca="1">SUM(INDEX('General Inputs'!$F$51:$AN$51,MATCH($H253,'General Inputs'!$F$50:$AN$50,0))*$AG253,INDEX('General Inputs'!$F$51:$AN$51,MATCH($H253+$AL253,'General Inputs'!$F$50:$AN$50,0))*-$AH253)</f>
        <v>10636.371040382957</v>
      </c>
      <c r="AY253" s="55"/>
      <c r="AZ253" s="59">
        <f ca="1">SUMPRODUCT($CA253:$DI253,'General Inputs'!$F$32:$AN$32,'General Inputs'!$F$52:$AN$52)/(1-Loss_ElectricEnergy)</f>
        <v>10833.947766153307</v>
      </c>
      <c r="BA253" s="59">
        <f ca="1">SUMPRODUCT($DK253:$ES253,'General Inputs'!$F$33:$AN$33,'General Inputs'!$F$52:$AN$52)/(1-Loss_ElectricDemand)</f>
        <v>2066.1810936979577</v>
      </c>
      <c r="BB253" s="59">
        <f ca="1">SUMPRODUCT($EU253:$GC253,'General Inputs'!$F$34:$AN$34,'General Inputs'!$F$52:$AN$52)/(1-Loss_GasEnergy)</f>
        <v>0</v>
      </c>
      <c r="BC253" s="59">
        <f ca="1">INDEX('General Inputs'!$F$52:$AN$52,MATCH($H253,'General Inputs'!$F$50:$AN$50,0))*$AI253</f>
        <v>4431.8212668262322</v>
      </c>
      <c r="BD253" s="59">
        <f ca="1">INDEX('General Inputs'!$F$52:$AN$52,MATCH($H253,'General Inputs'!$F$50:$AN$50,0))*$AM253</f>
        <v>0</v>
      </c>
      <c r="BE253" s="55"/>
      <c r="BF253" s="59">
        <f ca="1">SUMPRODUCT($CA253:$DI253,OFFSET('General Inputs'!$F$40:$AN$40,MATCH($D253&amp;" Electric ($/kWh)",'General Inputs'!$E$40:$E$46,0),),'General Inputs'!$F$54:$AN$54)</f>
        <v>0</v>
      </c>
      <c r="BG253" s="59">
        <f ca="1">SUMPRODUCT($EU253:$GC253,OFFSET('General Inputs'!$F$40:$AN$40,MATCH($D253&amp;" Natural Gas ($/therm)",'General Inputs'!$E$40:$E$46,0),),'General Inputs'!$F$54:$AN$54)</f>
        <v>0</v>
      </c>
      <c r="BH253" s="59">
        <f ca="1">INDEX('General Inputs'!$F$54:$AN$54,MATCH($H253,'General Inputs'!$F$50:$AN$50,0))*$AI253</f>
        <v>4431.8212668262322</v>
      </c>
      <c r="BI253" s="59">
        <f ca="1">SUM(INDEX('General Inputs'!$F$54:$AN$54,MATCH($H253,'General Inputs'!$F$50:$AN$50,0))*$AG253,INDEX('General Inputs'!$F$51:$AN$51,MATCH($H253+$AL253,'General Inputs'!$F$50:$AN$50,0))*-$AH253)</f>
        <v>10636.371040382957</v>
      </c>
      <c r="BJ253" s="55"/>
      <c r="BK253" s="59">
        <f ca="1">SUMPRODUCT($CA253:$DI253,'General Inputs'!$F$32:$AN$32,'General Inputs'!$F$53:$AN$53)/(1-Loss_ElectricEnergy)</f>
        <v>10833.947766153307</v>
      </c>
      <c r="BL253" s="59">
        <f ca="1">SUMPRODUCT($DK253:$ES253,'General Inputs'!$F$33:$AN$33,'General Inputs'!$F$53:$AN$53)/(1-Loss_ElectricDemand)</f>
        <v>2066.1810936979577</v>
      </c>
      <c r="BM253" s="59">
        <f ca="1">SUMPRODUCT($EU253:$GC253,'General Inputs'!$F$34:$AN$34,'General Inputs'!$F$53:$AN$53)/(1-Loss_GasEnergy)</f>
        <v>0</v>
      </c>
      <c r="BN253" s="59">
        <f ca="1">INDEX('General Inputs'!$F$53:$AN$53,MATCH($H253,'General Inputs'!$F$50:$AN$50,0))*$AJ253</f>
        <v>0</v>
      </c>
      <c r="BO253" s="59">
        <f ca="1">SUMPRODUCT($CA253:$DI253,'General Inputs'!$F$35:$AN$35,'General Inputs'!$F$53:$AN$53)/(1-Loss_ElectricEnergy)</f>
        <v>4115.3812382255155</v>
      </c>
      <c r="BP253" s="59">
        <f ca="1">INDEX('General Inputs'!$F$51:$AN$51,MATCH($H253,'General Inputs'!$F$50:$AN$50,0))*$AM253</f>
        <v>0</v>
      </c>
      <c r="BQ253" s="59">
        <f ca="1">SUM(INDEX('General Inputs'!$F$53:$AN$53,MATCH($H253,'General Inputs'!$F$50:$AN$50,0))*$AG253,INDEX('General Inputs'!$F$53:$AN$53,MATCH($H253+$AL253,'General Inputs'!$F$50:$AN$50,0))*-$AH253)</f>
        <v>10636.371040382957</v>
      </c>
      <c r="BR253" s="55"/>
      <c r="BS253" s="59">
        <f ca="1">SUMPRODUCT($CA253:$DI253,'General Inputs'!$F$32:$AN$32,'General Inputs'!$F$55:$AN$55)/(1-Loss_ElectricEnergy)</f>
        <v>10833.947766153307</v>
      </c>
      <c r="BT253" s="59">
        <f ca="1">SUMPRODUCT($DK253:$ES253,'General Inputs'!$F$33:$AN$33,'General Inputs'!$F$55:$AN$55)/(1-Loss_ElectricDemand)</f>
        <v>2066.1810936979577</v>
      </c>
      <c r="BU253" s="59">
        <f ca="1">SUMPRODUCT($EU253:$GC253,'General Inputs'!$F$34:$AN$34,'General Inputs'!$F$55:$AN$55)/(1-Loss_GasEnergy)</f>
        <v>0</v>
      </c>
      <c r="BV253" s="59">
        <f ca="1">SUMPRODUCT($CA253:$DI253,OFFSET('General Inputs'!$F$40:$AN$40,MATCH($D253&amp;" Electric ($/kWh)",'General Inputs'!$E$40:$E$46,0),),'General Inputs'!$F$55:$AN$55)</f>
        <v>0</v>
      </c>
      <c r="BW253" s="59">
        <f ca="1">SUMPRODUCT($EU253:$GC253,OFFSET('General Inputs'!$F$40:$AN$40,MATCH($D253&amp;" Natural Gas ($/therm)",'General Inputs'!$E$40:$E$46,0),),'General Inputs'!$F$55:$AN$55)</f>
        <v>0</v>
      </c>
      <c r="BX253" s="59">
        <f ca="1">INDEX('General Inputs'!$F$55:$AN$55,MATCH($H253,'General Inputs'!$F$50:$AN$50,0))*$AI253</f>
        <v>4431.8212668262322</v>
      </c>
      <c r="BY253" s="59">
        <f ca="1">INDEX('General Inputs'!$F$51:$AN$51,MATCH($H253,'General Inputs'!$F$50:$AN$50,0))*$AM253</f>
        <v>0</v>
      </c>
      <c r="BZ253" s="55"/>
      <c r="CA253" s="88">
        <f t="shared" ca="1" si="473"/>
        <v>0</v>
      </c>
      <c r="CB253" s="88">
        <f t="shared" ca="1" si="473"/>
        <v>0</v>
      </c>
      <c r="CC253" s="88">
        <f t="shared" ca="1" si="473"/>
        <v>57935.608499999995</v>
      </c>
      <c r="CD253" s="88">
        <f t="shared" ca="1" si="473"/>
        <v>57935.608499999995</v>
      </c>
      <c r="CE253" s="88">
        <f t="shared" ca="1" si="473"/>
        <v>57935.608499999995</v>
      </c>
      <c r="CF253" s="88">
        <f t="shared" ca="1" si="473"/>
        <v>57935.608499999995</v>
      </c>
      <c r="CG253" s="88">
        <f t="shared" ca="1" si="473"/>
        <v>57935.608499999995</v>
      </c>
      <c r="CH253" s="88">
        <f t="shared" ca="1" si="473"/>
        <v>57935.608499999995</v>
      </c>
      <c r="CI253" s="88">
        <f t="shared" ca="1" si="473"/>
        <v>57935.608499999995</v>
      </c>
      <c r="CJ253" s="88">
        <f t="shared" ca="1" si="473"/>
        <v>57935.608499999995</v>
      </c>
      <c r="CK253" s="88">
        <f t="shared" ca="1" si="474"/>
        <v>57935.608499999995</v>
      </c>
      <c r="CL253" s="88">
        <f t="shared" ca="1" si="474"/>
        <v>57935.608499999995</v>
      </c>
      <c r="CM253" s="88">
        <f t="shared" ca="1" si="474"/>
        <v>0</v>
      </c>
      <c r="CN253" s="88">
        <f t="shared" ca="1" si="474"/>
        <v>0</v>
      </c>
      <c r="CO253" s="88">
        <f t="shared" ca="1" si="474"/>
        <v>0</v>
      </c>
      <c r="CP253" s="88">
        <f t="shared" ca="1" si="474"/>
        <v>0</v>
      </c>
      <c r="CQ253" s="88">
        <f t="shared" ca="1" si="474"/>
        <v>0</v>
      </c>
      <c r="CR253" s="88">
        <f t="shared" ca="1" si="474"/>
        <v>0</v>
      </c>
      <c r="CS253" s="88">
        <f t="shared" ca="1" si="474"/>
        <v>0</v>
      </c>
      <c r="CT253" s="88">
        <f t="shared" ca="1" si="474"/>
        <v>0</v>
      </c>
      <c r="CU253" s="88">
        <f t="shared" ca="1" si="475"/>
        <v>0</v>
      </c>
      <c r="CV253" s="88">
        <f t="shared" ca="1" si="475"/>
        <v>0</v>
      </c>
      <c r="CW253" s="88">
        <f t="shared" ca="1" si="475"/>
        <v>0</v>
      </c>
      <c r="CX253" s="88">
        <f t="shared" ca="1" si="475"/>
        <v>0</v>
      </c>
      <c r="CY253" s="88">
        <f t="shared" ca="1" si="475"/>
        <v>0</v>
      </c>
      <c r="CZ253" s="88">
        <f t="shared" ca="1" si="475"/>
        <v>0</v>
      </c>
      <c r="DA253" s="88">
        <f t="shared" ca="1" si="475"/>
        <v>0</v>
      </c>
      <c r="DB253" s="88">
        <f t="shared" ca="1" si="475"/>
        <v>0</v>
      </c>
      <c r="DC253" s="88">
        <f t="shared" ca="1" si="475"/>
        <v>0</v>
      </c>
      <c r="DD253" s="88">
        <f t="shared" ca="1" si="475"/>
        <v>0</v>
      </c>
      <c r="DE253" s="88">
        <f t="shared" ca="1" si="475"/>
        <v>0</v>
      </c>
      <c r="DF253" s="88">
        <f t="shared" ca="1" si="475"/>
        <v>0</v>
      </c>
      <c r="DG253" s="88">
        <f t="shared" ca="1" si="475"/>
        <v>0</v>
      </c>
      <c r="DH253" s="88">
        <f t="shared" ca="1" si="475"/>
        <v>0</v>
      </c>
      <c r="DI253" s="88">
        <f t="shared" ca="1" si="475"/>
        <v>0</v>
      </c>
      <c r="DJ253" s="169"/>
      <c r="DK253" s="88">
        <f t="shared" ca="1" si="476"/>
        <v>0</v>
      </c>
      <c r="DL253" s="88">
        <f t="shared" ca="1" si="476"/>
        <v>0</v>
      </c>
      <c r="DM253" s="88">
        <f t="shared" ca="1" si="476"/>
        <v>15.361500000000001</v>
      </c>
      <c r="DN253" s="88">
        <f t="shared" ca="1" si="476"/>
        <v>15.361500000000001</v>
      </c>
      <c r="DO253" s="88">
        <f t="shared" ca="1" si="476"/>
        <v>15.361500000000001</v>
      </c>
      <c r="DP253" s="88">
        <f t="shared" ca="1" si="476"/>
        <v>15.361500000000001</v>
      </c>
      <c r="DQ253" s="88">
        <f t="shared" ca="1" si="476"/>
        <v>15.361500000000001</v>
      </c>
      <c r="DR253" s="88">
        <f t="shared" ca="1" si="476"/>
        <v>15.361500000000001</v>
      </c>
      <c r="DS253" s="88">
        <f t="shared" ca="1" si="476"/>
        <v>15.361500000000001</v>
      </c>
      <c r="DT253" s="88">
        <f t="shared" ca="1" si="476"/>
        <v>15.361500000000001</v>
      </c>
      <c r="DU253" s="88">
        <f t="shared" ca="1" si="477"/>
        <v>15.361500000000001</v>
      </c>
      <c r="DV253" s="88">
        <f t="shared" ca="1" si="477"/>
        <v>15.361500000000001</v>
      </c>
      <c r="DW253" s="88">
        <f t="shared" ca="1" si="477"/>
        <v>0</v>
      </c>
      <c r="DX253" s="88">
        <f t="shared" ca="1" si="477"/>
        <v>0</v>
      </c>
      <c r="DY253" s="88">
        <f t="shared" ca="1" si="477"/>
        <v>0</v>
      </c>
      <c r="DZ253" s="88">
        <f t="shared" ca="1" si="477"/>
        <v>0</v>
      </c>
      <c r="EA253" s="88">
        <f t="shared" ca="1" si="477"/>
        <v>0</v>
      </c>
      <c r="EB253" s="88">
        <f t="shared" ca="1" si="477"/>
        <v>0</v>
      </c>
      <c r="EC253" s="88">
        <f t="shared" ca="1" si="477"/>
        <v>0</v>
      </c>
      <c r="ED253" s="88">
        <f t="shared" ca="1" si="477"/>
        <v>0</v>
      </c>
      <c r="EE253" s="88">
        <f t="shared" ca="1" si="478"/>
        <v>0</v>
      </c>
      <c r="EF253" s="88">
        <f t="shared" ca="1" si="478"/>
        <v>0</v>
      </c>
      <c r="EG253" s="88">
        <f t="shared" ca="1" si="478"/>
        <v>0</v>
      </c>
      <c r="EH253" s="88">
        <f t="shared" ca="1" si="478"/>
        <v>0</v>
      </c>
      <c r="EI253" s="88">
        <f t="shared" ca="1" si="478"/>
        <v>0</v>
      </c>
      <c r="EJ253" s="88">
        <f t="shared" ca="1" si="478"/>
        <v>0</v>
      </c>
      <c r="EK253" s="88">
        <f t="shared" ca="1" si="478"/>
        <v>0</v>
      </c>
      <c r="EL253" s="88">
        <f t="shared" ca="1" si="478"/>
        <v>0</v>
      </c>
      <c r="EM253" s="88">
        <f t="shared" ca="1" si="478"/>
        <v>0</v>
      </c>
      <c r="EN253" s="88">
        <f t="shared" ca="1" si="478"/>
        <v>0</v>
      </c>
      <c r="EO253" s="88">
        <f t="shared" ca="1" si="478"/>
        <v>0</v>
      </c>
      <c r="EP253" s="88">
        <f t="shared" ca="1" si="478"/>
        <v>0</v>
      </c>
      <c r="EQ253" s="88">
        <f t="shared" ca="1" si="478"/>
        <v>0</v>
      </c>
      <c r="ER253" s="88">
        <f t="shared" ca="1" si="478"/>
        <v>0</v>
      </c>
      <c r="ES253" s="88">
        <f t="shared" ca="1" si="478"/>
        <v>0</v>
      </c>
      <c r="ET253" s="169"/>
      <c r="EU253" s="88">
        <f t="shared" ca="1" si="479"/>
        <v>0</v>
      </c>
      <c r="EV253" s="88">
        <f t="shared" ca="1" si="479"/>
        <v>0</v>
      </c>
      <c r="EW253" s="88">
        <f t="shared" ca="1" si="479"/>
        <v>0</v>
      </c>
      <c r="EX253" s="88">
        <f t="shared" ca="1" si="479"/>
        <v>0</v>
      </c>
      <c r="EY253" s="88">
        <f t="shared" ca="1" si="479"/>
        <v>0</v>
      </c>
      <c r="EZ253" s="88">
        <f t="shared" ca="1" si="479"/>
        <v>0</v>
      </c>
      <c r="FA253" s="88">
        <f t="shared" ca="1" si="479"/>
        <v>0</v>
      </c>
      <c r="FB253" s="88">
        <f t="shared" ca="1" si="479"/>
        <v>0</v>
      </c>
      <c r="FC253" s="88">
        <f t="shared" ca="1" si="479"/>
        <v>0</v>
      </c>
      <c r="FD253" s="88">
        <f t="shared" ca="1" si="479"/>
        <v>0</v>
      </c>
      <c r="FE253" s="88">
        <f t="shared" ca="1" si="480"/>
        <v>0</v>
      </c>
      <c r="FF253" s="88">
        <f t="shared" ca="1" si="480"/>
        <v>0</v>
      </c>
      <c r="FG253" s="88">
        <f t="shared" ca="1" si="480"/>
        <v>0</v>
      </c>
      <c r="FH253" s="88">
        <f t="shared" ca="1" si="480"/>
        <v>0</v>
      </c>
      <c r="FI253" s="88">
        <f t="shared" ca="1" si="480"/>
        <v>0</v>
      </c>
      <c r="FJ253" s="88">
        <f t="shared" ca="1" si="480"/>
        <v>0</v>
      </c>
      <c r="FK253" s="88">
        <f t="shared" ca="1" si="480"/>
        <v>0</v>
      </c>
      <c r="FL253" s="88">
        <f t="shared" ca="1" si="480"/>
        <v>0</v>
      </c>
      <c r="FM253" s="88">
        <f t="shared" ca="1" si="480"/>
        <v>0</v>
      </c>
      <c r="FN253" s="88">
        <f t="shared" ca="1" si="480"/>
        <v>0</v>
      </c>
      <c r="FO253" s="88">
        <f t="shared" ca="1" si="481"/>
        <v>0</v>
      </c>
      <c r="FP253" s="88">
        <f t="shared" ca="1" si="481"/>
        <v>0</v>
      </c>
      <c r="FQ253" s="88">
        <f t="shared" ca="1" si="481"/>
        <v>0</v>
      </c>
      <c r="FR253" s="88">
        <f t="shared" ca="1" si="481"/>
        <v>0</v>
      </c>
      <c r="FS253" s="88">
        <f t="shared" ca="1" si="481"/>
        <v>0</v>
      </c>
      <c r="FT253" s="88">
        <f t="shared" ca="1" si="481"/>
        <v>0</v>
      </c>
      <c r="FU253" s="88">
        <f t="shared" ca="1" si="481"/>
        <v>0</v>
      </c>
      <c r="FV253" s="88">
        <f t="shared" ca="1" si="481"/>
        <v>0</v>
      </c>
      <c r="FW253" s="88">
        <f t="shared" ca="1" si="481"/>
        <v>0</v>
      </c>
      <c r="FX253" s="88">
        <f t="shared" ca="1" si="481"/>
        <v>0</v>
      </c>
      <c r="FY253" s="88">
        <f t="shared" ca="1" si="481"/>
        <v>0</v>
      </c>
      <c r="FZ253" s="88">
        <f t="shared" ca="1" si="481"/>
        <v>0</v>
      </c>
      <c r="GA253" s="88">
        <f t="shared" ca="1" si="481"/>
        <v>0</v>
      </c>
      <c r="GB253" s="88">
        <f t="shared" ca="1" si="481"/>
        <v>0</v>
      </c>
      <c r="GC253" s="88">
        <f t="shared" ca="1" si="481"/>
        <v>0</v>
      </c>
      <c r="GD253" s="60"/>
    </row>
    <row r="254" spans="1:186" s="54" customFormat="1" ht="14.45" customHeight="1">
      <c r="A254" s="61"/>
      <c r="B254" s="100" t="str">
        <f t="shared" si="482"/>
        <v>C&amp;I_C&amp;I Prescriptive_0_Ceiling Mount Occupancy_2019</v>
      </c>
      <c r="C254" s="100">
        <f>INDEX('Measure Inputs'!$D:$D,MATCH($B254,'Measure Inputs'!$B:$B,0))</f>
        <v>206</v>
      </c>
      <c r="D254" s="101" t="s">
        <v>256</v>
      </c>
      <c r="E254" s="101" t="s">
        <v>255</v>
      </c>
      <c r="F254" s="101">
        <v>0</v>
      </c>
      <c r="G254" s="101" t="s">
        <v>307</v>
      </c>
      <c r="H254" s="101">
        <v>2019</v>
      </c>
      <c r="I254" s="55"/>
      <c r="J254" s="58">
        <f t="shared" ca="1" si="229"/>
        <v>2.0659438826804273</v>
      </c>
      <c r="K254" s="58">
        <f t="shared" ca="1" si="246"/>
        <v>7.0242092011134529</v>
      </c>
      <c r="L254" s="58">
        <f t="shared" ca="1" si="230"/>
        <v>0.29411764705882354</v>
      </c>
      <c r="M254" s="58">
        <f t="shared" ca="1" si="231"/>
        <v>2.5082836870995369</v>
      </c>
      <c r="N254" s="58">
        <f t="shared" ca="1" si="232"/>
        <v>7.0242092011134529</v>
      </c>
      <c r="O254" s="55"/>
      <c r="P254" s="175">
        <f ca="1">IFERROR(($AW254+AV254)/SUMPRODUCT($CA254:$DI254,'General Inputs'!$F$51:$AN$51),"n/a")</f>
        <v>7.9538429602640116E-3</v>
      </c>
      <c r="Q254" s="175">
        <f t="shared" ca="1" si="454"/>
        <v>4.8200981465299747E-2</v>
      </c>
      <c r="R254" s="56">
        <f t="shared" ca="1" si="441"/>
        <v>149.37455174399997</v>
      </c>
      <c r="S254" s="55"/>
      <c r="T254" s="56">
        <f ca="1">INDEX(OFFSET('Measure Inputs'!$L$7,,,InputRows),$C254)</f>
        <v>30</v>
      </c>
      <c r="U254" s="134">
        <f ca="1">INDEX(OFFSET('Measure Inputs'!$T$7,,,InputRows),$C254)</f>
        <v>1</v>
      </c>
      <c r="V254" s="134">
        <f ca="1">INDEX(OFFSET('Measure Inputs'!$U$7,,,InputRows),$C254)</f>
        <v>1</v>
      </c>
      <c r="W254" s="55"/>
      <c r="X254" s="96">
        <f ca="1">INDEX(OFFSET('Measure Inputs'!$V$7,,,InputRows),$C254)*$T254*$V254*$U254</f>
        <v>18671.818967999996</v>
      </c>
      <c r="Y254" s="96">
        <f ca="1">INDEX(OFFSET('Measure Inputs'!$W$7,,,InputRows),$C254)*$T254*$V254*$U254</f>
        <v>20.628300000000003</v>
      </c>
      <c r="Z254" s="96">
        <f ca="1">INDEX(OFFSET('Measure Inputs'!$X$7,,,InputRows),$C254)*$T254*$V254*$U254</f>
        <v>0</v>
      </c>
      <c r="AA254" s="55"/>
      <c r="AB254" s="96">
        <f ca="1">INDEX(OFFSET('Measure Inputs'!$Z$7,,,InputRows),$C254)*$T254*$V254*$U254</f>
        <v>0</v>
      </c>
      <c r="AC254" s="96">
        <f ca="1">INDEX(OFFSET('Measure Inputs'!$AA$7,,,InputRows),$C254)*$T254*$V254*$U254</f>
        <v>0</v>
      </c>
      <c r="AD254" s="96">
        <f ca="1">INDEX(OFFSET('Measure Inputs'!$AB$7,,,InputRows),$C254)*$T254*$V254*$U254</f>
        <v>0</v>
      </c>
      <c r="AE254" s="55"/>
      <c r="AF254" s="57">
        <f ca="1">INDEX(OFFSET('Measure Inputs'!$Q$7,,,InputRows),$C254)*$T254</f>
        <v>0</v>
      </c>
      <c r="AG254" s="57">
        <f ca="1">INDEX(OFFSET('Measure Inputs'!$P$7,,,InputRows),$C254)*$T254*$V254</f>
        <v>3060</v>
      </c>
      <c r="AH254" s="57">
        <f ca="1">INDEX(OFFSET('Measure Inputs'!$R$7,,,InputRows),$C254)*$T254*$V254</f>
        <v>0</v>
      </c>
      <c r="AI254" s="57">
        <f ca="1">INDEX(OFFSET('Measure Inputs'!$O$7,,,InputRows),$C254)*$T254</f>
        <v>900</v>
      </c>
      <c r="AJ254" s="57">
        <f ca="1">INDEX(OFFSET('Measure Inputs'!$S$7,,,InputRows),$C254)*$T254</f>
        <v>0</v>
      </c>
      <c r="AK254" s="63">
        <f ca="1">INDEX(OFFSET('Measure Inputs'!$M$7,,,InputRows),$C254)</f>
        <v>8</v>
      </c>
      <c r="AL254" s="88">
        <f ca="1">INDEX(OFFSET('Measure Inputs'!$N$7,,,InputRows),$C254)</f>
        <v>0</v>
      </c>
      <c r="AM254" s="57">
        <f ca="1">SUMIFS(OFFSET('Program Inputs'!$N$5,,,TotalPrograms),OFFSET('Program Inputs'!$B$5,,,TotalPrograms),SUBSTITUTE($B254,"All","*"))+AF254</f>
        <v>0</v>
      </c>
      <c r="AN254" s="57">
        <f t="shared" ca="1" si="442"/>
        <v>900</v>
      </c>
      <c r="AO254" s="55"/>
      <c r="AP254" s="59">
        <f t="shared" ca="1" si="443"/>
        <v>5336.5782377367595</v>
      </c>
      <c r="AQ254" s="59">
        <f t="shared" ca="1" si="444"/>
        <v>2583.118681235861</v>
      </c>
      <c r="AR254" s="59">
        <f ca="1">SUMPRODUCT($CA254:$DI254,'General Inputs'!$F$32:$AN$32,'General Inputs'!$F$51:$AN$51)/(1-Loss_ElectricEnergy)</f>
        <v>2973.6205240213717</v>
      </c>
      <c r="AS254" s="59">
        <f ca="1">SUMPRODUCT($DK254:$ES254,'General Inputs'!$F$33:$AN$33,'General Inputs'!$F$51:$AN$51)/(1-Loss_ElectricDemand)</f>
        <v>2362.9577137153874</v>
      </c>
      <c r="AT254" s="59">
        <f ca="1">SUMPRODUCT($EU254:$GC254,'General Inputs'!$F$34:$AN$34,'General Inputs'!$F$51:$AN$51)/(1-Loss_GasEnergy)</f>
        <v>0</v>
      </c>
      <c r="AU254" s="59">
        <f ca="1">INDEX('General Inputs'!$F$51:$AN$51,MATCH($H254,'General Inputs'!$F$50:$AN$50,0))*$AJ254</f>
        <v>0</v>
      </c>
      <c r="AV254" s="59">
        <f ca="1">INDEX('General Inputs'!$F$51:$AN$51,MATCH($H254,'General Inputs'!$F$50:$AN$50,0))*$AI254</f>
        <v>759.74078859878261</v>
      </c>
      <c r="AW254" s="59">
        <f ca="1">INDEX('General Inputs'!$F$51:$AN$51,MATCH($H254,'General Inputs'!$F$50:$AN$50,0))*$AM254</f>
        <v>0</v>
      </c>
      <c r="AX254" s="59">
        <f ca="1">SUM(INDEX('General Inputs'!$F$51:$AN$51,MATCH($H254,'General Inputs'!$F$50:$AN$50,0))*$AG254,INDEX('General Inputs'!$F$51:$AN$51,MATCH($H254+$AL254,'General Inputs'!$F$50:$AN$50,0))*-$AH254)</f>
        <v>2583.118681235861</v>
      </c>
      <c r="AY254" s="55"/>
      <c r="AZ254" s="59">
        <f ca="1">SUMPRODUCT($CA254:$DI254,'General Inputs'!$F$32:$AN$32,'General Inputs'!$F$52:$AN$52)/(1-Loss_ElectricEnergy)</f>
        <v>2973.6205240213717</v>
      </c>
      <c r="BA254" s="59">
        <f ca="1">SUMPRODUCT($DK254:$ES254,'General Inputs'!$F$33:$AN$33,'General Inputs'!$F$52:$AN$52)/(1-Loss_ElectricDemand)</f>
        <v>2362.9577137153874</v>
      </c>
      <c r="BB254" s="59">
        <f ca="1">SUMPRODUCT($EU254:$GC254,'General Inputs'!$F$34:$AN$34,'General Inputs'!$F$52:$AN$52)/(1-Loss_GasEnergy)</f>
        <v>0</v>
      </c>
      <c r="BC254" s="59">
        <f ca="1">INDEX('General Inputs'!$F$52:$AN$52,MATCH($H254,'General Inputs'!$F$50:$AN$50,0))*$AI254</f>
        <v>759.74078859878261</v>
      </c>
      <c r="BD254" s="59">
        <f ca="1">INDEX('General Inputs'!$F$52:$AN$52,MATCH($H254,'General Inputs'!$F$50:$AN$50,0))*$AM254</f>
        <v>0</v>
      </c>
      <c r="BE254" s="55"/>
      <c r="BF254" s="59">
        <f ca="1">SUMPRODUCT($CA254:$DI254,OFFSET('General Inputs'!$F$40:$AN$40,MATCH($D254&amp;" Electric ($/kWh)",'General Inputs'!$E$40:$E$46,0),),'General Inputs'!$F$54:$AN$54)</f>
        <v>0</v>
      </c>
      <c r="BG254" s="59">
        <f ca="1">SUMPRODUCT($EU254:$GC254,OFFSET('General Inputs'!$F$40:$AN$40,MATCH($D254&amp;" Natural Gas ($/therm)",'General Inputs'!$E$40:$E$46,0),),'General Inputs'!$F$54:$AN$54)</f>
        <v>0</v>
      </c>
      <c r="BH254" s="59">
        <f ca="1">INDEX('General Inputs'!$F$54:$AN$54,MATCH($H254,'General Inputs'!$F$50:$AN$50,0))*$AI254</f>
        <v>759.74078859878261</v>
      </c>
      <c r="BI254" s="59">
        <f ca="1">SUM(INDEX('General Inputs'!$F$54:$AN$54,MATCH($H254,'General Inputs'!$F$50:$AN$50,0))*$AG254,INDEX('General Inputs'!$F$51:$AN$51,MATCH($H254+$AL254,'General Inputs'!$F$50:$AN$50,0))*-$AH254)</f>
        <v>2583.118681235861</v>
      </c>
      <c r="BJ254" s="55"/>
      <c r="BK254" s="59">
        <f ca="1">SUMPRODUCT($CA254:$DI254,'General Inputs'!$F$32:$AN$32,'General Inputs'!$F$53:$AN$53)/(1-Loss_ElectricEnergy)</f>
        <v>2973.6205240213717</v>
      </c>
      <c r="BL254" s="59">
        <f ca="1">SUMPRODUCT($DK254:$ES254,'General Inputs'!$F$33:$AN$33,'General Inputs'!$F$53:$AN$53)/(1-Loss_ElectricDemand)</f>
        <v>2362.9577137153874</v>
      </c>
      <c r="BM254" s="59">
        <f ca="1">SUMPRODUCT($EU254:$GC254,'General Inputs'!$F$34:$AN$34,'General Inputs'!$F$53:$AN$53)/(1-Loss_GasEnergy)</f>
        <v>0</v>
      </c>
      <c r="BN254" s="59">
        <f ca="1">INDEX('General Inputs'!$F$53:$AN$53,MATCH($H254,'General Inputs'!$F$50:$AN$50,0))*$AJ254</f>
        <v>0</v>
      </c>
      <c r="BO254" s="59">
        <f ca="1">SUMPRODUCT($CA254:$DI254,'General Inputs'!$F$35:$AN$35,'General Inputs'!$F$53:$AN$53)/(1-Loss_ElectricEnergy)</f>
        <v>1142.6162122492183</v>
      </c>
      <c r="BP254" s="59">
        <f ca="1">INDEX('General Inputs'!$F$51:$AN$51,MATCH($H254,'General Inputs'!$F$50:$AN$50,0))*$AM254</f>
        <v>0</v>
      </c>
      <c r="BQ254" s="59">
        <f ca="1">SUM(INDEX('General Inputs'!$F$53:$AN$53,MATCH($H254,'General Inputs'!$F$50:$AN$50,0))*$AG254,INDEX('General Inputs'!$F$53:$AN$53,MATCH($H254+$AL254,'General Inputs'!$F$50:$AN$50,0))*-$AH254)</f>
        <v>2583.118681235861</v>
      </c>
      <c r="BR254" s="55"/>
      <c r="BS254" s="59">
        <f ca="1">SUMPRODUCT($CA254:$DI254,'General Inputs'!$F$32:$AN$32,'General Inputs'!$F$55:$AN$55)/(1-Loss_ElectricEnergy)</f>
        <v>2973.6205240213717</v>
      </c>
      <c r="BT254" s="59">
        <f ca="1">SUMPRODUCT($DK254:$ES254,'General Inputs'!$F$33:$AN$33,'General Inputs'!$F$55:$AN$55)/(1-Loss_ElectricDemand)</f>
        <v>2362.9577137153874</v>
      </c>
      <c r="BU254" s="59">
        <f ca="1">SUMPRODUCT($EU254:$GC254,'General Inputs'!$F$34:$AN$34,'General Inputs'!$F$55:$AN$55)/(1-Loss_GasEnergy)</f>
        <v>0</v>
      </c>
      <c r="BV254" s="59">
        <f ca="1">SUMPRODUCT($CA254:$DI254,OFFSET('General Inputs'!$F$40:$AN$40,MATCH($D254&amp;" Electric ($/kWh)",'General Inputs'!$E$40:$E$46,0),),'General Inputs'!$F$55:$AN$55)</f>
        <v>0</v>
      </c>
      <c r="BW254" s="59">
        <f ca="1">SUMPRODUCT($EU254:$GC254,OFFSET('General Inputs'!$F$40:$AN$40,MATCH($D254&amp;" Natural Gas ($/therm)",'General Inputs'!$E$40:$E$46,0),),'General Inputs'!$F$55:$AN$55)</f>
        <v>0</v>
      </c>
      <c r="BX254" s="59">
        <f ca="1">INDEX('General Inputs'!$F$55:$AN$55,MATCH($H254,'General Inputs'!$F$50:$AN$50,0))*$AI254</f>
        <v>759.74078859878261</v>
      </c>
      <c r="BY254" s="59">
        <f ca="1">INDEX('General Inputs'!$F$51:$AN$51,MATCH($H254,'General Inputs'!$F$50:$AN$50,0))*$AM254</f>
        <v>0</v>
      </c>
      <c r="BZ254" s="55"/>
      <c r="CA254" s="88">
        <f t="shared" ca="1" si="473"/>
        <v>0</v>
      </c>
      <c r="CB254" s="88">
        <f t="shared" ca="1" si="473"/>
        <v>0</v>
      </c>
      <c r="CC254" s="88">
        <f t="shared" ca="1" si="473"/>
        <v>18671.818967999996</v>
      </c>
      <c r="CD254" s="88">
        <f t="shared" ca="1" si="473"/>
        <v>18671.818967999996</v>
      </c>
      <c r="CE254" s="88">
        <f t="shared" ca="1" si="473"/>
        <v>18671.818967999996</v>
      </c>
      <c r="CF254" s="88">
        <f t="shared" ca="1" si="473"/>
        <v>18671.818967999996</v>
      </c>
      <c r="CG254" s="88">
        <f t="shared" ca="1" si="473"/>
        <v>18671.818967999996</v>
      </c>
      <c r="CH254" s="88">
        <f t="shared" ca="1" si="473"/>
        <v>18671.818967999996</v>
      </c>
      <c r="CI254" s="88">
        <f t="shared" ca="1" si="473"/>
        <v>18671.818967999996</v>
      </c>
      <c r="CJ254" s="88">
        <f t="shared" ca="1" si="473"/>
        <v>18671.818967999996</v>
      </c>
      <c r="CK254" s="88">
        <f t="shared" ca="1" si="474"/>
        <v>0</v>
      </c>
      <c r="CL254" s="88">
        <f t="shared" ca="1" si="474"/>
        <v>0</v>
      </c>
      <c r="CM254" s="88">
        <f t="shared" ca="1" si="474"/>
        <v>0</v>
      </c>
      <c r="CN254" s="88">
        <f t="shared" ca="1" si="474"/>
        <v>0</v>
      </c>
      <c r="CO254" s="88">
        <f t="shared" ca="1" si="474"/>
        <v>0</v>
      </c>
      <c r="CP254" s="88">
        <f t="shared" ca="1" si="474"/>
        <v>0</v>
      </c>
      <c r="CQ254" s="88">
        <f t="shared" ca="1" si="474"/>
        <v>0</v>
      </c>
      <c r="CR254" s="88">
        <f t="shared" ca="1" si="474"/>
        <v>0</v>
      </c>
      <c r="CS254" s="88">
        <f t="shared" ca="1" si="474"/>
        <v>0</v>
      </c>
      <c r="CT254" s="88">
        <f t="shared" ca="1" si="474"/>
        <v>0</v>
      </c>
      <c r="CU254" s="88">
        <f t="shared" ca="1" si="475"/>
        <v>0</v>
      </c>
      <c r="CV254" s="88">
        <f t="shared" ca="1" si="475"/>
        <v>0</v>
      </c>
      <c r="CW254" s="88">
        <f t="shared" ca="1" si="475"/>
        <v>0</v>
      </c>
      <c r="CX254" s="88">
        <f t="shared" ca="1" si="475"/>
        <v>0</v>
      </c>
      <c r="CY254" s="88">
        <f t="shared" ca="1" si="475"/>
        <v>0</v>
      </c>
      <c r="CZ254" s="88">
        <f t="shared" ca="1" si="475"/>
        <v>0</v>
      </c>
      <c r="DA254" s="88">
        <f t="shared" ca="1" si="475"/>
        <v>0</v>
      </c>
      <c r="DB254" s="88">
        <f t="shared" ca="1" si="475"/>
        <v>0</v>
      </c>
      <c r="DC254" s="88">
        <f t="shared" ca="1" si="475"/>
        <v>0</v>
      </c>
      <c r="DD254" s="88">
        <f t="shared" ca="1" si="475"/>
        <v>0</v>
      </c>
      <c r="DE254" s="88">
        <f t="shared" ca="1" si="475"/>
        <v>0</v>
      </c>
      <c r="DF254" s="88">
        <f t="shared" ca="1" si="475"/>
        <v>0</v>
      </c>
      <c r="DG254" s="88">
        <f t="shared" ca="1" si="475"/>
        <v>0</v>
      </c>
      <c r="DH254" s="88">
        <f t="shared" ca="1" si="475"/>
        <v>0</v>
      </c>
      <c r="DI254" s="88">
        <f t="shared" ca="1" si="475"/>
        <v>0</v>
      </c>
      <c r="DJ254" s="169"/>
      <c r="DK254" s="88">
        <f t="shared" ca="1" si="476"/>
        <v>0</v>
      </c>
      <c r="DL254" s="88">
        <f t="shared" ca="1" si="476"/>
        <v>0</v>
      </c>
      <c r="DM254" s="88">
        <f t="shared" ca="1" si="476"/>
        <v>20.628300000000003</v>
      </c>
      <c r="DN254" s="88">
        <f t="shared" ca="1" si="476"/>
        <v>20.628300000000003</v>
      </c>
      <c r="DO254" s="88">
        <f t="shared" ca="1" si="476"/>
        <v>20.628300000000003</v>
      </c>
      <c r="DP254" s="88">
        <f t="shared" ca="1" si="476"/>
        <v>20.628300000000003</v>
      </c>
      <c r="DQ254" s="88">
        <f t="shared" ca="1" si="476"/>
        <v>20.628300000000003</v>
      </c>
      <c r="DR254" s="88">
        <f t="shared" ca="1" si="476"/>
        <v>20.628300000000003</v>
      </c>
      <c r="DS254" s="88">
        <f t="shared" ca="1" si="476"/>
        <v>20.628300000000003</v>
      </c>
      <c r="DT254" s="88">
        <f t="shared" ca="1" si="476"/>
        <v>20.628300000000003</v>
      </c>
      <c r="DU254" s="88">
        <f t="shared" ca="1" si="477"/>
        <v>0</v>
      </c>
      <c r="DV254" s="88">
        <f t="shared" ca="1" si="477"/>
        <v>0</v>
      </c>
      <c r="DW254" s="88">
        <f t="shared" ca="1" si="477"/>
        <v>0</v>
      </c>
      <c r="DX254" s="88">
        <f t="shared" ca="1" si="477"/>
        <v>0</v>
      </c>
      <c r="DY254" s="88">
        <f t="shared" ca="1" si="477"/>
        <v>0</v>
      </c>
      <c r="DZ254" s="88">
        <f t="shared" ca="1" si="477"/>
        <v>0</v>
      </c>
      <c r="EA254" s="88">
        <f t="shared" ca="1" si="477"/>
        <v>0</v>
      </c>
      <c r="EB254" s="88">
        <f t="shared" ca="1" si="477"/>
        <v>0</v>
      </c>
      <c r="EC254" s="88">
        <f t="shared" ca="1" si="477"/>
        <v>0</v>
      </c>
      <c r="ED254" s="88">
        <f t="shared" ca="1" si="477"/>
        <v>0</v>
      </c>
      <c r="EE254" s="88">
        <f t="shared" ca="1" si="478"/>
        <v>0</v>
      </c>
      <c r="EF254" s="88">
        <f t="shared" ca="1" si="478"/>
        <v>0</v>
      </c>
      <c r="EG254" s="88">
        <f t="shared" ca="1" si="478"/>
        <v>0</v>
      </c>
      <c r="EH254" s="88">
        <f t="shared" ca="1" si="478"/>
        <v>0</v>
      </c>
      <c r="EI254" s="88">
        <f t="shared" ca="1" si="478"/>
        <v>0</v>
      </c>
      <c r="EJ254" s="88">
        <f t="shared" ca="1" si="478"/>
        <v>0</v>
      </c>
      <c r="EK254" s="88">
        <f t="shared" ca="1" si="478"/>
        <v>0</v>
      </c>
      <c r="EL254" s="88">
        <f t="shared" ca="1" si="478"/>
        <v>0</v>
      </c>
      <c r="EM254" s="88">
        <f t="shared" ca="1" si="478"/>
        <v>0</v>
      </c>
      <c r="EN254" s="88">
        <f t="shared" ca="1" si="478"/>
        <v>0</v>
      </c>
      <c r="EO254" s="88">
        <f t="shared" ca="1" si="478"/>
        <v>0</v>
      </c>
      <c r="EP254" s="88">
        <f t="shared" ca="1" si="478"/>
        <v>0</v>
      </c>
      <c r="EQ254" s="88">
        <f t="shared" ca="1" si="478"/>
        <v>0</v>
      </c>
      <c r="ER254" s="88">
        <f t="shared" ca="1" si="478"/>
        <v>0</v>
      </c>
      <c r="ES254" s="88">
        <f t="shared" ca="1" si="478"/>
        <v>0</v>
      </c>
      <c r="ET254" s="169"/>
      <c r="EU254" s="88">
        <f t="shared" ca="1" si="479"/>
        <v>0</v>
      </c>
      <c r="EV254" s="88">
        <f t="shared" ca="1" si="479"/>
        <v>0</v>
      </c>
      <c r="EW254" s="88">
        <f t="shared" ca="1" si="479"/>
        <v>0</v>
      </c>
      <c r="EX254" s="88">
        <f t="shared" ca="1" si="479"/>
        <v>0</v>
      </c>
      <c r="EY254" s="88">
        <f t="shared" ca="1" si="479"/>
        <v>0</v>
      </c>
      <c r="EZ254" s="88">
        <f t="shared" ca="1" si="479"/>
        <v>0</v>
      </c>
      <c r="FA254" s="88">
        <f t="shared" ca="1" si="479"/>
        <v>0</v>
      </c>
      <c r="FB254" s="88">
        <f t="shared" ca="1" si="479"/>
        <v>0</v>
      </c>
      <c r="FC254" s="88">
        <f t="shared" ca="1" si="479"/>
        <v>0</v>
      </c>
      <c r="FD254" s="88">
        <f t="shared" ca="1" si="479"/>
        <v>0</v>
      </c>
      <c r="FE254" s="88">
        <f t="shared" ca="1" si="480"/>
        <v>0</v>
      </c>
      <c r="FF254" s="88">
        <f t="shared" ca="1" si="480"/>
        <v>0</v>
      </c>
      <c r="FG254" s="88">
        <f t="shared" ca="1" si="480"/>
        <v>0</v>
      </c>
      <c r="FH254" s="88">
        <f t="shared" ca="1" si="480"/>
        <v>0</v>
      </c>
      <c r="FI254" s="88">
        <f t="shared" ca="1" si="480"/>
        <v>0</v>
      </c>
      <c r="FJ254" s="88">
        <f t="shared" ca="1" si="480"/>
        <v>0</v>
      </c>
      <c r="FK254" s="88">
        <f t="shared" ca="1" si="480"/>
        <v>0</v>
      </c>
      <c r="FL254" s="88">
        <f t="shared" ca="1" si="480"/>
        <v>0</v>
      </c>
      <c r="FM254" s="88">
        <f t="shared" ca="1" si="480"/>
        <v>0</v>
      </c>
      <c r="FN254" s="88">
        <f t="shared" ca="1" si="480"/>
        <v>0</v>
      </c>
      <c r="FO254" s="88">
        <f t="shared" ca="1" si="481"/>
        <v>0</v>
      </c>
      <c r="FP254" s="88">
        <f t="shared" ca="1" si="481"/>
        <v>0</v>
      </c>
      <c r="FQ254" s="88">
        <f t="shared" ca="1" si="481"/>
        <v>0</v>
      </c>
      <c r="FR254" s="88">
        <f t="shared" ca="1" si="481"/>
        <v>0</v>
      </c>
      <c r="FS254" s="88">
        <f t="shared" ca="1" si="481"/>
        <v>0</v>
      </c>
      <c r="FT254" s="88">
        <f t="shared" ca="1" si="481"/>
        <v>0</v>
      </c>
      <c r="FU254" s="88">
        <f t="shared" ca="1" si="481"/>
        <v>0</v>
      </c>
      <c r="FV254" s="88">
        <f t="shared" ca="1" si="481"/>
        <v>0</v>
      </c>
      <c r="FW254" s="88">
        <f t="shared" ca="1" si="481"/>
        <v>0</v>
      </c>
      <c r="FX254" s="88">
        <f t="shared" ca="1" si="481"/>
        <v>0</v>
      </c>
      <c r="FY254" s="88">
        <f t="shared" ca="1" si="481"/>
        <v>0</v>
      </c>
      <c r="FZ254" s="88">
        <f t="shared" ca="1" si="481"/>
        <v>0</v>
      </c>
      <c r="GA254" s="88">
        <f t="shared" ca="1" si="481"/>
        <v>0</v>
      </c>
      <c r="GB254" s="88">
        <f t="shared" ca="1" si="481"/>
        <v>0</v>
      </c>
      <c r="GC254" s="88">
        <f t="shared" ca="1" si="481"/>
        <v>0</v>
      </c>
      <c r="GD254" s="60"/>
    </row>
    <row r="255" spans="1:186" s="54" customFormat="1" ht="14.45" customHeight="1">
      <c r="A255" s="61"/>
      <c r="B255" s="100" t="str">
        <f t="shared" si="482"/>
        <v>C&amp;I_C&amp;I Prescriptive_0_Wall Mount Occupancy_2019</v>
      </c>
      <c r="C255" s="100">
        <f>INDEX('Measure Inputs'!$D:$D,MATCH($B255,'Measure Inputs'!$B:$B,0))</f>
        <v>207</v>
      </c>
      <c r="D255" s="101" t="s">
        <v>256</v>
      </c>
      <c r="E255" s="101" t="s">
        <v>255</v>
      </c>
      <c r="F255" s="101">
        <v>0</v>
      </c>
      <c r="G255" s="101" t="s">
        <v>308</v>
      </c>
      <c r="H255" s="101">
        <v>2019</v>
      </c>
      <c r="I255" s="55"/>
      <c r="J255" s="58">
        <f t="shared" ca="1" si="229"/>
        <v>2.4375740201838694</v>
      </c>
      <c r="K255" s="58">
        <f t="shared" ca="1" si="246"/>
        <v>10.359689585781446</v>
      </c>
      <c r="L255" s="58">
        <f t="shared" ca="1" si="230"/>
        <v>0.23529411764705879</v>
      </c>
      <c r="M255" s="58">
        <f t="shared" ca="1" si="231"/>
        <v>2.9594836540245977</v>
      </c>
      <c r="N255" s="58">
        <f t="shared" ca="1" si="232"/>
        <v>10.359689585781446</v>
      </c>
      <c r="O255" s="55"/>
      <c r="P255" s="175">
        <f ca="1">IFERROR(($AW255+AV255)/SUMPRODUCT($CA255:$DI255,'General Inputs'!$F$51:$AN$51),"n/a")</f>
        <v>5.3929663087954015E-3</v>
      </c>
      <c r="Q255" s="175">
        <f t="shared" ca="1" si="454"/>
        <v>3.2681845793521264E-2</v>
      </c>
      <c r="R255" s="56">
        <f t="shared" ca="1" si="441"/>
        <v>58.748211839999996</v>
      </c>
      <c r="S255" s="55"/>
      <c r="T255" s="56">
        <f ca="1">INDEX(OFFSET('Measure Inputs'!$L$7,,,InputRows),$C255)</f>
        <v>20</v>
      </c>
      <c r="U255" s="134">
        <f ca="1">INDEX(OFFSET('Measure Inputs'!$T$7,,,InputRows),$C255)</f>
        <v>1</v>
      </c>
      <c r="V255" s="134">
        <f ca="1">INDEX(OFFSET('Measure Inputs'!$U$7,,,InputRows),$C255)</f>
        <v>1</v>
      </c>
      <c r="W255" s="55"/>
      <c r="X255" s="96">
        <f ca="1">INDEX(OFFSET('Measure Inputs'!$V$7,,,InputRows),$C255)*$T255*$V255*$U255</f>
        <v>7343.5264799999995</v>
      </c>
      <c r="Y255" s="96">
        <f ca="1">INDEX(OFFSET('Measure Inputs'!$W$7,,,InputRows),$C255)*$T255*$V255*$U255</f>
        <v>8.1129999999999995</v>
      </c>
      <c r="Z255" s="96">
        <f ca="1">INDEX(OFFSET('Measure Inputs'!$X$7,,,InputRows),$C255)*$T255*$V255*$U255</f>
        <v>0</v>
      </c>
      <c r="AA255" s="55"/>
      <c r="AB255" s="96">
        <f ca="1">INDEX(OFFSET('Measure Inputs'!$Z$7,,,InputRows),$C255)*$T255*$V255*$U255</f>
        <v>0</v>
      </c>
      <c r="AC255" s="96">
        <f ca="1">INDEX(OFFSET('Measure Inputs'!$AA$7,,,InputRows),$C255)*$T255*$V255*$U255</f>
        <v>0</v>
      </c>
      <c r="AD255" s="96">
        <f ca="1">INDEX(OFFSET('Measure Inputs'!$AB$7,,,InputRows),$C255)*$T255*$V255*$U255</f>
        <v>0</v>
      </c>
      <c r="AE255" s="55"/>
      <c r="AF255" s="57">
        <f ca="1">INDEX(OFFSET('Measure Inputs'!$Q$7,,,InputRows),$C255)*$T255</f>
        <v>0</v>
      </c>
      <c r="AG255" s="57">
        <f ca="1">INDEX(OFFSET('Measure Inputs'!$P$7,,,InputRows),$C255)*$T255*$V255</f>
        <v>1020</v>
      </c>
      <c r="AH255" s="57">
        <f ca="1">INDEX(OFFSET('Measure Inputs'!$R$7,,,InputRows),$C255)*$T255*$V255</f>
        <v>0</v>
      </c>
      <c r="AI255" s="57">
        <f ca="1">INDEX(OFFSET('Measure Inputs'!$O$7,,,InputRows),$C255)*$T255</f>
        <v>240</v>
      </c>
      <c r="AJ255" s="57">
        <f ca="1">INDEX(OFFSET('Measure Inputs'!$S$7,,,InputRows),$C255)*$T255</f>
        <v>0</v>
      </c>
      <c r="AK255" s="63">
        <f ca="1">INDEX(OFFSET('Measure Inputs'!$M$7,,,InputRows),$C255)</f>
        <v>8</v>
      </c>
      <c r="AL255" s="88">
        <f ca="1">INDEX(OFFSET('Measure Inputs'!$N$7,,,InputRows),$C255)</f>
        <v>0</v>
      </c>
      <c r="AM255" s="57">
        <f ca="1">SUMIFS(OFFSET('Program Inputs'!$N$5,,,TotalPrograms),OFFSET('Program Inputs'!$B$5,,,TotalPrograms),SUBSTITUTE($B255,"All","*"))+AF255</f>
        <v>0</v>
      </c>
      <c r="AN255" s="57">
        <f t="shared" ca="1" si="442"/>
        <v>240</v>
      </c>
      <c r="AO255" s="55"/>
      <c r="AP255" s="59">
        <f t="shared" ca="1" si="443"/>
        <v>2098.8476628107178</v>
      </c>
      <c r="AQ255" s="59">
        <f t="shared" ca="1" si="444"/>
        <v>861.03956041195374</v>
      </c>
      <c r="AR255" s="59">
        <f ca="1">SUMPRODUCT($CA255:$DI255,'General Inputs'!$F$32:$AN$32,'General Inputs'!$F$51:$AN$51)/(1-Loss_ElectricEnergy)</f>
        <v>1169.5090391057622</v>
      </c>
      <c r="AS255" s="59">
        <f ca="1">SUMPRODUCT($DK255:$ES255,'General Inputs'!$F$33:$AN$33,'General Inputs'!$F$51:$AN$51)/(1-Loss_ElectricDemand)</f>
        <v>929.33862370495558</v>
      </c>
      <c r="AT255" s="59">
        <f ca="1">SUMPRODUCT($EU255:$GC255,'General Inputs'!$F$34:$AN$34,'General Inputs'!$F$51:$AN$51)/(1-Loss_GasEnergy)</f>
        <v>0</v>
      </c>
      <c r="AU255" s="59">
        <f ca="1">INDEX('General Inputs'!$F$51:$AN$51,MATCH($H255,'General Inputs'!$F$50:$AN$50,0))*$AJ255</f>
        <v>0</v>
      </c>
      <c r="AV255" s="59">
        <f ca="1">INDEX('General Inputs'!$F$51:$AN$51,MATCH($H255,'General Inputs'!$F$50:$AN$50,0))*$AI255</f>
        <v>202.59754362634203</v>
      </c>
      <c r="AW255" s="59">
        <f ca="1">INDEX('General Inputs'!$F$51:$AN$51,MATCH($H255,'General Inputs'!$F$50:$AN$50,0))*$AM255</f>
        <v>0</v>
      </c>
      <c r="AX255" s="59">
        <f ca="1">SUM(INDEX('General Inputs'!$F$51:$AN$51,MATCH($H255,'General Inputs'!$F$50:$AN$50,0))*$AG255,INDEX('General Inputs'!$F$51:$AN$51,MATCH($H255+$AL255,'General Inputs'!$F$50:$AN$50,0))*-$AH255)</f>
        <v>861.03956041195374</v>
      </c>
      <c r="AY255" s="55"/>
      <c r="AZ255" s="59">
        <f ca="1">SUMPRODUCT($CA255:$DI255,'General Inputs'!$F$32:$AN$32,'General Inputs'!$F$52:$AN$52)/(1-Loss_ElectricEnergy)</f>
        <v>1169.5090391057622</v>
      </c>
      <c r="BA255" s="59">
        <f ca="1">SUMPRODUCT($DK255:$ES255,'General Inputs'!$F$33:$AN$33,'General Inputs'!$F$52:$AN$52)/(1-Loss_ElectricDemand)</f>
        <v>929.33862370495558</v>
      </c>
      <c r="BB255" s="59">
        <f ca="1">SUMPRODUCT($EU255:$GC255,'General Inputs'!$F$34:$AN$34,'General Inputs'!$F$52:$AN$52)/(1-Loss_GasEnergy)</f>
        <v>0</v>
      </c>
      <c r="BC255" s="59">
        <f ca="1">INDEX('General Inputs'!$F$52:$AN$52,MATCH($H255,'General Inputs'!$F$50:$AN$50,0))*$AI255</f>
        <v>202.59754362634203</v>
      </c>
      <c r="BD255" s="59">
        <f ca="1">INDEX('General Inputs'!$F$52:$AN$52,MATCH($H255,'General Inputs'!$F$50:$AN$50,0))*$AM255</f>
        <v>0</v>
      </c>
      <c r="BE255" s="55"/>
      <c r="BF255" s="59">
        <f ca="1">SUMPRODUCT($CA255:$DI255,OFFSET('General Inputs'!$F$40:$AN$40,MATCH($D255&amp;" Electric ($/kWh)",'General Inputs'!$E$40:$E$46,0),),'General Inputs'!$F$54:$AN$54)</f>
        <v>0</v>
      </c>
      <c r="BG255" s="59">
        <f ca="1">SUMPRODUCT($EU255:$GC255,OFFSET('General Inputs'!$F$40:$AN$40,MATCH($D255&amp;" Natural Gas ($/therm)",'General Inputs'!$E$40:$E$46,0),),'General Inputs'!$F$54:$AN$54)</f>
        <v>0</v>
      </c>
      <c r="BH255" s="59">
        <f ca="1">INDEX('General Inputs'!$F$54:$AN$54,MATCH($H255,'General Inputs'!$F$50:$AN$50,0))*$AI255</f>
        <v>202.59754362634203</v>
      </c>
      <c r="BI255" s="59">
        <f ca="1">SUM(INDEX('General Inputs'!$F$54:$AN$54,MATCH($H255,'General Inputs'!$F$50:$AN$50,0))*$AG255,INDEX('General Inputs'!$F$51:$AN$51,MATCH($H255+$AL255,'General Inputs'!$F$50:$AN$50,0))*-$AH255)</f>
        <v>861.03956041195374</v>
      </c>
      <c r="BJ255" s="55"/>
      <c r="BK255" s="59">
        <f ca="1">SUMPRODUCT($CA255:$DI255,'General Inputs'!$F$32:$AN$32,'General Inputs'!$F$53:$AN$53)/(1-Loss_ElectricEnergy)</f>
        <v>1169.5090391057622</v>
      </c>
      <c r="BL255" s="59">
        <f ca="1">SUMPRODUCT($DK255:$ES255,'General Inputs'!$F$33:$AN$33,'General Inputs'!$F$53:$AN$53)/(1-Loss_ElectricDemand)</f>
        <v>929.33862370495558</v>
      </c>
      <c r="BM255" s="59">
        <f ca="1">SUMPRODUCT($EU255:$GC255,'General Inputs'!$F$34:$AN$34,'General Inputs'!$F$53:$AN$53)/(1-Loss_GasEnergy)</f>
        <v>0</v>
      </c>
      <c r="BN255" s="59">
        <f ca="1">INDEX('General Inputs'!$F$53:$AN$53,MATCH($H255,'General Inputs'!$F$50:$AN$50,0))*$AJ255</f>
        <v>0</v>
      </c>
      <c r="BO255" s="59">
        <f ca="1">SUMPRODUCT($CA255:$DI255,'General Inputs'!$F$35:$AN$35,'General Inputs'!$F$53:$AN$53)/(1-Loss_ElectricEnergy)</f>
        <v>449.38484169698467</v>
      </c>
      <c r="BP255" s="59">
        <f ca="1">INDEX('General Inputs'!$F$51:$AN$51,MATCH($H255,'General Inputs'!$F$50:$AN$50,0))*$AM255</f>
        <v>0</v>
      </c>
      <c r="BQ255" s="59">
        <f ca="1">SUM(INDEX('General Inputs'!$F$53:$AN$53,MATCH($H255,'General Inputs'!$F$50:$AN$50,0))*$AG255,INDEX('General Inputs'!$F$53:$AN$53,MATCH($H255+$AL255,'General Inputs'!$F$50:$AN$50,0))*-$AH255)</f>
        <v>861.03956041195374</v>
      </c>
      <c r="BR255" s="55"/>
      <c r="BS255" s="59">
        <f ca="1">SUMPRODUCT($CA255:$DI255,'General Inputs'!$F$32:$AN$32,'General Inputs'!$F$55:$AN$55)/(1-Loss_ElectricEnergy)</f>
        <v>1169.5090391057622</v>
      </c>
      <c r="BT255" s="59">
        <f ca="1">SUMPRODUCT($DK255:$ES255,'General Inputs'!$F$33:$AN$33,'General Inputs'!$F$55:$AN$55)/(1-Loss_ElectricDemand)</f>
        <v>929.33862370495558</v>
      </c>
      <c r="BU255" s="59">
        <f ca="1">SUMPRODUCT($EU255:$GC255,'General Inputs'!$F$34:$AN$34,'General Inputs'!$F$55:$AN$55)/(1-Loss_GasEnergy)</f>
        <v>0</v>
      </c>
      <c r="BV255" s="59">
        <f ca="1">SUMPRODUCT($CA255:$DI255,OFFSET('General Inputs'!$F$40:$AN$40,MATCH($D255&amp;" Electric ($/kWh)",'General Inputs'!$E$40:$E$46,0),),'General Inputs'!$F$55:$AN$55)</f>
        <v>0</v>
      </c>
      <c r="BW255" s="59">
        <f ca="1">SUMPRODUCT($EU255:$GC255,OFFSET('General Inputs'!$F$40:$AN$40,MATCH($D255&amp;" Natural Gas ($/therm)",'General Inputs'!$E$40:$E$46,0),),'General Inputs'!$F$55:$AN$55)</f>
        <v>0</v>
      </c>
      <c r="BX255" s="59">
        <f ca="1">INDEX('General Inputs'!$F$55:$AN$55,MATCH($H255,'General Inputs'!$F$50:$AN$50,0))*$AI255</f>
        <v>202.59754362634203</v>
      </c>
      <c r="BY255" s="59">
        <f ca="1">INDEX('General Inputs'!$F$51:$AN$51,MATCH($H255,'General Inputs'!$F$50:$AN$50,0))*$AM255</f>
        <v>0</v>
      </c>
      <c r="BZ255" s="55"/>
      <c r="CA255" s="88">
        <f t="shared" ca="1" si="473"/>
        <v>0</v>
      </c>
      <c r="CB255" s="88">
        <f t="shared" ca="1" si="473"/>
        <v>0</v>
      </c>
      <c r="CC255" s="88">
        <f t="shared" ca="1" si="473"/>
        <v>7343.5264799999995</v>
      </c>
      <c r="CD255" s="88">
        <f t="shared" ca="1" si="473"/>
        <v>7343.5264799999995</v>
      </c>
      <c r="CE255" s="88">
        <f t="shared" ca="1" si="473"/>
        <v>7343.5264799999995</v>
      </c>
      <c r="CF255" s="88">
        <f t="shared" ca="1" si="473"/>
        <v>7343.5264799999995</v>
      </c>
      <c r="CG255" s="88">
        <f t="shared" ca="1" si="473"/>
        <v>7343.5264799999995</v>
      </c>
      <c r="CH255" s="88">
        <f t="shared" ca="1" si="473"/>
        <v>7343.5264799999995</v>
      </c>
      <c r="CI255" s="88">
        <f t="shared" ca="1" si="473"/>
        <v>7343.5264799999995</v>
      </c>
      <c r="CJ255" s="88">
        <f t="shared" ca="1" si="473"/>
        <v>7343.5264799999995</v>
      </c>
      <c r="CK255" s="88">
        <f t="shared" ca="1" si="474"/>
        <v>0</v>
      </c>
      <c r="CL255" s="88">
        <f t="shared" ca="1" si="474"/>
        <v>0</v>
      </c>
      <c r="CM255" s="88">
        <f t="shared" ca="1" si="474"/>
        <v>0</v>
      </c>
      <c r="CN255" s="88">
        <f t="shared" ca="1" si="474"/>
        <v>0</v>
      </c>
      <c r="CO255" s="88">
        <f t="shared" ca="1" si="474"/>
        <v>0</v>
      </c>
      <c r="CP255" s="88">
        <f t="shared" ca="1" si="474"/>
        <v>0</v>
      </c>
      <c r="CQ255" s="88">
        <f t="shared" ca="1" si="474"/>
        <v>0</v>
      </c>
      <c r="CR255" s="88">
        <f t="shared" ca="1" si="474"/>
        <v>0</v>
      </c>
      <c r="CS255" s="88">
        <f t="shared" ca="1" si="474"/>
        <v>0</v>
      </c>
      <c r="CT255" s="88">
        <f t="shared" ca="1" si="474"/>
        <v>0</v>
      </c>
      <c r="CU255" s="88">
        <f t="shared" ca="1" si="475"/>
        <v>0</v>
      </c>
      <c r="CV255" s="88">
        <f t="shared" ca="1" si="475"/>
        <v>0</v>
      </c>
      <c r="CW255" s="88">
        <f t="shared" ca="1" si="475"/>
        <v>0</v>
      </c>
      <c r="CX255" s="88">
        <f t="shared" ca="1" si="475"/>
        <v>0</v>
      </c>
      <c r="CY255" s="88">
        <f t="shared" ca="1" si="475"/>
        <v>0</v>
      </c>
      <c r="CZ255" s="88">
        <f t="shared" ca="1" si="475"/>
        <v>0</v>
      </c>
      <c r="DA255" s="88">
        <f t="shared" ca="1" si="475"/>
        <v>0</v>
      </c>
      <c r="DB255" s="88">
        <f t="shared" ca="1" si="475"/>
        <v>0</v>
      </c>
      <c r="DC255" s="88">
        <f t="shared" ca="1" si="475"/>
        <v>0</v>
      </c>
      <c r="DD255" s="88">
        <f t="shared" ca="1" si="475"/>
        <v>0</v>
      </c>
      <c r="DE255" s="88">
        <f t="shared" ca="1" si="475"/>
        <v>0</v>
      </c>
      <c r="DF255" s="88">
        <f t="shared" ca="1" si="475"/>
        <v>0</v>
      </c>
      <c r="DG255" s="88">
        <f t="shared" ca="1" si="475"/>
        <v>0</v>
      </c>
      <c r="DH255" s="88">
        <f t="shared" ca="1" si="475"/>
        <v>0</v>
      </c>
      <c r="DI255" s="88">
        <f t="shared" ca="1" si="475"/>
        <v>0</v>
      </c>
      <c r="DJ255" s="169"/>
      <c r="DK255" s="88">
        <f t="shared" ca="1" si="476"/>
        <v>0</v>
      </c>
      <c r="DL255" s="88">
        <f t="shared" ca="1" si="476"/>
        <v>0</v>
      </c>
      <c r="DM255" s="88">
        <f t="shared" ca="1" si="476"/>
        <v>8.1129999999999995</v>
      </c>
      <c r="DN255" s="88">
        <f t="shared" ca="1" si="476"/>
        <v>8.1129999999999995</v>
      </c>
      <c r="DO255" s="88">
        <f t="shared" ca="1" si="476"/>
        <v>8.1129999999999995</v>
      </c>
      <c r="DP255" s="88">
        <f t="shared" ca="1" si="476"/>
        <v>8.1129999999999995</v>
      </c>
      <c r="DQ255" s="88">
        <f t="shared" ca="1" si="476"/>
        <v>8.1129999999999995</v>
      </c>
      <c r="DR255" s="88">
        <f t="shared" ca="1" si="476"/>
        <v>8.1129999999999995</v>
      </c>
      <c r="DS255" s="88">
        <f t="shared" ca="1" si="476"/>
        <v>8.1129999999999995</v>
      </c>
      <c r="DT255" s="88">
        <f t="shared" ca="1" si="476"/>
        <v>8.1129999999999995</v>
      </c>
      <c r="DU255" s="88">
        <f t="shared" ca="1" si="477"/>
        <v>0</v>
      </c>
      <c r="DV255" s="88">
        <f t="shared" ca="1" si="477"/>
        <v>0</v>
      </c>
      <c r="DW255" s="88">
        <f t="shared" ca="1" si="477"/>
        <v>0</v>
      </c>
      <c r="DX255" s="88">
        <f t="shared" ca="1" si="477"/>
        <v>0</v>
      </c>
      <c r="DY255" s="88">
        <f t="shared" ca="1" si="477"/>
        <v>0</v>
      </c>
      <c r="DZ255" s="88">
        <f t="shared" ca="1" si="477"/>
        <v>0</v>
      </c>
      <c r="EA255" s="88">
        <f t="shared" ca="1" si="477"/>
        <v>0</v>
      </c>
      <c r="EB255" s="88">
        <f t="shared" ca="1" si="477"/>
        <v>0</v>
      </c>
      <c r="EC255" s="88">
        <f t="shared" ca="1" si="477"/>
        <v>0</v>
      </c>
      <c r="ED255" s="88">
        <f t="shared" ca="1" si="477"/>
        <v>0</v>
      </c>
      <c r="EE255" s="88">
        <f t="shared" ca="1" si="478"/>
        <v>0</v>
      </c>
      <c r="EF255" s="88">
        <f t="shared" ca="1" si="478"/>
        <v>0</v>
      </c>
      <c r="EG255" s="88">
        <f t="shared" ca="1" si="478"/>
        <v>0</v>
      </c>
      <c r="EH255" s="88">
        <f t="shared" ca="1" si="478"/>
        <v>0</v>
      </c>
      <c r="EI255" s="88">
        <f t="shared" ca="1" si="478"/>
        <v>0</v>
      </c>
      <c r="EJ255" s="88">
        <f t="shared" ca="1" si="478"/>
        <v>0</v>
      </c>
      <c r="EK255" s="88">
        <f t="shared" ca="1" si="478"/>
        <v>0</v>
      </c>
      <c r="EL255" s="88">
        <f t="shared" ca="1" si="478"/>
        <v>0</v>
      </c>
      <c r="EM255" s="88">
        <f t="shared" ca="1" si="478"/>
        <v>0</v>
      </c>
      <c r="EN255" s="88">
        <f t="shared" ca="1" si="478"/>
        <v>0</v>
      </c>
      <c r="EO255" s="88">
        <f t="shared" ca="1" si="478"/>
        <v>0</v>
      </c>
      <c r="EP255" s="88">
        <f t="shared" ca="1" si="478"/>
        <v>0</v>
      </c>
      <c r="EQ255" s="88">
        <f t="shared" ca="1" si="478"/>
        <v>0</v>
      </c>
      <c r="ER255" s="88">
        <f t="shared" ca="1" si="478"/>
        <v>0</v>
      </c>
      <c r="ES255" s="88">
        <f t="shared" ca="1" si="478"/>
        <v>0</v>
      </c>
      <c r="ET255" s="169"/>
      <c r="EU255" s="88">
        <f t="shared" ca="1" si="479"/>
        <v>0</v>
      </c>
      <c r="EV255" s="88">
        <f t="shared" ca="1" si="479"/>
        <v>0</v>
      </c>
      <c r="EW255" s="88">
        <f t="shared" ca="1" si="479"/>
        <v>0</v>
      </c>
      <c r="EX255" s="88">
        <f t="shared" ca="1" si="479"/>
        <v>0</v>
      </c>
      <c r="EY255" s="88">
        <f t="shared" ca="1" si="479"/>
        <v>0</v>
      </c>
      <c r="EZ255" s="88">
        <f t="shared" ca="1" si="479"/>
        <v>0</v>
      </c>
      <c r="FA255" s="88">
        <f t="shared" ca="1" si="479"/>
        <v>0</v>
      </c>
      <c r="FB255" s="88">
        <f t="shared" ca="1" si="479"/>
        <v>0</v>
      </c>
      <c r="FC255" s="88">
        <f t="shared" ca="1" si="479"/>
        <v>0</v>
      </c>
      <c r="FD255" s="88">
        <f t="shared" ca="1" si="479"/>
        <v>0</v>
      </c>
      <c r="FE255" s="88">
        <f t="shared" ca="1" si="480"/>
        <v>0</v>
      </c>
      <c r="FF255" s="88">
        <f t="shared" ca="1" si="480"/>
        <v>0</v>
      </c>
      <c r="FG255" s="88">
        <f t="shared" ca="1" si="480"/>
        <v>0</v>
      </c>
      <c r="FH255" s="88">
        <f t="shared" ca="1" si="480"/>
        <v>0</v>
      </c>
      <c r="FI255" s="88">
        <f t="shared" ca="1" si="480"/>
        <v>0</v>
      </c>
      <c r="FJ255" s="88">
        <f t="shared" ca="1" si="480"/>
        <v>0</v>
      </c>
      <c r="FK255" s="88">
        <f t="shared" ca="1" si="480"/>
        <v>0</v>
      </c>
      <c r="FL255" s="88">
        <f t="shared" ca="1" si="480"/>
        <v>0</v>
      </c>
      <c r="FM255" s="88">
        <f t="shared" ca="1" si="480"/>
        <v>0</v>
      </c>
      <c r="FN255" s="88">
        <f t="shared" ca="1" si="480"/>
        <v>0</v>
      </c>
      <c r="FO255" s="88">
        <f t="shared" ca="1" si="481"/>
        <v>0</v>
      </c>
      <c r="FP255" s="88">
        <f t="shared" ca="1" si="481"/>
        <v>0</v>
      </c>
      <c r="FQ255" s="88">
        <f t="shared" ca="1" si="481"/>
        <v>0</v>
      </c>
      <c r="FR255" s="88">
        <f t="shared" ca="1" si="481"/>
        <v>0</v>
      </c>
      <c r="FS255" s="88">
        <f t="shared" ca="1" si="481"/>
        <v>0</v>
      </c>
      <c r="FT255" s="88">
        <f t="shared" ca="1" si="481"/>
        <v>0</v>
      </c>
      <c r="FU255" s="88">
        <f t="shared" ca="1" si="481"/>
        <v>0</v>
      </c>
      <c r="FV255" s="88">
        <f t="shared" ca="1" si="481"/>
        <v>0</v>
      </c>
      <c r="FW255" s="88">
        <f t="shared" ca="1" si="481"/>
        <v>0</v>
      </c>
      <c r="FX255" s="88">
        <f t="shared" ca="1" si="481"/>
        <v>0</v>
      </c>
      <c r="FY255" s="88">
        <f t="shared" ca="1" si="481"/>
        <v>0</v>
      </c>
      <c r="FZ255" s="88">
        <f t="shared" ca="1" si="481"/>
        <v>0</v>
      </c>
      <c r="GA255" s="88">
        <f t="shared" ca="1" si="481"/>
        <v>0</v>
      </c>
      <c r="GB255" s="88">
        <f t="shared" ca="1" si="481"/>
        <v>0</v>
      </c>
      <c r="GC255" s="88">
        <f t="shared" ca="1" si="481"/>
        <v>0</v>
      </c>
      <c r="GD255" s="60"/>
    </row>
    <row r="256" spans="1:186" s="54" customFormat="1" ht="14.45" customHeight="1">
      <c r="A256" s="61"/>
      <c r="B256" s="100" t="str">
        <f t="shared" si="482"/>
        <v>C&amp;I_C&amp;I Prescriptive_0_Fixture Mount Occupancy_2019</v>
      </c>
      <c r="C256" s="100">
        <f>INDEX('Measure Inputs'!$D:$D,MATCH($B256,'Measure Inputs'!$B:$B,0))</f>
        <v>208</v>
      </c>
      <c r="D256" s="101" t="s">
        <v>256</v>
      </c>
      <c r="E256" s="101" t="s">
        <v>255</v>
      </c>
      <c r="F256" s="101">
        <v>0</v>
      </c>
      <c r="G256" s="101" t="s">
        <v>309</v>
      </c>
      <c r="H256" s="101">
        <v>2019</v>
      </c>
      <c r="I256" s="55"/>
      <c r="J256" s="58">
        <f t="shared" ca="1" si="229"/>
        <v>0.79746719548424516</v>
      </c>
      <c r="K256" s="58">
        <f t="shared" ca="1" si="246"/>
        <v>6.1139151653792139</v>
      </c>
      <c r="L256" s="58">
        <f t="shared" ca="1" si="230"/>
        <v>0.13043478260869565</v>
      </c>
      <c r="M256" s="58">
        <f t="shared" ca="1" si="231"/>
        <v>0.96821311275644362</v>
      </c>
      <c r="N256" s="58">
        <f t="shared" ca="1" si="232"/>
        <v>6.1139151653792139</v>
      </c>
      <c r="O256" s="55"/>
      <c r="P256" s="175">
        <f ca="1">IFERROR(($AW256+AV256)/SUMPRODUCT($CA256:$DI256,'General Inputs'!$F$51:$AN$51),"n/a")</f>
        <v>9.1380818010144329E-3</v>
      </c>
      <c r="Q256" s="175">
        <f t="shared" ca="1" si="454"/>
        <v>5.5377572039022153E-2</v>
      </c>
      <c r="R256" s="56">
        <f t="shared" ca="1" si="441"/>
        <v>34.67107584</v>
      </c>
      <c r="S256" s="55"/>
      <c r="T256" s="56">
        <f ca="1">INDEX(OFFSET('Measure Inputs'!$L$7,,,InputRows),$C256)</f>
        <v>20</v>
      </c>
      <c r="U256" s="134">
        <f ca="1">INDEX(OFFSET('Measure Inputs'!$T$7,,,InputRows),$C256)</f>
        <v>1</v>
      </c>
      <c r="V256" s="134">
        <f ca="1">INDEX(OFFSET('Measure Inputs'!$U$7,,,InputRows),$C256)</f>
        <v>1</v>
      </c>
      <c r="W256" s="55"/>
      <c r="X256" s="96">
        <f ca="1">INDEX(OFFSET('Measure Inputs'!$V$7,,,InputRows),$C256)*$T256*$V256*$U256</f>
        <v>4333.8844799999988</v>
      </c>
      <c r="Y256" s="96">
        <f ca="1">INDEX(OFFSET('Measure Inputs'!$W$7,,,InputRows),$C256)*$T256*$V256*$U256</f>
        <v>4.7880000000000003</v>
      </c>
      <c r="Z256" s="96">
        <f ca="1">INDEX(OFFSET('Measure Inputs'!$X$7,,,InputRows),$C256)*$T256*$V256*$U256</f>
        <v>0</v>
      </c>
      <c r="AA256" s="55"/>
      <c r="AB256" s="96">
        <f ca="1">INDEX(OFFSET('Measure Inputs'!$Z$7,,,InputRows),$C256)*$T256*$V256*$U256</f>
        <v>0</v>
      </c>
      <c r="AC256" s="96">
        <f ca="1">INDEX(OFFSET('Measure Inputs'!$AA$7,,,InputRows),$C256)*$T256*$V256*$U256</f>
        <v>0</v>
      </c>
      <c r="AD256" s="96">
        <f ca="1">INDEX(OFFSET('Measure Inputs'!$AB$7,,,InputRows),$C256)*$T256*$V256*$U256</f>
        <v>0</v>
      </c>
      <c r="AE256" s="55"/>
      <c r="AF256" s="57">
        <f ca="1">INDEX(OFFSET('Measure Inputs'!$Q$7,,,InputRows),$C256)*$T256</f>
        <v>0</v>
      </c>
      <c r="AG256" s="57">
        <f ca="1">INDEX(OFFSET('Measure Inputs'!$P$7,,,InputRows),$C256)*$T256*$V256</f>
        <v>1840</v>
      </c>
      <c r="AH256" s="57">
        <f ca="1">INDEX(OFFSET('Measure Inputs'!$R$7,,,InputRows),$C256)*$T256*$V256</f>
        <v>0</v>
      </c>
      <c r="AI256" s="57">
        <f ca="1">INDEX(OFFSET('Measure Inputs'!$O$7,,,InputRows),$C256)*$T256</f>
        <v>240</v>
      </c>
      <c r="AJ256" s="57">
        <f ca="1">INDEX(OFFSET('Measure Inputs'!$S$7,,,InputRows),$C256)*$T256</f>
        <v>0</v>
      </c>
      <c r="AK256" s="63">
        <f ca="1">INDEX(OFFSET('Measure Inputs'!$M$7,,,InputRows),$C256)</f>
        <v>8</v>
      </c>
      <c r="AL256" s="88">
        <f ca="1">INDEX(OFFSET('Measure Inputs'!$N$7,,,InputRows),$C256)</f>
        <v>0</v>
      </c>
      <c r="AM256" s="57">
        <f ca="1">SUMIFS(OFFSET('Program Inputs'!$N$5,,,TotalPrograms),OFFSET('Program Inputs'!$B$5,,,TotalPrograms),SUBSTITUTE($B256,"All","*"))+AF256</f>
        <v>0</v>
      </c>
      <c r="AN256" s="57">
        <f t="shared" ca="1" si="442"/>
        <v>240</v>
      </c>
      <c r="AO256" s="55"/>
      <c r="AP256" s="59">
        <f t="shared" ca="1" si="443"/>
        <v>1238.6641944456694</v>
      </c>
      <c r="AQ256" s="59">
        <f t="shared" ca="1" si="444"/>
        <v>1553.2478344686224</v>
      </c>
      <c r="AR256" s="59">
        <f ca="1">SUMPRODUCT($CA256:$DI256,'General Inputs'!$F$32:$AN$32,'General Inputs'!$F$51:$AN$51)/(1-Loss_ElectricEnergy)</f>
        <v>690.20205586569557</v>
      </c>
      <c r="AS256" s="59">
        <f ca="1">SUMPRODUCT($DK256:$ES256,'General Inputs'!$F$33:$AN$33,'General Inputs'!$F$51:$AN$51)/(1-Loss_ElectricDemand)</f>
        <v>548.46213857997384</v>
      </c>
      <c r="AT256" s="59">
        <f ca="1">SUMPRODUCT($EU256:$GC256,'General Inputs'!$F$34:$AN$34,'General Inputs'!$F$51:$AN$51)/(1-Loss_GasEnergy)</f>
        <v>0</v>
      </c>
      <c r="AU256" s="59">
        <f ca="1">INDEX('General Inputs'!$F$51:$AN$51,MATCH($H256,'General Inputs'!$F$50:$AN$50,0))*$AJ256</f>
        <v>0</v>
      </c>
      <c r="AV256" s="59">
        <f ca="1">INDEX('General Inputs'!$F$51:$AN$51,MATCH($H256,'General Inputs'!$F$50:$AN$50,0))*$AI256</f>
        <v>202.59754362634203</v>
      </c>
      <c r="AW256" s="59">
        <f ca="1">INDEX('General Inputs'!$F$51:$AN$51,MATCH($H256,'General Inputs'!$F$50:$AN$50,0))*$AM256</f>
        <v>0</v>
      </c>
      <c r="AX256" s="59">
        <f ca="1">SUM(INDEX('General Inputs'!$F$51:$AN$51,MATCH($H256,'General Inputs'!$F$50:$AN$50,0))*$AG256,INDEX('General Inputs'!$F$51:$AN$51,MATCH($H256+$AL256,'General Inputs'!$F$50:$AN$50,0))*-$AH256)</f>
        <v>1553.2478344686224</v>
      </c>
      <c r="AY256" s="55"/>
      <c r="AZ256" s="59">
        <f ca="1">SUMPRODUCT($CA256:$DI256,'General Inputs'!$F$32:$AN$32,'General Inputs'!$F$52:$AN$52)/(1-Loss_ElectricEnergy)</f>
        <v>690.20205586569557</v>
      </c>
      <c r="BA256" s="59">
        <f ca="1">SUMPRODUCT($DK256:$ES256,'General Inputs'!$F$33:$AN$33,'General Inputs'!$F$52:$AN$52)/(1-Loss_ElectricDemand)</f>
        <v>548.46213857997384</v>
      </c>
      <c r="BB256" s="59">
        <f ca="1">SUMPRODUCT($EU256:$GC256,'General Inputs'!$F$34:$AN$34,'General Inputs'!$F$52:$AN$52)/(1-Loss_GasEnergy)</f>
        <v>0</v>
      </c>
      <c r="BC256" s="59">
        <f ca="1">INDEX('General Inputs'!$F$52:$AN$52,MATCH($H256,'General Inputs'!$F$50:$AN$50,0))*$AI256</f>
        <v>202.59754362634203</v>
      </c>
      <c r="BD256" s="59">
        <f ca="1">INDEX('General Inputs'!$F$52:$AN$52,MATCH($H256,'General Inputs'!$F$50:$AN$50,0))*$AM256</f>
        <v>0</v>
      </c>
      <c r="BE256" s="55"/>
      <c r="BF256" s="59">
        <f ca="1">SUMPRODUCT($CA256:$DI256,OFFSET('General Inputs'!$F$40:$AN$40,MATCH($D256&amp;" Electric ($/kWh)",'General Inputs'!$E$40:$E$46,0),),'General Inputs'!$F$54:$AN$54)</f>
        <v>0</v>
      </c>
      <c r="BG256" s="59">
        <f ca="1">SUMPRODUCT($EU256:$GC256,OFFSET('General Inputs'!$F$40:$AN$40,MATCH($D256&amp;" Natural Gas ($/therm)",'General Inputs'!$E$40:$E$46,0),),'General Inputs'!$F$54:$AN$54)</f>
        <v>0</v>
      </c>
      <c r="BH256" s="59">
        <f ca="1">INDEX('General Inputs'!$F$54:$AN$54,MATCH($H256,'General Inputs'!$F$50:$AN$50,0))*$AI256</f>
        <v>202.59754362634203</v>
      </c>
      <c r="BI256" s="59">
        <f ca="1">SUM(INDEX('General Inputs'!$F$54:$AN$54,MATCH($H256,'General Inputs'!$F$50:$AN$50,0))*$AG256,INDEX('General Inputs'!$F$51:$AN$51,MATCH($H256+$AL256,'General Inputs'!$F$50:$AN$50,0))*-$AH256)</f>
        <v>1553.2478344686224</v>
      </c>
      <c r="BJ256" s="55"/>
      <c r="BK256" s="59">
        <f ca="1">SUMPRODUCT($CA256:$DI256,'General Inputs'!$F$32:$AN$32,'General Inputs'!$F$53:$AN$53)/(1-Loss_ElectricEnergy)</f>
        <v>690.20205586569557</v>
      </c>
      <c r="BL256" s="59">
        <f ca="1">SUMPRODUCT($DK256:$ES256,'General Inputs'!$F$33:$AN$33,'General Inputs'!$F$53:$AN$53)/(1-Loss_ElectricDemand)</f>
        <v>548.46213857997384</v>
      </c>
      <c r="BM256" s="59">
        <f ca="1">SUMPRODUCT($EU256:$GC256,'General Inputs'!$F$34:$AN$34,'General Inputs'!$F$53:$AN$53)/(1-Loss_GasEnergy)</f>
        <v>0</v>
      </c>
      <c r="BN256" s="59">
        <f ca="1">INDEX('General Inputs'!$F$53:$AN$53,MATCH($H256,'General Inputs'!$F$50:$AN$50,0))*$AJ256</f>
        <v>0</v>
      </c>
      <c r="BO256" s="59">
        <f ca="1">SUMPRODUCT($CA256:$DI256,'General Inputs'!$F$35:$AN$35,'General Inputs'!$F$53:$AN$53)/(1-Loss_ElectricEnergy)</f>
        <v>265.21072624740071</v>
      </c>
      <c r="BP256" s="59">
        <f ca="1">INDEX('General Inputs'!$F$51:$AN$51,MATCH($H256,'General Inputs'!$F$50:$AN$50,0))*$AM256</f>
        <v>0</v>
      </c>
      <c r="BQ256" s="59">
        <f ca="1">SUM(INDEX('General Inputs'!$F$53:$AN$53,MATCH($H256,'General Inputs'!$F$50:$AN$50,0))*$AG256,INDEX('General Inputs'!$F$53:$AN$53,MATCH($H256+$AL256,'General Inputs'!$F$50:$AN$50,0))*-$AH256)</f>
        <v>1553.2478344686224</v>
      </c>
      <c r="BR256" s="55"/>
      <c r="BS256" s="59">
        <f ca="1">SUMPRODUCT($CA256:$DI256,'General Inputs'!$F$32:$AN$32,'General Inputs'!$F$55:$AN$55)/(1-Loss_ElectricEnergy)</f>
        <v>690.20205586569557</v>
      </c>
      <c r="BT256" s="59">
        <f ca="1">SUMPRODUCT($DK256:$ES256,'General Inputs'!$F$33:$AN$33,'General Inputs'!$F$55:$AN$55)/(1-Loss_ElectricDemand)</f>
        <v>548.46213857997384</v>
      </c>
      <c r="BU256" s="59">
        <f ca="1">SUMPRODUCT($EU256:$GC256,'General Inputs'!$F$34:$AN$34,'General Inputs'!$F$55:$AN$55)/(1-Loss_GasEnergy)</f>
        <v>0</v>
      </c>
      <c r="BV256" s="59">
        <f ca="1">SUMPRODUCT($CA256:$DI256,OFFSET('General Inputs'!$F$40:$AN$40,MATCH($D256&amp;" Electric ($/kWh)",'General Inputs'!$E$40:$E$46,0),),'General Inputs'!$F$55:$AN$55)</f>
        <v>0</v>
      </c>
      <c r="BW256" s="59">
        <f ca="1">SUMPRODUCT($EU256:$GC256,OFFSET('General Inputs'!$F$40:$AN$40,MATCH($D256&amp;" Natural Gas ($/therm)",'General Inputs'!$E$40:$E$46,0),),'General Inputs'!$F$55:$AN$55)</f>
        <v>0</v>
      </c>
      <c r="BX256" s="59">
        <f ca="1">INDEX('General Inputs'!$F$55:$AN$55,MATCH($H256,'General Inputs'!$F$50:$AN$50,0))*$AI256</f>
        <v>202.59754362634203</v>
      </c>
      <c r="BY256" s="59">
        <f ca="1">INDEX('General Inputs'!$F$51:$AN$51,MATCH($H256,'General Inputs'!$F$50:$AN$50,0))*$AM256</f>
        <v>0</v>
      </c>
      <c r="BZ256" s="55"/>
      <c r="CA256" s="88">
        <f t="shared" ca="1" si="473"/>
        <v>0</v>
      </c>
      <c r="CB256" s="88">
        <f t="shared" ca="1" si="473"/>
        <v>0</v>
      </c>
      <c r="CC256" s="88">
        <f t="shared" ca="1" si="473"/>
        <v>4333.8844799999988</v>
      </c>
      <c r="CD256" s="88">
        <f t="shared" ca="1" si="473"/>
        <v>4333.8844799999988</v>
      </c>
      <c r="CE256" s="88">
        <f t="shared" ca="1" si="473"/>
        <v>4333.8844799999988</v>
      </c>
      <c r="CF256" s="88">
        <f t="shared" ca="1" si="473"/>
        <v>4333.8844799999988</v>
      </c>
      <c r="CG256" s="88">
        <f t="shared" ca="1" si="473"/>
        <v>4333.8844799999988</v>
      </c>
      <c r="CH256" s="88">
        <f t="shared" ca="1" si="473"/>
        <v>4333.8844799999988</v>
      </c>
      <c r="CI256" s="88">
        <f t="shared" ca="1" si="473"/>
        <v>4333.8844799999988</v>
      </c>
      <c r="CJ256" s="88">
        <f t="shared" ca="1" si="473"/>
        <v>4333.8844799999988</v>
      </c>
      <c r="CK256" s="88">
        <f t="shared" ca="1" si="474"/>
        <v>0</v>
      </c>
      <c r="CL256" s="88">
        <f t="shared" ca="1" si="474"/>
        <v>0</v>
      </c>
      <c r="CM256" s="88">
        <f t="shared" ca="1" si="474"/>
        <v>0</v>
      </c>
      <c r="CN256" s="88">
        <f t="shared" ca="1" si="474"/>
        <v>0</v>
      </c>
      <c r="CO256" s="88">
        <f t="shared" ca="1" si="474"/>
        <v>0</v>
      </c>
      <c r="CP256" s="88">
        <f t="shared" ca="1" si="474"/>
        <v>0</v>
      </c>
      <c r="CQ256" s="88">
        <f t="shared" ca="1" si="474"/>
        <v>0</v>
      </c>
      <c r="CR256" s="88">
        <f t="shared" ca="1" si="474"/>
        <v>0</v>
      </c>
      <c r="CS256" s="88">
        <f t="shared" ca="1" si="474"/>
        <v>0</v>
      </c>
      <c r="CT256" s="88">
        <f t="shared" ca="1" si="474"/>
        <v>0</v>
      </c>
      <c r="CU256" s="88">
        <f t="shared" ca="1" si="475"/>
        <v>0</v>
      </c>
      <c r="CV256" s="88">
        <f t="shared" ca="1" si="475"/>
        <v>0</v>
      </c>
      <c r="CW256" s="88">
        <f t="shared" ca="1" si="475"/>
        <v>0</v>
      </c>
      <c r="CX256" s="88">
        <f t="shared" ca="1" si="475"/>
        <v>0</v>
      </c>
      <c r="CY256" s="88">
        <f t="shared" ca="1" si="475"/>
        <v>0</v>
      </c>
      <c r="CZ256" s="88">
        <f t="shared" ca="1" si="475"/>
        <v>0</v>
      </c>
      <c r="DA256" s="88">
        <f t="shared" ca="1" si="475"/>
        <v>0</v>
      </c>
      <c r="DB256" s="88">
        <f t="shared" ca="1" si="475"/>
        <v>0</v>
      </c>
      <c r="DC256" s="88">
        <f t="shared" ca="1" si="475"/>
        <v>0</v>
      </c>
      <c r="DD256" s="88">
        <f t="shared" ca="1" si="475"/>
        <v>0</v>
      </c>
      <c r="DE256" s="88">
        <f t="shared" ca="1" si="475"/>
        <v>0</v>
      </c>
      <c r="DF256" s="88">
        <f t="shared" ca="1" si="475"/>
        <v>0</v>
      </c>
      <c r="DG256" s="88">
        <f t="shared" ca="1" si="475"/>
        <v>0</v>
      </c>
      <c r="DH256" s="88">
        <f t="shared" ca="1" si="475"/>
        <v>0</v>
      </c>
      <c r="DI256" s="88">
        <f t="shared" ca="1" si="475"/>
        <v>0</v>
      </c>
      <c r="DJ256" s="169"/>
      <c r="DK256" s="88">
        <f t="shared" ca="1" si="476"/>
        <v>0</v>
      </c>
      <c r="DL256" s="88">
        <f t="shared" ca="1" si="476"/>
        <v>0</v>
      </c>
      <c r="DM256" s="88">
        <f t="shared" ca="1" si="476"/>
        <v>4.7880000000000003</v>
      </c>
      <c r="DN256" s="88">
        <f t="shared" ca="1" si="476"/>
        <v>4.7880000000000003</v>
      </c>
      <c r="DO256" s="88">
        <f t="shared" ca="1" si="476"/>
        <v>4.7880000000000003</v>
      </c>
      <c r="DP256" s="88">
        <f t="shared" ca="1" si="476"/>
        <v>4.7880000000000003</v>
      </c>
      <c r="DQ256" s="88">
        <f t="shared" ca="1" si="476"/>
        <v>4.7880000000000003</v>
      </c>
      <c r="DR256" s="88">
        <f t="shared" ca="1" si="476"/>
        <v>4.7880000000000003</v>
      </c>
      <c r="DS256" s="88">
        <f t="shared" ca="1" si="476"/>
        <v>4.7880000000000003</v>
      </c>
      <c r="DT256" s="88">
        <f t="shared" ca="1" si="476"/>
        <v>4.7880000000000003</v>
      </c>
      <c r="DU256" s="88">
        <f t="shared" ca="1" si="477"/>
        <v>0</v>
      </c>
      <c r="DV256" s="88">
        <f t="shared" ca="1" si="477"/>
        <v>0</v>
      </c>
      <c r="DW256" s="88">
        <f t="shared" ca="1" si="477"/>
        <v>0</v>
      </c>
      <c r="DX256" s="88">
        <f t="shared" ca="1" si="477"/>
        <v>0</v>
      </c>
      <c r="DY256" s="88">
        <f t="shared" ca="1" si="477"/>
        <v>0</v>
      </c>
      <c r="DZ256" s="88">
        <f t="shared" ca="1" si="477"/>
        <v>0</v>
      </c>
      <c r="EA256" s="88">
        <f t="shared" ca="1" si="477"/>
        <v>0</v>
      </c>
      <c r="EB256" s="88">
        <f t="shared" ca="1" si="477"/>
        <v>0</v>
      </c>
      <c r="EC256" s="88">
        <f t="shared" ca="1" si="477"/>
        <v>0</v>
      </c>
      <c r="ED256" s="88">
        <f t="shared" ca="1" si="477"/>
        <v>0</v>
      </c>
      <c r="EE256" s="88">
        <f t="shared" ca="1" si="478"/>
        <v>0</v>
      </c>
      <c r="EF256" s="88">
        <f t="shared" ca="1" si="478"/>
        <v>0</v>
      </c>
      <c r="EG256" s="88">
        <f t="shared" ca="1" si="478"/>
        <v>0</v>
      </c>
      <c r="EH256" s="88">
        <f t="shared" ca="1" si="478"/>
        <v>0</v>
      </c>
      <c r="EI256" s="88">
        <f t="shared" ca="1" si="478"/>
        <v>0</v>
      </c>
      <c r="EJ256" s="88">
        <f t="shared" ca="1" si="478"/>
        <v>0</v>
      </c>
      <c r="EK256" s="88">
        <f t="shared" ca="1" si="478"/>
        <v>0</v>
      </c>
      <c r="EL256" s="88">
        <f t="shared" ca="1" si="478"/>
        <v>0</v>
      </c>
      <c r="EM256" s="88">
        <f t="shared" ca="1" si="478"/>
        <v>0</v>
      </c>
      <c r="EN256" s="88">
        <f t="shared" ca="1" si="478"/>
        <v>0</v>
      </c>
      <c r="EO256" s="88">
        <f t="shared" ca="1" si="478"/>
        <v>0</v>
      </c>
      <c r="EP256" s="88">
        <f t="shared" ca="1" si="478"/>
        <v>0</v>
      </c>
      <c r="EQ256" s="88">
        <f t="shared" ca="1" si="478"/>
        <v>0</v>
      </c>
      <c r="ER256" s="88">
        <f t="shared" ca="1" si="478"/>
        <v>0</v>
      </c>
      <c r="ES256" s="88">
        <f t="shared" ca="1" si="478"/>
        <v>0</v>
      </c>
      <c r="ET256" s="169"/>
      <c r="EU256" s="88">
        <f t="shared" ca="1" si="479"/>
        <v>0</v>
      </c>
      <c r="EV256" s="88">
        <f t="shared" ca="1" si="479"/>
        <v>0</v>
      </c>
      <c r="EW256" s="88">
        <f t="shared" ca="1" si="479"/>
        <v>0</v>
      </c>
      <c r="EX256" s="88">
        <f t="shared" ca="1" si="479"/>
        <v>0</v>
      </c>
      <c r="EY256" s="88">
        <f t="shared" ca="1" si="479"/>
        <v>0</v>
      </c>
      <c r="EZ256" s="88">
        <f t="shared" ca="1" si="479"/>
        <v>0</v>
      </c>
      <c r="FA256" s="88">
        <f t="shared" ca="1" si="479"/>
        <v>0</v>
      </c>
      <c r="FB256" s="88">
        <f t="shared" ca="1" si="479"/>
        <v>0</v>
      </c>
      <c r="FC256" s="88">
        <f t="shared" ca="1" si="479"/>
        <v>0</v>
      </c>
      <c r="FD256" s="88">
        <f t="shared" ca="1" si="479"/>
        <v>0</v>
      </c>
      <c r="FE256" s="88">
        <f t="shared" ca="1" si="480"/>
        <v>0</v>
      </c>
      <c r="FF256" s="88">
        <f t="shared" ca="1" si="480"/>
        <v>0</v>
      </c>
      <c r="FG256" s="88">
        <f t="shared" ca="1" si="480"/>
        <v>0</v>
      </c>
      <c r="FH256" s="88">
        <f t="shared" ca="1" si="480"/>
        <v>0</v>
      </c>
      <c r="FI256" s="88">
        <f t="shared" ca="1" si="480"/>
        <v>0</v>
      </c>
      <c r="FJ256" s="88">
        <f t="shared" ca="1" si="480"/>
        <v>0</v>
      </c>
      <c r="FK256" s="88">
        <f t="shared" ca="1" si="480"/>
        <v>0</v>
      </c>
      <c r="FL256" s="88">
        <f t="shared" ca="1" si="480"/>
        <v>0</v>
      </c>
      <c r="FM256" s="88">
        <f t="shared" ca="1" si="480"/>
        <v>0</v>
      </c>
      <c r="FN256" s="88">
        <f t="shared" ca="1" si="480"/>
        <v>0</v>
      </c>
      <c r="FO256" s="88">
        <f t="shared" ca="1" si="481"/>
        <v>0</v>
      </c>
      <c r="FP256" s="88">
        <f t="shared" ca="1" si="481"/>
        <v>0</v>
      </c>
      <c r="FQ256" s="88">
        <f t="shared" ca="1" si="481"/>
        <v>0</v>
      </c>
      <c r="FR256" s="88">
        <f t="shared" ca="1" si="481"/>
        <v>0</v>
      </c>
      <c r="FS256" s="88">
        <f t="shared" ca="1" si="481"/>
        <v>0</v>
      </c>
      <c r="FT256" s="88">
        <f t="shared" ca="1" si="481"/>
        <v>0</v>
      </c>
      <c r="FU256" s="88">
        <f t="shared" ca="1" si="481"/>
        <v>0</v>
      </c>
      <c r="FV256" s="88">
        <f t="shared" ca="1" si="481"/>
        <v>0</v>
      </c>
      <c r="FW256" s="88">
        <f t="shared" ca="1" si="481"/>
        <v>0</v>
      </c>
      <c r="FX256" s="88">
        <f t="shared" ca="1" si="481"/>
        <v>0</v>
      </c>
      <c r="FY256" s="88">
        <f t="shared" ca="1" si="481"/>
        <v>0</v>
      </c>
      <c r="FZ256" s="88">
        <f t="shared" ca="1" si="481"/>
        <v>0</v>
      </c>
      <c r="GA256" s="88">
        <f t="shared" ca="1" si="481"/>
        <v>0</v>
      </c>
      <c r="GB256" s="88">
        <f t="shared" ca="1" si="481"/>
        <v>0</v>
      </c>
      <c r="GC256" s="88">
        <f t="shared" ca="1" si="481"/>
        <v>0</v>
      </c>
      <c r="GD256" s="60"/>
    </row>
    <row r="257" spans="1:186" s="54" customFormat="1" ht="14.45" customHeight="1">
      <c r="A257" s="61"/>
      <c r="B257" s="100" t="str">
        <f t="shared" si="482"/>
        <v>C&amp;I_C&amp;I Prescriptive_0_Exit Sign_2019</v>
      </c>
      <c r="C257" s="100">
        <f>INDEX('Measure Inputs'!$D:$D,MATCH($B257,'Measure Inputs'!$B:$B,0))</f>
        <v>209</v>
      </c>
      <c r="D257" s="101" t="s">
        <v>256</v>
      </c>
      <c r="E257" s="101" t="s">
        <v>255</v>
      </c>
      <c r="F257" s="101">
        <v>0</v>
      </c>
      <c r="G257" s="101" t="s">
        <v>311</v>
      </c>
      <c r="H257" s="101">
        <v>2019</v>
      </c>
      <c r="I257" s="55"/>
      <c r="J257" s="58">
        <f t="shared" ca="1" si="229"/>
        <v>5.6633223899082559</v>
      </c>
      <c r="K257" s="58">
        <f t="shared" ca="1" si="246"/>
        <v>23.597176624617735</v>
      </c>
      <c r="L257" s="58">
        <f t="shared" ca="1" si="230"/>
        <v>0.24</v>
      </c>
      <c r="M257" s="58">
        <f t="shared" ca="1" si="231"/>
        <v>7.5675964551332271</v>
      </c>
      <c r="N257" s="58">
        <f t="shared" ca="1" si="232"/>
        <v>23.597176624617735</v>
      </c>
      <c r="O257" s="55"/>
      <c r="P257" s="175">
        <f ca="1">IFERROR(($AW257+AV257)/SUMPRODUCT($CA257:$DI257,'General Inputs'!$F$51:$AN$51),"n/a")</f>
        <v>1.5076264206908664E-3</v>
      </c>
      <c r="Q257" s="175">
        <f t="shared" ca="1" si="454"/>
        <v>1.3775774474040934E-2</v>
      </c>
      <c r="R257" s="56">
        <f t="shared" ca="1" si="441"/>
        <v>1115.0008319999999</v>
      </c>
      <c r="S257" s="55"/>
      <c r="T257" s="56">
        <f ca="1">INDEX(OFFSET('Measure Inputs'!$L$7,,,InputRows),$C257)</f>
        <v>160</v>
      </c>
      <c r="U257" s="134">
        <f ca="1">INDEX(OFFSET('Measure Inputs'!$T$7,,,InputRows),$C257)</f>
        <v>1</v>
      </c>
      <c r="V257" s="134">
        <f ca="1">INDEX(OFFSET('Measure Inputs'!$U$7,,,InputRows),$C257)</f>
        <v>1</v>
      </c>
      <c r="W257" s="55"/>
      <c r="X257" s="96">
        <f ca="1">INDEX(OFFSET('Measure Inputs'!$V$7,,,InputRows),$C257)*$T257*$V257*$U257</f>
        <v>69687.551999999981</v>
      </c>
      <c r="Y257" s="96">
        <f ca="1">INDEX(OFFSET('Measure Inputs'!$W$7,,,InputRows),$C257)*$T257*$V257*$U257</f>
        <v>9.3632000000000009</v>
      </c>
      <c r="Z257" s="96">
        <f ca="1">INDEX(OFFSET('Measure Inputs'!$X$7,,,InputRows),$C257)*$T257*$V257*$U257</f>
        <v>0</v>
      </c>
      <c r="AA257" s="55"/>
      <c r="AB257" s="96">
        <f ca="1">INDEX(OFFSET('Measure Inputs'!$Z$7,,,InputRows),$C257)*$T257*$V257*$U257</f>
        <v>0</v>
      </c>
      <c r="AC257" s="96">
        <f ca="1">INDEX(OFFSET('Measure Inputs'!$AA$7,,,InputRows),$C257)*$T257*$V257*$U257</f>
        <v>0</v>
      </c>
      <c r="AD257" s="96">
        <f ca="1">INDEX(OFFSET('Measure Inputs'!$AB$7,,,InputRows),$C257)*$T257*$V257*$U257</f>
        <v>0</v>
      </c>
      <c r="AE257" s="55"/>
      <c r="AF257" s="57">
        <f ca="1">INDEX(OFFSET('Measure Inputs'!$Q$7,,,InputRows),$C257)*$T257</f>
        <v>0</v>
      </c>
      <c r="AG257" s="57">
        <f ca="1">INDEX(OFFSET('Measure Inputs'!$P$7,,,InputRows),$C257)*$T257*$V257</f>
        <v>4000</v>
      </c>
      <c r="AH257" s="57">
        <f ca="1">INDEX(OFFSET('Measure Inputs'!$R$7,,,InputRows),$C257)*$T257*$V257</f>
        <v>0</v>
      </c>
      <c r="AI257" s="57">
        <f ca="1">INDEX(OFFSET('Measure Inputs'!$O$7,,,InputRows),$C257)*$T257</f>
        <v>960</v>
      </c>
      <c r="AJ257" s="57">
        <f ca="1">INDEX(OFFSET('Measure Inputs'!$S$7,,,InputRows),$C257)*$T257</f>
        <v>0</v>
      </c>
      <c r="AK257" s="63">
        <f ca="1">INDEX(OFFSET('Measure Inputs'!$M$7,,,InputRows),$C257)</f>
        <v>16</v>
      </c>
      <c r="AL257" s="88">
        <f ca="1">INDEX(OFFSET('Measure Inputs'!$N$7,,,InputRows),$C257)</f>
        <v>0</v>
      </c>
      <c r="AM257" s="57">
        <f ca="1">SUMIFS(OFFSET('Program Inputs'!$N$5,,,TotalPrograms),OFFSET('Program Inputs'!$B$5,,,TotalPrograms),SUBSTITUTE($B257,"All","*"))+AF257</f>
        <v>0</v>
      </c>
      <c r="AN257" s="57">
        <f t="shared" ca="1" si="442"/>
        <v>960</v>
      </c>
      <c r="AO257" s="55"/>
      <c r="AP257" s="59">
        <f t="shared" ca="1" si="443"/>
        <v>19122.920082657958</v>
      </c>
      <c r="AQ257" s="59">
        <f t="shared" ca="1" si="444"/>
        <v>3376.6257271057007</v>
      </c>
      <c r="AR257" s="59">
        <f ca="1">SUMPRODUCT($CA257:$DI257,'General Inputs'!$F$32:$AN$32,'General Inputs'!$F$51:$AN$51)/(1-Loss_ElectricEnergy)</f>
        <v>17437.716770022489</v>
      </c>
      <c r="AS257" s="59">
        <f ca="1">SUMPRODUCT($DK257:$ES257,'General Inputs'!$F$33:$AN$33,'General Inputs'!$F$51:$AN$51)/(1-Loss_ElectricDemand)</f>
        <v>1685.2033126354704</v>
      </c>
      <c r="AT257" s="59">
        <f ca="1">SUMPRODUCT($EU257:$GC257,'General Inputs'!$F$34:$AN$34,'General Inputs'!$F$51:$AN$51)/(1-Loss_GasEnergy)</f>
        <v>0</v>
      </c>
      <c r="AU257" s="59">
        <f ca="1">INDEX('General Inputs'!$F$51:$AN$51,MATCH($H257,'General Inputs'!$F$50:$AN$50,0))*$AJ257</f>
        <v>0</v>
      </c>
      <c r="AV257" s="59">
        <f ca="1">INDEX('General Inputs'!$F$51:$AN$51,MATCH($H257,'General Inputs'!$F$50:$AN$50,0))*$AI257</f>
        <v>810.39017450536812</v>
      </c>
      <c r="AW257" s="59">
        <f ca="1">INDEX('General Inputs'!$F$51:$AN$51,MATCH($H257,'General Inputs'!$F$50:$AN$50,0))*$AM257</f>
        <v>0</v>
      </c>
      <c r="AX257" s="59">
        <f ca="1">SUM(INDEX('General Inputs'!$F$51:$AN$51,MATCH($H257,'General Inputs'!$F$50:$AN$50,0))*$AG257,INDEX('General Inputs'!$F$51:$AN$51,MATCH($H257+$AL257,'General Inputs'!$F$50:$AN$50,0))*-$AH257)</f>
        <v>3376.6257271057007</v>
      </c>
      <c r="AY257" s="55"/>
      <c r="AZ257" s="59">
        <f ca="1">SUMPRODUCT($CA257:$DI257,'General Inputs'!$F$32:$AN$32,'General Inputs'!$F$52:$AN$52)/(1-Loss_ElectricEnergy)</f>
        <v>17437.716770022489</v>
      </c>
      <c r="BA257" s="59">
        <f ca="1">SUMPRODUCT($DK257:$ES257,'General Inputs'!$F$33:$AN$33,'General Inputs'!$F$52:$AN$52)/(1-Loss_ElectricDemand)</f>
        <v>1685.2033126354704</v>
      </c>
      <c r="BB257" s="59">
        <f ca="1">SUMPRODUCT($EU257:$GC257,'General Inputs'!$F$34:$AN$34,'General Inputs'!$F$52:$AN$52)/(1-Loss_GasEnergy)</f>
        <v>0</v>
      </c>
      <c r="BC257" s="59">
        <f ca="1">INDEX('General Inputs'!$F$52:$AN$52,MATCH($H257,'General Inputs'!$F$50:$AN$50,0))*$AI257</f>
        <v>810.39017450536812</v>
      </c>
      <c r="BD257" s="59">
        <f ca="1">INDEX('General Inputs'!$F$52:$AN$52,MATCH($H257,'General Inputs'!$F$50:$AN$50,0))*$AM257</f>
        <v>0</v>
      </c>
      <c r="BE257" s="55"/>
      <c r="BF257" s="59">
        <f ca="1">SUMPRODUCT($CA257:$DI257,OFFSET('General Inputs'!$F$40:$AN$40,MATCH($D257&amp;" Electric ($/kWh)",'General Inputs'!$E$40:$E$46,0),),'General Inputs'!$F$54:$AN$54)</f>
        <v>0</v>
      </c>
      <c r="BG257" s="59">
        <f ca="1">SUMPRODUCT($EU257:$GC257,OFFSET('General Inputs'!$F$40:$AN$40,MATCH($D257&amp;" Natural Gas ($/therm)",'General Inputs'!$E$40:$E$46,0),),'General Inputs'!$F$54:$AN$54)</f>
        <v>0</v>
      </c>
      <c r="BH257" s="59">
        <f ca="1">INDEX('General Inputs'!$F$54:$AN$54,MATCH($H257,'General Inputs'!$F$50:$AN$50,0))*$AI257</f>
        <v>810.39017450536812</v>
      </c>
      <c r="BI257" s="59">
        <f ca="1">SUM(INDEX('General Inputs'!$F$54:$AN$54,MATCH($H257,'General Inputs'!$F$50:$AN$50,0))*$AG257,INDEX('General Inputs'!$F$51:$AN$51,MATCH($H257+$AL257,'General Inputs'!$F$50:$AN$50,0))*-$AH257)</f>
        <v>3376.6257271057007</v>
      </c>
      <c r="BJ257" s="55"/>
      <c r="BK257" s="59">
        <f ca="1">SUMPRODUCT($CA257:$DI257,'General Inputs'!$F$32:$AN$32,'General Inputs'!$F$53:$AN$53)/(1-Loss_ElectricEnergy)</f>
        <v>17437.716770022489</v>
      </c>
      <c r="BL257" s="59">
        <f ca="1">SUMPRODUCT($DK257:$ES257,'General Inputs'!$F$33:$AN$33,'General Inputs'!$F$53:$AN$53)/(1-Loss_ElectricDemand)</f>
        <v>1685.2033126354704</v>
      </c>
      <c r="BM257" s="59">
        <f ca="1">SUMPRODUCT($EU257:$GC257,'General Inputs'!$F$34:$AN$34,'General Inputs'!$F$53:$AN$53)/(1-Loss_GasEnergy)</f>
        <v>0</v>
      </c>
      <c r="BN257" s="59">
        <f ca="1">INDEX('General Inputs'!$F$53:$AN$53,MATCH($H257,'General Inputs'!$F$50:$AN$50,0))*$AJ257</f>
        <v>0</v>
      </c>
      <c r="BO257" s="59">
        <f ca="1">SUMPRODUCT($CA257:$DI257,'General Inputs'!$F$35:$AN$35,'General Inputs'!$F$53:$AN$53)/(1-Loss_ElectricEnergy)</f>
        <v>6430.0208000987996</v>
      </c>
      <c r="BP257" s="59">
        <f ca="1">INDEX('General Inputs'!$F$51:$AN$51,MATCH($H257,'General Inputs'!$F$50:$AN$50,0))*$AM257</f>
        <v>0</v>
      </c>
      <c r="BQ257" s="59">
        <f ca="1">SUM(INDEX('General Inputs'!$F$53:$AN$53,MATCH($H257,'General Inputs'!$F$50:$AN$50,0))*$AG257,INDEX('General Inputs'!$F$53:$AN$53,MATCH($H257+$AL257,'General Inputs'!$F$50:$AN$50,0))*-$AH257)</f>
        <v>3376.6257271057007</v>
      </c>
      <c r="BR257" s="55"/>
      <c r="BS257" s="59">
        <f ca="1">SUMPRODUCT($CA257:$DI257,'General Inputs'!$F$32:$AN$32,'General Inputs'!$F$55:$AN$55)/(1-Loss_ElectricEnergy)</f>
        <v>17437.716770022489</v>
      </c>
      <c r="BT257" s="59">
        <f ca="1">SUMPRODUCT($DK257:$ES257,'General Inputs'!$F$33:$AN$33,'General Inputs'!$F$55:$AN$55)/(1-Loss_ElectricDemand)</f>
        <v>1685.2033126354704</v>
      </c>
      <c r="BU257" s="59">
        <f ca="1">SUMPRODUCT($EU257:$GC257,'General Inputs'!$F$34:$AN$34,'General Inputs'!$F$55:$AN$55)/(1-Loss_GasEnergy)</f>
        <v>0</v>
      </c>
      <c r="BV257" s="59">
        <f ca="1">SUMPRODUCT($CA257:$DI257,OFFSET('General Inputs'!$F$40:$AN$40,MATCH($D257&amp;" Electric ($/kWh)",'General Inputs'!$E$40:$E$46,0),),'General Inputs'!$F$55:$AN$55)</f>
        <v>0</v>
      </c>
      <c r="BW257" s="59">
        <f ca="1">SUMPRODUCT($EU257:$GC257,OFFSET('General Inputs'!$F$40:$AN$40,MATCH($D257&amp;" Natural Gas ($/therm)",'General Inputs'!$E$40:$E$46,0),),'General Inputs'!$F$55:$AN$55)</f>
        <v>0</v>
      </c>
      <c r="BX257" s="59">
        <f ca="1">INDEX('General Inputs'!$F$55:$AN$55,MATCH($H257,'General Inputs'!$F$50:$AN$50,0))*$AI257</f>
        <v>810.39017450536812</v>
      </c>
      <c r="BY257" s="59">
        <f ca="1">INDEX('General Inputs'!$F$51:$AN$51,MATCH($H257,'General Inputs'!$F$50:$AN$50,0))*$AM257</f>
        <v>0</v>
      </c>
      <c r="BZ257" s="55"/>
      <c r="CA257" s="88">
        <f t="shared" ref="CA257:CJ260" ca="1" si="483">IF(AND($H257&lt;=CA$8,$H257+$AK257&gt;CA$8),IF(AND($H257+$AL257&lt;=CA$8,$AL257&gt;0),$AB257,$X257),0)</f>
        <v>0</v>
      </c>
      <c r="CB257" s="88">
        <f t="shared" ca="1" si="483"/>
        <v>0</v>
      </c>
      <c r="CC257" s="88">
        <f t="shared" ca="1" si="483"/>
        <v>69687.551999999981</v>
      </c>
      <c r="CD257" s="88">
        <f t="shared" ca="1" si="483"/>
        <v>69687.551999999981</v>
      </c>
      <c r="CE257" s="88">
        <f t="shared" ca="1" si="483"/>
        <v>69687.551999999981</v>
      </c>
      <c r="CF257" s="88">
        <f t="shared" ca="1" si="483"/>
        <v>69687.551999999981</v>
      </c>
      <c r="CG257" s="88">
        <f t="shared" ca="1" si="483"/>
        <v>69687.551999999981</v>
      </c>
      <c r="CH257" s="88">
        <f t="shared" ca="1" si="483"/>
        <v>69687.551999999981</v>
      </c>
      <c r="CI257" s="88">
        <f t="shared" ca="1" si="483"/>
        <v>69687.551999999981</v>
      </c>
      <c r="CJ257" s="88">
        <f t="shared" ca="1" si="483"/>
        <v>69687.551999999981</v>
      </c>
      <c r="CK257" s="88">
        <f t="shared" ref="CK257:CT260" ca="1" si="484">IF(AND($H257&lt;=CK$8,$H257+$AK257&gt;CK$8),IF(AND($H257+$AL257&lt;=CK$8,$AL257&gt;0),$AB257,$X257),0)</f>
        <v>69687.551999999981</v>
      </c>
      <c r="CL257" s="88">
        <f t="shared" ca="1" si="484"/>
        <v>69687.551999999981</v>
      </c>
      <c r="CM257" s="88">
        <f t="shared" ca="1" si="484"/>
        <v>69687.551999999981</v>
      </c>
      <c r="CN257" s="88">
        <f t="shared" ca="1" si="484"/>
        <v>69687.551999999981</v>
      </c>
      <c r="CO257" s="88">
        <f t="shared" ca="1" si="484"/>
        <v>69687.551999999981</v>
      </c>
      <c r="CP257" s="88">
        <f t="shared" ca="1" si="484"/>
        <v>69687.551999999981</v>
      </c>
      <c r="CQ257" s="88">
        <f t="shared" ca="1" si="484"/>
        <v>69687.551999999981</v>
      </c>
      <c r="CR257" s="88">
        <f t="shared" ca="1" si="484"/>
        <v>69687.551999999981</v>
      </c>
      <c r="CS257" s="88">
        <f t="shared" ca="1" si="484"/>
        <v>0</v>
      </c>
      <c r="CT257" s="88">
        <f t="shared" ca="1" si="484"/>
        <v>0</v>
      </c>
      <c r="CU257" s="88">
        <f t="shared" ref="CU257:DI260" ca="1" si="485">IF(AND($H257&lt;=CU$8,$H257+$AK257&gt;CU$8),IF(AND($H257+$AL257&lt;=CU$8,$AL257&gt;0),$AB257,$X257),0)</f>
        <v>0</v>
      </c>
      <c r="CV257" s="88">
        <f t="shared" ca="1" si="485"/>
        <v>0</v>
      </c>
      <c r="CW257" s="88">
        <f t="shared" ca="1" si="485"/>
        <v>0</v>
      </c>
      <c r="CX257" s="88">
        <f t="shared" ca="1" si="485"/>
        <v>0</v>
      </c>
      <c r="CY257" s="88">
        <f t="shared" ca="1" si="485"/>
        <v>0</v>
      </c>
      <c r="CZ257" s="88">
        <f t="shared" ca="1" si="485"/>
        <v>0</v>
      </c>
      <c r="DA257" s="88">
        <f t="shared" ca="1" si="485"/>
        <v>0</v>
      </c>
      <c r="DB257" s="88">
        <f t="shared" ca="1" si="485"/>
        <v>0</v>
      </c>
      <c r="DC257" s="88">
        <f t="shared" ca="1" si="485"/>
        <v>0</v>
      </c>
      <c r="DD257" s="88">
        <f t="shared" ca="1" si="485"/>
        <v>0</v>
      </c>
      <c r="DE257" s="88">
        <f t="shared" ca="1" si="485"/>
        <v>0</v>
      </c>
      <c r="DF257" s="88">
        <f t="shared" ca="1" si="485"/>
        <v>0</v>
      </c>
      <c r="DG257" s="88">
        <f t="shared" ca="1" si="485"/>
        <v>0</v>
      </c>
      <c r="DH257" s="88">
        <f t="shared" ca="1" si="485"/>
        <v>0</v>
      </c>
      <c r="DI257" s="88">
        <f t="shared" ca="1" si="485"/>
        <v>0</v>
      </c>
      <c r="DJ257" s="169"/>
      <c r="DK257" s="88">
        <f t="shared" ref="DK257:DT260" ca="1" si="486">IF(AND($H257&lt;=DK$8,$H257+$AK257&gt;DK$8),IF(AND($H257+$AL257&lt;=DK$8,$AL257&gt;0),$AC257,$Y257),0)</f>
        <v>0</v>
      </c>
      <c r="DL257" s="88">
        <f t="shared" ca="1" si="486"/>
        <v>0</v>
      </c>
      <c r="DM257" s="88">
        <f t="shared" ca="1" si="486"/>
        <v>9.3632000000000009</v>
      </c>
      <c r="DN257" s="88">
        <f t="shared" ca="1" si="486"/>
        <v>9.3632000000000009</v>
      </c>
      <c r="DO257" s="88">
        <f t="shared" ca="1" si="486"/>
        <v>9.3632000000000009</v>
      </c>
      <c r="DP257" s="88">
        <f t="shared" ca="1" si="486"/>
        <v>9.3632000000000009</v>
      </c>
      <c r="DQ257" s="88">
        <f t="shared" ca="1" si="486"/>
        <v>9.3632000000000009</v>
      </c>
      <c r="DR257" s="88">
        <f t="shared" ca="1" si="486"/>
        <v>9.3632000000000009</v>
      </c>
      <c r="DS257" s="88">
        <f t="shared" ca="1" si="486"/>
        <v>9.3632000000000009</v>
      </c>
      <c r="DT257" s="88">
        <f t="shared" ca="1" si="486"/>
        <v>9.3632000000000009</v>
      </c>
      <c r="DU257" s="88">
        <f t="shared" ref="DU257:ED260" ca="1" si="487">IF(AND($H257&lt;=DU$8,$H257+$AK257&gt;DU$8),IF(AND($H257+$AL257&lt;=DU$8,$AL257&gt;0),$AC257,$Y257),0)</f>
        <v>9.3632000000000009</v>
      </c>
      <c r="DV257" s="88">
        <f t="shared" ca="1" si="487"/>
        <v>9.3632000000000009</v>
      </c>
      <c r="DW257" s="88">
        <f t="shared" ca="1" si="487"/>
        <v>9.3632000000000009</v>
      </c>
      <c r="DX257" s="88">
        <f t="shared" ca="1" si="487"/>
        <v>9.3632000000000009</v>
      </c>
      <c r="DY257" s="88">
        <f t="shared" ca="1" si="487"/>
        <v>9.3632000000000009</v>
      </c>
      <c r="DZ257" s="88">
        <f t="shared" ca="1" si="487"/>
        <v>9.3632000000000009</v>
      </c>
      <c r="EA257" s="88">
        <f t="shared" ca="1" si="487"/>
        <v>9.3632000000000009</v>
      </c>
      <c r="EB257" s="88">
        <f t="shared" ca="1" si="487"/>
        <v>9.3632000000000009</v>
      </c>
      <c r="EC257" s="88">
        <f t="shared" ca="1" si="487"/>
        <v>0</v>
      </c>
      <c r="ED257" s="88">
        <f t="shared" ca="1" si="487"/>
        <v>0</v>
      </c>
      <c r="EE257" s="88">
        <f t="shared" ref="EE257:ES260" ca="1" si="488">IF(AND($H257&lt;=EE$8,$H257+$AK257&gt;EE$8),IF(AND($H257+$AL257&lt;=EE$8,$AL257&gt;0),$AC257,$Y257),0)</f>
        <v>0</v>
      </c>
      <c r="EF257" s="88">
        <f t="shared" ca="1" si="488"/>
        <v>0</v>
      </c>
      <c r="EG257" s="88">
        <f t="shared" ca="1" si="488"/>
        <v>0</v>
      </c>
      <c r="EH257" s="88">
        <f t="shared" ca="1" si="488"/>
        <v>0</v>
      </c>
      <c r="EI257" s="88">
        <f t="shared" ca="1" si="488"/>
        <v>0</v>
      </c>
      <c r="EJ257" s="88">
        <f t="shared" ca="1" si="488"/>
        <v>0</v>
      </c>
      <c r="EK257" s="88">
        <f t="shared" ca="1" si="488"/>
        <v>0</v>
      </c>
      <c r="EL257" s="88">
        <f t="shared" ca="1" si="488"/>
        <v>0</v>
      </c>
      <c r="EM257" s="88">
        <f t="shared" ca="1" si="488"/>
        <v>0</v>
      </c>
      <c r="EN257" s="88">
        <f t="shared" ca="1" si="488"/>
        <v>0</v>
      </c>
      <c r="EO257" s="88">
        <f t="shared" ca="1" si="488"/>
        <v>0</v>
      </c>
      <c r="EP257" s="88">
        <f t="shared" ca="1" si="488"/>
        <v>0</v>
      </c>
      <c r="EQ257" s="88">
        <f t="shared" ca="1" si="488"/>
        <v>0</v>
      </c>
      <c r="ER257" s="88">
        <f t="shared" ca="1" si="488"/>
        <v>0</v>
      </c>
      <c r="ES257" s="88">
        <f t="shared" ca="1" si="488"/>
        <v>0</v>
      </c>
      <c r="ET257" s="169"/>
      <c r="EU257" s="88">
        <f t="shared" ref="EU257:FD260" ca="1" si="489">IF(AND($H257&lt;=EU$8,$H257+$AK257&gt;EU$8),IF(AND($H257+$AL257&lt;=EU$8,$AL257&gt;0),$AD257,$Z257),0)</f>
        <v>0</v>
      </c>
      <c r="EV257" s="88">
        <f t="shared" ca="1" si="489"/>
        <v>0</v>
      </c>
      <c r="EW257" s="88">
        <f t="shared" ca="1" si="489"/>
        <v>0</v>
      </c>
      <c r="EX257" s="88">
        <f t="shared" ca="1" si="489"/>
        <v>0</v>
      </c>
      <c r="EY257" s="88">
        <f t="shared" ca="1" si="489"/>
        <v>0</v>
      </c>
      <c r="EZ257" s="88">
        <f t="shared" ca="1" si="489"/>
        <v>0</v>
      </c>
      <c r="FA257" s="88">
        <f t="shared" ca="1" si="489"/>
        <v>0</v>
      </c>
      <c r="FB257" s="88">
        <f t="shared" ca="1" si="489"/>
        <v>0</v>
      </c>
      <c r="FC257" s="88">
        <f t="shared" ca="1" si="489"/>
        <v>0</v>
      </c>
      <c r="FD257" s="88">
        <f t="shared" ca="1" si="489"/>
        <v>0</v>
      </c>
      <c r="FE257" s="88">
        <f t="shared" ref="FE257:FN260" ca="1" si="490">IF(AND($H257&lt;=FE$8,$H257+$AK257&gt;FE$8),IF(AND($H257+$AL257&lt;=FE$8,$AL257&gt;0),$AD257,$Z257),0)</f>
        <v>0</v>
      </c>
      <c r="FF257" s="88">
        <f t="shared" ca="1" si="490"/>
        <v>0</v>
      </c>
      <c r="FG257" s="88">
        <f t="shared" ca="1" si="490"/>
        <v>0</v>
      </c>
      <c r="FH257" s="88">
        <f t="shared" ca="1" si="490"/>
        <v>0</v>
      </c>
      <c r="FI257" s="88">
        <f t="shared" ca="1" si="490"/>
        <v>0</v>
      </c>
      <c r="FJ257" s="88">
        <f t="shared" ca="1" si="490"/>
        <v>0</v>
      </c>
      <c r="FK257" s="88">
        <f t="shared" ca="1" si="490"/>
        <v>0</v>
      </c>
      <c r="FL257" s="88">
        <f t="shared" ca="1" si="490"/>
        <v>0</v>
      </c>
      <c r="FM257" s="88">
        <f t="shared" ca="1" si="490"/>
        <v>0</v>
      </c>
      <c r="FN257" s="88">
        <f t="shared" ca="1" si="490"/>
        <v>0</v>
      </c>
      <c r="FO257" s="88">
        <f t="shared" ref="FO257:GC260" ca="1" si="491">IF(AND($H257&lt;=FO$8,$H257+$AK257&gt;FO$8),IF(AND($H257+$AL257&lt;=FO$8,$AL257&gt;0),$AD257,$Z257),0)</f>
        <v>0</v>
      </c>
      <c r="FP257" s="88">
        <f t="shared" ca="1" si="491"/>
        <v>0</v>
      </c>
      <c r="FQ257" s="88">
        <f t="shared" ca="1" si="491"/>
        <v>0</v>
      </c>
      <c r="FR257" s="88">
        <f t="shared" ca="1" si="491"/>
        <v>0</v>
      </c>
      <c r="FS257" s="88">
        <f t="shared" ca="1" si="491"/>
        <v>0</v>
      </c>
      <c r="FT257" s="88">
        <f t="shared" ca="1" si="491"/>
        <v>0</v>
      </c>
      <c r="FU257" s="88">
        <f t="shared" ca="1" si="491"/>
        <v>0</v>
      </c>
      <c r="FV257" s="88">
        <f t="shared" ca="1" si="491"/>
        <v>0</v>
      </c>
      <c r="FW257" s="88">
        <f t="shared" ca="1" si="491"/>
        <v>0</v>
      </c>
      <c r="FX257" s="88">
        <f t="shared" ca="1" si="491"/>
        <v>0</v>
      </c>
      <c r="FY257" s="88">
        <f t="shared" ca="1" si="491"/>
        <v>0</v>
      </c>
      <c r="FZ257" s="88">
        <f t="shared" ca="1" si="491"/>
        <v>0</v>
      </c>
      <c r="GA257" s="88">
        <f t="shared" ca="1" si="491"/>
        <v>0</v>
      </c>
      <c r="GB257" s="88">
        <f t="shared" ca="1" si="491"/>
        <v>0</v>
      </c>
      <c r="GC257" s="88">
        <f t="shared" ca="1" si="491"/>
        <v>0</v>
      </c>
      <c r="GD257" s="60"/>
    </row>
    <row r="258" spans="1:186" s="54" customFormat="1" ht="14.45" customHeight="1">
      <c r="A258" s="61"/>
      <c r="B258" s="100" t="str">
        <f t="shared" si="482"/>
        <v>C&amp;I_C&amp;I Prescriptive_0_LED wall mounted area lights (wallpacks) (&lt;30W)_2019</v>
      </c>
      <c r="C258" s="100">
        <f>INDEX('Measure Inputs'!$D:$D,MATCH($B258,'Measure Inputs'!$B:$B,0))</f>
        <v>210</v>
      </c>
      <c r="D258" s="101" t="s">
        <v>256</v>
      </c>
      <c r="E258" s="101" t="s">
        <v>255</v>
      </c>
      <c r="F258" s="101">
        <v>0</v>
      </c>
      <c r="G258" s="101" t="s">
        <v>359</v>
      </c>
      <c r="H258" s="101">
        <v>2019</v>
      </c>
      <c r="I258" s="55"/>
      <c r="J258" s="58">
        <f t="shared" ca="1" si="229"/>
        <v>0.68828108980118974</v>
      </c>
      <c r="K258" s="58">
        <f t="shared" ca="1" si="246"/>
        <v>3.7363830589207447</v>
      </c>
      <c r="L258" s="58">
        <f t="shared" ca="1" si="230"/>
        <v>0.18421052631578946</v>
      </c>
      <c r="M258" s="58">
        <f t="shared" ca="1" si="231"/>
        <v>0.91628335312870057</v>
      </c>
      <c r="N258" s="58">
        <f t="shared" ca="1" si="232"/>
        <v>3.7363830589207447</v>
      </c>
      <c r="O258" s="55"/>
      <c r="P258" s="175">
        <f ca="1">IFERROR(($AW258+AV258)/SUMPRODUCT($CA258:$DI258,'General Inputs'!$F$51:$AN$51),"n/a")</f>
        <v>9.6646745907169318E-3</v>
      </c>
      <c r="Q258" s="175">
        <f t="shared" ca="1" si="454"/>
        <v>6.7985587055544236E-2</v>
      </c>
      <c r="R258" s="56">
        <f t="shared" ca="1" si="441"/>
        <v>154.44450000000001</v>
      </c>
      <c r="S258" s="55"/>
      <c r="T258" s="56">
        <f ca="1">INDEX(OFFSET('Measure Inputs'!$L$7,,,InputRows),$C258)</f>
        <v>30</v>
      </c>
      <c r="U258" s="134">
        <f ca="1">INDEX(OFFSET('Measure Inputs'!$T$7,,,InputRows),$C258)</f>
        <v>1</v>
      </c>
      <c r="V258" s="134">
        <f ca="1">INDEX(OFFSET('Measure Inputs'!$U$7,,,InputRows),$C258)</f>
        <v>1</v>
      </c>
      <c r="W258" s="55"/>
      <c r="X258" s="96">
        <f ca="1">INDEX(OFFSET('Measure Inputs'!$V$7,,,InputRows),$C258)*$T258*$V258*$U258</f>
        <v>15444.449999999999</v>
      </c>
      <c r="Y258" s="96">
        <f ca="1">INDEX(OFFSET('Measure Inputs'!$W$7,,,InputRows),$C258)*$T258*$V258*$U258</f>
        <v>3.15</v>
      </c>
      <c r="Z258" s="96">
        <f ca="1">INDEX(OFFSET('Measure Inputs'!$X$7,,,InputRows),$C258)*$T258*$V258*$U258</f>
        <v>0</v>
      </c>
      <c r="AA258" s="55"/>
      <c r="AB258" s="96">
        <f ca="1">INDEX(OFFSET('Measure Inputs'!$Z$7,,,InputRows),$C258)*$T258*$V258*$U258</f>
        <v>0</v>
      </c>
      <c r="AC258" s="96">
        <f ca="1">INDEX(OFFSET('Measure Inputs'!$AA$7,,,InputRows),$C258)*$T258*$V258*$U258</f>
        <v>0</v>
      </c>
      <c r="AD258" s="96">
        <f ca="1">INDEX(OFFSET('Measure Inputs'!$AB$7,,,InputRows),$C258)*$T258*$V258*$U258</f>
        <v>0</v>
      </c>
      <c r="AE258" s="55"/>
      <c r="AF258" s="57">
        <f ca="1">INDEX(OFFSET('Measure Inputs'!$Q$7,,,InputRows),$C258)*$T258</f>
        <v>0</v>
      </c>
      <c r="AG258" s="57">
        <f ca="1">INDEX(OFFSET('Measure Inputs'!$P$7,,,InputRows),$C258)*$T258*$V258</f>
        <v>5700</v>
      </c>
      <c r="AH258" s="57">
        <f ca="1">INDEX(OFFSET('Measure Inputs'!$R$7,,,InputRows),$C258)*$T258*$V258</f>
        <v>0</v>
      </c>
      <c r="AI258" s="57">
        <f ca="1">INDEX(OFFSET('Measure Inputs'!$O$7,,,InputRows),$C258)*$T258</f>
        <v>1050</v>
      </c>
      <c r="AJ258" s="57">
        <f ca="1">INDEX(OFFSET('Measure Inputs'!$S$7,,,InputRows),$C258)*$T258</f>
        <v>0</v>
      </c>
      <c r="AK258" s="63">
        <f ca="1">INDEX(OFFSET('Measure Inputs'!$M$7,,,InputRows),$C258)</f>
        <v>10</v>
      </c>
      <c r="AL258" s="88">
        <f ca="1">INDEX(OFFSET('Measure Inputs'!$N$7,,,InputRows),$C258)</f>
        <v>0</v>
      </c>
      <c r="AM258" s="57">
        <f ca="1">SUMIFS(OFFSET('Program Inputs'!$N$5,,,TotalPrograms),OFFSET('Program Inputs'!$B$5,,,TotalPrograms),SUBSTITUTE($B258,"All","*"))+AF258</f>
        <v>0</v>
      </c>
      <c r="AN258" s="57">
        <f t="shared" ca="1" si="442"/>
        <v>1050</v>
      </c>
      <c r="AO258" s="55"/>
      <c r="AP258" s="59">
        <f t="shared" ca="1" si="443"/>
        <v>3311.7963803068415</v>
      </c>
      <c r="AQ258" s="59">
        <f t="shared" ca="1" si="444"/>
        <v>4811.6916611256238</v>
      </c>
      <c r="AR258" s="59">
        <f ca="1">SUMPRODUCT($CA258:$DI258,'General Inputs'!$F$32:$AN$32,'General Inputs'!$F$51:$AN$51)/(1-Loss_ElectricEnergy)</f>
        <v>2888.1092114009034</v>
      </c>
      <c r="AS258" s="59">
        <f ca="1">SUMPRODUCT($DK258:$ES258,'General Inputs'!$F$33:$AN$33,'General Inputs'!$F$51:$AN$51)/(1-Loss_ElectricDemand)</f>
        <v>423.68716890593794</v>
      </c>
      <c r="AT258" s="59">
        <f ca="1">SUMPRODUCT($EU258:$GC258,'General Inputs'!$F$34:$AN$34,'General Inputs'!$F$51:$AN$51)/(1-Loss_GasEnergy)</f>
        <v>0</v>
      </c>
      <c r="AU258" s="59">
        <f ca="1">INDEX('General Inputs'!$F$51:$AN$51,MATCH($H258,'General Inputs'!$F$50:$AN$50,0))*$AJ258</f>
        <v>0</v>
      </c>
      <c r="AV258" s="59">
        <f ca="1">INDEX('General Inputs'!$F$51:$AN$51,MATCH($H258,'General Inputs'!$F$50:$AN$50,0))*$AI258</f>
        <v>886.36425336524644</v>
      </c>
      <c r="AW258" s="59">
        <f ca="1">INDEX('General Inputs'!$F$51:$AN$51,MATCH($H258,'General Inputs'!$F$50:$AN$50,0))*$AM258</f>
        <v>0</v>
      </c>
      <c r="AX258" s="59">
        <f ca="1">SUM(INDEX('General Inputs'!$F$51:$AN$51,MATCH($H258,'General Inputs'!$F$50:$AN$50,0))*$AG258,INDEX('General Inputs'!$F$51:$AN$51,MATCH($H258+$AL258,'General Inputs'!$F$50:$AN$50,0))*-$AH258)</f>
        <v>4811.6916611256238</v>
      </c>
      <c r="AY258" s="55"/>
      <c r="AZ258" s="59">
        <f ca="1">SUMPRODUCT($CA258:$DI258,'General Inputs'!$F$32:$AN$32,'General Inputs'!$F$52:$AN$52)/(1-Loss_ElectricEnergy)</f>
        <v>2888.1092114009034</v>
      </c>
      <c r="BA258" s="59">
        <f ca="1">SUMPRODUCT($DK258:$ES258,'General Inputs'!$F$33:$AN$33,'General Inputs'!$F$52:$AN$52)/(1-Loss_ElectricDemand)</f>
        <v>423.68716890593794</v>
      </c>
      <c r="BB258" s="59">
        <f ca="1">SUMPRODUCT($EU258:$GC258,'General Inputs'!$F$34:$AN$34,'General Inputs'!$F$52:$AN$52)/(1-Loss_GasEnergy)</f>
        <v>0</v>
      </c>
      <c r="BC258" s="59">
        <f ca="1">INDEX('General Inputs'!$F$52:$AN$52,MATCH($H258,'General Inputs'!$F$50:$AN$50,0))*$AI258</f>
        <v>886.36425336524644</v>
      </c>
      <c r="BD258" s="59">
        <f ca="1">INDEX('General Inputs'!$F$52:$AN$52,MATCH($H258,'General Inputs'!$F$50:$AN$50,0))*$AM258</f>
        <v>0</v>
      </c>
      <c r="BE258" s="55"/>
      <c r="BF258" s="59">
        <f ca="1">SUMPRODUCT($CA258:$DI258,OFFSET('General Inputs'!$F$40:$AN$40,MATCH($D258&amp;" Electric ($/kWh)",'General Inputs'!$E$40:$E$46,0),),'General Inputs'!$F$54:$AN$54)</f>
        <v>0</v>
      </c>
      <c r="BG258" s="59">
        <f ca="1">SUMPRODUCT($EU258:$GC258,OFFSET('General Inputs'!$F$40:$AN$40,MATCH($D258&amp;" Natural Gas ($/therm)",'General Inputs'!$E$40:$E$46,0),),'General Inputs'!$F$54:$AN$54)</f>
        <v>0</v>
      </c>
      <c r="BH258" s="59">
        <f ca="1">INDEX('General Inputs'!$F$54:$AN$54,MATCH($H258,'General Inputs'!$F$50:$AN$50,0))*$AI258</f>
        <v>886.36425336524644</v>
      </c>
      <c r="BI258" s="59">
        <f ca="1">SUM(INDEX('General Inputs'!$F$54:$AN$54,MATCH($H258,'General Inputs'!$F$50:$AN$50,0))*$AG258,INDEX('General Inputs'!$F$51:$AN$51,MATCH($H258+$AL258,'General Inputs'!$F$50:$AN$50,0))*-$AH258)</f>
        <v>4811.6916611256238</v>
      </c>
      <c r="BJ258" s="55"/>
      <c r="BK258" s="59">
        <f ca="1">SUMPRODUCT($CA258:$DI258,'General Inputs'!$F$32:$AN$32,'General Inputs'!$F$53:$AN$53)/(1-Loss_ElectricEnergy)</f>
        <v>2888.1092114009034</v>
      </c>
      <c r="BL258" s="59">
        <f ca="1">SUMPRODUCT($DK258:$ES258,'General Inputs'!$F$33:$AN$33,'General Inputs'!$F$53:$AN$53)/(1-Loss_ElectricDemand)</f>
        <v>423.68716890593794</v>
      </c>
      <c r="BM258" s="59">
        <f ca="1">SUMPRODUCT($EU258:$GC258,'General Inputs'!$F$34:$AN$34,'General Inputs'!$F$53:$AN$53)/(1-Loss_GasEnergy)</f>
        <v>0</v>
      </c>
      <c r="BN258" s="59">
        <f ca="1">INDEX('General Inputs'!$F$53:$AN$53,MATCH($H258,'General Inputs'!$F$50:$AN$50,0))*$AJ258</f>
        <v>0</v>
      </c>
      <c r="BO258" s="59">
        <f ca="1">SUMPRODUCT($CA258:$DI258,'General Inputs'!$F$35:$AN$35,'General Inputs'!$F$53:$AN$53)/(1-Loss_ElectricEnergy)</f>
        <v>1097.0765891707529</v>
      </c>
      <c r="BP258" s="59">
        <f ca="1">INDEX('General Inputs'!$F$51:$AN$51,MATCH($H258,'General Inputs'!$F$50:$AN$50,0))*$AM258</f>
        <v>0</v>
      </c>
      <c r="BQ258" s="59">
        <f ca="1">SUM(INDEX('General Inputs'!$F$53:$AN$53,MATCH($H258,'General Inputs'!$F$50:$AN$50,0))*$AG258,INDEX('General Inputs'!$F$53:$AN$53,MATCH($H258+$AL258,'General Inputs'!$F$50:$AN$50,0))*-$AH258)</f>
        <v>4811.6916611256238</v>
      </c>
      <c r="BR258" s="55"/>
      <c r="BS258" s="59">
        <f ca="1">SUMPRODUCT($CA258:$DI258,'General Inputs'!$F$32:$AN$32,'General Inputs'!$F$55:$AN$55)/(1-Loss_ElectricEnergy)</f>
        <v>2888.1092114009034</v>
      </c>
      <c r="BT258" s="59">
        <f ca="1">SUMPRODUCT($DK258:$ES258,'General Inputs'!$F$33:$AN$33,'General Inputs'!$F$55:$AN$55)/(1-Loss_ElectricDemand)</f>
        <v>423.68716890593794</v>
      </c>
      <c r="BU258" s="59">
        <f ca="1">SUMPRODUCT($EU258:$GC258,'General Inputs'!$F$34:$AN$34,'General Inputs'!$F$55:$AN$55)/(1-Loss_GasEnergy)</f>
        <v>0</v>
      </c>
      <c r="BV258" s="59">
        <f ca="1">SUMPRODUCT($CA258:$DI258,OFFSET('General Inputs'!$F$40:$AN$40,MATCH($D258&amp;" Electric ($/kWh)",'General Inputs'!$E$40:$E$46,0),),'General Inputs'!$F$55:$AN$55)</f>
        <v>0</v>
      </c>
      <c r="BW258" s="59">
        <f ca="1">SUMPRODUCT($EU258:$GC258,OFFSET('General Inputs'!$F$40:$AN$40,MATCH($D258&amp;" Natural Gas ($/therm)",'General Inputs'!$E$40:$E$46,0),),'General Inputs'!$F$55:$AN$55)</f>
        <v>0</v>
      </c>
      <c r="BX258" s="59">
        <f ca="1">INDEX('General Inputs'!$F$55:$AN$55,MATCH($H258,'General Inputs'!$F$50:$AN$50,0))*$AI258</f>
        <v>886.36425336524644</v>
      </c>
      <c r="BY258" s="59">
        <f ca="1">INDEX('General Inputs'!$F$51:$AN$51,MATCH($H258,'General Inputs'!$F$50:$AN$50,0))*$AM258</f>
        <v>0</v>
      </c>
      <c r="BZ258" s="55"/>
      <c r="CA258" s="88">
        <f t="shared" ca="1" si="483"/>
        <v>0</v>
      </c>
      <c r="CB258" s="88">
        <f t="shared" ca="1" si="483"/>
        <v>0</v>
      </c>
      <c r="CC258" s="88">
        <f t="shared" ca="1" si="483"/>
        <v>15444.449999999999</v>
      </c>
      <c r="CD258" s="88">
        <f t="shared" ca="1" si="483"/>
        <v>15444.449999999999</v>
      </c>
      <c r="CE258" s="88">
        <f t="shared" ca="1" si="483"/>
        <v>15444.449999999999</v>
      </c>
      <c r="CF258" s="88">
        <f t="shared" ca="1" si="483"/>
        <v>15444.449999999999</v>
      </c>
      <c r="CG258" s="88">
        <f t="shared" ca="1" si="483"/>
        <v>15444.449999999999</v>
      </c>
      <c r="CH258" s="88">
        <f t="shared" ca="1" si="483"/>
        <v>15444.449999999999</v>
      </c>
      <c r="CI258" s="88">
        <f t="shared" ca="1" si="483"/>
        <v>15444.449999999999</v>
      </c>
      <c r="CJ258" s="88">
        <f t="shared" ca="1" si="483"/>
        <v>15444.449999999999</v>
      </c>
      <c r="CK258" s="88">
        <f t="shared" ca="1" si="484"/>
        <v>15444.449999999999</v>
      </c>
      <c r="CL258" s="88">
        <f t="shared" ca="1" si="484"/>
        <v>15444.449999999999</v>
      </c>
      <c r="CM258" s="88">
        <f t="shared" ca="1" si="484"/>
        <v>0</v>
      </c>
      <c r="CN258" s="88">
        <f t="shared" ca="1" si="484"/>
        <v>0</v>
      </c>
      <c r="CO258" s="88">
        <f t="shared" ca="1" si="484"/>
        <v>0</v>
      </c>
      <c r="CP258" s="88">
        <f t="shared" ca="1" si="484"/>
        <v>0</v>
      </c>
      <c r="CQ258" s="88">
        <f t="shared" ca="1" si="484"/>
        <v>0</v>
      </c>
      <c r="CR258" s="88">
        <f t="shared" ca="1" si="484"/>
        <v>0</v>
      </c>
      <c r="CS258" s="88">
        <f t="shared" ca="1" si="484"/>
        <v>0</v>
      </c>
      <c r="CT258" s="88">
        <f t="shared" ca="1" si="484"/>
        <v>0</v>
      </c>
      <c r="CU258" s="88">
        <f t="shared" ca="1" si="485"/>
        <v>0</v>
      </c>
      <c r="CV258" s="88">
        <f t="shared" ca="1" si="485"/>
        <v>0</v>
      </c>
      <c r="CW258" s="88">
        <f t="shared" ca="1" si="485"/>
        <v>0</v>
      </c>
      <c r="CX258" s="88">
        <f t="shared" ca="1" si="485"/>
        <v>0</v>
      </c>
      <c r="CY258" s="88">
        <f t="shared" ca="1" si="485"/>
        <v>0</v>
      </c>
      <c r="CZ258" s="88">
        <f t="shared" ca="1" si="485"/>
        <v>0</v>
      </c>
      <c r="DA258" s="88">
        <f t="shared" ca="1" si="485"/>
        <v>0</v>
      </c>
      <c r="DB258" s="88">
        <f t="shared" ca="1" si="485"/>
        <v>0</v>
      </c>
      <c r="DC258" s="88">
        <f t="shared" ca="1" si="485"/>
        <v>0</v>
      </c>
      <c r="DD258" s="88">
        <f t="shared" ca="1" si="485"/>
        <v>0</v>
      </c>
      <c r="DE258" s="88">
        <f t="shared" ca="1" si="485"/>
        <v>0</v>
      </c>
      <c r="DF258" s="88">
        <f t="shared" ca="1" si="485"/>
        <v>0</v>
      </c>
      <c r="DG258" s="88">
        <f t="shared" ca="1" si="485"/>
        <v>0</v>
      </c>
      <c r="DH258" s="88">
        <f t="shared" ca="1" si="485"/>
        <v>0</v>
      </c>
      <c r="DI258" s="88">
        <f t="shared" ca="1" si="485"/>
        <v>0</v>
      </c>
      <c r="DJ258" s="169"/>
      <c r="DK258" s="88">
        <f t="shared" ca="1" si="486"/>
        <v>0</v>
      </c>
      <c r="DL258" s="88">
        <f t="shared" ca="1" si="486"/>
        <v>0</v>
      </c>
      <c r="DM258" s="88">
        <f t="shared" ca="1" si="486"/>
        <v>3.15</v>
      </c>
      <c r="DN258" s="88">
        <f t="shared" ca="1" si="486"/>
        <v>3.15</v>
      </c>
      <c r="DO258" s="88">
        <f t="shared" ca="1" si="486"/>
        <v>3.15</v>
      </c>
      <c r="DP258" s="88">
        <f t="shared" ca="1" si="486"/>
        <v>3.15</v>
      </c>
      <c r="DQ258" s="88">
        <f t="shared" ca="1" si="486"/>
        <v>3.15</v>
      </c>
      <c r="DR258" s="88">
        <f t="shared" ca="1" si="486"/>
        <v>3.15</v>
      </c>
      <c r="DS258" s="88">
        <f t="shared" ca="1" si="486"/>
        <v>3.15</v>
      </c>
      <c r="DT258" s="88">
        <f t="shared" ca="1" si="486"/>
        <v>3.15</v>
      </c>
      <c r="DU258" s="88">
        <f t="shared" ca="1" si="487"/>
        <v>3.15</v>
      </c>
      <c r="DV258" s="88">
        <f t="shared" ca="1" si="487"/>
        <v>3.15</v>
      </c>
      <c r="DW258" s="88">
        <f t="shared" ca="1" si="487"/>
        <v>0</v>
      </c>
      <c r="DX258" s="88">
        <f t="shared" ca="1" si="487"/>
        <v>0</v>
      </c>
      <c r="DY258" s="88">
        <f t="shared" ca="1" si="487"/>
        <v>0</v>
      </c>
      <c r="DZ258" s="88">
        <f t="shared" ca="1" si="487"/>
        <v>0</v>
      </c>
      <c r="EA258" s="88">
        <f t="shared" ca="1" si="487"/>
        <v>0</v>
      </c>
      <c r="EB258" s="88">
        <f t="shared" ca="1" si="487"/>
        <v>0</v>
      </c>
      <c r="EC258" s="88">
        <f t="shared" ca="1" si="487"/>
        <v>0</v>
      </c>
      <c r="ED258" s="88">
        <f t="shared" ca="1" si="487"/>
        <v>0</v>
      </c>
      <c r="EE258" s="88">
        <f t="shared" ca="1" si="488"/>
        <v>0</v>
      </c>
      <c r="EF258" s="88">
        <f t="shared" ca="1" si="488"/>
        <v>0</v>
      </c>
      <c r="EG258" s="88">
        <f t="shared" ca="1" si="488"/>
        <v>0</v>
      </c>
      <c r="EH258" s="88">
        <f t="shared" ca="1" si="488"/>
        <v>0</v>
      </c>
      <c r="EI258" s="88">
        <f t="shared" ca="1" si="488"/>
        <v>0</v>
      </c>
      <c r="EJ258" s="88">
        <f t="shared" ca="1" si="488"/>
        <v>0</v>
      </c>
      <c r="EK258" s="88">
        <f t="shared" ca="1" si="488"/>
        <v>0</v>
      </c>
      <c r="EL258" s="88">
        <f t="shared" ca="1" si="488"/>
        <v>0</v>
      </c>
      <c r="EM258" s="88">
        <f t="shared" ca="1" si="488"/>
        <v>0</v>
      </c>
      <c r="EN258" s="88">
        <f t="shared" ca="1" si="488"/>
        <v>0</v>
      </c>
      <c r="EO258" s="88">
        <f t="shared" ca="1" si="488"/>
        <v>0</v>
      </c>
      <c r="EP258" s="88">
        <f t="shared" ca="1" si="488"/>
        <v>0</v>
      </c>
      <c r="EQ258" s="88">
        <f t="shared" ca="1" si="488"/>
        <v>0</v>
      </c>
      <c r="ER258" s="88">
        <f t="shared" ca="1" si="488"/>
        <v>0</v>
      </c>
      <c r="ES258" s="88">
        <f t="shared" ca="1" si="488"/>
        <v>0</v>
      </c>
      <c r="ET258" s="169"/>
      <c r="EU258" s="88">
        <f t="shared" ca="1" si="489"/>
        <v>0</v>
      </c>
      <c r="EV258" s="88">
        <f t="shared" ca="1" si="489"/>
        <v>0</v>
      </c>
      <c r="EW258" s="88">
        <f t="shared" ca="1" si="489"/>
        <v>0</v>
      </c>
      <c r="EX258" s="88">
        <f t="shared" ca="1" si="489"/>
        <v>0</v>
      </c>
      <c r="EY258" s="88">
        <f t="shared" ca="1" si="489"/>
        <v>0</v>
      </c>
      <c r="EZ258" s="88">
        <f t="shared" ca="1" si="489"/>
        <v>0</v>
      </c>
      <c r="FA258" s="88">
        <f t="shared" ca="1" si="489"/>
        <v>0</v>
      </c>
      <c r="FB258" s="88">
        <f t="shared" ca="1" si="489"/>
        <v>0</v>
      </c>
      <c r="FC258" s="88">
        <f t="shared" ca="1" si="489"/>
        <v>0</v>
      </c>
      <c r="FD258" s="88">
        <f t="shared" ca="1" si="489"/>
        <v>0</v>
      </c>
      <c r="FE258" s="88">
        <f t="shared" ca="1" si="490"/>
        <v>0</v>
      </c>
      <c r="FF258" s="88">
        <f t="shared" ca="1" si="490"/>
        <v>0</v>
      </c>
      <c r="FG258" s="88">
        <f t="shared" ca="1" si="490"/>
        <v>0</v>
      </c>
      <c r="FH258" s="88">
        <f t="shared" ca="1" si="490"/>
        <v>0</v>
      </c>
      <c r="FI258" s="88">
        <f t="shared" ca="1" si="490"/>
        <v>0</v>
      </c>
      <c r="FJ258" s="88">
        <f t="shared" ca="1" si="490"/>
        <v>0</v>
      </c>
      <c r="FK258" s="88">
        <f t="shared" ca="1" si="490"/>
        <v>0</v>
      </c>
      <c r="FL258" s="88">
        <f t="shared" ca="1" si="490"/>
        <v>0</v>
      </c>
      <c r="FM258" s="88">
        <f t="shared" ca="1" si="490"/>
        <v>0</v>
      </c>
      <c r="FN258" s="88">
        <f t="shared" ca="1" si="490"/>
        <v>0</v>
      </c>
      <c r="FO258" s="88">
        <f t="shared" ca="1" si="491"/>
        <v>0</v>
      </c>
      <c r="FP258" s="88">
        <f t="shared" ca="1" si="491"/>
        <v>0</v>
      </c>
      <c r="FQ258" s="88">
        <f t="shared" ca="1" si="491"/>
        <v>0</v>
      </c>
      <c r="FR258" s="88">
        <f t="shared" ca="1" si="491"/>
        <v>0</v>
      </c>
      <c r="FS258" s="88">
        <f t="shared" ca="1" si="491"/>
        <v>0</v>
      </c>
      <c r="FT258" s="88">
        <f t="shared" ca="1" si="491"/>
        <v>0</v>
      </c>
      <c r="FU258" s="88">
        <f t="shared" ca="1" si="491"/>
        <v>0</v>
      </c>
      <c r="FV258" s="88">
        <f t="shared" ca="1" si="491"/>
        <v>0</v>
      </c>
      <c r="FW258" s="88">
        <f t="shared" ca="1" si="491"/>
        <v>0</v>
      </c>
      <c r="FX258" s="88">
        <f t="shared" ca="1" si="491"/>
        <v>0</v>
      </c>
      <c r="FY258" s="88">
        <f t="shared" ca="1" si="491"/>
        <v>0</v>
      </c>
      <c r="FZ258" s="88">
        <f t="shared" ca="1" si="491"/>
        <v>0</v>
      </c>
      <c r="GA258" s="88">
        <f t="shared" ca="1" si="491"/>
        <v>0</v>
      </c>
      <c r="GB258" s="88">
        <f t="shared" ca="1" si="491"/>
        <v>0</v>
      </c>
      <c r="GC258" s="88">
        <f t="shared" ca="1" si="491"/>
        <v>0</v>
      </c>
      <c r="GD258" s="60"/>
    </row>
    <row r="259" spans="1:186" s="54" customFormat="1" ht="14.45" customHeight="1">
      <c r="A259" s="61"/>
      <c r="B259" s="100" t="str">
        <f t="shared" si="482"/>
        <v>C&amp;I_C&amp;I Prescriptive_0_LED wall mounted area lights (wallpacks) (30 to 75W)_2019</v>
      </c>
      <c r="C259" s="100">
        <f>INDEX('Measure Inputs'!$D:$D,MATCH($B259,'Measure Inputs'!$B:$B,0))</f>
        <v>211</v>
      </c>
      <c r="D259" s="101" t="s">
        <v>256</v>
      </c>
      <c r="E259" s="101" t="s">
        <v>255</v>
      </c>
      <c r="F259" s="101">
        <v>0</v>
      </c>
      <c r="G259" s="101" t="s">
        <v>360</v>
      </c>
      <c r="H259" s="101">
        <v>2019</v>
      </c>
      <c r="I259" s="55"/>
      <c r="J259" s="58">
        <f t="shared" ca="1" si="229"/>
        <v>1.0848963585716447</v>
      </c>
      <c r="K259" s="58">
        <f t="shared" ca="1" si="246"/>
        <v>4.1515367321341596</v>
      </c>
      <c r="L259" s="58">
        <f t="shared" ca="1" si="230"/>
        <v>0.26132404181184671</v>
      </c>
      <c r="M259" s="58">
        <f t="shared" ca="1" si="231"/>
        <v>1.4442827036208157</v>
      </c>
      <c r="N259" s="58">
        <f t="shared" ca="1" si="232"/>
        <v>4.1515367321341596</v>
      </c>
      <c r="O259" s="55"/>
      <c r="P259" s="175">
        <f ca="1">IFERROR(($AW259+AV259)/SUMPRODUCT($CA259:$DI259,'General Inputs'!$F$51:$AN$51),"n/a")</f>
        <v>8.6982071316452358E-3</v>
      </c>
      <c r="Q259" s="175">
        <f t="shared" ca="1" si="454"/>
        <v>6.1187028349989805E-2</v>
      </c>
      <c r="R259" s="56">
        <f t="shared" ca="1" si="441"/>
        <v>245.15</v>
      </c>
      <c r="S259" s="55"/>
      <c r="T259" s="56">
        <f ca="1">INDEX(OFFSET('Measure Inputs'!$L$7,,,InputRows),$C259)</f>
        <v>20</v>
      </c>
      <c r="U259" s="134">
        <f ca="1">INDEX(OFFSET('Measure Inputs'!$T$7,,,InputRows),$C259)</f>
        <v>1</v>
      </c>
      <c r="V259" s="134">
        <f ca="1">INDEX(OFFSET('Measure Inputs'!$U$7,,,InputRows),$C259)</f>
        <v>1</v>
      </c>
      <c r="W259" s="55"/>
      <c r="X259" s="96">
        <f ca="1">INDEX(OFFSET('Measure Inputs'!$V$7,,,InputRows),$C259)*$T259*$V259*$U259</f>
        <v>24515</v>
      </c>
      <c r="Y259" s="96">
        <f ca="1">INDEX(OFFSET('Measure Inputs'!$W$7,,,InputRows),$C259)*$T259*$V259*$U259</f>
        <v>5</v>
      </c>
      <c r="Z259" s="96">
        <f ca="1">INDEX(OFFSET('Measure Inputs'!$X$7,,,InputRows),$C259)*$T259*$V259*$U259</f>
        <v>0</v>
      </c>
      <c r="AA259" s="55"/>
      <c r="AB259" s="96">
        <f ca="1">INDEX(OFFSET('Measure Inputs'!$Z$7,,,InputRows),$C259)*$T259*$V259*$U259</f>
        <v>0</v>
      </c>
      <c r="AC259" s="96">
        <f ca="1">INDEX(OFFSET('Measure Inputs'!$AA$7,,,InputRows),$C259)*$T259*$V259*$U259</f>
        <v>0</v>
      </c>
      <c r="AD259" s="96">
        <f ca="1">INDEX(OFFSET('Measure Inputs'!$AB$7,,,InputRows),$C259)*$T259*$V259*$U259</f>
        <v>0</v>
      </c>
      <c r="AE259" s="55"/>
      <c r="AF259" s="57">
        <f ca="1">INDEX(OFFSET('Measure Inputs'!$Q$7,,,InputRows),$C259)*$T259</f>
        <v>0</v>
      </c>
      <c r="AG259" s="57">
        <f ca="1">INDEX(OFFSET('Measure Inputs'!$P$7,,,InputRows),$C259)*$T259*$V259</f>
        <v>5740</v>
      </c>
      <c r="AH259" s="57">
        <f ca="1">INDEX(OFFSET('Measure Inputs'!$R$7,,,InputRows),$C259)*$T259*$V259</f>
        <v>0</v>
      </c>
      <c r="AI259" s="57">
        <f ca="1">INDEX(OFFSET('Measure Inputs'!$O$7,,,InputRows),$C259)*$T259</f>
        <v>1500</v>
      </c>
      <c r="AJ259" s="57">
        <f ca="1">INDEX(OFFSET('Measure Inputs'!$S$7,,,InputRows),$C259)*$T259</f>
        <v>0</v>
      </c>
      <c r="AK259" s="63">
        <f ca="1">INDEX(OFFSET('Measure Inputs'!$M$7,,,InputRows),$C259)</f>
        <v>10</v>
      </c>
      <c r="AL259" s="88">
        <f ca="1">INDEX(OFFSET('Measure Inputs'!$N$7,,,InputRows),$C259)</f>
        <v>0</v>
      </c>
      <c r="AM259" s="57">
        <f ca="1">SUMIFS(OFFSET('Program Inputs'!$N$5,,,TotalPrograms),OFFSET('Program Inputs'!$B$5,,,TotalPrograms),SUBSTITUTE($B259,"All","*"))+AF259</f>
        <v>0</v>
      </c>
      <c r="AN259" s="57">
        <f t="shared" ca="1" si="442"/>
        <v>1500</v>
      </c>
      <c r="AO259" s="55"/>
      <c r="AP259" s="59">
        <f t="shared" ca="1" si="443"/>
        <v>5256.8196512806999</v>
      </c>
      <c r="AQ259" s="59">
        <f t="shared" ca="1" si="444"/>
        <v>4845.4579183966807</v>
      </c>
      <c r="AR259" s="59">
        <f ca="1">SUMPRODUCT($CA259:$DI259,'General Inputs'!$F$32:$AN$32,'General Inputs'!$F$51:$AN$51)/(1-Loss_ElectricEnergy)</f>
        <v>4584.300335556989</v>
      </c>
      <c r="AS259" s="59">
        <f ca="1">SUMPRODUCT($DK259:$ES259,'General Inputs'!$F$33:$AN$33,'General Inputs'!$F$51:$AN$51)/(1-Loss_ElectricDemand)</f>
        <v>672.51931572371109</v>
      </c>
      <c r="AT259" s="59">
        <f ca="1">SUMPRODUCT($EU259:$GC259,'General Inputs'!$F$34:$AN$34,'General Inputs'!$F$51:$AN$51)/(1-Loss_GasEnergy)</f>
        <v>0</v>
      </c>
      <c r="AU259" s="59">
        <f ca="1">INDEX('General Inputs'!$F$51:$AN$51,MATCH($H259,'General Inputs'!$F$50:$AN$50,0))*$AJ259</f>
        <v>0</v>
      </c>
      <c r="AV259" s="59">
        <f ca="1">INDEX('General Inputs'!$F$51:$AN$51,MATCH($H259,'General Inputs'!$F$50:$AN$50,0))*$AI259</f>
        <v>1266.2346476646378</v>
      </c>
      <c r="AW259" s="59">
        <f ca="1">INDEX('General Inputs'!$F$51:$AN$51,MATCH($H259,'General Inputs'!$F$50:$AN$50,0))*$AM259</f>
        <v>0</v>
      </c>
      <c r="AX259" s="59">
        <f ca="1">SUM(INDEX('General Inputs'!$F$51:$AN$51,MATCH($H259,'General Inputs'!$F$50:$AN$50,0))*$AG259,INDEX('General Inputs'!$F$51:$AN$51,MATCH($H259+$AL259,'General Inputs'!$F$50:$AN$50,0))*-$AH259)</f>
        <v>4845.4579183966807</v>
      </c>
      <c r="AY259" s="55"/>
      <c r="AZ259" s="59">
        <f ca="1">SUMPRODUCT($CA259:$DI259,'General Inputs'!$F$32:$AN$32,'General Inputs'!$F$52:$AN$52)/(1-Loss_ElectricEnergy)</f>
        <v>4584.300335556989</v>
      </c>
      <c r="BA259" s="59">
        <f ca="1">SUMPRODUCT($DK259:$ES259,'General Inputs'!$F$33:$AN$33,'General Inputs'!$F$52:$AN$52)/(1-Loss_ElectricDemand)</f>
        <v>672.51931572371109</v>
      </c>
      <c r="BB259" s="59">
        <f ca="1">SUMPRODUCT($EU259:$GC259,'General Inputs'!$F$34:$AN$34,'General Inputs'!$F$52:$AN$52)/(1-Loss_GasEnergy)</f>
        <v>0</v>
      </c>
      <c r="BC259" s="59">
        <f ca="1">INDEX('General Inputs'!$F$52:$AN$52,MATCH($H259,'General Inputs'!$F$50:$AN$50,0))*$AI259</f>
        <v>1266.2346476646378</v>
      </c>
      <c r="BD259" s="59">
        <f ca="1">INDEX('General Inputs'!$F$52:$AN$52,MATCH($H259,'General Inputs'!$F$50:$AN$50,0))*$AM259</f>
        <v>0</v>
      </c>
      <c r="BE259" s="55"/>
      <c r="BF259" s="59">
        <f ca="1">SUMPRODUCT($CA259:$DI259,OFFSET('General Inputs'!$F$40:$AN$40,MATCH($D259&amp;" Electric ($/kWh)",'General Inputs'!$E$40:$E$46,0),),'General Inputs'!$F$54:$AN$54)</f>
        <v>0</v>
      </c>
      <c r="BG259" s="59">
        <f ca="1">SUMPRODUCT($EU259:$GC259,OFFSET('General Inputs'!$F$40:$AN$40,MATCH($D259&amp;" Natural Gas ($/therm)",'General Inputs'!$E$40:$E$46,0),),'General Inputs'!$F$54:$AN$54)</f>
        <v>0</v>
      </c>
      <c r="BH259" s="59">
        <f ca="1">INDEX('General Inputs'!$F$54:$AN$54,MATCH($H259,'General Inputs'!$F$50:$AN$50,0))*$AI259</f>
        <v>1266.2346476646378</v>
      </c>
      <c r="BI259" s="59">
        <f ca="1">SUM(INDEX('General Inputs'!$F$54:$AN$54,MATCH($H259,'General Inputs'!$F$50:$AN$50,0))*$AG259,INDEX('General Inputs'!$F$51:$AN$51,MATCH($H259+$AL259,'General Inputs'!$F$50:$AN$50,0))*-$AH259)</f>
        <v>4845.4579183966807</v>
      </c>
      <c r="BJ259" s="55"/>
      <c r="BK259" s="59">
        <f ca="1">SUMPRODUCT($CA259:$DI259,'General Inputs'!$F$32:$AN$32,'General Inputs'!$F$53:$AN$53)/(1-Loss_ElectricEnergy)</f>
        <v>4584.300335556989</v>
      </c>
      <c r="BL259" s="59">
        <f ca="1">SUMPRODUCT($DK259:$ES259,'General Inputs'!$F$33:$AN$33,'General Inputs'!$F$53:$AN$53)/(1-Loss_ElectricDemand)</f>
        <v>672.51931572371109</v>
      </c>
      <c r="BM259" s="59">
        <f ca="1">SUMPRODUCT($EU259:$GC259,'General Inputs'!$F$34:$AN$34,'General Inputs'!$F$53:$AN$53)/(1-Loss_GasEnergy)</f>
        <v>0</v>
      </c>
      <c r="BN259" s="59">
        <f ca="1">INDEX('General Inputs'!$F$53:$AN$53,MATCH($H259,'General Inputs'!$F$50:$AN$50,0))*$AJ259</f>
        <v>0</v>
      </c>
      <c r="BO259" s="59">
        <f ca="1">SUMPRODUCT($CA259:$DI259,'General Inputs'!$F$35:$AN$35,'General Inputs'!$F$53:$AN$53)/(1-Loss_ElectricEnergy)</f>
        <v>1741.391411382147</v>
      </c>
      <c r="BP259" s="59">
        <f ca="1">INDEX('General Inputs'!$F$51:$AN$51,MATCH($H259,'General Inputs'!$F$50:$AN$50,0))*$AM259</f>
        <v>0</v>
      </c>
      <c r="BQ259" s="59">
        <f ca="1">SUM(INDEX('General Inputs'!$F$53:$AN$53,MATCH($H259,'General Inputs'!$F$50:$AN$50,0))*$AG259,INDEX('General Inputs'!$F$53:$AN$53,MATCH($H259+$AL259,'General Inputs'!$F$50:$AN$50,0))*-$AH259)</f>
        <v>4845.4579183966807</v>
      </c>
      <c r="BR259" s="55"/>
      <c r="BS259" s="59">
        <f ca="1">SUMPRODUCT($CA259:$DI259,'General Inputs'!$F$32:$AN$32,'General Inputs'!$F$55:$AN$55)/(1-Loss_ElectricEnergy)</f>
        <v>4584.300335556989</v>
      </c>
      <c r="BT259" s="59">
        <f ca="1">SUMPRODUCT($DK259:$ES259,'General Inputs'!$F$33:$AN$33,'General Inputs'!$F$55:$AN$55)/(1-Loss_ElectricDemand)</f>
        <v>672.51931572371109</v>
      </c>
      <c r="BU259" s="59">
        <f ca="1">SUMPRODUCT($EU259:$GC259,'General Inputs'!$F$34:$AN$34,'General Inputs'!$F$55:$AN$55)/(1-Loss_GasEnergy)</f>
        <v>0</v>
      </c>
      <c r="BV259" s="59">
        <f ca="1">SUMPRODUCT($CA259:$DI259,OFFSET('General Inputs'!$F$40:$AN$40,MATCH($D259&amp;" Electric ($/kWh)",'General Inputs'!$E$40:$E$46,0),),'General Inputs'!$F$55:$AN$55)</f>
        <v>0</v>
      </c>
      <c r="BW259" s="59">
        <f ca="1">SUMPRODUCT($EU259:$GC259,OFFSET('General Inputs'!$F$40:$AN$40,MATCH($D259&amp;" Natural Gas ($/therm)",'General Inputs'!$E$40:$E$46,0),),'General Inputs'!$F$55:$AN$55)</f>
        <v>0</v>
      </c>
      <c r="BX259" s="59">
        <f ca="1">INDEX('General Inputs'!$F$55:$AN$55,MATCH($H259,'General Inputs'!$F$50:$AN$50,0))*$AI259</f>
        <v>1266.2346476646378</v>
      </c>
      <c r="BY259" s="59">
        <f ca="1">INDEX('General Inputs'!$F$51:$AN$51,MATCH($H259,'General Inputs'!$F$50:$AN$50,0))*$AM259</f>
        <v>0</v>
      </c>
      <c r="BZ259" s="55"/>
      <c r="CA259" s="88">
        <f t="shared" ca="1" si="483"/>
        <v>0</v>
      </c>
      <c r="CB259" s="88">
        <f t="shared" ca="1" si="483"/>
        <v>0</v>
      </c>
      <c r="CC259" s="88">
        <f t="shared" ca="1" si="483"/>
        <v>24515</v>
      </c>
      <c r="CD259" s="88">
        <f t="shared" ca="1" si="483"/>
        <v>24515</v>
      </c>
      <c r="CE259" s="88">
        <f t="shared" ca="1" si="483"/>
        <v>24515</v>
      </c>
      <c r="CF259" s="88">
        <f t="shared" ca="1" si="483"/>
        <v>24515</v>
      </c>
      <c r="CG259" s="88">
        <f t="shared" ca="1" si="483"/>
        <v>24515</v>
      </c>
      <c r="CH259" s="88">
        <f t="shared" ca="1" si="483"/>
        <v>24515</v>
      </c>
      <c r="CI259" s="88">
        <f t="shared" ca="1" si="483"/>
        <v>24515</v>
      </c>
      <c r="CJ259" s="88">
        <f t="shared" ca="1" si="483"/>
        <v>24515</v>
      </c>
      <c r="CK259" s="88">
        <f t="shared" ca="1" si="484"/>
        <v>24515</v>
      </c>
      <c r="CL259" s="88">
        <f t="shared" ca="1" si="484"/>
        <v>24515</v>
      </c>
      <c r="CM259" s="88">
        <f t="shared" ca="1" si="484"/>
        <v>0</v>
      </c>
      <c r="CN259" s="88">
        <f t="shared" ca="1" si="484"/>
        <v>0</v>
      </c>
      <c r="CO259" s="88">
        <f t="shared" ca="1" si="484"/>
        <v>0</v>
      </c>
      <c r="CP259" s="88">
        <f t="shared" ca="1" si="484"/>
        <v>0</v>
      </c>
      <c r="CQ259" s="88">
        <f t="shared" ca="1" si="484"/>
        <v>0</v>
      </c>
      <c r="CR259" s="88">
        <f t="shared" ca="1" si="484"/>
        <v>0</v>
      </c>
      <c r="CS259" s="88">
        <f t="shared" ca="1" si="484"/>
        <v>0</v>
      </c>
      <c r="CT259" s="88">
        <f t="shared" ca="1" si="484"/>
        <v>0</v>
      </c>
      <c r="CU259" s="88">
        <f t="shared" ca="1" si="485"/>
        <v>0</v>
      </c>
      <c r="CV259" s="88">
        <f t="shared" ca="1" si="485"/>
        <v>0</v>
      </c>
      <c r="CW259" s="88">
        <f t="shared" ca="1" si="485"/>
        <v>0</v>
      </c>
      <c r="CX259" s="88">
        <f t="shared" ca="1" si="485"/>
        <v>0</v>
      </c>
      <c r="CY259" s="88">
        <f t="shared" ca="1" si="485"/>
        <v>0</v>
      </c>
      <c r="CZ259" s="88">
        <f t="shared" ca="1" si="485"/>
        <v>0</v>
      </c>
      <c r="DA259" s="88">
        <f t="shared" ca="1" si="485"/>
        <v>0</v>
      </c>
      <c r="DB259" s="88">
        <f t="shared" ca="1" si="485"/>
        <v>0</v>
      </c>
      <c r="DC259" s="88">
        <f t="shared" ca="1" si="485"/>
        <v>0</v>
      </c>
      <c r="DD259" s="88">
        <f t="shared" ca="1" si="485"/>
        <v>0</v>
      </c>
      <c r="DE259" s="88">
        <f t="shared" ca="1" si="485"/>
        <v>0</v>
      </c>
      <c r="DF259" s="88">
        <f t="shared" ca="1" si="485"/>
        <v>0</v>
      </c>
      <c r="DG259" s="88">
        <f t="shared" ca="1" si="485"/>
        <v>0</v>
      </c>
      <c r="DH259" s="88">
        <f t="shared" ca="1" si="485"/>
        <v>0</v>
      </c>
      <c r="DI259" s="88">
        <f t="shared" ca="1" si="485"/>
        <v>0</v>
      </c>
      <c r="DJ259" s="169"/>
      <c r="DK259" s="88">
        <f t="shared" ca="1" si="486"/>
        <v>0</v>
      </c>
      <c r="DL259" s="88">
        <f t="shared" ca="1" si="486"/>
        <v>0</v>
      </c>
      <c r="DM259" s="88">
        <f t="shared" ca="1" si="486"/>
        <v>5</v>
      </c>
      <c r="DN259" s="88">
        <f t="shared" ca="1" si="486"/>
        <v>5</v>
      </c>
      <c r="DO259" s="88">
        <f t="shared" ca="1" si="486"/>
        <v>5</v>
      </c>
      <c r="DP259" s="88">
        <f t="shared" ca="1" si="486"/>
        <v>5</v>
      </c>
      <c r="DQ259" s="88">
        <f t="shared" ca="1" si="486"/>
        <v>5</v>
      </c>
      <c r="DR259" s="88">
        <f t="shared" ca="1" si="486"/>
        <v>5</v>
      </c>
      <c r="DS259" s="88">
        <f t="shared" ca="1" si="486"/>
        <v>5</v>
      </c>
      <c r="DT259" s="88">
        <f t="shared" ca="1" si="486"/>
        <v>5</v>
      </c>
      <c r="DU259" s="88">
        <f t="shared" ca="1" si="487"/>
        <v>5</v>
      </c>
      <c r="DV259" s="88">
        <f t="shared" ca="1" si="487"/>
        <v>5</v>
      </c>
      <c r="DW259" s="88">
        <f t="shared" ca="1" si="487"/>
        <v>0</v>
      </c>
      <c r="DX259" s="88">
        <f t="shared" ca="1" si="487"/>
        <v>0</v>
      </c>
      <c r="DY259" s="88">
        <f t="shared" ca="1" si="487"/>
        <v>0</v>
      </c>
      <c r="DZ259" s="88">
        <f t="shared" ca="1" si="487"/>
        <v>0</v>
      </c>
      <c r="EA259" s="88">
        <f t="shared" ca="1" si="487"/>
        <v>0</v>
      </c>
      <c r="EB259" s="88">
        <f t="shared" ca="1" si="487"/>
        <v>0</v>
      </c>
      <c r="EC259" s="88">
        <f t="shared" ca="1" si="487"/>
        <v>0</v>
      </c>
      <c r="ED259" s="88">
        <f t="shared" ca="1" si="487"/>
        <v>0</v>
      </c>
      <c r="EE259" s="88">
        <f t="shared" ca="1" si="488"/>
        <v>0</v>
      </c>
      <c r="EF259" s="88">
        <f t="shared" ca="1" si="488"/>
        <v>0</v>
      </c>
      <c r="EG259" s="88">
        <f t="shared" ca="1" si="488"/>
        <v>0</v>
      </c>
      <c r="EH259" s="88">
        <f t="shared" ca="1" si="488"/>
        <v>0</v>
      </c>
      <c r="EI259" s="88">
        <f t="shared" ca="1" si="488"/>
        <v>0</v>
      </c>
      <c r="EJ259" s="88">
        <f t="shared" ca="1" si="488"/>
        <v>0</v>
      </c>
      <c r="EK259" s="88">
        <f t="shared" ca="1" si="488"/>
        <v>0</v>
      </c>
      <c r="EL259" s="88">
        <f t="shared" ca="1" si="488"/>
        <v>0</v>
      </c>
      <c r="EM259" s="88">
        <f t="shared" ca="1" si="488"/>
        <v>0</v>
      </c>
      <c r="EN259" s="88">
        <f t="shared" ca="1" si="488"/>
        <v>0</v>
      </c>
      <c r="EO259" s="88">
        <f t="shared" ca="1" si="488"/>
        <v>0</v>
      </c>
      <c r="EP259" s="88">
        <f t="shared" ca="1" si="488"/>
        <v>0</v>
      </c>
      <c r="EQ259" s="88">
        <f t="shared" ca="1" si="488"/>
        <v>0</v>
      </c>
      <c r="ER259" s="88">
        <f t="shared" ca="1" si="488"/>
        <v>0</v>
      </c>
      <c r="ES259" s="88">
        <f t="shared" ca="1" si="488"/>
        <v>0</v>
      </c>
      <c r="ET259" s="169"/>
      <c r="EU259" s="88">
        <f t="shared" ca="1" si="489"/>
        <v>0</v>
      </c>
      <c r="EV259" s="88">
        <f t="shared" ca="1" si="489"/>
        <v>0</v>
      </c>
      <c r="EW259" s="88">
        <f t="shared" ca="1" si="489"/>
        <v>0</v>
      </c>
      <c r="EX259" s="88">
        <f t="shared" ca="1" si="489"/>
        <v>0</v>
      </c>
      <c r="EY259" s="88">
        <f t="shared" ca="1" si="489"/>
        <v>0</v>
      </c>
      <c r="EZ259" s="88">
        <f t="shared" ca="1" si="489"/>
        <v>0</v>
      </c>
      <c r="FA259" s="88">
        <f t="shared" ca="1" si="489"/>
        <v>0</v>
      </c>
      <c r="FB259" s="88">
        <f t="shared" ca="1" si="489"/>
        <v>0</v>
      </c>
      <c r="FC259" s="88">
        <f t="shared" ca="1" si="489"/>
        <v>0</v>
      </c>
      <c r="FD259" s="88">
        <f t="shared" ca="1" si="489"/>
        <v>0</v>
      </c>
      <c r="FE259" s="88">
        <f t="shared" ca="1" si="490"/>
        <v>0</v>
      </c>
      <c r="FF259" s="88">
        <f t="shared" ca="1" si="490"/>
        <v>0</v>
      </c>
      <c r="FG259" s="88">
        <f t="shared" ca="1" si="490"/>
        <v>0</v>
      </c>
      <c r="FH259" s="88">
        <f t="shared" ca="1" si="490"/>
        <v>0</v>
      </c>
      <c r="FI259" s="88">
        <f t="shared" ca="1" si="490"/>
        <v>0</v>
      </c>
      <c r="FJ259" s="88">
        <f t="shared" ca="1" si="490"/>
        <v>0</v>
      </c>
      <c r="FK259" s="88">
        <f t="shared" ca="1" si="490"/>
        <v>0</v>
      </c>
      <c r="FL259" s="88">
        <f t="shared" ca="1" si="490"/>
        <v>0</v>
      </c>
      <c r="FM259" s="88">
        <f t="shared" ca="1" si="490"/>
        <v>0</v>
      </c>
      <c r="FN259" s="88">
        <f t="shared" ca="1" si="490"/>
        <v>0</v>
      </c>
      <c r="FO259" s="88">
        <f t="shared" ca="1" si="491"/>
        <v>0</v>
      </c>
      <c r="FP259" s="88">
        <f t="shared" ca="1" si="491"/>
        <v>0</v>
      </c>
      <c r="FQ259" s="88">
        <f t="shared" ca="1" si="491"/>
        <v>0</v>
      </c>
      <c r="FR259" s="88">
        <f t="shared" ca="1" si="491"/>
        <v>0</v>
      </c>
      <c r="FS259" s="88">
        <f t="shared" ca="1" si="491"/>
        <v>0</v>
      </c>
      <c r="FT259" s="88">
        <f t="shared" ca="1" si="491"/>
        <v>0</v>
      </c>
      <c r="FU259" s="88">
        <f t="shared" ca="1" si="491"/>
        <v>0</v>
      </c>
      <c r="FV259" s="88">
        <f t="shared" ca="1" si="491"/>
        <v>0</v>
      </c>
      <c r="FW259" s="88">
        <f t="shared" ca="1" si="491"/>
        <v>0</v>
      </c>
      <c r="FX259" s="88">
        <f t="shared" ca="1" si="491"/>
        <v>0</v>
      </c>
      <c r="FY259" s="88">
        <f t="shared" ca="1" si="491"/>
        <v>0</v>
      </c>
      <c r="FZ259" s="88">
        <f t="shared" ca="1" si="491"/>
        <v>0</v>
      </c>
      <c r="GA259" s="88">
        <f t="shared" ca="1" si="491"/>
        <v>0</v>
      </c>
      <c r="GB259" s="88">
        <f t="shared" ca="1" si="491"/>
        <v>0</v>
      </c>
      <c r="GC259" s="88">
        <f t="shared" ca="1" si="491"/>
        <v>0</v>
      </c>
      <c r="GD259" s="60"/>
    </row>
    <row r="260" spans="1:186" s="54" customFormat="1" ht="14.45" customHeight="1">
      <c r="A260" s="61"/>
      <c r="B260" s="100" t="str">
        <f t="shared" si="482"/>
        <v>C&amp;I_C&amp;I Prescriptive_0_LED wall mounted area lights (wallpacks) (≥75W)_2019</v>
      </c>
      <c r="C260" s="100">
        <f>INDEX('Measure Inputs'!$D:$D,MATCH($B260,'Measure Inputs'!$B:$B,0))</f>
        <v>212</v>
      </c>
      <c r="D260" s="101" t="s">
        <v>256</v>
      </c>
      <c r="E260" s="101" t="s">
        <v>255</v>
      </c>
      <c r="F260" s="101">
        <v>0</v>
      </c>
      <c r="G260" s="101" t="s">
        <v>361</v>
      </c>
      <c r="H260" s="101">
        <v>2019</v>
      </c>
      <c r="I260" s="55"/>
      <c r="J260" s="58">
        <f t="shared" ca="1" si="229"/>
        <v>0.77721864141232888</v>
      </c>
      <c r="K260" s="58">
        <f t="shared" ca="1" si="246"/>
        <v>3.0389248879222057</v>
      </c>
      <c r="L260" s="58">
        <f t="shared" ca="1" si="230"/>
        <v>0.25575447570332482</v>
      </c>
      <c r="M260" s="58">
        <f t="shared" ca="1" si="231"/>
        <v>1.0346826513468899</v>
      </c>
      <c r="N260" s="58">
        <f t="shared" ca="1" si="232"/>
        <v>3.0389248879222057</v>
      </c>
      <c r="O260" s="55"/>
      <c r="P260" s="175">
        <f ca="1">IFERROR(($AW260+AV260)/SUMPRODUCT($CA260:$DI260,'General Inputs'!$F$51:$AN$51),"n/a")</f>
        <v>1.1882796627930651E-2</v>
      </c>
      <c r="Q260" s="175">
        <f t="shared" ca="1" si="454"/>
        <v>8.3588836543701917E-2</v>
      </c>
      <c r="R260" s="56">
        <f t="shared" ca="1" si="441"/>
        <v>119.63320000000002</v>
      </c>
      <c r="S260" s="55"/>
      <c r="T260" s="56">
        <f ca="1">INDEX(OFFSET('Measure Inputs'!$L$7,,,InputRows),$C260)</f>
        <v>10</v>
      </c>
      <c r="U260" s="134">
        <f ca="1">INDEX(OFFSET('Measure Inputs'!$T$7,,,InputRows),$C260)</f>
        <v>1</v>
      </c>
      <c r="V260" s="134">
        <f ca="1">INDEX(OFFSET('Measure Inputs'!$U$7,,,InputRows),$C260)</f>
        <v>1</v>
      </c>
      <c r="W260" s="55"/>
      <c r="X260" s="96">
        <f ca="1">INDEX(OFFSET('Measure Inputs'!$V$7,,,InputRows),$C260)*$T260*$V260*$U260</f>
        <v>11963.32</v>
      </c>
      <c r="Y260" s="96">
        <f ca="1">INDEX(OFFSET('Measure Inputs'!$W$7,,,InputRows),$C260)*$T260*$V260*$U260</f>
        <v>2.44</v>
      </c>
      <c r="Z260" s="96">
        <f ca="1">INDEX(OFFSET('Measure Inputs'!$X$7,,,InputRows),$C260)*$T260*$V260*$U260</f>
        <v>0</v>
      </c>
      <c r="AA260" s="55"/>
      <c r="AB260" s="96">
        <f ca="1">INDEX(OFFSET('Measure Inputs'!$Z$7,,,InputRows),$C260)*$T260*$V260*$U260</f>
        <v>0</v>
      </c>
      <c r="AC260" s="96">
        <f ca="1">INDEX(OFFSET('Measure Inputs'!$AA$7,,,InputRows),$C260)*$T260*$V260*$U260</f>
        <v>0</v>
      </c>
      <c r="AD260" s="96">
        <f ca="1">INDEX(OFFSET('Measure Inputs'!$AB$7,,,InputRows),$C260)*$T260*$V260*$U260</f>
        <v>0</v>
      </c>
      <c r="AE260" s="55"/>
      <c r="AF260" s="57">
        <f ca="1">INDEX(OFFSET('Measure Inputs'!$Q$7,,,InputRows),$C260)*$T260</f>
        <v>0</v>
      </c>
      <c r="AG260" s="57">
        <f ca="1">INDEX(OFFSET('Measure Inputs'!$P$7,,,InputRows),$C260)*$T260*$V260</f>
        <v>3910</v>
      </c>
      <c r="AH260" s="57">
        <f ca="1">INDEX(OFFSET('Measure Inputs'!$R$7,,,InputRows),$C260)*$T260*$V260</f>
        <v>0</v>
      </c>
      <c r="AI260" s="57">
        <f ca="1">INDEX(OFFSET('Measure Inputs'!$O$7,,,InputRows),$C260)*$T260</f>
        <v>1000</v>
      </c>
      <c r="AJ260" s="57">
        <f ca="1">INDEX(OFFSET('Measure Inputs'!$S$7,,,InputRows),$C260)*$T260</f>
        <v>0</v>
      </c>
      <c r="AK260" s="63">
        <f ca="1">INDEX(OFFSET('Measure Inputs'!$M$7,,,InputRows),$C260)</f>
        <v>10</v>
      </c>
      <c r="AL260" s="88">
        <f ca="1">INDEX(OFFSET('Measure Inputs'!$N$7,,,InputRows),$C260)</f>
        <v>0</v>
      </c>
      <c r="AM260" s="57">
        <f ca="1">SUMIFS(OFFSET('Program Inputs'!$N$5,,,TotalPrograms),OFFSET('Program Inputs'!$B$5,,,TotalPrograms),SUBSTITUTE($B260,"All","*"))+AF260</f>
        <v>0</v>
      </c>
      <c r="AN260" s="57">
        <f t="shared" ca="1" si="442"/>
        <v>1000</v>
      </c>
      <c r="AO260" s="55"/>
      <c r="AP260" s="59">
        <f t="shared" ca="1" si="443"/>
        <v>2565.3279898249821</v>
      </c>
      <c r="AQ260" s="59">
        <f t="shared" ca="1" si="444"/>
        <v>3300.6516482458223</v>
      </c>
      <c r="AR260" s="59">
        <f ca="1">SUMPRODUCT($CA260:$DI260,'General Inputs'!$F$32:$AN$32,'General Inputs'!$F$51:$AN$51)/(1-Loss_ElectricEnergy)</f>
        <v>2237.138563751811</v>
      </c>
      <c r="AS260" s="59">
        <f ca="1">SUMPRODUCT($DK260:$ES260,'General Inputs'!$F$33:$AN$33,'General Inputs'!$F$51:$AN$51)/(1-Loss_ElectricDemand)</f>
        <v>328.18942607317092</v>
      </c>
      <c r="AT260" s="59">
        <f ca="1">SUMPRODUCT($EU260:$GC260,'General Inputs'!$F$34:$AN$34,'General Inputs'!$F$51:$AN$51)/(1-Loss_GasEnergy)</f>
        <v>0</v>
      </c>
      <c r="AU260" s="59">
        <f ca="1">INDEX('General Inputs'!$F$51:$AN$51,MATCH($H260,'General Inputs'!$F$50:$AN$50,0))*$AJ260</f>
        <v>0</v>
      </c>
      <c r="AV260" s="59">
        <f ca="1">INDEX('General Inputs'!$F$51:$AN$51,MATCH($H260,'General Inputs'!$F$50:$AN$50,0))*$AI260</f>
        <v>844.15643177642517</v>
      </c>
      <c r="AW260" s="59">
        <f ca="1">INDEX('General Inputs'!$F$51:$AN$51,MATCH($H260,'General Inputs'!$F$50:$AN$50,0))*$AM260</f>
        <v>0</v>
      </c>
      <c r="AX260" s="59">
        <f ca="1">SUM(INDEX('General Inputs'!$F$51:$AN$51,MATCH($H260,'General Inputs'!$F$50:$AN$50,0))*$AG260,INDEX('General Inputs'!$F$51:$AN$51,MATCH($H260+$AL260,'General Inputs'!$F$50:$AN$50,0))*-$AH260)</f>
        <v>3300.6516482458223</v>
      </c>
      <c r="AY260" s="55"/>
      <c r="AZ260" s="59">
        <f ca="1">SUMPRODUCT($CA260:$DI260,'General Inputs'!$F$32:$AN$32,'General Inputs'!$F$52:$AN$52)/(1-Loss_ElectricEnergy)</f>
        <v>2237.138563751811</v>
      </c>
      <c r="BA260" s="59">
        <f ca="1">SUMPRODUCT($DK260:$ES260,'General Inputs'!$F$33:$AN$33,'General Inputs'!$F$52:$AN$52)/(1-Loss_ElectricDemand)</f>
        <v>328.18942607317092</v>
      </c>
      <c r="BB260" s="59">
        <f ca="1">SUMPRODUCT($EU260:$GC260,'General Inputs'!$F$34:$AN$34,'General Inputs'!$F$52:$AN$52)/(1-Loss_GasEnergy)</f>
        <v>0</v>
      </c>
      <c r="BC260" s="59">
        <f ca="1">INDEX('General Inputs'!$F$52:$AN$52,MATCH($H260,'General Inputs'!$F$50:$AN$50,0))*$AI260</f>
        <v>844.15643177642517</v>
      </c>
      <c r="BD260" s="59">
        <f ca="1">INDEX('General Inputs'!$F$52:$AN$52,MATCH($H260,'General Inputs'!$F$50:$AN$50,0))*$AM260</f>
        <v>0</v>
      </c>
      <c r="BE260" s="55"/>
      <c r="BF260" s="59">
        <f ca="1">SUMPRODUCT($CA260:$DI260,OFFSET('General Inputs'!$F$40:$AN$40,MATCH($D260&amp;" Electric ($/kWh)",'General Inputs'!$E$40:$E$46,0),),'General Inputs'!$F$54:$AN$54)</f>
        <v>0</v>
      </c>
      <c r="BG260" s="59">
        <f ca="1">SUMPRODUCT($EU260:$GC260,OFFSET('General Inputs'!$F$40:$AN$40,MATCH($D260&amp;" Natural Gas ($/therm)",'General Inputs'!$E$40:$E$46,0),),'General Inputs'!$F$54:$AN$54)</f>
        <v>0</v>
      </c>
      <c r="BH260" s="59">
        <f ca="1">INDEX('General Inputs'!$F$54:$AN$54,MATCH($H260,'General Inputs'!$F$50:$AN$50,0))*$AI260</f>
        <v>844.15643177642517</v>
      </c>
      <c r="BI260" s="59">
        <f ca="1">SUM(INDEX('General Inputs'!$F$54:$AN$54,MATCH($H260,'General Inputs'!$F$50:$AN$50,0))*$AG260,INDEX('General Inputs'!$F$51:$AN$51,MATCH($H260+$AL260,'General Inputs'!$F$50:$AN$50,0))*-$AH260)</f>
        <v>3300.6516482458223</v>
      </c>
      <c r="BJ260" s="55"/>
      <c r="BK260" s="59">
        <f ca="1">SUMPRODUCT($CA260:$DI260,'General Inputs'!$F$32:$AN$32,'General Inputs'!$F$53:$AN$53)/(1-Loss_ElectricEnergy)</f>
        <v>2237.138563751811</v>
      </c>
      <c r="BL260" s="59">
        <f ca="1">SUMPRODUCT($DK260:$ES260,'General Inputs'!$F$33:$AN$33,'General Inputs'!$F$53:$AN$53)/(1-Loss_ElectricDemand)</f>
        <v>328.18942607317092</v>
      </c>
      <c r="BM260" s="59">
        <f ca="1">SUMPRODUCT($EU260:$GC260,'General Inputs'!$F$34:$AN$34,'General Inputs'!$F$53:$AN$53)/(1-Loss_GasEnergy)</f>
        <v>0</v>
      </c>
      <c r="BN260" s="59">
        <f ca="1">INDEX('General Inputs'!$F$53:$AN$53,MATCH($H260,'General Inputs'!$F$50:$AN$50,0))*$AJ260</f>
        <v>0</v>
      </c>
      <c r="BO260" s="59">
        <f ca="1">SUMPRODUCT($CA260:$DI260,'General Inputs'!$F$35:$AN$35,'General Inputs'!$F$53:$AN$53)/(1-Loss_ElectricEnergy)</f>
        <v>849.79900875448789</v>
      </c>
      <c r="BP260" s="59">
        <f ca="1">INDEX('General Inputs'!$F$51:$AN$51,MATCH($H260,'General Inputs'!$F$50:$AN$50,0))*$AM260</f>
        <v>0</v>
      </c>
      <c r="BQ260" s="59">
        <f ca="1">SUM(INDEX('General Inputs'!$F$53:$AN$53,MATCH($H260,'General Inputs'!$F$50:$AN$50,0))*$AG260,INDEX('General Inputs'!$F$53:$AN$53,MATCH($H260+$AL260,'General Inputs'!$F$50:$AN$50,0))*-$AH260)</f>
        <v>3300.6516482458223</v>
      </c>
      <c r="BR260" s="55"/>
      <c r="BS260" s="59">
        <f ca="1">SUMPRODUCT($CA260:$DI260,'General Inputs'!$F$32:$AN$32,'General Inputs'!$F$55:$AN$55)/(1-Loss_ElectricEnergy)</f>
        <v>2237.138563751811</v>
      </c>
      <c r="BT260" s="59">
        <f ca="1">SUMPRODUCT($DK260:$ES260,'General Inputs'!$F$33:$AN$33,'General Inputs'!$F$55:$AN$55)/(1-Loss_ElectricDemand)</f>
        <v>328.18942607317092</v>
      </c>
      <c r="BU260" s="59">
        <f ca="1">SUMPRODUCT($EU260:$GC260,'General Inputs'!$F$34:$AN$34,'General Inputs'!$F$55:$AN$55)/(1-Loss_GasEnergy)</f>
        <v>0</v>
      </c>
      <c r="BV260" s="59">
        <f ca="1">SUMPRODUCT($CA260:$DI260,OFFSET('General Inputs'!$F$40:$AN$40,MATCH($D260&amp;" Electric ($/kWh)",'General Inputs'!$E$40:$E$46,0),),'General Inputs'!$F$55:$AN$55)</f>
        <v>0</v>
      </c>
      <c r="BW260" s="59">
        <f ca="1">SUMPRODUCT($EU260:$GC260,OFFSET('General Inputs'!$F$40:$AN$40,MATCH($D260&amp;" Natural Gas ($/therm)",'General Inputs'!$E$40:$E$46,0),),'General Inputs'!$F$55:$AN$55)</f>
        <v>0</v>
      </c>
      <c r="BX260" s="59">
        <f ca="1">INDEX('General Inputs'!$F$55:$AN$55,MATCH($H260,'General Inputs'!$F$50:$AN$50,0))*$AI260</f>
        <v>844.15643177642517</v>
      </c>
      <c r="BY260" s="59">
        <f ca="1">INDEX('General Inputs'!$F$51:$AN$51,MATCH($H260,'General Inputs'!$F$50:$AN$50,0))*$AM260</f>
        <v>0</v>
      </c>
      <c r="BZ260" s="55"/>
      <c r="CA260" s="88">
        <f t="shared" ca="1" si="483"/>
        <v>0</v>
      </c>
      <c r="CB260" s="88">
        <f t="shared" ca="1" si="483"/>
        <v>0</v>
      </c>
      <c r="CC260" s="88">
        <f t="shared" ca="1" si="483"/>
        <v>11963.32</v>
      </c>
      <c r="CD260" s="88">
        <f t="shared" ca="1" si="483"/>
        <v>11963.32</v>
      </c>
      <c r="CE260" s="88">
        <f t="shared" ca="1" si="483"/>
        <v>11963.32</v>
      </c>
      <c r="CF260" s="88">
        <f t="shared" ca="1" si="483"/>
        <v>11963.32</v>
      </c>
      <c r="CG260" s="88">
        <f t="shared" ca="1" si="483"/>
        <v>11963.32</v>
      </c>
      <c r="CH260" s="88">
        <f t="shared" ca="1" si="483"/>
        <v>11963.32</v>
      </c>
      <c r="CI260" s="88">
        <f t="shared" ca="1" si="483"/>
        <v>11963.32</v>
      </c>
      <c r="CJ260" s="88">
        <f t="shared" ca="1" si="483"/>
        <v>11963.32</v>
      </c>
      <c r="CK260" s="88">
        <f t="shared" ca="1" si="484"/>
        <v>11963.32</v>
      </c>
      <c r="CL260" s="88">
        <f t="shared" ca="1" si="484"/>
        <v>11963.32</v>
      </c>
      <c r="CM260" s="88">
        <f t="shared" ca="1" si="484"/>
        <v>0</v>
      </c>
      <c r="CN260" s="88">
        <f t="shared" ca="1" si="484"/>
        <v>0</v>
      </c>
      <c r="CO260" s="88">
        <f t="shared" ca="1" si="484"/>
        <v>0</v>
      </c>
      <c r="CP260" s="88">
        <f t="shared" ca="1" si="484"/>
        <v>0</v>
      </c>
      <c r="CQ260" s="88">
        <f t="shared" ca="1" si="484"/>
        <v>0</v>
      </c>
      <c r="CR260" s="88">
        <f t="shared" ca="1" si="484"/>
        <v>0</v>
      </c>
      <c r="CS260" s="88">
        <f t="shared" ca="1" si="484"/>
        <v>0</v>
      </c>
      <c r="CT260" s="88">
        <f t="shared" ca="1" si="484"/>
        <v>0</v>
      </c>
      <c r="CU260" s="88">
        <f t="shared" ca="1" si="485"/>
        <v>0</v>
      </c>
      <c r="CV260" s="88">
        <f t="shared" ca="1" si="485"/>
        <v>0</v>
      </c>
      <c r="CW260" s="88">
        <f t="shared" ca="1" si="485"/>
        <v>0</v>
      </c>
      <c r="CX260" s="88">
        <f t="shared" ca="1" si="485"/>
        <v>0</v>
      </c>
      <c r="CY260" s="88">
        <f t="shared" ca="1" si="485"/>
        <v>0</v>
      </c>
      <c r="CZ260" s="88">
        <f t="shared" ca="1" si="485"/>
        <v>0</v>
      </c>
      <c r="DA260" s="88">
        <f t="shared" ca="1" si="485"/>
        <v>0</v>
      </c>
      <c r="DB260" s="88">
        <f t="shared" ca="1" si="485"/>
        <v>0</v>
      </c>
      <c r="DC260" s="88">
        <f t="shared" ca="1" si="485"/>
        <v>0</v>
      </c>
      <c r="DD260" s="88">
        <f t="shared" ca="1" si="485"/>
        <v>0</v>
      </c>
      <c r="DE260" s="88">
        <f t="shared" ca="1" si="485"/>
        <v>0</v>
      </c>
      <c r="DF260" s="88">
        <f t="shared" ca="1" si="485"/>
        <v>0</v>
      </c>
      <c r="DG260" s="88">
        <f t="shared" ca="1" si="485"/>
        <v>0</v>
      </c>
      <c r="DH260" s="88">
        <f t="shared" ca="1" si="485"/>
        <v>0</v>
      </c>
      <c r="DI260" s="88">
        <f t="shared" ca="1" si="485"/>
        <v>0</v>
      </c>
      <c r="DJ260" s="169"/>
      <c r="DK260" s="88">
        <f t="shared" ca="1" si="486"/>
        <v>0</v>
      </c>
      <c r="DL260" s="88">
        <f t="shared" ca="1" si="486"/>
        <v>0</v>
      </c>
      <c r="DM260" s="88">
        <f t="shared" ca="1" si="486"/>
        <v>2.44</v>
      </c>
      <c r="DN260" s="88">
        <f t="shared" ca="1" si="486"/>
        <v>2.44</v>
      </c>
      <c r="DO260" s="88">
        <f t="shared" ca="1" si="486"/>
        <v>2.44</v>
      </c>
      <c r="DP260" s="88">
        <f t="shared" ca="1" si="486"/>
        <v>2.44</v>
      </c>
      <c r="DQ260" s="88">
        <f t="shared" ca="1" si="486"/>
        <v>2.44</v>
      </c>
      <c r="DR260" s="88">
        <f t="shared" ca="1" si="486"/>
        <v>2.44</v>
      </c>
      <c r="DS260" s="88">
        <f t="shared" ca="1" si="486"/>
        <v>2.44</v>
      </c>
      <c r="DT260" s="88">
        <f t="shared" ca="1" si="486"/>
        <v>2.44</v>
      </c>
      <c r="DU260" s="88">
        <f t="shared" ca="1" si="487"/>
        <v>2.44</v>
      </c>
      <c r="DV260" s="88">
        <f t="shared" ca="1" si="487"/>
        <v>2.44</v>
      </c>
      <c r="DW260" s="88">
        <f t="shared" ca="1" si="487"/>
        <v>0</v>
      </c>
      <c r="DX260" s="88">
        <f t="shared" ca="1" si="487"/>
        <v>0</v>
      </c>
      <c r="DY260" s="88">
        <f t="shared" ca="1" si="487"/>
        <v>0</v>
      </c>
      <c r="DZ260" s="88">
        <f t="shared" ca="1" si="487"/>
        <v>0</v>
      </c>
      <c r="EA260" s="88">
        <f t="shared" ca="1" si="487"/>
        <v>0</v>
      </c>
      <c r="EB260" s="88">
        <f t="shared" ca="1" si="487"/>
        <v>0</v>
      </c>
      <c r="EC260" s="88">
        <f t="shared" ca="1" si="487"/>
        <v>0</v>
      </c>
      <c r="ED260" s="88">
        <f t="shared" ca="1" si="487"/>
        <v>0</v>
      </c>
      <c r="EE260" s="88">
        <f t="shared" ca="1" si="488"/>
        <v>0</v>
      </c>
      <c r="EF260" s="88">
        <f t="shared" ca="1" si="488"/>
        <v>0</v>
      </c>
      <c r="EG260" s="88">
        <f t="shared" ca="1" si="488"/>
        <v>0</v>
      </c>
      <c r="EH260" s="88">
        <f t="shared" ca="1" si="488"/>
        <v>0</v>
      </c>
      <c r="EI260" s="88">
        <f t="shared" ca="1" si="488"/>
        <v>0</v>
      </c>
      <c r="EJ260" s="88">
        <f t="shared" ca="1" si="488"/>
        <v>0</v>
      </c>
      <c r="EK260" s="88">
        <f t="shared" ca="1" si="488"/>
        <v>0</v>
      </c>
      <c r="EL260" s="88">
        <f t="shared" ca="1" si="488"/>
        <v>0</v>
      </c>
      <c r="EM260" s="88">
        <f t="shared" ca="1" si="488"/>
        <v>0</v>
      </c>
      <c r="EN260" s="88">
        <f t="shared" ca="1" si="488"/>
        <v>0</v>
      </c>
      <c r="EO260" s="88">
        <f t="shared" ca="1" si="488"/>
        <v>0</v>
      </c>
      <c r="EP260" s="88">
        <f t="shared" ca="1" si="488"/>
        <v>0</v>
      </c>
      <c r="EQ260" s="88">
        <f t="shared" ca="1" si="488"/>
        <v>0</v>
      </c>
      <c r="ER260" s="88">
        <f t="shared" ca="1" si="488"/>
        <v>0</v>
      </c>
      <c r="ES260" s="88">
        <f t="shared" ca="1" si="488"/>
        <v>0</v>
      </c>
      <c r="ET260" s="169"/>
      <c r="EU260" s="88">
        <f t="shared" ca="1" si="489"/>
        <v>0</v>
      </c>
      <c r="EV260" s="88">
        <f t="shared" ca="1" si="489"/>
        <v>0</v>
      </c>
      <c r="EW260" s="88">
        <f t="shared" ca="1" si="489"/>
        <v>0</v>
      </c>
      <c r="EX260" s="88">
        <f t="shared" ca="1" si="489"/>
        <v>0</v>
      </c>
      <c r="EY260" s="88">
        <f t="shared" ca="1" si="489"/>
        <v>0</v>
      </c>
      <c r="EZ260" s="88">
        <f t="shared" ca="1" si="489"/>
        <v>0</v>
      </c>
      <c r="FA260" s="88">
        <f t="shared" ca="1" si="489"/>
        <v>0</v>
      </c>
      <c r="FB260" s="88">
        <f t="shared" ca="1" si="489"/>
        <v>0</v>
      </c>
      <c r="FC260" s="88">
        <f t="shared" ca="1" si="489"/>
        <v>0</v>
      </c>
      <c r="FD260" s="88">
        <f t="shared" ca="1" si="489"/>
        <v>0</v>
      </c>
      <c r="FE260" s="88">
        <f t="shared" ca="1" si="490"/>
        <v>0</v>
      </c>
      <c r="FF260" s="88">
        <f t="shared" ca="1" si="490"/>
        <v>0</v>
      </c>
      <c r="FG260" s="88">
        <f t="shared" ca="1" si="490"/>
        <v>0</v>
      </c>
      <c r="FH260" s="88">
        <f t="shared" ca="1" si="490"/>
        <v>0</v>
      </c>
      <c r="FI260" s="88">
        <f t="shared" ca="1" si="490"/>
        <v>0</v>
      </c>
      <c r="FJ260" s="88">
        <f t="shared" ca="1" si="490"/>
        <v>0</v>
      </c>
      <c r="FK260" s="88">
        <f t="shared" ca="1" si="490"/>
        <v>0</v>
      </c>
      <c r="FL260" s="88">
        <f t="shared" ca="1" si="490"/>
        <v>0</v>
      </c>
      <c r="FM260" s="88">
        <f t="shared" ca="1" si="490"/>
        <v>0</v>
      </c>
      <c r="FN260" s="88">
        <f t="shared" ca="1" si="490"/>
        <v>0</v>
      </c>
      <c r="FO260" s="88">
        <f t="shared" ca="1" si="491"/>
        <v>0</v>
      </c>
      <c r="FP260" s="88">
        <f t="shared" ca="1" si="491"/>
        <v>0</v>
      </c>
      <c r="FQ260" s="88">
        <f t="shared" ca="1" si="491"/>
        <v>0</v>
      </c>
      <c r="FR260" s="88">
        <f t="shared" ca="1" si="491"/>
        <v>0</v>
      </c>
      <c r="FS260" s="88">
        <f t="shared" ca="1" si="491"/>
        <v>0</v>
      </c>
      <c r="FT260" s="88">
        <f t="shared" ca="1" si="491"/>
        <v>0</v>
      </c>
      <c r="FU260" s="88">
        <f t="shared" ca="1" si="491"/>
        <v>0</v>
      </c>
      <c r="FV260" s="88">
        <f t="shared" ca="1" si="491"/>
        <v>0</v>
      </c>
      <c r="FW260" s="88">
        <f t="shared" ca="1" si="491"/>
        <v>0</v>
      </c>
      <c r="FX260" s="88">
        <f t="shared" ca="1" si="491"/>
        <v>0</v>
      </c>
      <c r="FY260" s="88">
        <f t="shared" ca="1" si="491"/>
        <v>0</v>
      </c>
      <c r="FZ260" s="88">
        <f t="shared" ca="1" si="491"/>
        <v>0</v>
      </c>
      <c r="GA260" s="88">
        <f t="shared" ca="1" si="491"/>
        <v>0</v>
      </c>
      <c r="GB260" s="88">
        <f t="shared" ca="1" si="491"/>
        <v>0</v>
      </c>
      <c r="GC260" s="88">
        <f t="shared" ca="1" si="491"/>
        <v>0</v>
      </c>
      <c r="GD260" s="60"/>
    </row>
    <row r="261" spans="1:186" s="54" customFormat="1" ht="14.45" customHeight="1">
      <c r="A261" s="61"/>
      <c r="B261" s="100" t="str">
        <f t="shared" si="482"/>
        <v>C&amp;I_C&amp;I Prescriptive_0_Energy Star LED downlights (new or retrofit) (50W or less)_2019</v>
      </c>
      <c r="C261" s="100">
        <f>INDEX('Measure Inputs'!$D:$D,MATCH($B261,'Measure Inputs'!$B:$B,0))</f>
        <v>213</v>
      </c>
      <c r="D261" s="101" t="s">
        <v>256</v>
      </c>
      <c r="E261" s="101" t="s">
        <v>255</v>
      </c>
      <c r="F261" s="101">
        <v>0</v>
      </c>
      <c r="G261" s="101" t="s">
        <v>362</v>
      </c>
      <c r="H261" s="101">
        <v>2019</v>
      </c>
      <c r="I261" s="55"/>
      <c r="J261" s="58">
        <f t="shared" ca="1" si="229"/>
        <v>3.3548273258316672</v>
      </c>
      <c r="K261" s="58">
        <f t="shared" ca="1" si="246"/>
        <v>2.5880096513558577</v>
      </c>
      <c r="L261" s="58">
        <f t="shared" ca="1" si="230"/>
        <v>1.2962962962962963</v>
      </c>
      <c r="M261" s="58">
        <f t="shared" ca="1" si="231"/>
        <v>4.398012596768508</v>
      </c>
      <c r="N261" s="58">
        <f t="shared" ca="1" si="232"/>
        <v>2.5880096513558577</v>
      </c>
      <c r="O261" s="55"/>
      <c r="P261" s="175">
        <f ca="1">IFERROR(($AW261+AV261)/SUMPRODUCT($CA261:$DI261,'General Inputs'!$F$51:$AN$51),"n/a")</f>
        <v>1.486465330452824E-2</v>
      </c>
      <c r="Q261" s="175">
        <f t="shared" ca="1" si="454"/>
        <v>0.1316523410739017</v>
      </c>
      <c r="R261" s="56">
        <f t="shared" ca="1" si="441"/>
        <v>239.26653899999988</v>
      </c>
      <c r="S261" s="55"/>
      <c r="T261" s="56">
        <f ca="1">INDEX(OFFSET('Measure Inputs'!$L$7,,,InputRows),$C261)</f>
        <v>60</v>
      </c>
      <c r="U261" s="134">
        <f ca="1">INDEX(OFFSET('Measure Inputs'!$T$7,,,InputRows),$C261)</f>
        <v>1</v>
      </c>
      <c r="V261" s="134">
        <f ca="1">INDEX(OFFSET('Measure Inputs'!$U$7,,,InputRows),$C261)</f>
        <v>1</v>
      </c>
      <c r="W261" s="55"/>
      <c r="X261" s="96">
        <f ca="1">INDEX(OFFSET('Measure Inputs'!$V$7,,,InputRows),$C261)*$T261*$V261*$U261</f>
        <v>15951.102599999998</v>
      </c>
      <c r="Y261" s="96">
        <f ca="1">INDEX(OFFSET('Measure Inputs'!$W$7,,,InputRows),$C261)*$T261*$V261*$U261</f>
        <v>4.2294</v>
      </c>
      <c r="Z261" s="96">
        <f ca="1">INDEX(OFFSET('Measure Inputs'!$X$7,,,InputRows),$C261)*$T261*$V261*$U261</f>
        <v>0</v>
      </c>
      <c r="AA261" s="55"/>
      <c r="AB261" s="96">
        <f ca="1">INDEX(OFFSET('Measure Inputs'!$Z$7,,,InputRows),$C261)*$T261*$V261*$U261</f>
        <v>0</v>
      </c>
      <c r="AC261" s="96">
        <f ca="1">INDEX(OFFSET('Measure Inputs'!$AA$7,,,InputRows),$C261)*$T261*$V261*$U261</f>
        <v>0</v>
      </c>
      <c r="AD261" s="96">
        <f ca="1">INDEX(OFFSET('Measure Inputs'!$AB$7,,,InputRows),$C261)*$T261*$V261*$U261</f>
        <v>0</v>
      </c>
      <c r="AE261" s="55"/>
      <c r="AF261" s="57">
        <f ca="1">INDEX(OFFSET('Measure Inputs'!$Q$7,,,InputRows),$C261)*$T261</f>
        <v>0</v>
      </c>
      <c r="AG261" s="57">
        <f ca="1">INDEX(OFFSET('Measure Inputs'!$P$7,,,InputRows),$C261)*$T261*$V261</f>
        <v>1620</v>
      </c>
      <c r="AH261" s="57">
        <f ca="1">INDEX(OFFSET('Measure Inputs'!$R$7,,,InputRows),$C261)*$T261*$V261</f>
        <v>0</v>
      </c>
      <c r="AI261" s="57">
        <f ca="1">INDEX(OFFSET('Measure Inputs'!$O$7,,,InputRows),$C261)*$T261</f>
        <v>2100</v>
      </c>
      <c r="AJ261" s="57">
        <f ca="1">INDEX(OFFSET('Measure Inputs'!$S$7,,,InputRows),$C261)*$T261</f>
        <v>0</v>
      </c>
      <c r="AK261" s="63">
        <f ca="1">INDEX(OFFSET('Measure Inputs'!$M$7,,,InputRows),$C261)</f>
        <v>15</v>
      </c>
      <c r="AL261" s="88">
        <f ca="1">INDEX(OFFSET('Measure Inputs'!$N$7,,,InputRows),$C261)</f>
        <v>0</v>
      </c>
      <c r="AM261" s="57">
        <f ca="1">SUMIFS(OFFSET('Program Inputs'!$N$5,,,TotalPrograms),OFFSET('Program Inputs'!$B$5,,,TotalPrograms),SUBSTITUTE($B261,"All","*"))+AF261</f>
        <v>0</v>
      </c>
      <c r="AN261" s="57">
        <f t="shared" ca="1" si="442"/>
        <v>2100</v>
      </c>
      <c r="AO261" s="55"/>
      <c r="AP261" s="59">
        <f t="shared" ca="1" si="443"/>
        <v>4587.8384846521731</v>
      </c>
      <c r="AQ261" s="59">
        <f t="shared" ca="1" si="444"/>
        <v>1367.5334194778088</v>
      </c>
      <c r="AR261" s="59">
        <f ca="1">SUMPRODUCT($CA261:$DI261,'General Inputs'!$F$32:$AN$32,'General Inputs'!$F$51:$AN$51)/(1-Loss_ElectricEnergy)</f>
        <v>3853.0159692406878</v>
      </c>
      <c r="AS261" s="59">
        <f ca="1">SUMPRODUCT($DK261:$ES261,'General Inputs'!$F$33:$AN$33,'General Inputs'!$F$51:$AN$51)/(1-Loss_ElectricDemand)</f>
        <v>734.82251541148571</v>
      </c>
      <c r="AT261" s="59">
        <f ca="1">SUMPRODUCT($EU261:$GC261,'General Inputs'!$F$34:$AN$34,'General Inputs'!$F$51:$AN$51)/(1-Loss_GasEnergy)</f>
        <v>0</v>
      </c>
      <c r="AU261" s="59">
        <f ca="1">INDEX('General Inputs'!$F$51:$AN$51,MATCH($H261,'General Inputs'!$F$50:$AN$50,0))*$AJ261</f>
        <v>0</v>
      </c>
      <c r="AV261" s="59">
        <f ca="1">INDEX('General Inputs'!$F$51:$AN$51,MATCH($H261,'General Inputs'!$F$50:$AN$50,0))*$AI261</f>
        <v>1772.7285067304929</v>
      </c>
      <c r="AW261" s="59">
        <f ca="1">INDEX('General Inputs'!$F$51:$AN$51,MATCH($H261,'General Inputs'!$F$50:$AN$50,0))*$AM261</f>
        <v>0</v>
      </c>
      <c r="AX261" s="59">
        <f ca="1">SUM(INDEX('General Inputs'!$F$51:$AN$51,MATCH($H261,'General Inputs'!$F$50:$AN$50,0))*$AG261,INDEX('General Inputs'!$F$51:$AN$51,MATCH($H261+$AL261,'General Inputs'!$F$50:$AN$50,0))*-$AH261)</f>
        <v>1367.5334194778088</v>
      </c>
      <c r="AY261" s="55"/>
      <c r="AZ261" s="59">
        <f ca="1">SUMPRODUCT($CA261:$DI261,'General Inputs'!$F$32:$AN$32,'General Inputs'!$F$52:$AN$52)/(1-Loss_ElectricEnergy)</f>
        <v>3853.0159692406878</v>
      </c>
      <c r="BA261" s="59">
        <f ca="1">SUMPRODUCT($DK261:$ES261,'General Inputs'!$F$33:$AN$33,'General Inputs'!$F$52:$AN$52)/(1-Loss_ElectricDemand)</f>
        <v>734.82251541148571</v>
      </c>
      <c r="BB261" s="59">
        <f ca="1">SUMPRODUCT($EU261:$GC261,'General Inputs'!$F$34:$AN$34,'General Inputs'!$F$52:$AN$52)/(1-Loss_GasEnergy)</f>
        <v>0</v>
      </c>
      <c r="BC261" s="59">
        <f ca="1">INDEX('General Inputs'!$F$52:$AN$52,MATCH($H261,'General Inputs'!$F$50:$AN$50,0))*$AI261</f>
        <v>1772.7285067304929</v>
      </c>
      <c r="BD261" s="59">
        <f ca="1">INDEX('General Inputs'!$F$52:$AN$52,MATCH($H261,'General Inputs'!$F$50:$AN$50,0))*$AM261</f>
        <v>0</v>
      </c>
      <c r="BE261" s="55"/>
      <c r="BF261" s="59">
        <f ca="1">SUMPRODUCT($CA261:$DI261,OFFSET('General Inputs'!$F$40:$AN$40,MATCH($D261&amp;" Electric ($/kWh)",'General Inputs'!$E$40:$E$46,0),),'General Inputs'!$F$54:$AN$54)</f>
        <v>0</v>
      </c>
      <c r="BG261" s="59">
        <f ca="1">SUMPRODUCT($EU261:$GC261,OFFSET('General Inputs'!$F$40:$AN$40,MATCH($D261&amp;" Natural Gas ($/therm)",'General Inputs'!$E$40:$E$46,0),),'General Inputs'!$F$54:$AN$54)</f>
        <v>0</v>
      </c>
      <c r="BH261" s="59">
        <f ca="1">INDEX('General Inputs'!$F$54:$AN$54,MATCH($H261,'General Inputs'!$F$50:$AN$50,0))*$AI261</f>
        <v>1772.7285067304929</v>
      </c>
      <c r="BI261" s="59">
        <f ca="1">SUM(INDEX('General Inputs'!$F$54:$AN$54,MATCH($H261,'General Inputs'!$F$50:$AN$50,0))*$AG261,INDEX('General Inputs'!$F$51:$AN$51,MATCH($H261+$AL261,'General Inputs'!$F$50:$AN$50,0))*-$AH261)</f>
        <v>1367.5334194778088</v>
      </c>
      <c r="BJ261" s="55"/>
      <c r="BK261" s="59">
        <f ca="1">SUMPRODUCT($CA261:$DI261,'General Inputs'!$F$32:$AN$32,'General Inputs'!$F$53:$AN$53)/(1-Loss_ElectricEnergy)</f>
        <v>3853.0159692406878</v>
      </c>
      <c r="BL261" s="59">
        <f ca="1">SUMPRODUCT($DK261:$ES261,'General Inputs'!$F$33:$AN$33,'General Inputs'!$F$53:$AN$53)/(1-Loss_ElectricDemand)</f>
        <v>734.82251541148571</v>
      </c>
      <c r="BM261" s="59">
        <f ca="1">SUMPRODUCT($EU261:$GC261,'General Inputs'!$F$34:$AN$34,'General Inputs'!$F$53:$AN$53)/(1-Loss_GasEnergy)</f>
        <v>0</v>
      </c>
      <c r="BN261" s="59">
        <f ca="1">INDEX('General Inputs'!$F$53:$AN$53,MATCH($H261,'General Inputs'!$F$50:$AN$50,0))*$AJ261</f>
        <v>0</v>
      </c>
      <c r="BO261" s="59">
        <f ca="1">SUMPRODUCT($CA261:$DI261,'General Inputs'!$F$35:$AN$35,'General Inputs'!$F$53:$AN$53)/(1-Loss_ElectricEnergy)</f>
        <v>1426.5907207131427</v>
      </c>
      <c r="BP261" s="59">
        <f ca="1">INDEX('General Inputs'!$F$51:$AN$51,MATCH($H261,'General Inputs'!$F$50:$AN$50,0))*$AM261</f>
        <v>0</v>
      </c>
      <c r="BQ261" s="59">
        <f ca="1">SUM(INDEX('General Inputs'!$F$53:$AN$53,MATCH($H261,'General Inputs'!$F$50:$AN$50,0))*$AG261,INDEX('General Inputs'!$F$53:$AN$53,MATCH($H261+$AL261,'General Inputs'!$F$50:$AN$50,0))*-$AH261)</f>
        <v>1367.5334194778088</v>
      </c>
      <c r="BR261" s="55"/>
      <c r="BS261" s="59">
        <f ca="1">SUMPRODUCT($CA261:$DI261,'General Inputs'!$F$32:$AN$32,'General Inputs'!$F$55:$AN$55)/(1-Loss_ElectricEnergy)</f>
        <v>3853.0159692406878</v>
      </c>
      <c r="BT261" s="59">
        <f ca="1">SUMPRODUCT($DK261:$ES261,'General Inputs'!$F$33:$AN$33,'General Inputs'!$F$55:$AN$55)/(1-Loss_ElectricDemand)</f>
        <v>734.82251541148571</v>
      </c>
      <c r="BU261" s="59">
        <f ca="1">SUMPRODUCT($EU261:$GC261,'General Inputs'!$F$34:$AN$34,'General Inputs'!$F$55:$AN$55)/(1-Loss_GasEnergy)</f>
        <v>0</v>
      </c>
      <c r="BV261" s="59">
        <f ca="1">SUMPRODUCT($CA261:$DI261,OFFSET('General Inputs'!$F$40:$AN$40,MATCH($D261&amp;" Electric ($/kWh)",'General Inputs'!$E$40:$E$46,0),),'General Inputs'!$F$55:$AN$55)</f>
        <v>0</v>
      </c>
      <c r="BW261" s="59">
        <f ca="1">SUMPRODUCT($EU261:$GC261,OFFSET('General Inputs'!$F$40:$AN$40,MATCH($D261&amp;" Natural Gas ($/therm)",'General Inputs'!$E$40:$E$46,0),),'General Inputs'!$F$55:$AN$55)</f>
        <v>0</v>
      </c>
      <c r="BX261" s="59">
        <f ca="1">INDEX('General Inputs'!$F$55:$AN$55,MATCH($H261,'General Inputs'!$F$50:$AN$50,0))*$AI261</f>
        <v>1772.7285067304929</v>
      </c>
      <c r="BY261" s="59">
        <f ca="1">INDEX('General Inputs'!$F$51:$AN$51,MATCH($H261,'General Inputs'!$F$50:$AN$50,0))*$AM261</f>
        <v>0</v>
      </c>
      <c r="BZ261" s="55"/>
      <c r="CA261" s="88">
        <f t="shared" ref="CA261:CJ270" ca="1" si="492">IF(AND($H261&lt;=CA$8,$H261+$AK261&gt;CA$8),IF(AND($H261+$AL261&lt;=CA$8,$AL261&gt;0),$AB261,$X261),0)</f>
        <v>0</v>
      </c>
      <c r="CB261" s="88">
        <f t="shared" ca="1" si="492"/>
        <v>0</v>
      </c>
      <c r="CC261" s="88">
        <f t="shared" ca="1" si="492"/>
        <v>15951.102599999998</v>
      </c>
      <c r="CD261" s="88">
        <f t="shared" ca="1" si="492"/>
        <v>15951.102599999998</v>
      </c>
      <c r="CE261" s="88">
        <f t="shared" ca="1" si="492"/>
        <v>15951.102599999998</v>
      </c>
      <c r="CF261" s="88">
        <f t="shared" ca="1" si="492"/>
        <v>15951.102599999998</v>
      </c>
      <c r="CG261" s="88">
        <f t="shared" ca="1" si="492"/>
        <v>15951.102599999998</v>
      </c>
      <c r="CH261" s="88">
        <f t="shared" ca="1" si="492"/>
        <v>15951.102599999998</v>
      </c>
      <c r="CI261" s="88">
        <f t="shared" ca="1" si="492"/>
        <v>15951.102599999998</v>
      </c>
      <c r="CJ261" s="88">
        <f t="shared" ca="1" si="492"/>
        <v>15951.102599999998</v>
      </c>
      <c r="CK261" s="88">
        <f t="shared" ref="CK261:CT270" ca="1" si="493">IF(AND($H261&lt;=CK$8,$H261+$AK261&gt;CK$8),IF(AND($H261+$AL261&lt;=CK$8,$AL261&gt;0),$AB261,$X261),0)</f>
        <v>15951.102599999998</v>
      </c>
      <c r="CL261" s="88">
        <f t="shared" ca="1" si="493"/>
        <v>15951.102599999998</v>
      </c>
      <c r="CM261" s="88">
        <f t="shared" ca="1" si="493"/>
        <v>15951.102599999998</v>
      </c>
      <c r="CN261" s="88">
        <f t="shared" ca="1" si="493"/>
        <v>15951.102599999998</v>
      </c>
      <c r="CO261" s="88">
        <f t="shared" ca="1" si="493"/>
        <v>15951.102599999998</v>
      </c>
      <c r="CP261" s="88">
        <f t="shared" ca="1" si="493"/>
        <v>15951.102599999998</v>
      </c>
      <c r="CQ261" s="88">
        <f t="shared" ca="1" si="493"/>
        <v>15951.102599999998</v>
      </c>
      <c r="CR261" s="88">
        <f t="shared" ca="1" si="493"/>
        <v>0</v>
      </c>
      <c r="CS261" s="88">
        <f t="shared" ca="1" si="493"/>
        <v>0</v>
      </c>
      <c r="CT261" s="88">
        <f t="shared" ca="1" si="493"/>
        <v>0</v>
      </c>
      <c r="CU261" s="88">
        <f t="shared" ref="CU261:DI270" ca="1" si="494">IF(AND($H261&lt;=CU$8,$H261+$AK261&gt;CU$8),IF(AND($H261+$AL261&lt;=CU$8,$AL261&gt;0),$AB261,$X261),0)</f>
        <v>0</v>
      </c>
      <c r="CV261" s="88">
        <f t="shared" ca="1" si="494"/>
        <v>0</v>
      </c>
      <c r="CW261" s="88">
        <f t="shared" ca="1" si="494"/>
        <v>0</v>
      </c>
      <c r="CX261" s="88">
        <f t="shared" ca="1" si="494"/>
        <v>0</v>
      </c>
      <c r="CY261" s="88">
        <f t="shared" ca="1" si="494"/>
        <v>0</v>
      </c>
      <c r="CZ261" s="88">
        <f t="shared" ca="1" si="494"/>
        <v>0</v>
      </c>
      <c r="DA261" s="88">
        <f t="shared" ca="1" si="494"/>
        <v>0</v>
      </c>
      <c r="DB261" s="88">
        <f t="shared" ca="1" si="494"/>
        <v>0</v>
      </c>
      <c r="DC261" s="88">
        <f t="shared" ca="1" si="494"/>
        <v>0</v>
      </c>
      <c r="DD261" s="88">
        <f t="shared" ca="1" si="494"/>
        <v>0</v>
      </c>
      <c r="DE261" s="88">
        <f t="shared" ca="1" si="494"/>
        <v>0</v>
      </c>
      <c r="DF261" s="88">
        <f t="shared" ca="1" si="494"/>
        <v>0</v>
      </c>
      <c r="DG261" s="88">
        <f t="shared" ca="1" si="494"/>
        <v>0</v>
      </c>
      <c r="DH261" s="88">
        <f t="shared" ca="1" si="494"/>
        <v>0</v>
      </c>
      <c r="DI261" s="88">
        <f t="shared" ca="1" si="494"/>
        <v>0</v>
      </c>
      <c r="DJ261" s="169"/>
      <c r="DK261" s="88">
        <f t="shared" ref="DK261:DT270" ca="1" si="495">IF(AND($H261&lt;=DK$8,$H261+$AK261&gt;DK$8),IF(AND($H261+$AL261&lt;=DK$8,$AL261&gt;0),$AC261,$Y261),0)</f>
        <v>0</v>
      </c>
      <c r="DL261" s="88">
        <f t="shared" ca="1" si="495"/>
        <v>0</v>
      </c>
      <c r="DM261" s="88">
        <f t="shared" ca="1" si="495"/>
        <v>4.2294</v>
      </c>
      <c r="DN261" s="88">
        <f t="shared" ca="1" si="495"/>
        <v>4.2294</v>
      </c>
      <c r="DO261" s="88">
        <f t="shared" ca="1" si="495"/>
        <v>4.2294</v>
      </c>
      <c r="DP261" s="88">
        <f t="shared" ca="1" si="495"/>
        <v>4.2294</v>
      </c>
      <c r="DQ261" s="88">
        <f t="shared" ca="1" si="495"/>
        <v>4.2294</v>
      </c>
      <c r="DR261" s="88">
        <f t="shared" ca="1" si="495"/>
        <v>4.2294</v>
      </c>
      <c r="DS261" s="88">
        <f t="shared" ca="1" si="495"/>
        <v>4.2294</v>
      </c>
      <c r="DT261" s="88">
        <f t="shared" ca="1" si="495"/>
        <v>4.2294</v>
      </c>
      <c r="DU261" s="88">
        <f t="shared" ref="DU261:ED270" ca="1" si="496">IF(AND($H261&lt;=DU$8,$H261+$AK261&gt;DU$8),IF(AND($H261+$AL261&lt;=DU$8,$AL261&gt;0),$AC261,$Y261),0)</f>
        <v>4.2294</v>
      </c>
      <c r="DV261" s="88">
        <f t="shared" ca="1" si="496"/>
        <v>4.2294</v>
      </c>
      <c r="DW261" s="88">
        <f t="shared" ca="1" si="496"/>
        <v>4.2294</v>
      </c>
      <c r="DX261" s="88">
        <f t="shared" ca="1" si="496"/>
        <v>4.2294</v>
      </c>
      <c r="DY261" s="88">
        <f t="shared" ca="1" si="496"/>
        <v>4.2294</v>
      </c>
      <c r="DZ261" s="88">
        <f t="shared" ca="1" si="496"/>
        <v>4.2294</v>
      </c>
      <c r="EA261" s="88">
        <f t="shared" ca="1" si="496"/>
        <v>4.2294</v>
      </c>
      <c r="EB261" s="88">
        <f t="shared" ca="1" si="496"/>
        <v>0</v>
      </c>
      <c r="EC261" s="88">
        <f t="shared" ca="1" si="496"/>
        <v>0</v>
      </c>
      <c r="ED261" s="88">
        <f t="shared" ca="1" si="496"/>
        <v>0</v>
      </c>
      <c r="EE261" s="88">
        <f t="shared" ref="EE261:ES270" ca="1" si="497">IF(AND($H261&lt;=EE$8,$H261+$AK261&gt;EE$8),IF(AND($H261+$AL261&lt;=EE$8,$AL261&gt;0),$AC261,$Y261),0)</f>
        <v>0</v>
      </c>
      <c r="EF261" s="88">
        <f t="shared" ca="1" si="497"/>
        <v>0</v>
      </c>
      <c r="EG261" s="88">
        <f t="shared" ca="1" si="497"/>
        <v>0</v>
      </c>
      <c r="EH261" s="88">
        <f t="shared" ca="1" si="497"/>
        <v>0</v>
      </c>
      <c r="EI261" s="88">
        <f t="shared" ca="1" si="497"/>
        <v>0</v>
      </c>
      <c r="EJ261" s="88">
        <f t="shared" ca="1" si="497"/>
        <v>0</v>
      </c>
      <c r="EK261" s="88">
        <f t="shared" ca="1" si="497"/>
        <v>0</v>
      </c>
      <c r="EL261" s="88">
        <f t="shared" ca="1" si="497"/>
        <v>0</v>
      </c>
      <c r="EM261" s="88">
        <f t="shared" ca="1" si="497"/>
        <v>0</v>
      </c>
      <c r="EN261" s="88">
        <f t="shared" ca="1" si="497"/>
        <v>0</v>
      </c>
      <c r="EO261" s="88">
        <f t="shared" ca="1" si="497"/>
        <v>0</v>
      </c>
      <c r="EP261" s="88">
        <f t="shared" ca="1" si="497"/>
        <v>0</v>
      </c>
      <c r="EQ261" s="88">
        <f t="shared" ca="1" si="497"/>
        <v>0</v>
      </c>
      <c r="ER261" s="88">
        <f t="shared" ca="1" si="497"/>
        <v>0</v>
      </c>
      <c r="ES261" s="88">
        <f t="shared" ca="1" si="497"/>
        <v>0</v>
      </c>
      <c r="ET261" s="169"/>
      <c r="EU261" s="88">
        <f t="shared" ref="EU261:FD270" ca="1" si="498">IF(AND($H261&lt;=EU$8,$H261+$AK261&gt;EU$8),IF(AND($H261+$AL261&lt;=EU$8,$AL261&gt;0),$AD261,$Z261),0)</f>
        <v>0</v>
      </c>
      <c r="EV261" s="88">
        <f t="shared" ca="1" si="498"/>
        <v>0</v>
      </c>
      <c r="EW261" s="88">
        <f t="shared" ca="1" si="498"/>
        <v>0</v>
      </c>
      <c r="EX261" s="88">
        <f t="shared" ca="1" si="498"/>
        <v>0</v>
      </c>
      <c r="EY261" s="88">
        <f t="shared" ca="1" si="498"/>
        <v>0</v>
      </c>
      <c r="EZ261" s="88">
        <f t="shared" ca="1" si="498"/>
        <v>0</v>
      </c>
      <c r="FA261" s="88">
        <f t="shared" ca="1" si="498"/>
        <v>0</v>
      </c>
      <c r="FB261" s="88">
        <f t="shared" ca="1" si="498"/>
        <v>0</v>
      </c>
      <c r="FC261" s="88">
        <f t="shared" ca="1" si="498"/>
        <v>0</v>
      </c>
      <c r="FD261" s="88">
        <f t="shared" ca="1" si="498"/>
        <v>0</v>
      </c>
      <c r="FE261" s="88">
        <f t="shared" ref="FE261:FN270" ca="1" si="499">IF(AND($H261&lt;=FE$8,$H261+$AK261&gt;FE$8),IF(AND($H261+$AL261&lt;=FE$8,$AL261&gt;0),$AD261,$Z261),0)</f>
        <v>0</v>
      </c>
      <c r="FF261" s="88">
        <f t="shared" ca="1" si="499"/>
        <v>0</v>
      </c>
      <c r="FG261" s="88">
        <f t="shared" ca="1" si="499"/>
        <v>0</v>
      </c>
      <c r="FH261" s="88">
        <f t="shared" ca="1" si="499"/>
        <v>0</v>
      </c>
      <c r="FI261" s="88">
        <f t="shared" ca="1" si="499"/>
        <v>0</v>
      </c>
      <c r="FJ261" s="88">
        <f t="shared" ca="1" si="499"/>
        <v>0</v>
      </c>
      <c r="FK261" s="88">
        <f t="shared" ca="1" si="499"/>
        <v>0</v>
      </c>
      <c r="FL261" s="88">
        <f t="shared" ca="1" si="499"/>
        <v>0</v>
      </c>
      <c r="FM261" s="88">
        <f t="shared" ca="1" si="499"/>
        <v>0</v>
      </c>
      <c r="FN261" s="88">
        <f t="shared" ca="1" si="499"/>
        <v>0</v>
      </c>
      <c r="FO261" s="88">
        <f t="shared" ref="FO261:GC270" ca="1" si="500">IF(AND($H261&lt;=FO$8,$H261+$AK261&gt;FO$8),IF(AND($H261+$AL261&lt;=FO$8,$AL261&gt;0),$AD261,$Z261),0)</f>
        <v>0</v>
      </c>
      <c r="FP261" s="88">
        <f t="shared" ca="1" si="500"/>
        <v>0</v>
      </c>
      <c r="FQ261" s="88">
        <f t="shared" ca="1" si="500"/>
        <v>0</v>
      </c>
      <c r="FR261" s="88">
        <f t="shared" ca="1" si="500"/>
        <v>0</v>
      </c>
      <c r="FS261" s="88">
        <f t="shared" ca="1" si="500"/>
        <v>0</v>
      </c>
      <c r="FT261" s="88">
        <f t="shared" ca="1" si="500"/>
        <v>0</v>
      </c>
      <c r="FU261" s="88">
        <f t="shared" ca="1" si="500"/>
        <v>0</v>
      </c>
      <c r="FV261" s="88">
        <f t="shared" ca="1" si="500"/>
        <v>0</v>
      </c>
      <c r="FW261" s="88">
        <f t="shared" ca="1" si="500"/>
        <v>0</v>
      </c>
      <c r="FX261" s="88">
        <f t="shared" ca="1" si="500"/>
        <v>0</v>
      </c>
      <c r="FY261" s="88">
        <f t="shared" ca="1" si="500"/>
        <v>0</v>
      </c>
      <c r="FZ261" s="88">
        <f t="shared" ca="1" si="500"/>
        <v>0</v>
      </c>
      <c r="GA261" s="88">
        <f t="shared" ca="1" si="500"/>
        <v>0</v>
      </c>
      <c r="GB261" s="88">
        <f t="shared" ca="1" si="500"/>
        <v>0</v>
      </c>
      <c r="GC261" s="88">
        <f t="shared" ca="1" si="500"/>
        <v>0</v>
      </c>
      <c r="GD261" s="60"/>
    </row>
    <row r="262" spans="1:186" s="54" customFormat="1" ht="14.45" customHeight="1">
      <c r="A262" s="61"/>
      <c r="B262" s="100" t="str">
        <f t="shared" si="482"/>
        <v>C&amp;I_C&amp;I Prescriptive_0_Refrigerated LED Case Lighting 5- and 6-foot Doors_2019</v>
      </c>
      <c r="C262" s="100">
        <f>INDEX('Measure Inputs'!$D:$D,MATCH($B262,'Measure Inputs'!$B:$B,0))</f>
        <v>214</v>
      </c>
      <c r="D262" s="101" t="s">
        <v>256</v>
      </c>
      <c r="E262" s="101" t="s">
        <v>255</v>
      </c>
      <c r="F262" s="101">
        <v>0</v>
      </c>
      <c r="G262" s="101" t="s">
        <v>363</v>
      </c>
      <c r="H262" s="101">
        <v>2019</v>
      </c>
      <c r="I262" s="55"/>
      <c r="J262" s="58">
        <f t="shared" ca="1" si="229"/>
        <v>1.9153396758474051</v>
      </c>
      <c r="K262" s="58">
        <f t="shared" ca="1" si="246"/>
        <v>2.1068736434321456</v>
      </c>
      <c r="L262" s="58">
        <f t="shared" ca="1" si="230"/>
        <v>0.90909090909090906</v>
      </c>
      <c r="M262" s="58">
        <f t="shared" ca="1" si="231"/>
        <v>2.5876940408121367</v>
      </c>
      <c r="N262" s="58">
        <f t="shared" ca="1" si="232"/>
        <v>2.1068736434321456</v>
      </c>
      <c r="O262" s="55"/>
      <c r="P262" s="175">
        <f ca="1">IFERROR(($AW262+AV262)/SUMPRODUCT($CA262:$DI262,'General Inputs'!$F$51:$AN$51),"n/a")</f>
        <v>1.6174134000233847E-2</v>
      </c>
      <c r="Q262" s="175">
        <f t="shared" ca="1" si="454"/>
        <v>0.11377599781550086</v>
      </c>
      <c r="R262" s="56">
        <f t="shared" ca="1" si="441"/>
        <v>316.41119999999989</v>
      </c>
      <c r="S262" s="55"/>
      <c r="T262" s="56">
        <f ca="1">INDEX(OFFSET('Measure Inputs'!$L$7,,,InputRows),$C262)</f>
        <v>60</v>
      </c>
      <c r="U262" s="134">
        <f ca="1">INDEX(OFFSET('Measure Inputs'!$T$7,,,InputRows),$C262)</f>
        <v>1</v>
      </c>
      <c r="V262" s="134">
        <f ca="1">INDEX(OFFSET('Measure Inputs'!$U$7,,,InputRows),$C262)</f>
        <v>1</v>
      </c>
      <c r="W262" s="55"/>
      <c r="X262" s="96">
        <f ca="1">INDEX(OFFSET('Measure Inputs'!$V$7,,,InputRows),$C262)*$T262*$V262*$U262</f>
        <v>31641.119999999992</v>
      </c>
      <c r="Y262" s="96">
        <f ca="1">INDEX(OFFSET('Measure Inputs'!$W$7,,,InputRows),$C262)*$T262*$V262*$U262</f>
        <v>3.6119999999999992</v>
      </c>
      <c r="Z262" s="96">
        <f ca="1">INDEX(OFFSET('Measure Inputs'!$X$7,,,InputRows),$C262)*$T262*$V262*$U262</f>
        <v>0</v>
      </c>
      <c r="AA262" s="55"/>
      <c r="AB262" s="96">
        <f ca="1">INDEX(OFFSET('Measure Inputs'!$Z$7,,,InputRows),$C262)*$T262*$V262*$U262</f>
        <v>0</v>
      </c>
      <c r="AC262" s="96">
        <f ca="1">INDEX(OFFSET('Measure Inputs'!$AA$7,,,InputRows),$C262)*$T262*$V262*$U262</f>
        <v>0</v>
      </c>
      <c r="AD262" s="96">
        <f ca="1">INDEX(OFFSET('Measure Inputs'!$AB$7,,,InputRows),$C262)*$T262*$V262*$U262</f>
        <v>0</v>
      </c>
      <c r="AE262" s="55"/>
      <c r="AF262" s="57">
        <f ca="1">INDEX(OFFSET('Measure Inputs'!$Q$7,,,InputRows),$C262)*$T262</f>
        <v>0</v>
      </c>
      <c r="AG262" s="57">
        <f ca="1">INDEX(OFFSET('Measure Inputs'!$P$7,,,InputRows),$C262)*$T262*$V262</f>
        <v>3960</v>
      </c>
      <c r="AH262" s="57">
        <f ca="1">INDEX(OFFSET('Measure Inputs'!$R$7,,,InputRows),$C262)*$T262*$V262</f>
        <v>0</v>
      </c>
      <c r="AI262" s="57">
        <f ca="1">INDEX(OFFSET('Measure Inputs'!$O$7,,,InputRows),$C262)*$T262</f>
        <v>3600</v>
      </c>
      <c r="AJ262" s="57">
        <f ca="1">INDEX(OFFSET('Measure Inputs'!$S$7,,,InputRows),$C262)*$T262</f>
        <v>0</v>
      </c>
      <c r="AK262" s="63">
        <f ca="1">INDEX(OFFSET('Measure Inputs'!$M$7,,,InputRows),$C262)</f>
        <v>10</v>
      </c>
      <c r="AL262" s="88">
        <f ca="1">INDEX(OFFSET('Measure Inputs'!$N$7,,,InputRows),$C262)</f>
        <v>0</v>
      </c>
      <c r="AM262" s="57">
        <f ca="1">SUMIFS(OFFSET('Program Inputs'!$N$5,,,TotalPrograms),OFFSET('Program Inputs'!$B$5,,,TotalPrograms),SUBSTITUTE($B262,"All","*"))+AF262</f>
        <v>0</v>
      </c>
      <c r="AN262" s="57">
        <f t="shared" ca="1" si="442"/>
        <v>3600</v>
      </c>
      <c r="AO262" s="55"/>
      <c r="AP262" s="59">
        <f t="shared" ca="1" si="443"/>
        <v>6402.7113733565147</v>
      </c>
      <c r="AQ262" s="59">
        <f t="shared" ca="1" si="444"/>
        <v>3342.8594698346437</v>
      </c>
      <c r="AR262" s="59">
        <f ca="1">SUMPRODUCT($CA262:$DI262,'General Inputs'!$F$32:$AN$32,'General Inputs'!$F$51:$AN$51)/(1-Loss_ElectricEnergy)</f>
        <v>5916.8834196777061</v>
      </c>
      <c r="AS262" s="59">
        <f ca="1">SUMPRODUCT($DK262:$ES262,'General Inputs'!$F$33:$AN$33,'General Inputs'!$F$51:$AN$51)/(1-Loss_ElectricDemand)</f>
        <v>485.82795367880874</v>
      </c>
      <c r="AT262" s="59">
        <f ca="1">SUMPRODUCT($EU262:$GC262,'General Inputs'!$F$34:$AN$34,'General Inputs'!$F$51:$AN$51)/(1-Loss_GasEnergy)</f>
        <v>0</v>
      </c>
      <c r="AU262" s="59">
        <f ca="1">INDEX('General Inputs'!$F$51:$AN$51,MATCH($H262,'General Inputs'!$F$50:$AN$50,0))*$AJ262</f>
        <v>0</v>
      </c>
      <c r="AV262" s="59">
        <f ca="1">INDEX('General Inputs'!$F$51:$AN$51,MATCH($H262,'General Inputs'!$F$50:$AN$50,0))*$AI262</f>
        <v>3038.9631543951305</v>
      </c>
      <c r="AW262" s="59">
        <f ca="1">INDEX('General Inputs'!$F$51:$AN$51,MATCH($H262,'General Inputs'!$F$50:$AN$50,0))*$AM262</f>
        <v>0</v>
      </c>
      <c r="AX262" s="59">
        <f ca="1">SUM(INDEX('General Inputs'!$F$51:$AN$51,MATCH($H262,'General Inputs'!$F$50:$AN$50,0))*$AG262,INDEX('General Inputs'!$F$51:$AN$51,MATCH($H262+$AL262,'General Inputs'!$F$50:$AN$50,0))*-$AH262)</f>
        <v>3342.8594698346437</v>
      </c>
      <c r="AY262" s="55"/>
      <c r="AZ262" s="59">
        <f ca="1">SUMPRODUCT($CA262:$DI262,'General Inputs'!$F$32:$AN$32,'General Inputs'!$F$52:$AN$52)/(1-Loss_ElectricEnergy)</f>
        <v>5916.8834196777061</v>
      </c>
      <c r="BA262" s="59">
        <f ca="1">SUMPRODUCT($DK262:$ES262,'General Inputs'!$F$33:$AN$33,'General Inputs'!$F$52:$AN$52)/(1-Loss_ElectricDemand)</f>
        <v>485.82795367880874</v>
      </c>
      <c r="BB262" s="59">
        <f ca="1">SUMPRODUCT($EU262:$GC262,'General Inputs'!$F$34:$AN$34,'General Inputs'!$F$52:$AN$52)/(1-Loss_GasEnergy)</f>
        <v>0</v>
      </c>
      <c r="BC262" s="59">
        <f ca="1">INDEX('General Inputs'!$F$52:$AN$52,MATCH($H262,'General Inputs'!$F$50:$AN$50,0))*$AI262</f>
        <v>3038.9631543951305</v>
      </c>
      <c r="BD262" s="59">
        <f ca="1">INDEX('General Inputs'!$F$52:$AN$52,MATCH($H262,'General Inputs'!$F$50:$AN$50,0))*$AM262</f>
        <v>0</v>
      </c>
      <c r="BE262" s="55"/>
      <c r="BF262" s="59">
        <f ca="1">SUMPRODUCT($CA262:$DI262,OFFSET('General Inputs'!$F$40:$AN$40,MATCH($D262&amp;" Electric ($/kWh)",'General Inputs'!$E$40:$E$46,0),),'General Inputs'!$F$54:$AN$54)</f>
        <v>0</v>
      </c>
      <c r="BG262" s="59">
        <f ca="1">SUMPRODUCT($EU262:$GC262,OFFSET('General Inputs'!$F$40:$AN$40,MATCH($D262&amp;" Natural Gas ($/therm)",'General Inputs'!$E$40:$E$46,0),),'General Inputs'!$F$54:$AN$54)</f>
        <v>0</v>
      </c>
      <c r="BH262" s="59">
        <f ca="1">INDEX('General Inputs'!$F$54:$AN$54,MATCH($H262,'General Inputs'!$F$50:$AN$50,0))*$AI262</f>
        <v>3038.9631543951305</v>
      </c>
      <c r="BI262" s="59">
        <f ca="1">SUM(INDEX('General Inputs'!$F$54:$AN$54,MATCH($H262,'General Inputs'!$F$50:$AN$50,0))*$AG262,INDEX('General Inputs'!$F$51:$AN$51,MATCH($H262+$AL262,'General Inputs'!$F$50:$AN$50,0))*-$AH262)</f>
        <v>3342.8594698346437</v>
      </c>
      <c r="BJ262" s="55"/>
      <c r="BK262" s="59">
        <f ca="1">SUMPRODUCT($CA262:$DI262,'General Inputs'!$F$32:$AN$32,'General Inputs'!$F$53:$AN$53)/(1-Loss_ElectricEnergy)</f>
        <v>5916.8834196777061</v>
      </c>
      <c r="BL262" s="59">
        <f ca="1">SUMPRODUCT($DK262:$ES262,'General Inputs'!$F$33:$AN$33,'General Inputs'!$F$53:$AN$53)/(1-Loss_ElectricDemand)</f>
        <v>485.82795367880874</v>
      </c>
      <c r="BM262" s="59">
        <f ca="1">SUMPRODUCT($EU262:$GC262,'General Inputs'!$F$34:$AN$34,'General Inputs'!$F$53:$AN$53)/(1-Loss_GasEnergy)</f>
        <v>0</v>
      </c>
      <c r="BN262" s="59">
        <f ca="1">INDEX('General Inputs'!$F$53:$AN$53,MATCH($H262,'General Inputs'!$F$50:$AN$50,0))*$AJ262</f>
        <v>0</v>
      </c>
      <c r="BO262" s="59">
        <f ca="1">SUMPRODUCT($CA262:$DI262,'General Inputs'!$F$35:$AN$35,'General Inputs'!$F$53:$AN$53)/(1-Loss_ElectricEnergy)</f>
        <v>2247.5861560070111</v>
      </c>
      <c r="BP262" s="59">
        <f ca="1">INDEX('General Inputs'!$F$51:$AN$51,MATCH($H262,'General Inputs'!$F$50:$AN$50,0))*$AM262</f>
        <v>0</v>
      </c>
      <c r="BQ262" s="59">
        <f ca="1">SUM(INDEX('General Inputs'!$F$53:$AN$53,MATCH($H262,'General Inputs'!$F$50:$AN$50,0))*$AG262,INDEX('General Inputs'!$F$53:$AN$53,MATCH($H262+$AL262,'General Inputs'!$F$50:$AN$50,0))*-$AH262)</f>
        <v>3342.8594698346437</v>
      </c>
      <c r="BR262" s="55"/>
      <c r="BS262" s="59">
        <f ca="1">SUMPRODUCT($CA262:$DI262,'General Inputs'!$F$32:$AN$32,'General Inputs'!$F$55:$AN$55)/(1-Loss_ElectricEnergy)</f>
        <v>5916.8834196777061</v>
      </c>
      <c r="BT262" s="59">
        <f ca="1">SUMPRODUCT($DK262:$ES262,'General Inputs'!$F$33:$AN$33,'General Inputs'!$F$55:$AN$55)/(1-Loss_ElectricDemand)</f>
        <v>485.82795367880874</v>
      </c>
      <c r="BU262" s="59">
        <f ca="1">SUMPRODUCT($EU262:$GC262,'General Inputs'!$F$34:$AN$34,'General Inputs'!$F$55:$AN$55)/(1-Loss_GasEnergy)</f>
        <v>0</v>
      </c>
      <c r="BV262" s="59">
        <f ca="1">SUMPRODUCT($CA262:$DI262,OFFSET('General Inputs'!$F$40:$AN$40,MATCH($D262&amp;" Electric ($/kWh)",'General Inputs'!$E$40:$E$46,0),),'General Inputs'!$F$55:$AN$55)</f>
        <v>0</v>
      </c>
      <c r="BW262" s="59">
        <f ca="1">SUMPRODUCT($EU262:$GC262,OFFSET('General Inputs'!$F$40:$AN$40,MATCH($D262&amp;" Natural Gas ($/therm)",'General Inputs'!$E$40:$E$46,0),),'General Inputs'!$F$55:$AN$55)</f>
        <v>0</v>
      </c>
      <c r="BX262" s="59">
        <f ca="1">INDEX('General Inputs'!$F$55:$AN$55,MATCH($H262,'General Inputs'!$F$50:$AN$50,0))*$AI262</f>
        <v>3038.9631543951305</v>
      </c>
      <c r="BY262" s="59">
        <f ca="1">INDEX('General Inputs'!$F$51:$AN$51,MATCH($H262,'General Inputs'!$F$50:$AN$50,0))*$AM262</f>
        <v>0</v>
      </c>
      <c r="BZ262" s="55"/>
      <c r="CA262" s="88">
        <f t="shared" ca="1" si="492"/>
        <v>0</v>
      </c>
      <c r="CB262" s="88">
        <f t="shared" ca="1" si="492"/>
        <v>0</v>
      </c>
      <c r="CC262" s="88">
        <f t="shared" ca="1" si="492"/>
        <v>31641.119999999992</v>
      </c>
      <c r="CD262" s="88">
        <f t="shared" ca="1" si="492"/>
        <v>31641.119999999992</v>
      </c>
      <c r="CE262" s="88">
        <f t="shared" ca="1" si="492"/>
        <v>31641.119999999992</v>
      </c>
      <c r="CF262" s="88">
        <f t="shared" ca="1" si="492"/>
        <v>31641.119999999992</v>
      </c>
      <c r="CG262" s="88">
        <f t="shared" ca="1" si="492"/>
        <v>31641.119999999992</v>
      </c>
      <c r="CH262" s="88">
        <f t="shared" ca="1" si="492"/>
        <v>31641.119999999992</v>
      </c>
      <c r="CI262" s="88">
        <f t="shared" ca="1" si="492"/>
        <v>31641.119999999992</v>
      </c>
      <c r="CJ262" s="88">
        <f t="shared" ca="1" si="492"/>
        <v>31641.119999999992</v>
      </c>
      <c r="CK262" s="88">
        <f t="shared" ca="1" si="493"/>
        <v>31641.119999999992</v>
      </c>
      <c r="CL262" s="88">
        <f t="shared" ca="1" si="493"/>
        <v>31641.119999999992</v>
      </c>
      <c r="CM262" s="88">
        <f t="shared" ca="1" si="493"/>
        <v>0</v>
      </c>
      <c r="CN262" s="88">
        <f t="shared" ca="1" si="493"/>
        <v>0</v>
      </c>
      <c r="CO262" s="88">
        <f t="shared" ca="1" si="493"/>
        <v>0</v>
      </c>
      <c r="CP262" s="88">
        <f t="shared" ca="1" si="493"/>
        <v>0</v>
      </c>
      <c r="CQ262" s="88">
        <f t="shared" ca="1" si="493"/>
        <v>0</v>
      </c>
      <c r="CR262" s="88">
        <f t="shared" ca="1" si="493"/>
        <v>0</v>
      </c>
      <c r="CS262" s="88">
        <f t="shared" ca="1" si="493"/>
        <v>0</v>
      </c>
      <c r="CT262" s="88">
        <f t="shared" ca="1" si="493"/>
        <v>0</v>
      </c>
      <c r="CU262" s="88">
        <f t="shared" ca="1" si="494"/>
        <v>0</v>
      </c>
      <c r="CV262" s="88">
        <f t="shared" ca="1" si="494"/>
        <v>0</v>
      </c>
      <c r="CW262" s="88">
        <f t="shared" ca="1" si="494"/>
        <v>0</v>
      </c>
      <c r="CX262" s="88">
        <f t="shared" ca="1" si="494"/>
        <v>0</v>
      </c>
      <c r="CY262" s="88">
        <f t="shared" ca="1" si="494"/>
        <v>0</v>
      </c>
      <c r="CZ262" s="88">
        <f t="shared" ca="1" si="494"/>
        <v>0</v>
      </c>
      <c r="DA262" s="88">
        <f t="shared" ca="1" si="494"/>
        <v>0</v>
      </c>
      <c r="DB262" s="88">
        <f t="shared" ca="1" si="494"/>
        <v>0</v>
      </c>
      <c r="DC262" s="88">
        <f t="shared" ca="1" si="494"/>
        <v>0</v>
      </c>
      <c r="DD262" s="88">
        <f t="shared" ca="1" si="494"/>
        <v>0</v>
      </c>
      <c r="DE262" s="88">
        <f t="shared" ca="1" si="494"/>
        <v>0</v>
      </c>
      <c r="DF262" s="88">
        <f t="shared" ca="1" si="494"/>
        <v>0</v>
      </c>
      <c r="DG262" s="88">
        <f t="shared" ca="1" si="494"/>
        <v>0</v>
      </c>
      <c r="DH262" s="88">
        <f t="shared" ca="1" si="494"/>
        <v>0</v>
      </c>
      <c r="DI262" s="88">
        <f t="shared" ca="1" si="494"/>
        <v>0</v>
      </c>
      <c r="DJ262" s="169"/>
      <c r="DK262" s="88">
        <f t="shared" ca="1" si="495"/>
        <v>0</v>
      </c>
      <c r="DL262" s="88">
        <f t="shared" ca="1" si="495"/>
        <v>0</v>
      </c>
      <c r="DM262" s="88">
        <f t="shared" ca="1" si="495"/>
        <v>3.6119999999999992</v>
      </c>
      <c r="DN262" s="88">
        <f t="shared" ca="1" si="495"/>
        <v>3.6119999999999992</v>
      </c>
      <c r="DO262" s="88">
        <f t="shared" ca="1" si="495"/>
        <v>3.6119999999999992</v>
      </c>
      <c r="DP262" s="88">
        <f t="shared" ca="1" si="495"/>
        <v>3.6119999999999992</v>
      </c>
      <c r="DQ262" s="88">
        <f t="shared" ca="1" si="495"/>
        <v>3.6119999999999992</v>
      </c>
      <c r="DR262" s="88">
        <f t="shared" ca="1" si="495"/>
        <v>3.6119999999999992</v>
      </c>
      <c r="DS262" s="88">
        <f t="shared" ca="1" si="495"/>
        <v>3.6119999999999992</v>
      </c>
      <c r="DT262" s="88">
        <f t="shared" ca="1" si="495"/>
        <v>3.6119999999999992</v>
      </c>
      <c r="DU262" s="88">
        <f t="shared" ca="1" si="496"/>
        <v>3.6119999999999992</v>
      </c>
      <c r="DV262" s="88">
        <f t="shared" ca="1" si="496"/>
        <v>3.6119999999999992</v>
      </c>
      <c r="DW262" s="88">
        <f t="shared" ca="1" si="496"/>
        <v>0</v>
      </c>
      <c r="DX262" s="88">
        <f t="shared" ca="1" si="496"/>
        <v>0</v>
      </c>
      <c r="DY262" s="88">
        <f t="shared" ca="1" si="496"/>
        <v>0</v>
      </c>
      <c r="DZ262" s="88">
        <f t="shared" ca="1" si="496"/>
        <v>0</v>
      </c>
      <c r="EA262" s="88">
        <f t="shared" ca="1" si="496"/>
        <v>0</v>
      </c>
      <c r="EB262" s="88">
        <f t="shared" ca="1" si="496"/>
        <v>0</v>
      </c>
      <c r="EC262" s="88">
        <f t="shared" ca="1" si="496"/>
        <v>0</v>
      </c>
      <c r="ED262" s="88">
        <f t="shared" ca="1" si="496"/>
        <v>0</v>
      </c>
      <c r="EE262" s="88">
        <f t="shared" ca="1" si="497"/>
        <v>0</v>
      </c>
      <c r="EF262" s="88">
        <f t="shared" ca="1" si="497"/>
        <v>0</v>
      </c>
      <c r="EG262" s="88">
        <f t="shared" ca="1" si="497"/>
        <v>0</v>
      </c>
      <c r="EH262" s="88">
        <f t="shared" ca="1" si="497"/>
        <v>0</v>
      </c>
      <c r="EI262" s="88">
        <f t="shared" ca="1" si="497"/>
        <v>0</v>
      </c>
      <c r="EJ262" s="88">
        <f t="shared" ca="1" si="497"/>
        <v>0</v>
      </c>
      <c r="EK262" s="88">
        <f t="shared" ca="1" si="497"/>
        <v>0</v>
      </c>
      <c r="EL262" s="88">
        <f t="shared" ca="1" si="497"/>
        <v>0</v>
      </c>
      <c r="EM262" s="88">
        <f t="shared" ca="1" si="497"/>
        <v>0</v>
      </c>
      <c r="EN262" s="88">
        <f t="shared" ca="1" si="497"/>
        <v>0</v>
      </c>
      <c r="EO262" s="88">
        <f t="shared" ca="1" si="497"/>
        <v>0</v>
      </c>
      <c r="EP262" s="88">
        <f t="shared" ca="1" si="497"/>
        <v>0</v>
      </c>
      <c r="EQ262" s="88">
        <f t="shared" ca="1" si="497"/>
        <v>0</v>
      </c>
      <c r="ER262" s="88">
        <f t="shared" ca="1" si="497"/>
        <v>0</v>
      </c>
      <c r="ES262" s="88">
        <f t="shared" ca="1" si="497"/>
        <v>0</v>
      </c>
      <c r="ET262" s="169"/>
      <c r="EU262" s="88">
        <f t="shared" ca="1" si="498"/>
        <v>0</v>
      </c>
      <c r="EV262" s="88">
        <f t="shared" ca="1" si="498"/>
        <v>0</v>
      </c>
      <c r="EW262" s="88">
        <f t="shared" ca="1" si="498"/>
        <v>0</v>
      </c>
      <c r="EX262" s="88">
        <f t="shared" ca="1" si="498"/>
        <v>0</v>
      </c>
      <c r="EY262" s="88">
        <f t="shared" ca="1" si="498"/>
        <v>0</v>
      </c>
      <c r="EZ262" s="88">
        <f t="shared" ca="1" si="498"/>
        <v>0</v>
      </c>
      <c r="FA262" s="88">
        <f t="shared" ca="1" si="498"/>
        <v>0</v>
      </c>
      <c r="FB262" s="88">
        <f t="shared" ca="1" si="498"/>
        <v>0</v>
      </c>
      <c r="FC262" s="88">
        <f t="shared" ca="1" si="498"/>
        <v>0</v>
      </c>
      <c r="FD262" s="88">
        <f t="shared" ca="1" si="498"/>
        <v>0</v>
      </c>
      <c r="FE262" s="88">
        <f t="shared" ca="1" si="499"/>
        <v>0</v>
      </c>
      <c r="FF262" s="88">
        <f t="shared" ca="1" si="499"/>
        <v>0</v>
      </c>
      <c r="FG262" s="88">
        <f t="shared" ca="1" si="499"/>
        <v>0</v>
      </c>
      <c r="FH262" s="88">
        <f t="shared" ca="1" si="499"/>
        <v>0</v>
      </c>
      <c r="FI262" s="88">
        <f t="shared" ca="1" si="499"/>
        <v>0</v>
      </c>
      <c r="FJ262" s="88">
        <f t="shared" ca="1" si="499"/>
        <v>0</v>
      </c>
      <c r="FK262" s="88">
        <f t="shared" ca="1" si="499"/>
        <v>0</v>
      </c>
      <c r="FL262" s="88">
        <f t="shared" ca="1" si="499"/>
        <v>0</v>
      </c>
      <c r="FM262" s="88">
        <f t="shared" ca="1" si="499"/>
        <v>0</v>
      </c>
      <c r="FN262" s="88">
        <f t="shared" ca="1" si="499"/>
        <v>0</v>
      </c>
      <c r="FO262" s="88">
        <f t="shared" ca="1" si="500"/>
        <v>0</v>
      </c>
      <c r="FP262" s="88">
        <f t="shared" ca="1" si="500"/>
        <v>0</v>
      </c>
      <c r="FQ262" s="88">
        <f t="shared" ca="1" si="500"/>
        <v>0</v>
      </c>
      <c r="FR262" s="88">
        <f t="shared" ca="1" si="500"/>
        <v>0</v>
      </c>
      <c r="FS262" s="88">
        <f t="shared" ca="1" si="500"/>
        <v>0</v>
      </c>
      <c r="FT262" s="88">
        <f t="shared" ca="1" si="500"/>
        <v>0</v>
      </c>
      <c r="FU262" s="88">
        <f t="shared" ca="1" si="500"/>
        <v>0</v>
      </c>
      <c r="FV262" s="88">
        <f t="shared" ca="1" si="500"/>
        <v>0</v>
      </c>
      <c r="FW262" s="88">
        <f t="shared" ca="1" si="500"/>
        <v>0</v>
      </c>
      <c r="FX262" s="88">
        <f t="shared" ca="1" si="500"/>
        <v>0</v>
      </c>
      <c r="FY262" s="88">
        <f t="shared" ca="1" si="500"/>
        <v>0</v>
      </c>
      <c r="FZ262" s="88">
        <f t="shared" ca="1" si="500"/>
        <v>0</v>
      </c>
      <c r="GA262" s="88">
        <f t="shared" ca="1" si="500"/>
        <v>0</v>
      </c>
      <c r="GB262" s="88">
        <f t="shared" ca="1" si="500"/>
        <v>0</v>
      </c>
      <c r="GC262" s="88">
        <f t="shared" ca="1" si="500"/>
        <v>0</v>
      </c>
      <c r="GD262" s="60"/>
    </row>
    <row r="263" spans="1:186" s="54" customFormat="1" ht="14.45" customHeight="1">
      <c r="A263" s="61"/>
      <c r="B263" s="100" t="str">
        <f t="shared" si="482"/>
        <v>C&amp;I_C&amp;I Prescriptive_0_Integral Occupancy Control Stairwell fixtures (2-3 lamp T8)_2019</v>
      </c>
      <c r="C263" s="100">
        <f>INDEX('Measure Inputs'!$D:$D,MATCH($B263,'Measure Inputs'!$B:$B,0))</f>
        <v>215</v>
      </c>
      <c r="D263" s="101" t="s">
        <v>256</v>
      </c>
      <c r="E263" s="101" t="s">
        <v>255</v>
      </c>
      <c r="F263" s="101">
        <v>0</v>
      </c>
      <c r="G263" s="101" t="s">
        <v>364</v>
      </c>
      <c r="H263" s="101">
        <v>2019</v>
      </c>
      <c r="I263" s="55"/>
      <c r="J263" s="58">
        <f t="shared" ca="1" si="229"/>
        <v>0.83638675377319904</v>
      </c>
      <c r="K263" s="58">
        <f t="shared" ca="1" si="246"/>
        <v>4.4969727794539001</v>
      </c>
      <c r="L263" s="58">
        <f t="shared" ca="1" si="230"/>
        <v>0.18598884066955984</v>
      </c>
      <c r="M263" s="58">
        <f t="shared" ca="1" si="231"/>
        <v>1.1239340465412753</v>
      </c>
      <c r="N263" s="58">
        <f t="shared" ca="1" si="232"/>
        <v>4.4969727794539001</v>
      </c>
      <c r="O263" s="55"/>
      <c r="P263" s="175">
        <f ca="1">IFERROR(($AW263+AV263)/SUMPRODUCT($CA263:$DI263,'General Inputs'!$F$51:$AN$51),"n/a")</f>
        <v>7.7373021154794278E-3</v>
      </c>
      <c r="Q263" s="175">
        <f t="shared" ca="1" si="454"/>
        <v>6.6163788352203809E-2</v>
      </c>
      <c r="R263" s="56">
        <f t="shared" ca="1" si="441"/>
        <v>126.95766383999998</v>
      </c>
      <c r="S263" s="55"/>
      <c r="T263" s="56">
        <f ca="1">INDEX(OFFSET('Measure Inputs'!$L$7,,,InputRows),$C263)</f>
        <v>20</v>
      </c>
      <c r="U263" s="134">
        <f ca="1">INDEX(OFFSET('Measure Inputs'!$T$7,,,InputRows),$C263)</f>
        <v>1</v>
      </c>
      <c r="V263" s="134">
        <f ca="1">INDEX(OFFSET('Measure Inputs'!$U$7,,,InputRows),$C263)</f>
        <v>1</v>
      </c>
      <c r="W263" s="55"/>
      <c r="X263" s="96">
        <f ca="1">INDEX(OFFSET('Measure Inputs'!$V$7,,,InputRows),$C263)*$T263*$V263*$U263</f>
        <v>9068.4045600000009</v>
      </c>
      <c r="Y263" s="96">
        <f ca="1">INDEX(OFFSET('Measure Inputs'!$W$7,,,InputRows),$C263)*$T263*$V263*$U263</f>
        <v>1.0352060000000001</v>
      </c>
      <c r="Z263" s="96">
        <f ca="1">INDEX(OFFSET('Measure Inputs'!$X$7,,,InputRows),$C263)*$T263*$V263*$U263</f>
        <v>0</v>
      </c>
      <c r="AA263" s="55"/>
      <c r="AB263" s="96">
        <f ca="1">INDEX(OFFSET('Measure Inputs'!$Z$7,,,InputRows),$C263)*$T263*$V263*$U263</f>
        <v>0</v>
      </c>
      <c r="AC263" s="96">
        <f ca="1">INDEX(OFFSET('Measure Inputs'!$AA$7,,,InputRows),$C263)*$T263*$V263*$U263</f>
        <v>0</v>
      </c>
      <c r="AD263" s="96">
        <f ca="1">INDEX(OFFSET('Measure Inputs'!$AB$7,,,InputRows),$C263)*$T263*$V263*$U263</f>
        <v>0</v>
      </c>
      <c r="AE263" s="55"/>
      <c r="AF263" s="57">
        <f ca="1">INDEX(OFFSET('Measure Inputs'!$Q$7,,,InputRows),$C263)*$T263</f>
        <v>0</v>
      </c>
      <c r="AG263" s="57">
        <f ca="1">INDEX(OFFSET('Measure Inputs'!$P$7,,,InputRows),$C263)*$T263*$V263</f>
        <v>3226</v>
      </c>
      <c r="AH263" s="57">
        <f ca="1">INDEX(OFFSET('Measure Inputs'!$R$7,,,InputRows),$C263)*$T263*$V263</f>
        <v>0</v>
      </c>
      <c r="AI263" s="57">
        <f ca="1">INDEX(OFFSET('Measure Inputs'!$O$7,,,InputRows),$C263)*$T263</f>
        <v>600</v>
      </c>
      <c r="AJ263" s="57">
        <f ca="1">INDEX(OFFSET('Measure Inputs'!$S$7,,,InputRows),$C263)*$T263</f>
        <v>0</v>
      </c>
      <c r="AK263" s="63">
        <f ca="1">INDEX(OFFSET('Measure Inputs'!$M$7,,,InputRows),$C263)</f>
        <v>14</v>
      </c>
      <c r="AL263" s="88">
        <f ca="1">INDEX(OFFSET('Measure Inputs'!$N$7,,,InputRows),$C263)</f>
        <v>0</v>
      </c>
      <c r="AM263" s="57">
        <f ca="1">SUMIFS(OFFSET('Program Inputs'!$N$5,,,TotalPrograms),OFFSET('Program Inputs'!$B$5,,,TotalPrograms),SUBSTITUTE($B263,"All","*"))+AF263</f>
        <v>0</v>
      </c>
      <c r="AN263" s="57">
        <f t="shared" ca="1" si="442"/>
        <v>600</v>
      </c>
      <c r="AO263" s="55"/>
      <c r="AP263" s="59">
        <f t="shared" ca="1" si="443"/>
        <v>2277.6890971797106</v>
      </c>
      <c r="AQ263" s="59">
        <f t="shared" ca="1" si="444"/>
        <v>2723.2486489107478</v>
      </c>
      <c r="AR263" s="59">
        <f ca="1">SUMPRODUCT($CA263:$DI263,'General Inputs'!$F$32:$AN$32,'General Inputs'!$F$51:$AN$51)/(1-Loss_ElectricEnergy)</f>
        <v>2104.8615295020418</v>
      </c>
      <c r="AS263" s="59">
        <f ca="1">SUMPRODUCT($DK263:$ES263,'General Inputs'!$F$33:$AN$33,'General Inputs'!$F$51:$AN$51)/(1-Loss_ElectricDemand)</f>
        <v>172.82756767766867</v>
      </c>
      <c r="AT263" s="59">
        <f ca="1">SUMPRODUCT($EU263:$GC263,'General Inputs'!$F$34:$AN$34,'General Inputs'!$F$51:$AN$51)/(1-Loss_GasEnergy)</f>
        <v>0</v>
      </c>
      <c r="AU263" s="59">
        <f ca="1">INDEX('General Inputs'!$F$51:$AN$51,MATCH($H263,'General Inputs'!$F$50:$AN$50,0))*$AJ263</f>
        <v>0</v>
      </c>
      <c r="AV263" s="59">
        <f ca="1">INDEX('General Inputs'!$F$51:$AN$51,MATCH($H263,'General Inputs'!$F$50:$AN$50,0))*$AI263</f>
        <v>506.49385906585513</v>
      </c>
      <c r="AW263" s="59">
        <f ca="1">INDEX('General Inputs'!$F$51:$AN$51,MATCH($H263,'General Inputs'!$F$50:$AN$50,0))*$AM263</f>
        <v>0</v>
      </c>
      <c r="AX263" s="59">
        <f ca="1">SUM(INDEX('General Inputs'!$F$51:$AN$51,MATCH($H263,'General Inputs'!$F$50:$AN$50,0))*$AG263,INDEX('General Inputs'!$F$51:$AN$51,MATCH($H263+$AL263,'General Inputs'!$F$50:$AN$50,0))*-$AH263)</f>
        <v>2723.2486489107478</v>
      </c>
      <c r="AY263" s="55"/>
      <c r="AZ263" s="59">
        <f ca="1">SUMPRODUCT($CA263:$DI263,'General Inputs'!$F$32:$AN$32,'General Inputs'!$F$52:$AN$52)/(1-Loss_ElectricEnergy)</f>
        <v>2104.8615295020418</v>
      </c>
      <c r="BA263" s="59">
        <f ca="1">SUMPRODUCT($DK263:$ES263,'General Inputs'!$F$33:$AN$33,'General Inputs'!$F$52:$AN$52)/(1-Loss_ElectricDemand)</f>
        <v>172.82756767766867</v>
      </c>
      <c r="BB263" s="59">
        <f ca="1">SUMPRODUCT($EU263:$GC263,'General Inputs'!$F$34:$AN$34,'General Inputs'!$F$52:$AN$52)/(1-Loss_GasEnergy)</f>
        <v>0</v>
      </c>
      <c r="BC263" s="59">
        <f ca="1">INDEX('General Inputs'!$F$52:$AN$52,MATCH($H263,'General Inputs'!$F$50:$AN$50,0))*$AI263</f>
        <v>506.49385906585513</v>
      </c>
      <c r="BD263" s="59">
        <f ca="1">INDEX('General Inputs'!$F$52:$AN$52,MATCH($H263,'General Inputs'!$F$50:$AN$50,0))*$AM263</f>
        <v>0</v>
      </c>
      <c r="BE263" s="55"/>
      <c r="BF263" s="59">
        <f ca="1">SUMPRODUCT($CA263:$DI263,OFFSET('General Inputs'!$F$40:$AN$40,MATCH($D263&amp;" Electric ($/kWh)",'General Inputs'!$E$40:$E$46,0),),'General Inputs'!$F$54:$AN$54)</f>
        <v>0</v>
      </c>
      <c r="BG263" s="59">
        <f ca="1">SUMPRODUCT($EU263:$GC263,OFFSET('General Inputs'!$F$40:$AN$40,MATCH($D263&amp;" Natural Gas ($/therm)",'General Inputs'!$E$40:$E$46,0),),'General Inputs'!$F$54:$AN$54)</f>
        <v>0</v>
      </c>
      <c r="BH263" s="59">
        <f ca="1">INDEX('General Inputs'!$F$54:$AN$54,MATCH($H263,'General Inputs'!$F$50:$AN$50,0))*$AI263</f>
        <v>506.49385906585513</v>
      </c>
      <c r="BI263" s="59">
        <f ca="1">SUM(INDEX('General Inputs'!$F$54:$AN$54,MATCH($H263,'General Inputs'!$F$50:$AN$50,0))*$AG263,INDEX('General Inputs'!$F$51:$AN$51,MATCH($H263+$AL263,'General Inputs'!$F$50:$AN$50,0))*-$AH263)</f>
        <v>2723.2486489107478</v>
      </c>
      <c r="BJ263" s="55"/>
      <c r="BK263" s="59">
        <f ca="1">SUMPRODUCT($CA263:$DI263,'General Inputs'!$F$32:$AN$32,'General Inputs'!$F$53:$AN$53)/(1-Loss_ElectricEnergy)</f>
        <v>2104.8615295020418</v>
      </c>
      <c r="BL263" s="59">
        <f ca="1">SUMPRODUCT($DK263:$ES263,'General Inputs'!$F$33:$AN$33,'General Inputs'!$F$53:$AN$53)/(1-Loss_ElectricDemand)</f>
        <v>172.82756767766867</v>
      </c>
      <c r="BM263" s="59">
        <f ca="1">SUMPRODUCT($EU263:$GC263,'General Inputs'!$F$34:$AN$34,'General Inputs'!$F$53:$AN$53)/(1-Loss_GasEnergy)</f>
        <v>0</v>
      </c>
      <c r="BN263" s="59">
        <f ca="1">INDEX('General Inputs'!$F$53:$AN$53,MATCH($H263,'General Inputs'!$F$50:$AN$50,0))*$AJ263</f>
        <v>0</v>
      </c>
      <c r="BO263" s="59">
        <f ca="1">SUMPRODUCT($CA263:$DI263,'General Inputs'!$F$35:$AN$35,'General Inputs'!$F$53:$AN$53)/(1-Loss_ElectricEnergy)</f>
        <v>783.06277652860672</v>
      </c>
      <c r="BP263" s="59">
        <f ca="1">INDEX('General Inputs'!$F$51:$AN$51,MATCH($H263,'General Inputs'!$F$50:$AN$50,0))*$AM263</f>
        <v>0</v>
      </c>
      <c r="BQ263" s="59">
        <f ca="1">SUM(INDEX('General Inputs'!$F$53:$AN$53,MATCH($H263,'General Inputs'!$F$50:$AN$50,0))*$AG263,INDEX('General Inputs'!$F$53:$AN$53,MATCH($H263+$AL263,'General Inputs'!$F$50:$AN$50,0))*-$AH263)</f>
        <v>2723.2486489107478</v>
      </c>
      <c r="BR263" s="55"/>
      <c r="BS263" s="59">
        <f ca="1">SUMPRODUCT($CA263:$DI263,'General Inputs'!$F$32:$AN$32,'General Inputs'!$F$55:$AN$55)/(1-Loss_ElectricEnergy)</f>
        <v>2104.8615295020418</v>
      </c>
      <c r="BT263" s="59">
        <f ca="1">SUMPRODUCT($DK263:$ES263,'General Inputs'!$F$33:$AN$33,'General Inputs'!$F$55:$AN$55)/(1-Loss_ElectricDemand)</f>
        <v>172.82756767766867</v>
      </c>
      <c r="BU263" s="59">
        <f ca="1">SUMPRODUCT($EU263:$GC263,'General Inputs'!$F$34:$AN$34,'General Inputs'!$F$55:$AN$55)/(1-Loss_GasEnergy)</f>
        <v>0</v>
      </c>
      <c r="BV263" s="59">
        <f ca="1">SUMPRODUCT($CA263:$DI263,OFFSET('General Inputs'!$F$40:$AN$40,MATCH($D263&amp;" Electric ($/kWh)",'General Inputs'!$E$40:$E$46,0),),'General Inputs'!$F$55:$AN$55)</f>
        <v>0</v>
      </c>
      <c r="BW263" s="59">
        <f ca="1">SUMPRODUCT($EU263:$GC263,OFFSET('General Inputs'!$F$40:$AN$40,MATCH($D263&amp;" Natural Gas ($/therm)",'General Inputs'!$E$40:$E$46,0),),'General Inputs'!$F$55:$AN$55)</f>
        <v>0</v>
      </c>
      <c r="BX263" s="59">
        <f ca="1">INDEX('General Inputs'!$F$55:$AN$55,MATCH($H263,'General Inputs'!$F$50:$AN$50,0))*$AI263</f>
        <v>506.49385906585513</v>
      </c>
      <c r="BY263" s="59">
        <f ca="1">INDEX('General Inputs'!$F$51:$AN$51,MATCH($H263,'General Inputs'!$F$50:$AN$50,0))*$AM263</f>
        <v>0</v>
      </c>
      <c r="BZ263" s="55"/>
      <c r="CA263" s="88">
        <f t="shared" ca="1" si="492"/>
        <v>0</v>
      </c>
      <c r="CB263" s="88">
        <f t="shared" ca="1" si="492"/>
        <v>0</v>
      </c>
      <c r="CC263" s="88">
        <f t="shared" ca="1" si="492"/>
        <v>9068.4045600000009</v>
      </c>
      <c r="CD263" s="88">
        <f t="shared" ca="1" si="492"/>
        <v>9068.4045600000009</v>
      </c>
      <c r="CE263" s="88">
        <f t="shared" ca="1" si="492"/>
        <v>9068.4045600000009</v>
      </c>
      <c r="CF263" s="88">
        <f t="shared" ca="1" si="492"/>
        <v>9068.4045600000009</v>
      </c>
      <c r="CG263" s="88">
        <f t="shared" ca="1" si="492"/>
        <v>9068.4045600000009</v>
      </c>
      <c r="CH263" s="88">
        <f t="shared" ca="1" si="492"/>
        <v>9068.4045600000009</v>
      </c>
      <c r="CI263" s="88">
        <f t="shared" ca="1" si="492"/>
        <v>9068.4045600000009</v>
      </c>
      <c r="CJ263" s="88">
        <f t="shared" ca="1" si="492"/>
        <v>9068.4045600000009</v>
      </c>
      <c r="CK263" s="88">
        <f t="shared" ca="1" si="493"/>
        <v>9068.4045600000009</v>
      </c>
      <c r="CL263" s="88">
        <f t="shared" ca="1" si="493"/>
        <v>9068.4045600000009</v>
      </c>
      <c r="CM263" s="88">
        <f t="shared" ca="1" si="493"/>
        <v>9068.4045600000009</v>
      </c>
      <c r="CN263" s="88">
        <f t="shared" ca="1" si="493"/>
        <v>9068.4045600000009</v>
      </c>
      <c r="CO263" s="88">
        <f t="shared" ca="1" si="493"/>
        <v>9068.4045600000009</v>
      </c>
      <c r="CP263" s="88">
        <f t="shared" ca="1" si="493"/>
        <v>9068.4045600000009</v>
      </c>
      <c r="CQ263" s="88">
        <f t="shared" ca="1" si="493"/>
        <v>0</v>
      </c>
      <c r="CR263" s="88">
        <f t="shared" ca="1" si="493"/>
        <v>0</v>
      </c>
      <c r="CS263" s="88">
        <f t="shared" ca="1" si="493"/>
        <v>0</v>
      </c>
      <c r="CT263" s="88">
        <f t="shared" ca="1" si="493"/>
        <v>0</v>
      </c>
      <c r="CU263" s="88">
        <f t="shared" ca="1" si="494"/>
        <v>0</v>
      </c>
      <c r="CV263" s="88">
        <f t="shared" ca="1" si="494"/>
        <v>0</v>
      </c>
      <c r="CW263" s="88">
        <f t="shared" ca="1" si="494"/>
        <v>0</v>
      </c>
      <c r="CX263" s="88">
        <f t="shared" ca="1" si="494"/>
        <v>0</v>
      </c>
      <c r="CY263" s="88">
        <f t="shared" ca="1" si="494"/>
        <v>0</v>
      </c>
      <c r="CZ263" s="88">
        <f t="shared" ca="1" si="494"/>
        <v>0</v>
      </c>
      <c r="DA263" s="88">
        <f t="shared" ca="1" si="494"/>
        <v>0</v>
      </c>
      <c r="DB263" s="88">
        <f t="shared" ca="1" si="494"/>
        <v>0</v>
      </c>
      <c r="DC263" s="88">
        <f t="shared" ca="1" si="494"/>
        <v>0</v>
      </c>
      <c r="DD263" s="88">
        <f t="shared" ca="1" si="494"/>
        <v>0</v>
      </c>
      <c r="DE263" s="88">
        <f t="shared" ca="1" si="494"/>
        <v>0</v>
      </c>
      <c r="DF263" s="88">
        <f t="shared" ca="1" si="494"/>
        <v>0</v>
      </c>
      <c r="DG263" s="88">
        <f t="shared" ca="1" si="494"/>
        <v>0</v>
      </c>
      <c r="DH263" s="88">
        <f t="shared" ca="1" si="494"/>
        <v>0</v>
      </c>
      <c r="DI263" s="88">
        <f t="shared" ca="1" si="494"/>
        <v>0</v>
      </c>
      <c r="DJ263" s="169"/>
      <c r="DK263" s="88">
        <f t="shared" ca="1" si="495"/>
        <v>0</v>
      </c>
      <c r="DL263" s="88">
        <f t="shared" ca="1" si="495"/>
        <v>0</v>
      </c>
      <c r="DM263" s="88">
        <f t="shared" ca="1" si="495"/>
        <v>1.0352060000000001</v>
      </c>
      <c r="DN263" s="88">
        <f t="shared" ca="1" si="495"/>
        <v>1.0352060000000001</v>
      </c>
      <c r="DO263" s="88">
        <f t="shared" ca="1" si="495"/>
        <v>1.0352060000000001</v>
      </c>
      <c r="DP263" s="88">
        <f t="shared" ca="1" si="495"/>
        <v>1.0352060000000001</v>
      </c>
      <c r="DQ263" s="88">
        <f t="shared" ca="1" si="495"/>
        <v>1.0352060000000001</v>
      </c>
      <c r="DR263" s="88">
        <f t="shared" ca="1" si="495"/>
        <v>1.0352060000000001</v>
      </c>
      <c r="DS263" s="88">
        <f t="shared" ca="1" si="495"/>
        <v>1.0352060000000001</v>
      </c>
      <c r="DT263" s="88">
        <f t="shared" ca="1" si="495"/>
        <v>1.0352060000000001</v>
      </c>
      <c r="DU263" s="88">
        <f t="shared" ca="1" si="496"/>
        <v>1.0352060000000001</v>
      </c>
      <c r="DV263" s="88">
        <f t="shared" ca="1" si="496"/>
        <v>1.0352060000000001</v>
      </c>
      <c r="DW263" s="88">
        <f t="shared" ca="1" si="496"/>
        <v>1.0352060000000001</v>
      </c>
      <c r="DX263" s="88">
        <f t="shared" ca="1" si="496"/>
        <v>1.0352060000000001</v>
      </c>
      <c r="DY263" s="88">
        <f t="shared" ca="1" si="496"/>
        <v>1.0352060000000001</v>
      </c>
      <c r="DZ263" s="88">
        <f t="shared" ca="1" si="496"/>
        <v>1.0352060000000001</v>
      </c>
      <c r="EA263" s="88">
        <f t="shared" ca="1" si="496"/>
        <v>0</v>
      </c>
      <c r="EB263" s="88">
        <f t="shared" ca="1" si="496"/>
        <v>0</v>
      </c>
      <c r="EC263" s="88">
        <f t="shared" ca="1" si="496"/>
        <v>0</v>
      </c>
      <c r="ED263" s="88">
        <f t="shared" ca="1" si="496"/>
        <v>0</v>
      </c>
      <c r="EE263" s="88">
        <f t="shared" ca="1" si="497"/>
        <v>0</v>
      </c>
      <c r="EF263" s="88">
        <f t="shared" ca="1" si="497"/>
        <v>0</v>
      </c>
      <c r="EG263" s="88">
        <f t="shared" ca="1" si="497"/>
        <v>0</v>
      </c>
      <c r="EH263" s="88">
        <f t="shared" ca="1" si="497"/>
        <v>0</v>
      </c>
      <c r="EI263" s="88">
        <f t="shared" ca="1" si="497"/>
        <v>0</v>
      </c>
      <c r="EJ263" s="88">
        <f t="shared" ca="1" si="497"/>
        <v>0</v>
      </c>
      <c r="EK263" s="88">
        <f t="shared" ca="1" si="497"/>
        <v>0</v>
      </c>
      <c r="EL263" s="88">
        <f t="shared" ca="1" si="497"/>
        <v>0</v>
      </c>
      <c r="EM263" s="88">
        <f t="shared" ca="1" si="497"/>
        <v>0</v>
      </c>
      <c r="EN263" s="88">
        <f t="shared" ca="1" si="497"/>
        <v>0</v>
      </c>
      <c r="EO263" s="88">
        <f t="shared" ca="1" si="497"/>
        <v>0</v>
      </c>
      <c r="EP263" s="88">
        <f t="shared" ca="1" si="497"/>
        <v>0</v>
      </c>
      <c r="EQ263" s="88">
        <f t="shared" ca="1" si="497"/>
        <v>0</v>
      </c>
      <c r="ER263" s="88">
        <f t="shared" ca="1" si="497"/>
        <v>0</v>
      </c>
      <c r="ES263" s="88">
        <f t="shared" ca="1" si="497"/>
        <v>0</v>
      </c>
      <c r="ET263" s="169"/>
      <c r="EU263" s="88">
        <f t="shared" ca="1" si="498"/>
        <v>0</v>
      </c>
      <c r="EV263" s="88">
        <f t="shared" ca="1" si="498"/>
        <v>0</v>
      </c>
      <c r="EW263" s="88">
        <f t="shared" ca="1" si="498"/>
        <v>0</v>
      </c>
      <c r="EX263" s="88">
        <f t="shared" ca="1" si="498"/>
        <v>0</v>
      </c>
      <c r="EY263" s="88">
        <f t="shared" ca="1" si="498"/>
        <v>0</v>
      </c>
      <c r="EZ263" s="88">
        <f t="shared" ca="1" si="498"/>
        <v>0</v>
      </c>
      <c r="FA263" s="88">
        <f t="shared" ca="1" si="498"/>
        <v>0</v>
      </c>
      <c r="FB263" s="88">
        <f t="shared" ca="1" si="498"/>
        <v>0</v>
      </c>
      <c r="FC263" s="88">
        <f t="shared" ca="1" si="498"/>
        <v>0</v>
      </c>
      <c r="FD263" s="88">
        <f t="shared" ca="1" si="498"/>
        <v>0</v>
      </c>
      <c r="FE263" s="88">
        <f t="shared" ca="1" si="499"/>
        <v>0</v>
      </c>
      <c r="FF263" s="88">
        <f t="shared" ca="1" si="499"/>
        <v>0</v>
      </c>
      <c r="FG263" s="88">
        <f t="shared" ca="1" si="499"/>
        <v>0</v>
      </c>
      <c r="FH263" s="88">
        <f t="shared" ca="1" si="499"/>
        <v>0</v>
      </c>
      <c r="FI263" s="88">
        <f t="shared" ca="1" si="499"/>
        <v>0</v>
      </c>
      <c r="FJ263" s="88">
        <f t="shared" ca="1" si="499"/>
        <v>0</v>
      </c>
      <c r="FK263" s="88">
        <f t="shared" ca="1" si="499"/>
        <v>0</v>
      </c>
      <c r="FL263" s="88">
        <f t="shared" ca="1" si="499"/>
        <v>0</v>
      </c>
      <c r="FM263" s="88">
        <f t="shared" ca="1" si="499"/>
        <v>0</v>
      </c>
      <c r="FN263" s="88">
        <f t="shared" ca="1" si="499"/>
        <v>0</v>
      </c>
      <c r="FO263" s="88">
        <f t="shared" ca="1" si="500"/>
        <v>0</v>
      </c>
      <c r="FP263" s="88">
        <f t="shared" ca="1" si="500"/>
        <v>0</v>
      </c>
      <c r="FQ263" s="88">
        <f t="shared" ca="1" si="500"/>
        <v>0</v>
      </c>
      <c r="FR263" s="88">
        <f t="shared" ca="1" si="500"/>
        <v>0</v>
      </c>
      <c r="FS263" s="88">
        <f t="shared" ca="1" si="500"/>
        <v>0</v>
      </c>
      <c r="FT263" s="88">
        <f t="shared" ca="1" si="500"/>
        <v>0</v>
      </c>
      <c r="FU263" s="88">
        <f t="shared" ca="1" si="500"/>
        <v>0</v>
      </c>
      <c r="FV263" s="88">
        <f t="shared" ca="1" si="500"/>
        <v>0</v>
      </c>
      <c r="FW263" s="88">
        <f t="shared" ca="1" si="500"/>
        <v>0</v>
      </c>
      <c r="FX263" s="88">
        <f t="shared" ca="1" si="500"/>
        <v>0</v>
      </c>
      <c r="FY263" s="88">
        <f t="shared" ca="1" si="500"/>
        <v>0</v>
      </c>
      <c r="FZ263" s="88">
        <f t="shared" ca="1" si="500"/>
        <v>0</v>
      </c>
      <c r="GA263" s="88">
        <f t="shared" ca="1" si="500"/>
        <v>0</v>
      </c>
      <c r="GB263" s="88">
        <f t="shared" ca="1" si="500"/>
        <v>0</v>
      </c>
      <c r="GC263" s="88">
        <f t="shared" ca="1" si="500"/>
        <v>0</v>
      </c>
      <c r="GD263" s="60"/>
    </row>
    <row r="264" spans="1:186" s="54" customFormat="1" ht="14.45" customHeight="1">
      <c r="A264" s="61"/>
      <c r="B264" s="100" t="str">
        <f t="shared" si="482"/>
        <v>C&amp;I_C&amp;I Prescriptive_0_Integral Occupancy Control Stairwell fixtures (20W-30W LED)_2019</v>
      </c>
      <c r="C264" s="100">
        <f>INDEX('Measure Inputs'!$D:$D,MATCH($B264,'Measure Inputs'!$B:$B,0))</f>
        <v>216</v>
      </c>
      <c r="D264" s="101" t="s">
        <v>256</v>
      </c>
      <c r="E264" s="101" t="s">
        <v>255</v>
      </c>
      <c r="F264" s="101">
        <v>0</v>
      </c>
      <c r="G264" s="101" t="s">
        <v>365</v>
      </c>
      <c r="H264" s="101">
        <v>2019</v>
      </c>
      <c r="I264" s="55"/>
      <c r="J264" s="58">
        <f t="shared" ca="1" si="229"/>
        <v>0.87557195706413837</v>
      </c>
      <c r="K264" s="58">
        <f t="shared" ca="1" si="246"/>
        <v>4.7076585558148505</v>
      </c>
      <c r="L264" s="58">
        <f t="shared" ca="1" si="230"/>
        <v>0.18598884066955984</v>
      </c>
      <c r="M264" s="58">
        <f t="shared" ca="1" si="231"/>
        <v>1.1765910068537655</v>
      </c>
      <c r="N264" s="58">
        <f t="shared" ca="1" si="232"/>
        <v>4.7076585558148505</v>
      </c>
      <c r="O264" s="55"/>
      <c r="P264" s="175">
        <f ca="1">IFERROR(($AW264+AV264)/SUMPRODUCT($CA264:$DI264,'General Inputs'!$F$51:$AN$51),"n/a")</f>
        <v>7.391028169777593E-3</v>
      </c>
      <c r="Q264" s="175">
        <f t="shared" ca="1" si="454"/>
        <v>6.320270505555152E-2</v>
      </c>
      <c r="R264" s="56">
        <f t="shared" ca="1" si="441"/>
        <v>132.90570383999997</v>
      </c>
      <c r="S264" s="55"/>
      <c r="T264" s="56">
        <f ca="1">INDEX(OFFSET('Measure Inputs'!$L$7,,,InputRows),$C264)</f>
        <v>20</v>
      </c>
      <c r="U264" s="134">
        <f ca="1">INDEX(OFFSET('Measure Inputs'!$T$7,,,InputRows),$C264)</f>
        <v>1</v>
      </c>
      <c r="V264" s="134">
        <f ca="1">INDEX(OFFSET('Measure Inputs'!$U$7,,,InputRows),$C264)</f>
        <v>1</v>
      </c>
      <c r="W264" s="55"/>
      <c r="X264" s="96">
        <f ca="1">INDEX(OFFSET('Measure Inputs'!$V$7,,,InputRows),$C264)*$T264*$V264*$U264</f>
        <v>9493.2645599999996</v>
      </c>
      <c r="Y264" s="96">
        <f ca="1">INDEX(OFFSET('Measure Inputs'!$W$7,,,InputRows),$C264)*$T264*$V264*$U264</f>
        <v>1.0837060000000001</v>
      </c>
      <c r="Z264" s="96">
        <f ca="1">INDEX(OFFSET('Measure Inputs'!$X$7,,,InputRows),$C264)*$T264*$V264*$U264</f>
        <v>0</v>
      </c>
      <c r="AA264" s="55"/>
      <c r="AB264" s="96">
        <f ca="1">INDEX(OFFSET('Measure Inputs'!$Z$7,,,InputRows),$C264)*$T264*$V264*$U264</f>
        <v>0</v>
      </c>
      <c r="AC264" s="96">
        <f ca="1">INDEX(OFFSET('Measure Inputs'!$AA$7,,,InputRows),$C264)*$T264*$V264*$U264</f>
        <v>0</v>
      </c>
      <c r="AD264" s="96">
        <f ca="1">INDEX(OFFSET('Measure Inputs'!$AB$7,,,InputRows),$C264)*$T264*$V264*$U264</f>
        <v>0</v>
      </c>
      <c r="AE264" s="55"/>
      <c r="AF264" s="57">
        <f ca="1">INDEX(OFFSET('Measure Inputs'!$Q$7,,,InputRows),$C264)*$T264</f>
        <v>0</v>
      </c>
      <c r="AG264" s="57">
        <f ca="1">INDEX(OFFSET('Measure Inputs'!$P$7,,,InputRows),$C264)*$T264*$V264</f>
        <v>3226</v>
      </c>
      <c r="AH264" s="57">
        <f ca="1">INDEX(OFFSET('Measure Inputs'!$R$7,,,InputRows),$C264)*$T264*$V264</f>
        <v>0</v>
      </c>
      <c r="AI264" s="57">
        <f ca="1">INDEX(OFFSET('Measure Inputs'!$O$7,,,InputRows),$C264)*$T264</f>
        <v>600</v>
      </c>
      <c r="AJ264" s="57">
        <f ca="1">INDEX(OFFSET('Measure Inputs'!$S$7,,,InputRows),$C264)*$T264</f>
        <v>0</v>
      </c>
      <c r="AK264" s="63">
        <f ca="1">INDEX(OFFSET('Measure Inputs'!$M$7,,,InputRows),$C264)</f>
        <v>14</v>
      </c>
      <c r="AL264" s="88">
        <f ca="1">INDEX(OFFSET('Measure Inputs'!$N$7,,,InputRows),$C264)</f>
        <v>0</v>
      </c>
      <c r="AM264" s="57">
        <f ca="1">SUMIFS(OFFSET('Program Inputs'!$N$5,,,TotalPrograms),OFFSET('Program Inputs'!$B$5,,,TotalPrograms),SUBSTITUTE($B264,"All","*"))+AF264</f>
        <v>0</v>
      </c>
      <c r="AN264" s="57">
        <f t="shared" ca="1" si="442"/>
        <v>600</v>
      </c>
      <c r="AO264" s="55"/>
      <c r="AP264" s="59">
        <f t="shared" ca="1" si="443"/>
        <v>2384.400149099054</v>
      </c>
      <c r="AQ264" s="59">
        <f t="shared" ca="1" si="444"/>
        <v>2723.2486489107478</v>
      </c>
      <c r="AR264" s="59">
        <f ca="1">SUMPRODUCT($CA264:$DI264,'General Inputs'!$F$32:$AN$32,'General Inputs'!$F$51:$AN$51)/(1-Loss_ElectricEnergy)</f>
        <v>2203.4755098893743</v>
      </c>
      <c r="AS264" s="59">
        <f ca="1">SUMPRODUCT($DK264:$ES264,'General Inputs'!$F$33:$AN$33,'General Inputs'!$F$51:$AN$51)/(1-Loss_ElectricDemand)</f>
        <v>180.92463920967961</v>
      </c>
      <c r="AT264" s="59">
        <f ca="1">SUMPRODUCT($EU264:$GC264,'General Inputs'!$F$34:$AN$34,'General Inputs'!$F$51:$AN$51)/(1-Loss_GasEnergy)</f>
        <v>0</v>
      </c>
      <c r="AU264" s="59">
        <f ca="1">INDEX('General Inputs'!$F$51:$AN$51,MATCH($H264,'General Inputs'!$F$50:$AN$50,0))*$AJ264</f>
        <v>0</v>
      </c>
      <c r="AV264" s="59">
        <f ca="1">INDEX('General Inputs'!$F$51:$AN$51,MATCH($H264,'General Inputs'!$F$50:$AN$50,0))*$AI264</f>
        <v>506.49385906585513</v>
      </c>
      <c r="AW264" s="59">
        <f ca="1">INDEX('General Inputs'!$F$51:$AN$51,MATCH($H264,'General Inputs'!$F$50:$AN$50,0))*$AM264</f>
        <v>0</v>
      </c>
      <c r="AX264" s="59">
        <f ca="1">SUM(INDEX('General Inputs'!$F$51:$AN$51,MATCH($H264,'General Inputs'!$F$50:$AN$50,0))*$AG264,INDEX('General Inputs'!$F$51:$AN$51,MATCH($H264+$AL264,'General Inputs'!$F$50:$AN$50,0))*-$AH264)</f>
        <v>2723.2486489107478</v>
      </c>
      <c r="AY264" s="55"/>
      <c r="AZ264" s="59">
        <f ca="1">SUMPRODUCT($CA264:$DI264,'General Inputs'!$F$32:$AN$32,'General Inputs'!$F$52:$AN$52)/(1-Loss_ElectricEnergy)</f>
        <v>2203.4755098893743</v>
      </c>
      <c r="BA264" s="59">
        <f ca="1">SUMPRODUCT($DK264:$ES264,'General Inputs'!$F$33:$AN$33,'General Inputs'!$F$52:$AN$52)/(1-Loss_ElectricDemand)</f>
        <v>180.92463920967961</v>
      </c>
      <c r="BB264" s="59">
        <f ca="1">SUMPRODUCT($EU264:$GC264,'General Inputs'!$F$34:$AN$34,'General Inputs'!$F$52:$AN$52)/(1-Loss_GasEnergy)</f>
        <v>0</v>
      </c>
      <c r="BC264" s="59">
        <f ca="1">INDEX('General Inputs'!$F$52:$AN$52,MATCH($H264,'General Inputs'!$F$50:$AN$50,0))*$AI264</f>
        <v>506.49385906585513</v>
      </c>
      <c r="BD264" s="59">
        <f ca="1">INDEX('General Inputs'!$F$52:$AN$52,MATCH($H264,'General Inputs'!$F$50:$AN$50,0))*$AM264</f>
        <v>0</v>
      </c>
      <c r="BE264" s="55"/>
      <c r="BF264" s="59">
        <f ca="1">SUMPRODUCT($CA264:$DI264,OFFSET('General Inputs'!$F$40:$AN$40,MATCH($D264&amp;" Electric ($/kWh)",'General Inputs'!$E$40:$E$46,0),),'General Inputs'!$F$54:$AN$54)</f>
        <v>0</v>
      </c>
      <c r="BG264" s="59">
        <f ca="1">SUMPRODUCT($EU264:$GC264,OFFSET('General Inputs'!$F$40:$AN$40,MATCH($D264&amp;" Natural Gas ($/therm)",'General Inputs'!$E$40:$E$46,0),),'General Inputs'!$F$54:$AN$54)</f>
        <v>0</v>
      </c>
      <c r="BH264" s="59">
        <f ca="1">INDEX('General Inputs'!$F$54:$AN$54,MATCH($H264,'General Inputs'!$F$50:$AN$50,0))*$AI264</f>
        <v>506.49385906585513</v>
      </c>
      <c r="BI264" s="59">
        <f ca="1">SUM(INDEX('General Inputs'!$F$54:$AN$54,MATCH($H264,'General Inputs'!$F$50:$AN$50,0))*$AG264,INDEX('General Inputs'!$F$51:$AN$51,MATCH($H264+$AL264,'General Inputs'!$F$50:$AN$50,0))*-$AH264)</f>
        <v>2723.2486489107478</v>
      </c>
      <c r="BJ264" s="55"/>
      <c r="BK264" s="59">
        <f ca="1">SUMPRODUCT($CA264:$DI264,'General Inputs'!$F$32:$AN$32,'General Inputs'!$F$53:$AN$53)/(1-Loss_ElectricEnergy)</f>
        <v>2203.4755098893743</v>
      </c>
      <c r="BL264" s="59">
        <f ca="1">SUMPRODUCT($DK264:$ES264,'General Inputs'!$F$33:$AN$33,'General Inputs'!$F$53:$AN$53)/(1-Loss_ElectricDemand)</f>
        <v>180.92463920967961</v>
      </c>
      <c r="BM264" s="59">
        <f ca="1">SUMPRODUCT($EU264:$GC264,'General Inputs'!$F$34:$AN$34,'General Inputs'!$F$53:$AN$53)/(1-Loss_GasEnergy)</f>
        <v>0</v>
      </c>
      <c r="BN264" s="59">
        <f ca="1">INDEX('General Inputs'!$F$53:$AN$53,MATCH($H264,'General Inputs'!$F$50:$AN$50,0))*$AJ264</f>
        <v>0</v>
      </c>
      <c r="BO264" s="59">
        <f ca="1">SUMPRODUCT($CA264:$DI264,'General Inputs'!$F$35:$AN$35,'General Inputs'!$F$53:$AN$53)/(1-Loss_ElectricEnergy)</f>
        <v>819.7497206359991</v>
      </c>
      <c r="BP264" s="59">
        <f ca="1">INDEX('General Inputs'!$F$51:$AN$51,MATCH($H264,'General Inputs'!$F$50:$AN$50,0))*$AM264</f>
        <v>0</v>
      </c>
      <c r="BQ264" s="59">
        <f ca="1">SUM(INDEX('General Inputs'!$F$53:$AN$53,MATCH($H264,'General Inputs'!$F$50:$AN$50,0))*$AG264,INDEX('General Inputs'!$F$53:$AN$53,MATCH($H264+$AL264,'General Inputs'!$F$50:$AN$50,0))*-$AH264)</f>
        <v>2723.2486489107478</v>
      </c>
      <c r="BR264" s="55"/>
      <c r="BS264" s="59">
        <f ca="1">SUMPRODUCT($CA264:$DI264,'General Inputs'!$F$32:$AN$32,'General Inputs'!$F$55:$AN$55)/(1-Loss_ElectricEnergy)</f>
        <v>2203.4755098893743</v>
      </c>
      <c r="BT264" s="59">
        <f ca="1">SUMPRODUCT($DK264:$ES264,'General Inputs'!$F$33:$AN$33,'General Inputs'!$F$55:$AN$55)/(1-Loss_ElectricDemand)</f>
        <v>180.92463920967961</v>
      </c>
      <c r="BU264" s="59">
        <f ca="1">SUMPRODUCT($EU264:$GC264,'General Inputs'!$F$34:$AN$34,'General Inputs'!$F$55:$AN$55)/(1-Loss_GasEnergy)</f>
        <v>0</v>
      </c>
      <c r="BV264" s="59">
        <f ca="1">SUMPRODUCT($CA264:$DI264,OFFSET('General Inputs'!$F$40:$AN$40,MATCH($D264&amp;" Electric ($/kWh)",'General Inputs'!$E$40:$E$46,0),),'General Inputs'!$F$55:$AN$55)</f>
        <v>0</v>
      </c>
      <c r="BW264" s="59">
        <f ca="1">SUMPRODUCT($EU264:$GC264,OFFSET('General Inputs'!$F$40:$AN$40,MATCH($D264&amp;" Natural Gas ($/therm)",'General Inputs'!$E$40:$E$46,0),),'General Inputs'!$F$55:$AN$55)</f>
        <v>0</v>
      </c>
      <c r="BX264" s="59">
        <f ca="1">INDEX('General Inputs'!$F$55:$AN$55,MATCH($H264,'General Inputs'!$F$50:$AN$50,0))*$AI264</f>
        <v>506.49385906585513</v>
      </c>
      <c r="BY264" s="59">
        <f ca="1">INDEX('General Inputs'!$F$51:$AN$51,MATCH($H264,'General Inputs'!$F$50:$AN$50,0))*$AM264</f>
        <v>0</v>
      </c>
      <c r="BZ264" s="55"/>
      <c r="CA264" s="88">
        <f t="shared" ca="1" si="492"/>
        <v>0</v>
      </c>
      <c r="CB264" s="88">
        <f t="shared" ca="1" si="492"/>
        <v>0</v>
      </c>
      <c r="CC264" s="88">
        <f t="shared" ca="1" si="492"/>
        <v>9493.2645599999996</v>
      </c>
      <c r="CD264" s="88">
        <f t="shared" ca="1" si="492"/>
        <v>9493.2645599999996</v>
      </c>
      <c r="CE264" s="88">
        <f t="shared" ca="1" si="492"/>
        <v>9493.2645599999996</v>
      </c>
      <c r="CF264" s="88">
        <f t="shared" ca="1" si="492"/>
        <v>9493.2645599999996</v>
      </c>
      <c r="CG264" s="88">
        <f t="shared" ca="1" si="492"/>
        <v>9493.2645599999996</v>
      </c>
      <c r="CH264" s="88">
        <f t="shared" ca="1" si="492"/>
        <v>9493.2645599999996</v>
      </c>
      <c r="CI264" s="88">
        <f t="shared" ca="1" si="492"/>
        <v>9493.2645599999996</v>
      </c>
      <c r="CJ264" s="88">
        <f t="shared" ca="1" si="492"/>
        <v>9493.2645599999996</v>
      </c>
      <c r="CK264" s="88">
        <f t="shared" ca="1" si="493"/>
        <v>9493.2645599999996</v>
      </c>
      <c r="CL264" s="88">
        <f t="shared" ca="1" si="493"/>
        <v>9493.2645599999996</v>
      </c>
      <c r="CM264" s="88">
        <f t="shared" ca="1" si="493"/>
        <v>9493.2645599999996</v>
      </c>
      <c r="CN264" s="88">
        <f t="shared" ca="1" si="493"/>
        <v>9493.2645599999996</v>
      </c>
      <c r="CO264" s="88">
        <f t="shared" ca="1" si="493"/>
        <v>9493.2645599999996</v>
      </c>
      <c r="CP264" s="88">
        <f t="shared" ca="1" si="493"/>
        <v>9493.2645599999996</v>
      </c>
      <c r="CQ264" s="88">
        <f t="shared" ca="1" si="493"/>
        <v>0</v>
      </c>
      <c r="CR264" s="88">
        <f t="shared" ca="1" si="493"/>
        <v>0</v>
      </c>
      <c r="CS264" s="88">
        <f t="shared" ca="1" si="493"/>
        <v>0</v>
      </c>
      <c r="CT264" s="88">
        <f t="shared" ca="1" si="493"/>
        <v>0</v>
      </c>
      <c r="CU264" s="88">
        <f t="shared" ca="1" si="494"/>
        <v>0</v>
      </c>
      <c r="CV264" s="88">
        <f t="shared" ca="1" si="494"/>
        <v>0</v>
      </c>
      <c r="CW264" s="88">
        <f t="shared" ca="1" si="494"/>
        <v>0</v>
      </c>
      <c r="CX264" s="88">
        <f t="shared" ca="1" si="494"/>
        <v>0</v>
      </c>
      <c r="CY264" s="88">
        <f t="shared" ca="1" si="494"/>
        <v>0</v>
      </c>
      <c r="CZ264" s="88">
        <f t="shared" ca="1" si="494"/>
        <v>0</v>
      </c>
      <c r="DA264" s="88">
        <f t="shared" ca="1" si="494"/>
        <v>0</v>
      </c>
      <c r="DB264" s="88">
        <f t="shared" ca="1" si="494"/>
        <v>0</v>
      </c>
      <c r="DC264" s="88">
        <f t="shared" ca="1" si="494"/>
        <v>0</v>
      </c>
      <c r="DD264" s="88">
        <f t="shared" ca="1" si="494"/>
        <v>0</v>
      </c>
      <c r="DE264" s="88">
        <f t="shared" ca="1" si="494"/>
        <v>0</v>
      </c>
      <c r="DF264" s="88">
        <f t="shared" ca="1" si="494"/>
        <v>0</v>
      </c>
      <c r="DG264" s="88">
        <f t="shared" ca="1" si="494"/>
        <v>0</v>
      </c>
      <c r="DH264" s="88">
        <f t="shared" ca="1" si="494"/>
        <v>0</v>
      </c>
      <c r="DI264" s="88">
        <f t="shared" ca="1" si="494"/>
        <v>0</v>
      </c>
      <c r="DJ264" s="169"/>
      <c r="DK264" s="88">
        <f t="shared" ca="1" si="495"/>
        <v>0</v>
      </c>
      <c r="DL264" s="88">
        <f t="shared" ca="1" si="495"/>
        <v>0</v>
      </c>
      <c r="DM264" s="88">
        <f t="shared" ca="1" si="495"/>
        <v>1.0837060000000001</v>
      </c>
      <c r="DN264" s="88">
        <f t="shared" ca="1" si="495"/>
        <v>1.0837060000000001</v>
      </c>
      <c r="DO264" s="88">
        <f t="shared" ca="1" si="495"/>
        <v>1.0837060000000001</v>
      </c>
      <c r="DP264" s="88">
        <f t="shared" ca="1" si="495"/>
        <v>1.0837060000000001</v>
      </c>
      <c r="DQ264" s="88">
        <f t="shared" ca="1" si="495"/>
        <v>1.0837060000000001</v>
      </c>
      <c r="DR264" s="88">
        <f t="shared" ca="1" si="495"/>
        <v>1.0837060000000001</v>
      </c>
      <c r="DS264" s="88">
        <f t="shared" ca="1" si="495"/>
        <v>1.0837060000000001</v>
      </c>
      <c r="DT264" s="88">
        <f t="shared" ca="1" si="495"/>
        <v>1.0837060000000001</v>
      </c>
      <c r="DU264" s="88">
        <f t="shared" ca="1" si="496"/>
        <v>1.0837060000000001</v>
      </c>
      <c r="DV264" s="88">
        <f t="shared" ca="1" si="496"/>
        <v>1.0837060000000001</v>
      </c>
      <c r="DW264" s="88">
        <f t="shared" ca="1" si="496"/>
        <v>1.0837060000000001</v>
      </c>
      <c r="DX264" s="88">
        <f t="shared" ca="1" si="496"/>
        <v>1.0837060000000001</v>
      </c>
      <c r="DY264" s="88">
        <f t="shared" ca="1" si="496"/>
        <v>1.0837060000000001</v>
      </c>
      <c r="DZ264" s="88">
        <f t="shared" ca="1" si="496"/>
        <v>1.0837060000000001</v>
      </c>
      <c r="EA264" s="88">
        <f t="shared" ca="1" si="496"/>
        <v>0</v>
      </c>
      <c r="EB264" s="88">
        <f t="shared" ca="1" si="496"/>
        <v>0</v>
      </c>
      <c r="EC264" s="88">
        <f t="shared" ca="1" si="496"/>
        <v>0</v>
      </c>
      <c r="ED264" s="88">
        <f t="shared" ca="1" si="496"/>
        <v>0</v>
      </c>
      <c r="EE264" s="88">
        <f t="shared" ca="1" si="497"/>
        <v>0</v>
      </c>
      <c r="EF264" s="88">
        <f t="shared" ca="1" si="497"/>
        <v>0</v>
      </c>
      <c r="EG264" s="88">
        <f t="shared" ca="1" si="497"/>
        <v>0</v>
      </c>
      <c r="EH264" s="88">
        <f t="shared" ca="1" si="497"/>
        <v>0</v>
      </c>
      <c r="EI264" s="88">
        <f t="shared" ca="1" si="497"/>
        <v>0</v>
      </c>
      <c r="EJ264" s="88">
        <f t="shared" ca="1" si="497"/>
        <v>0</v>
      </c>
      <c r="EK264" s="88">
        <f t="shared" ca="1" si="497"/>
        <v>0</v>
      </c>
      <c r="EL264" s="88">
        <f t="shared" ca="1" si="497"/>
        <v>0</v>
      </c>
      <c r="EM264" s="88">
        <f t="shared" ca="1" si="497"/>
        <v>0</v>
      </c>
      <c r="EN264" s="88">
        <f t="shared" ca="1" si="497"/>
        <v>0</v>
      </c>
      <c r="EO264" s="88">
        <f t="shared" ca="1" si="497"/>
        <v>0</v>
      </c>
      <c r="EP264" s="88">
        <f t="shared" ca="1" si="497"/>
        <v>0</v>
      </c>
      <c r="EQ264" s="88">
        <f t="shared" ca="1" si="497"/>
        <v>0</v>
      </c>
      <c r="ER264" s="88">
        <f t="shared" ca="1" si="497"/>
        <v>0</v>
      </c>
      <c r="ES264" s="88">
        <f t="shared" ca="1" si="497"/>
        <v>0</v>
      </c>
      <c r="ET264" s="169"/>
      <c r="EU264" s="88">
        <f t="shared" ca="1" si="498"/>
        <v>0</v>
      </c>
      <c r="EV264" s="88">
        <f t="shared" ca="1" si="498"/>
        <v>0</v>
      </c>
      <c r="EW264" s="88">
        <f t="shared" ca="1" si="498"/>
        <v>0</v>
      </c>
      <c r="EX264" s="88">
        <f t="shared" ca="1" si="498"/>
        <v>0</v>
      </c>
      <c r="EY264" s="88">
        <f t="shared" ca="1" si="498"/>
        <v>0</v>
      </c>
      <c r="EZ264" s="88">
        <f t="shared" ca="1" si="498"/>
        <v>0</v>
      </c>
      <c r="FA264" s="88">
        <f t="shared" ca="1" si="498"/>
        <v>0</v>
      </c>
      <c r="FB264" s="88">
        <f t="shared" ca="1" si="498"/>
        <v>0</v>
      </c>
      <c r="FC264" s="88">
        <f t="shared" ca="1" si="498"/>
        <v>0</v>
      </c>
      <c r="FD264" s="88">
        <f t="shared" ca="1" si="498"/>
        <v>0</v>
      </c>
      <c r="FE264" s="88">
        <f t="shared" ca="1" si="499"/>
        <v>0</v>
      </c>
      <c r="FF264" s="88">
        <f t="shared" ca="1" si="499"/>
        <v>0</v>
      </c>
      <c r="FG264" s="88">
        <f t="shared" ca="1" si="499"/>
        <v>0</v>
      </c>
      <c r="FH264" s="88">
        <f t="shared" ca="1" si="499"/>
        <v>0</v>
      </c>
      <c r="FI264" s="88">
        <f t="shared" ca="1" si="499"/>
        <v>0</v>
      </c>
      <c r="FJ264" s="88">
        <f t="shared" ca="1" si="499"/>
        <v>0</v>
      </c>
      <c r="FK264" s="88">
        <f t="shared" ca="1" si="499"/>
        <v>0</v>
      </c>
      <c r="FL264" s="88">
        <f t="shared" ca="1" si="499"/>
        <v>0</v>
      </c>
      <c r="FM264" s="88">
        <f t="shared" ca="1" si="499"/>
        <v>0</v>
      </c>
      <c r="FN264" s="88">
        <f t="shared" ca="1" si="499"/>
        <v>0</v>
      </c>
      <c r="FO264" s="88">
        <f t="shared" ca="1" si="500"/>
        <v>0</v>
      </c>
      <c r="FP264" s="88">
        <f t="shared" ca="1" si="500"/>
        <v>0</v>
      </c>
      <c r="FQ264" s="88">
        <f t="shared" ca="1" si="500"/>
        <v>0</v>
      </c>
      <c r="FR264" s="88">
        <f t="shared" ca="1" si="500"/>
        <v>0</v>
      </c>
      <c r="FS264" s="88">
        <f t="shared" ca="1" si="500"/>
        <v>0</v>
      </c>
      <c r="FT264" s="88">
        <f t="shared" ca="1" si="500"/>
        <v>0</v>
      </c>
      <c r="FU264" s="88">
        <f t="shared" ca="1" si="500"/>
        <v>0</v>
      </c>
      <c r="FV264" s="88">
        <f t="shared" ca="1" si="500"/>
        <v>0</v>
      </c>
      <c r="FW264" s="88">
        <f t="shared" ca="1" si="500"/>
        <v>0</v>
      </c>
      <c r="FX264" s="88">
        <f t="shared" ca="1" si="500"/>
        <v>0</v>
      </c>
      <c r="FY264" s="88">
        <f t="shared" ca="1" si="500"/>
        <v>0</v>
      </c>
      <c r="FZ264" s="88">
        <f t="shared" ca="1" si="500"/>
        <v>0</v>
      </c>
      <c r="GA264" s="88">
        <f t="shared" ca="1" si="500"/>
        <v>0</v>
      </c>
      <c r="GB264" s="88">
        <f t="shared" ca="1" si="500"/>
        <v>0</v>
      </c>
      <c r="GC264" s="88">
        <f t="shared" ca="1" si="500"/>
        <v>0</v>
      </c>
      <c r="GD264" s="60"/>
    </row>
    <row r="265" spans="1:186" s="54" customFormat="1" ht="14.45" customHeight="1">
      <c r="A265" s="61"/>
      <c r="B265" s="100" t="str">
        <f t="shared" si="482"/>
        <v>C&amp;I_C&amp;I Prescriptive_0_LED Exterior Flood Lights (15W or less)_2019</v>
      </c>
      <c r="C265" s="100">
        <f>INDEX('Measure Inputs'!$D:$D,MATCH($B265,'Measure Inputs'!$B:$B,0))</f>
        <v>217</v>
      </c>
      <c r="D265" s="101" t="s">
        <v>256</v>
      </c>
      <c r="E265" s="101" t="s">
        <v>255</v>
      </c>
      <c r="F265" s="101">
        <v>0</v>
      </c>
      <c r="G265" s="101" t="s">
        <v>366</v>
      </c>
      <c r="H265" s="101">
        <v>2019</v>
      </c>
      <c r="I265" s="55"/>
      <c r="J265" s="58">
        <f t="shared" ca="1" si="229"/>
        <v>1.7425065599453757</v>
      </c>
      <c r="K265" s="58">
        <f t="shared" ca="1" si="246"/>
        <v>4.0658486398725442</v>
      </c>
      <c r="L265" s="58">
        <f t="shared" ca="1" si="230"/>
        <v>0.42857142857142855</v>
      </c>
      <c r="M265" s="58">
        <f t="shared" ca="1" si="231"/>
        <v>2.3003705333348177</v>
      </c>
      <c r="N265" s="58">
        <f t="shared" ca="1" si="232"/>
        <v>4.0658486398725442</v>
      </c>
      <c r="O265" s="55"/>
      <c r="P265" s="175">
        <f ca="1">IFERROR(($AW265+AV265)/SUMPRODUCT($CA265:$DI265,'General Inputs'!$F$51:$AN$51),"n/a")</f>
        <v>9.189816712609598E-3</v>
      </c>
      <c r="Q265" s="175">
        <f t="shared" ca="1" si="454"/>
        <v>7.8584638274910024E-2</v>
      </c>
      <c r="R265" s="56">
        <f t="shared" ca="1" si="441"/>
        <v>320.67335999999995</v>
      </c>
      <c r="S265" s="55"/>
      <c r="T265" s="56">
        <f ca="1">INDEX(OFFSET('Measure Inputs'!$L$7,,,InputRows),$C265)</f>
        <v>120</v>
      </c>
      <c r="U265" s="134">
        <f ca="1">INDEX(OFFSET('Measure Inputs'!$T$7,,,InputRows),$C265)</f>
        <v>1</v>
      </c>
      <c r="V265" s="134">
        <f ca="1">INDEX(OFFSET('Measure Inputs'!$U$7,,,InputRows),$C265)</f>
        <v>1</v>
      </c>
      <c r="W265" s="55"/>
      <c r="X265" s="96">
        <f ca="1">INDEX(OFFSET('Measure Inputs'!$V$7,,,InputRows),$C265)*$T265*$V265*$U265</f>
        <v>22905.239999999998</v>
      </c>
      <c r="Y265" s="96">
        <f ca="1">INDEX(OFFSET('Measure Inputs'!$W$7,,,InputRows),$C265)*$T265*$V265*$U265</f>
        <v>5.1599999999999993</v>
      </c>
      <c r="Z265" s="96">
        <f ca="1">INDEX(OFFSET('Measure Inputs'!$X$7,,,InputRows),$C265)*$T265*$V265*$U265</f>
        <v>0</v>
      </c>
      <c r="AA265" s="55"/>
      <c r="AB265" s="96">
        <f ca="1">INDEX(OFFSET('Measure Inputs'!$Z$7,,,InputRows),$C265)*$T265*$V265*$U265</f>
        <v>0</v>
      </c>
      <c r="AC265" s="96">
        <f ca="1">INDEX(OFFSET('Measure Inputs'!$AA$7,,,InputRows),$C265)*$T265*$V265*$U265</f>
        <v>0</v>
      </c>
      <c r="AD265" s="96">
        <f ca="1">INDEX(OFFSET('Measure Inputs'!$AB$7,,,InputRows),$C265)*$T265*$V265*$U265</f>
        <v>0</v>
      </c>
      <c r="AE265" s="55"/>
      <c r="AF265" s="57">
        <f ca="1">INDEX(OFFSET('Measure Inputs'!$Q$7,,,InputRows),$C265)*$T265</f>
        <v>0</v>
      </c>
      <c r="AG265" s="57">
        <f ca="1">INDEX(OFFSET('Measure Inputs'!$P$7,,,InputRows),$C265)*$T265*$V265</f>
        <v>4200</v>
      </c>
      <c r="AH265" s="57">
        <f ca="1">INDEX(OFFSET('Measure Inputs'!$R$7,,,InputRows),$C265)*$T265*$V265</f>
        <v>0</v>
      </c>
      <c r="AI265" s="57">
        <f ca="1">INDEX(OFFSET('Measure Inputs'!$O$7,,,InputRows),$C265)*$T265</f>
        <v>1800</v>
      </c>
      <c r="AJ265" s="57">
        <f ca="1">INDEX(OFFSET('Measure Inputs'!$S$7,,,InputRows),$C265)*$T265</f>
        <v>0</v>
      </c>
      <c r="AK265" s="63">
        <f ca="1">INDEX(OFFSET('Measure Inputs'!$M$7,,,InputRows),$C265)</f>
        <v>14</v>
      </c>
      <c r="AL265" s="88">
        <f ca="1">INDEX(OFFSET('Measure Inputs'!$N$7,,,InputRows),$C265)</f>
        <v>0</v>
      </c>
      <c r="AM265" s="57">
        <f ca="1">SUMIFS(OFFSET('Program Inputs'!$N$5,,,TotalPrograms),OFFSET('Program Inputs'!$B$5,,,TotalPrograms),SUBSTITUTE($B265,"All","*"))+AF265</f>
        <v>0</v>
      </c>
      <c r="AN265" s="57">
        <f t="shared" ca="1" si="442"/>
        <v>1800</v>
      </c>
      <c r="AO265" s="55"/>
      <c r="AP265" s="59">
        <f t="shared" ca="1" si="443"/>
        <v>6177.9821039601084</v>
      </c>
      <c r="AQ265" s="59">
        <f t="shared" ca="1" si="444"/>
        <v>3545.4570134609858</v>
      </c>
      <c r="AR265" s="59">
        <f ca="1">SUMPRODUCT($CA265:$DI265,'General Inputs'!$F$32:$AN$32,'General Inputs'!$F$51:$AN$51)/(1-Loss_ElectricEnergy)</f>
        <v>5316.5204729255411</v>
      </c>
      <c r="AS265" s="59">
        <f ca="1">SUMPRODUCT($DK265:$ES265,'General Inputs'!$F$33:$AN$33,'General Inputs'!$F$51:$AN$51)/(1-Loss_ElectricDemand)</f>
        <v>861.46163103456729</v>
      </c>
      <c r="AT265" s="59">
        <f ca="1">SUMPRODUCT($EU265:$GC265,'General Inputs'!$F$34:$AN$34,'General Inputs'!$F$51:$AN$51)/(1-Loss_GasEnergy)</f>
        <v>0</v>
      </c>
      <c r="AU265" s="59">
        <f ca="1">INDEX('General Inputs'!$F$51:$AN$51,MATCH($H265,'General Inputs'!$F$50:$AN$50,0))*$AJ265</f>
        <v>0</v>
      </c>
      <c r="AV265" s="59">
        <f ca="1">INDEX('General Inputs'!$F$51:$AN$51,MATCH($H265,'General Inputs'!$F$50:$AN$50,0))*$AI265</f>
        <v>1519.4815771975652</v>
      </c>
      <c r="AW265" s="59">
        <f ca="1">INDEX('General Inputs'!$F$51:$AN$51,MATCH($H265,'General Inputs'!$F$50:$AN$50,0))*$AM265</f>
        <v>0</v>
      </c>
      <c r="AX265" s="59">
        <f ca="1">SUM(INDEX('General Inputs'!$F$51:$AN$51,MATCH($H265,'General Inputs'!$F$50:$AN$50,0))*$AG265,INDEX('General Inputs'!$F$51:$AN$51,MATCH($H265+$AL265,'General Inputs'!$F$50:$AN$50,0))*-$AH265)</f>
        <v>3545.4570134609858</v>
      </c>
      <c r="AY265" s="55"/>
      <c r="AZ265" s="59">
        <f ca="1">SUMPRODUCT($CA265:$DI265,'General Inputs'!$F$32:$AN$32,'General Inputs'!$F$52:$AN$52)/(1-Loss_ElectricEnergy)</f>
        <v>5316.5204729255411</v>
      </c>
      <c r="BA265" s="59">
        <f ca="1">SUMPRODUCT($DK265:$ES265,'General Inputs'!$F$33:$AN$33,'General Inputs'!$F$52:$AN$52)/(1-Loss_ElectricDemand)</f>
        <v>861.46163103456729</v>
      </c>
      <c r="BB265" s="59">
        <f ca="1">SUMPRODUCT($EU265:$GC265,'General Inputs'!$F$34:$AN$34,'General Inputs'!$F$52:$AN$52)/(1-Loss_GasEnergy)</f>
        <v>0</v>
      </c>
      <c r="BC265" s="59">
        <f ca="1">INDEX('General Inputs'!$F$52:$AN$52,MATCH($H265,'General Inputs'!$F$50:$AN$50,0))*$AI265</f>
        <v>1519.4815771975652</v>
      </c>
      <c r="BD265" s="59">
        <f ca="1">INDEX('General Inputs'!$F$52:$AN$52,MATCH($H265,'General Inputs'!$F$50:$AN$50,0))*$AM265</f>
        <v>0</v>
      </c>
      <c r="BE265" s="55"/>
      <c r="BF265" s="59">
        <f ca="1">SUMPRODUCT($CA265:$DI265,OFFSET('General Inputs'!$F$40:$AN$40,MATCH($D265&amp;" Electric ($/kWh)",'General Inputs'!$E$40:$E$46,0),),'General Inputs'!$F$54:$AN$54)</f>
        <v>0</v>
      </c>
      <c r="BG265" s="59">
        <f ca="1">SUMPRODUCT($EU265:$GC265,OFFSET('General Inputs'!$F$40:$AN$40,MATCH($D265&amp;" Natural Gas ($/therm)",'General Inputs'!$E$40:$E$46,0),),'General Inputs'!$F$54:$AN$54)</f>
        <v>0</v>
      </c>
      <c r="BH265" s="59">
        <f ca="1">INDEX('General Inputs'!$F$54:$AN$54,MATCH($H265,'General Inputs'!$F$50:$AN$50,0))*$AI265</f>
        <v>1519.4815771975652</v>
      </c>
      <c r="BI265" s="59">
        <f ca="1">SUM(INDEX('General Inputs'!$F$54:$AN$54,MATCH($H265,'General Inputs'!$F$50:$AN$50,0))*$AG265,INDEX('General Inputs'!$F$51:$AN$51,MATCH($H265+$AL265,'General Inputs'!$F$50:$AN$50,0))*-$AH265)</f>
        <v>3545.4570134609858</v>
      </c>
      <c r="BJ265" s="55"/>
      <c r="BK265" s="59">
        <f ca="1">SUMPRODUCT($CA265:$DI265,'General Inputs'!$F$32:$AN$32,'General Inputs'!$F$53:$AN$53)/(1-Loss_ElectricEnergy)</f>
        <v>5316.5204729255411</v>
      </c>
      <c r="BL265" s="59">
        <f ca="1">SUMPRODUCT($DK265:$ES265,'General Inputs'!$F$33:$AN$33,'General Inputs'!$F$53:$AN$53)/(1-Loss_ElectricDemand)</f>
        <v>861.46163103456729</v>
      </c>
      <c r="BM265" s="59">
        <f ca="1">SUMPRODUCT($EU265:$GC265,'General Inputs'!$F$34:$AN$34,'General Inputs'!$F$53:$AN$53)/(1-Loss_GasEnergy)</f>
        <v>0</v>
      </c>
      <c r="BN265" s="59">
        <f ca="1">INDEX('General Inputs'!$F$53:$AN$53,MATCH($H265,'General Inputs'!$F$50:$AN$50,0))*$AJ265</f>
        <v>0</v>
      </c>
      <c r="BO265" s="59">
        <f ca="1">SUMPRODUCT($CA265:$DI265,'General Inputs'!$F$35:$AN$35,'General Inputs'!$F$53:$AN$53)/(1-Loss_ElectricEnergy)</f>
        <v>1977.8827370108095</v>
      </c>
      <c r="BP265" s="59">
        <f ca="1">INDEX('General Inputs'!$F$51:$AN$51,MATCH($H265,'General Inputs'!$F$50:$AN$50,0))*$AM265</f>
        <v>0</v>
      </c>
      <c r="BQ265" s="59">
        <f ca="1">SUM(INDEX('General Inputs'!$F$53:$AN$53,MATCH($H265,'General Inputs'!$F$50:$AN$50,0))*$AG265,INDEX('General Inputs'!$F$53:$AN$53,MATCH($H265+$AL265,'General Inputs'!$F$50:$AN$50,0))*-$AH265)</f>
        <v>3545.4570134609858</v>
      </c>
      <c r="BR265" s="55"/>
      <c r="BS265" s="59">
        <f ca="1">SUMPRODUCT($CA265:$DI265,'General Inputs'!$F$32:$AN$32,'General Inputs'!$F$55:$AN$55)/(1-Loss_ElectricEnergy)</f>
        <v>5316.5204729255411</v>
      </c>
      <c r="BT265" s="59">
        <f ca="1">SUMPRODUCT($DK265:$ES265,'General Inputs'!$F$33:$AN$33,'General Inputs'!$F$55:$AN$55)/(1-Loss_ElectricDemand)</f>
        <v>861.46163103456729</v>
      </c>
      <c r="BU265" s="59">
        <f ca="1">SUMPRODUCT($EU265:$GC265,'General Inputs'!$F$34:$AN$34,'General Inputs'!$F$55:$AN$55)/(1-Loss_GasEnergy)</f>
        <v>0</v>
      </c>
      <c r="BV265" s="59">
        <f ca="1">SUMPRODUCT($CA265:$DI265,OFFSET('General Inputs'!$F$40:$AN$40,MATCH($D265&amp;" Electric ($/kWh)",'General Inputs'!$E$40:$E$46,0),),'General Inputs'!$F$55:$AN$55)</f>
        <v>0</v>
      </c>
      <c r="BW265" s="59">
        <f ca="1">SUMPRODUCT($EU265:$GC265,OFFSET('General Inputs'!$F$40:$AN$40,MATCH($D265&amp;" Natural Gas ($/therm)",'General Inputs'!$E$40:$E$46,0),),'General Inputs'!$F$55:$AN$55)</f>
        <v>0</v>
      </c>
      <c r="BX265" s="59">
        <f ca="1">INDEX('General Inputs'!$F$55:$AN$55,MATCH($H265,'General Inputs'!$F$50:$AN$50,0))*$AI265</f>
        <v>1519.4815771975652</v>
      </c>
      <c r="BY265" s="59">
        <f ca="1">INDEX('General Inputs'!$F$51:$AN$51,MATCH($H265,'General Inputs'!$F$50:$AN$50,0))*$AM265</f>
        <v>0</v>
      </c>
      <c r="BZ265" s="55"/>
      <c r="CA265" s="88">
        <f t="shared" ca="1" si="492"/>
        <v>0</v>
      </c>
      <c r="CB265" s="88">
        <f t="shared" ca="1" si="492"/>
        <v>0</v>
      </c>
      <c r="CC265" s="88">
        <f t="shared" ca="1" si="492"/>
        <v>22905.239999999998</v>
      </c>
      <c r="CD265" s="88">
        <f t="shared" ca="1" si="492"/>
        <v>22905.239999999998</v>
      </c>
      <c r="CE265" s="88">
        <f t="shared" ca="1" si="492"/>
        <v>22905.239999999998</v>
      </c>
      <c r="CF265" s="88">
        <f t="shared" ca="1" si="492"/>
        <v>22905.239999999998</v>
      </c>
      <c r="CG265" s="88">
        <f t="shared" ca="1" si="492"/>
        <v>22905.239999999998</v>
      </c>
      <c r="CH265" s="88">
        <f t="shared" ca="1" si="492"/>
        <v>22905.239999999998</v>
      </c>
      <c r="CI265" s="88">
        <f t="shared" ca="1" si="492"/>
        <v>22905.239999999998</v>
      </c>
      <c r="CJ265" s="88">
        <f t="shared" ca="1" si="492"/>
        <v>22905.239999999998</v>
      </c>
      <c r="CK265" s="88">
        <f t="shared" ca="1" si="493"/>
        <v>22905.239999999998</v>
      </c>
      <c r="CL265" s="88">
        <f t="shared" ca="1" si="493"/>
        <v>22905.239999999998</v>
      </c>
      <c r="CM265" s="88">
        <f t="shared" ca="1" si="493"/>
        <v>22905.239999999998</v>
      </c>
      <c r="CN265" s="88">
        <f t="shared" ca="1" si="493"/>
        <v>22905.239999999998</v>
      </c>
      <c r="CO265" s="88">
        <f t="shared" ca="1" si="493"/>
        <v>22905.239999999998</v>
      </c>
      <c r="CP265" s="88">
        <f t="shared" ca="1" si="493"/>
        <v>22905.239999999998</v>
      </c>
      <c r="CQ265" s="88">
        <f t="shared" ca="1" si="493"/>
        <v>0</v>
      </c>
      <c r="CR265" s="88">
        <f t="shared" ca="1" si="493"/>
        <v>0</v>
      </c>
      <c r="CS265" s="88">
        <f t="shared" ca="1" si="493"/>
        <v>0</v>
      </c>
      <c r="CT265" s="88">
        <f t="shared" ca="1" si="493"/>
        <v>0</v>
      </c>
      <c r="CU265" s="88">
        <f t="shared" ca="1" si="494"/>
        <v>0</v>
      </c>
      <c r="CV265" s="88">
        <f t="shared" ca="1" si="494"/>
        <v>0</v>
      </c>
      <c r="CW265" s="88">
        <f t="shared" ca="1" si="494"/>
        <v>0</v>
      </c>
      <c r="CX265" s="88">
        <f t="shared" ca="1" si="494"/>
        <v>0</v>
      </c>
      <c r="CY265" s="88">
        <f t="shared" ca="1" si="494"/>
        <v>0</v>
      </c>
      <c r="CZ265" s="88">
        <f t="shared" ca="1" si="494"/>
        <v>0</v>
      </c>
      <c r="DA265" s="88">
        <f t="shared" ca="1" si="494"/>
        <v>0</v>
      </c>
      <c r="DB265" s="88">
        <f t="shared" ca="1" si="494"/>
        <v>0</v>
      </c>
      <c r="DC265" s="88">
        <f t="shared" ca="1" si="494"/>
        <v>0</v>
      </c>
      <c r="DD265" s="88">
        <f t="shared" ca="1" si="494"/>
        <v>0</v>
      </c>
      <c r="DE265" s="88">
        <f t="shared" ca="1" si="494"/>
        <v>0</v>
      </c>
      <c r="DF265" s="88">
        <f t="shared" ca="1" si="494"/>
        <v>0</v>
      </c>
      <c r="DG265" s="88">
        <f t="shared" ca="1" si="494"/>
        <v>0</v>
      </c>
      <c r="DH265" s="88">
        <f t="shared" ca="1" si="494"/>
        <v>0</v>
      </c>
      <c r="DI265" s="88">
        <f t="shared" ca="1" si="494"/>
        <v>0</v>
      </c>
      <c r="DJ265" s="169"/>
      <c r="DK265" s="88">
        <f t="shared" ca="1" si="495"/>
        <v>0</v>
      </c>
      <c r="DL265" s="88">
        <f t="shared" ca="1" si="495"/>
        <v>0</v>
      </c>
      <c r="DM265" s="88">
        <f t="shared" ca="1" si="495"/>
        <v>5.1599999999999993</v>
      </c>
      <c r="DN265" s="88">
        <f t="shared" ca="1" si="495"/>
        <v>5.1599999999999993</v>
      </c>
      <c r="DO265" s="88">
        <f t="shared" ca="1" si="495"/>
        <v>5.1599999999999993</v>
      </c>
      <c r="DP265" s="88">
        <f t="shared" ca="1" si="495"/>
        <v>5.1599999999999993</v>
      </c>
      <c r="DQ265" s="88">
        <f t="shared" ca="1" si="495"/>
        <v>5.1599999999999993</v>
      </c>
      <c r="DR265" s="88">
        <f t="shared" ca="1" si="495"/>
        <v>5.1599999999999993</v>
      </c>
      <c r="DS265" s="88">
        <f t="shared" ca="1" si="495"/>
        <v>5.1599999999999993</v>
      </c>
      <c r="DT265" s="88">
        <f t="shared" ca="1" si="495"/>
        <v>5.1599999999999993</v>
      </c>
      <c r="DU265" s="88">
        <f t="shared" ca="1" si="496"/>
        <v>5.1599999999999993</v>
      </c>
      <c r="DV265" s="88">
        <f t="shared" ca="1" si="496"/>
        <v>5.1599999999999993</v>
      </c>
      <c r="DW265" s="88">
        <f t="shared" ca="1" si="496"/>
        <v>5.1599999999999993</v>
      </c>
      <c r="DX265" s="88">
        <f t="shared" ca="1" si="496"/>
        <v>5.1599999999999993</v>
      </c>
      <c r="DY265" s="88">
        <f t="shared" ca="1" si="496"/>
        <v>5.1599999999999993</v>
      </c>
      <c r="DZ265" s="88">
        <f t="shared" ca="1" si="496"/>
        <v>5.1599999999999993</v>
      </c>
      <c r="EA265" s="88">
        <f t="shared" ca="1" si="496"/>
        <v>0</v>
      </c>
      <c r="EB265" s="88">
        <f t="shared" ca="1" si="496"/>
        <v>0</v>
      </c>
      <c r="EC265" s="88">
        <f t="shared" ca="1" si="496"/>
        <v>0</v>
      </c>
      <c r="ED265" s="88">
        <f t="shared" ca="1" si="496"/>
        <v>0</v>
      </c>
      <c r="EE265" s="88">
        <f t="shared" ca="1" si="497"/>
        <v>0</v>
      </c>
      <c r="EF265" s="88">
        <f t="shared" ca="1" si="497"/>
        <v>0</v>
      </c>
      <c r="EG265" s="88">
        <f t="shared" ca="1" si="497"/>
        <v>0</v>
      </c>
      <c r="EH265" s="88">
        <f t="shared" ca="1" si="497"/>
        <v>0</v>
      </c>
      <c r="EI265" s="88">
        <f t="shared" ca="1" si="497"/>
        <v>0</v>
      </c>
      <c r="EJ265" s="88">
        <f t="shared" ca="1" si="497"/>
        <v>0</v>
      </c>
      <c r="EK265" s="88">
        <f t="shared" ca="1" si="497"/>
        <v>0</v>
      </c>
      <c r="EL265" s="88">
        <f t="shared" ca="1" si="497"/>
        <v>0</v>
      </c>
      <c r="EM265" s="88">
        <f t="shared" ca="1" si="497"/>
        <v>0</v>
      </c>
      <c r="EN265" s="88">
        <f t="shared" ca="1" si="497"/>
        <v>0</v>
      </c>
      <c r="EO265" s="88">
        <f t="shared" ca="1" si="497"/>
        <v>0</v>
      </c>
      <c r="EP265" s="88">
        <f t="shared" ca="1" si="497"/>
        <v>0</v>
      </c>
      <c r="EQ265" s="88">
        <f t="shared" ca="1" si="497"/>
        <v>0</v>
      </c>
      <c r="ER265" s="88">
        <f t="shared" ca="1" si="497"/>
        <v>0</v>
      </c>
      <c r="ES265" s="88">
        <f t="shared" ca="1" si="497"/>
        <v>0</v>
      </c>
      <c r="ET265" s="169"/>
      <c r="EU265" s="88">
        <f t="shared" ca="1" si="498"/>
        <v>0</v>
      </c>
      <c r="EV265" s="88">
        <f t="shared" ca="1" si="498"/>
        <v>0</v>
      </c>
      <c r="EW265" s="88">
        <f t="shared" ca="1" si="498"/>
        <v>0</v>
      </c>
      <c r="EX265" s="88">
        <f t="shared" ca="1" si="498"/>
        <v>0</v>
      </c>
      <c r="EY265" s="88">
        <f t="shared" ca="1" si="498"/>
        <v>0</v>
      </c>
      <c r="EZ265" s="88">
        <f t="shared" ca="1" si="498"/>
        <v>0</v>
      </c>
      <c r="FA265" s="88">
        <f t="shared" ca="1" si="498"/>
        <v>0</v>
      </c>
      <c r="FB265" s="88">
        <f t="shared" ca="1" si="498"/>
        <v>0</v>
      </c>
      <c r="FC265" s="88">
        <f t="shared" ca="1" si="498"/>
        <v>0</v>
      </c>
      <c r="FD265" s="88">
        <f t="shared" ca="1" si="498"/>
        <v>0</v>
      </c>
      <c r="FE265" s="88">
        <f t="shared" ca="1" si="499"/>
        <v>0</v>
      </c>
      <c r="FF265" s="88">
        <f t="shared" ca="1" si="499"/>
        <v>0</v>
      </c>
      <c r="FG265" s="88">
        <f t="shared" ca="1" si="499"/>
        <v>0</v>
      </c>
      <c r="FH265" s="88">
        <f t="shared" ca="1" si="499"/>
        <v>0</v>
      </c>
      <c r="FI265" s="88">
        <f t="shared" ca="1" si="499"/>
        <v>0</v>
      </c>
      <c r="FJ265" s="88">
        <f t="shared" ca="1" si="499"/>
        <v>0</v>
      </c>
      <c r="FK265" s="88">
        <f t="shared" ca="1" si="499"/>
        <v>0</v>
      </c>
      <c r="FL265" s="88">
        <f t="shared" ca="1" si="499"/>
        <v>0</v>
      </c>
      <c r="FM265" s="88">
        <f t="shared" ca="1" si="499"/>
        <v>0</v>
      </c>
      <c r="FN265" s="88">
        <f t="shared" ca="1" si="499"/>
        <v>0</v>
      </c>
      <c r="FO265" s="88">
        <f t="shared" ca="1" si="500"/>
        <v>0</v>
      </c>
      <c r="FP265" s="88">
        <f t="shared" ca="1" si="500"/>
        <v>0</v>
      </c>
      <c r="FQ265" s="88">
        <f t="shared" ca="1" si="500"/>
        <v>0</v>
      </c>
      <c r="FR265" s="88">
        <f t="shared" ca="1" si="500"/>
        <v>0</v>
      </c>
      <c r="FS265" s="88">
        <f t="shared" ca="1" si="500"/>
        <v>0</v>
      </c>
      <c r="FT265" s="88">
        <f t="shared" ca="1" si="500"/>
        <v>0</v>
      </c>
      <c r="FU265" s="88">
        <f t="shared" ca="1" si="500"/>
        <v>0</v>
      </c>
      <c r="FV265" s="88">
        <f t="shared" ca="1" si="500"/>
        <v>0</v>
      </c>
      <c r="FW265" s="88">
        <f t="shared" ca="1" si="500"/>
        <v>0</v>
      </c>
      <c r="FX265" s="88">
        <f t="shared" ca="1" si="500"/>
        <v>0</v>
      </c>
      <c r="FY265" s="88">
        <f t="shared" ca="1" si="500"/>
        <v>0</v>
      </c>
      <c r="FZ265" s="88">
        <f t="shared" ca="1" si="500"/>
        <v>0</v>
      </c>
      <c r="GA265" s="88">
        <f t="shared" ca="1" si="500"/>
        <v>0</v>
      </c>
      <c r="GB265" s="88">
        <f t="shared" ca="1" si="500"/>
        <v>0</v>
      </c>
      <c r="GC265" s="88">
        <f t="shared" ca="1" si="500"/>
        <v>0</v>
      </c>
      <c r="GD265" s="60"/>
    </row>
    <row r="266" spans="1:186" s="54" customFormat="1" ht="14.45" customHeight="1">
      <c r="A266" s="61"/>
      <c r="B266" s="100" t="str">
        <f t="shared" si="482"/>
        <v>C&amp;I_C&amp;I Prescriptive_0_LED Exterior Flood Lights (16W to 35W)_2019</v>
      </c>
      <c r="C266" s="100">
        <f>INDEX('Measure Inputs'!$D:$D,MATCH($B266,'Measure Inputs'!$B:$B,0))</f>
        <v>218</v>
      </c>
      <c r="D266" s="101" t="s">
        <v>256</v>
      </c>
      <c r="E266" s="101" t="s">
        <v>255</v>
      </c>
      <c r="F266" s="101">
        <v>0</v>
      </c>
      <c r="G266" s="101" t="s">
        <v>367</v>
      </c>
      <c r="H266" s="101">
        <v>2019</v>
      </c>
      <c r="I266" s="55"/>
      <c r="J266" s="58">
        <f t="shared" ca="1" si="229"/>
        <v>2.3558523849478283</v>
      </c>
      <c r="K266" s="58">
        <f t="shared" ca="1" si="246"/>
        <v>5.5598116284768748</v>
      </c>
      <c r="L266" s="58">
        <f t="shared" ca="1" si="230"/>
        <v>0.42372881355932207</v>
      </c>
      <c r="M266" s="58">
        <f t="shared" ca="1" si="231"/>
        <v>3.1100791995815631</v>
      </c>
      <c r="N266" s="58">
        <f t="shared" ca="1" si="232"/>
        <v>5.5598116284768748</v>
      </c>
      <c r="O266" s="55"/>
      <c r="P266" s="175">
        <f ca="1">IFERROR(($AW266+AV266)/SUMPRODUCT($CA266:$DI266,'General Inputs'!$F$51:$AN$51),"n/a")</f>
        <v>6.7204441945954551E-3</v>
      </c>
      <c r="Q266" s="175">
        <f t="shared" ca="1" si="454"/>
        <v>5.746835792212808E-2</v>
      </c>
      <c r="R266" s="56">
        <f t="shared" ca="1" si="441"/>
        <v>730.83696000000009</v>
      </c>
      <c r="S266" s="55"/>
      <c r="T266" s="56">
        <f ca="1">INDEX(OFFSET('Measure Inputs'!$L$7,,,InputRows),$C266)</f>
        <v>120</v>
      </c>
      <c r="U266" s="134">
        <f ca="1">INDEX(OFFSET('Measure Inputs'!$T$7,,,InputRows),$C266)</f>
        <v>1</v>
      </c>
      <c r="V266" s="134">
        <f ca="1">INDEX(OFFSET('Measure Inputs'!$U$7,,,InputRows),$C266)</f>
        <v>1</v>
      </c>
      <c r="W266" s="55"/>
      <c r="X266" s="96">
        <f ca="1">INDEX(OFFSET('Measure Inputs'!$V$7,,,InputRows),$C266)*$T266*$V266*$U266</f>
        <v>52202.64</v>
      </c>
      <c r="Y266" s="96">
        <f ca="1">INDEX(OFFSET('Measure Inputs'!$W$7,,,InputRows),$C266)*$T266*$V266*$U266</f>
        <v>11.76</v>
      </c>
      <c r="Z266" s="96">
        <f ca="1">INDEX(OFFSET('Measure Inputs'!$X$7,,,InputRows),$C266)*$T266*$V266*$U266</f>
        <v>0</v>
      </c>
      <c r="AA266" s="55"/>
      <c r="AB266" s="96">
        <f ca="1">INDEX(OFFSET('Measure Inputs'!$Z$7,,,InputRows),$C266)*$T266*$V266*$U266</f>
        <v>0</v>
      </c>
      <c r="AC266" s="96">
        <f ca="1">INDEX(OFFSET('Measure Inputs'!$AA$7,,,InputRows),$C266)*$T266*$V266*$U266</f>
        <v>0</v>
      </c>
      <c r="AD266" s="96">
        <f ca="1">INDEX(OFFSET('Measure Inputs'!$AB$7,,,InputRows),$C266)*$T266*$V266*$U266</f>
        <v>0</v>
      </c>
      <c r="AE266" s="55"/>
      <c r="AF266" s="57">
        <f ca="1">INDEX(OFFSET('Measure Inputs'!$Q$7,,,InputRows),$C266)*$T266</f>
        <v>0</v>
      </c>
      <c r="AG266" s="57">
        <f ca="1">INDEX(OFFSET('Measure Inputs'!$P$7,,,InputRows),$C266)*$T266*$V266</f>
        <v>7080</v>
      </c>
      <c r="AH266" s="57">
        <f ca="1">INDEX(OFFSET('Measure Inputs'!$R$7,,,InputRows),$C266)*$T266*$V266</f>
        <v>0</v>
      </c>
      <c r="AI266" s="57">
        <f ca="1">INDEX(OFFSET('Measure Inputs'!$O$7,,,InputRows),$C266)*$T266</f>
        <v>3000</v>
      </c>
      <c r="AJ266" s="57">
        <f ca="1">INDEX(OFFSET('Measure Inputs'!$S$7,,,InputRows),$C266)*$T266</f>
        <v>0</v>
      </c>
      <c r="AK266" s="63">
        <f ca="1">INDEX(OFFSET('Measure Inputs'!$M$7,,,InputRows),$C266)</f>
        <v>14</v>
      </c>
      <c r="AL266" s="88">
        <f ca="1">INDEX(OFFSET('Measure Inputs'!$N$7,,,InputRows),$C266)</f>
        <v>0</v>
      </c>
      <c r="AM266" s="57">
        <f ca="1">SUMIFS(OFFSET('Program Inputs'!$N$5,,,TotalPrograms),OFFSET('Program Inputs'!$B$5,,,TotalPrograms),SUBSTITUTE($B266,"All","*"))+AF266</f>
        <v>0</v>
      </c>
      <c r="AN266" s="57">
        <f t="shared" ca="1" si="442"/>
        <v>3000</v>
      </c>
      <c r="AO266" s="55"/>
      <c r="AP266" s="59">
        <f t="shared" ca="1" si="443"/>
        <v>14080.052236932343</v>
      </c>
      <c r="AQ266" s="59">
        <f t="shared" ca="1" si="444"/>
        <v>5976.6275369770901</v>
      </c>
      <c r="AR266" s="59">
        <f ca="1">SUMPRODUCT($CA266:$DI266,'General Inputs'!$F$32:$AN$32,'General Inputs'!$F$51:$AN$51)/(1-Loss_ElectricEnergy)</f>
        <v>12116.721077830305</v>
      </c>
      <c r="AS266" s="59">
        <f ca="1">SUMPRODUCT($DK266:$ES266,'General Inputs'!$F$33:$AN$33,'General Inputs'!$F$51:$AN$51)/(1-Loss_ElectricDemand)</f>
        <v>1963.3311591020374</v>
      </c>
      <c r="AT266" s="59">
        <f ca="1">SUMPRODUCT($EU266:$GC266,'General Inputs'!$F$34:$AN$34,'General Inputs'!$F$51:$AN$51)/(1-Loss_GasEnergy)</f>
        <v>0</v>
      </c>
      <c r="AU266" s="59">
        <f ca="1">INDEX('General Inputs'!$F$51:$AN$51,MATCH($H266,'General Inputs'!$F$50:$AN$50,0))*$AJ266</f>
        <v>0</v>
      </c>
      <c r="AV266" s="59">
        <f ca="1">INDEX('General Inputs'!$F$51:$AN$51,MATCH($H266,'General Inputs'!$F$50:$AN$50,0))*$AI266</f>
        <v>2532.4692953292756</v>
      </c>
      <c r="AW266" s="59">
        <f ca="1">INDEX('General Inputs'!$F$51:$AN$51,MATCH($H266,'General Inputs'!$F$50:$AN$50,0))*$AM266</f>
        <v>0</v>
      </c>
      <c r="AX266" s="59">
        <f ca="1">SUM(INDEX('General Inputs'!$F$51:$AN$51,MATCH($H266,'General Inputs'!$F$50:$AN$50,0))*$AG266,INDEX('General Inputs'!$F$51:$AN$51,MATCH($H266+$AL266,'General Inputs'!$F$50:$AN$50,0))*-$AH266)</f>
        <v>5976.6275369770901</v>
      </c>
      <c r="AY266" s="55"/>
      <c r="AZ266" s="59">
        <f ca="1">SUMPRODUCT($CA266:$DI266,'General Inputs'!$F$32:$AN$32,'General Inputs'!$F$52:$AN$52)/(1-Loss_ElectricEnergy)</f>
        <v>12116.721077830305</v>
      </c>
      <c r="BA266" s="59">
        <f ca="1">SUMPRODUCT($DK266:$ES266,'General Inputs'!$F$33:$AN$33,'General Inputs'!$F$52:$AN$52)/(1-Loss_ElectricDemand)</f>
        <v>1963.3311591020374</v>
      </c>
      <c r="BB266" s="59">
        <f ca="1">SUMPRODUCT($EU266:$GC266,'General Inputs'!$F$34:$AN$34,'General Inputs'!$F$52:$AN$52)/(1-Loss_GasEnergy)</f>
        <v>0</v>
      </c>
      <c r="BC266" s="59">
        <f ca="1">INDEX('General Inputs'!$F$52:$AN$52,MATCH($H266,'General Inputs'!$F$50:$AN$50,0))*$AI266</f>
        <v>2532.4692953292756</v>
      </c>
      <c r="BD266" s="59">
        <f ca="1">INDEX('General Inputs'!$F$52:$AN$52,MATCH($H266,'General Inputs'!$F$50:$AN$50,0))*$AM266</f>
        <v>0</v>
      </c>
      <c r="BE266" s="55"/>
      <c r="BF266" s="59">
        <f ca="1">SUMPRODUCT($CA266:$DI266,OFFSET('General Inputs'!$F$40:$AN$40,MATCH($D266&amp;" Electric ($/kWh)",'General Inputs'!$E$40:$E$46,0),),'General Inputs'!$F$54:$AN$54)</f>
        <v>0</v>
      </c>
      <c r="BG266" s="59">
        <f ca="1">SUMPRODUCT($EU266:$GC266,OFFSET('General Inputs'!$F$40:$AN$40,MATCH($D266&amp;" Natural Gas ($/therm)",'General Inputs'!$E$40:$E$46,0),),'General Inputs'!$F$54:$AN$54)</f>
        <v>0</v>
      </c>
      <c r="BH266" s="59">
        <f ca="1">INDEX('General Inputs'!$F$54:$AN$54,MATCH($H266,'General Inputs'!$F$50:$AN$50,0))*$AI266</f>
        <v>2532.4692953292756</v>
      </c>
      <c r="BI266" s="59">
        <f ca="1">SUM(INDEX('General Inputs'!$F$54:$AN$54,MATCH($H266,'General Inputs'!$F$50:$AN$50,0))*$AG266,INDEX('General Inputs'!$F$51:$AN$51,MATCH($H266+$AL266,'General Inputs'!$F$50:$AN$50,0))*-$AH266)</f>
        <v>5976.6275369770901</v>
      </c>
      <c r="BJ266" s="55"/>
      <c r="BK266" s="59">
        <f ca="1">SUMPRODUCT($CA266:$DI266,'General Inputs'!$F$32:$AN$32,'General Inputs'!$F$53:$AN$53)/(1-Loss_ElectricEnergy)</f>
        <v>12116.721077830305</v>
      </c>
      <c r="BL266" s="59">
        <f ca="1">SUMPRODUCT($DK266:$ES266,'General Inputs'!$F$33:$AN$33,'General Inputs'!$F$53:$AN$53)/(1-Loss_ElectricDemand)</f>
        <v>1963.3311591020374</v>
      </c>
      <c r="BM266" s="59">
        <f ca="1">SUMPRODUCT($EU266:$GC266,'General Inputs'!$F$34:$AN$34,'General Inputs'!$F$53:$AN$53)/(1-Loss_GasEnergy)</f>
        <v>0</v>
      </c>
      <c r="BN266" s="59">
        <f ca="1">INDEX('General Inputs'!$F$53:$AN$53,MATCH($H266,'General Inputs'!$F$50:$AN$50,0))*$AJ266</f>
        <v>0</v>
      </c>
      <c r="BO266" s="59">
        <f ca="1">SUMPRODUCT($CA266:$DI266,'General Inputs'!$F$35:$AN$35,'General Inputs'!$F$53:$AN$53)/(1-Loss_ElectricEnergy)</f>
        <v>4507.7327494664951</v>
      </c>
      <c r="BP266" s="59">
        <f ca="1">INDEX('General Inputs'!$F$51:$AN$51,MATCH($H266,'General Inputs'!$F$50:$AN$50,0))*$AM266</f>
        <v>0</v>
      </c>
      <c r="BQ266" s="59">
        <f ca="1">SUM(INDEX('General Inputs'!$F$53:$AN$53,MATCH($H266,'General Inputs'!$F$50:$AN$50,0))*$AG266,INDEX('General Inputs'!$F$53:$AN$53,MATCH($H266+$AL266,'General Inputs'!$F$50:$AN$50,0))*-$AH266)</f>
        <v>5976.6275369770901</v>
      </c>
      <c r="BR266" s="55"/>
      <c r="BS266" s="59">
        <f ca="1">SUMPRODUCT($CA266:$DI266,'General Inputs'!$F$32:$AN$32,'General Inputs'!$F$55:$AN$55)/(1-Loss_ElectricEnergy)</f>
        <v>12116.721077830305</v>
      </c>
      <c r="BT266" s="59">
        <f ca="1">SUMPRODUCT($DK266:$ES266,'General Inputs'!$F$33:$AN$33,'General Inputs'!$F$55:$AN$55)/(1-Loss_ElectricDemand)</f>
        <v>1963.3311591020374</v>
      </c>
      <c r="BU266" s="59">
        <f ca="1">SUMPRODUCT($EU266:$GC266,'General Inputs'!$F$34:$AN$34,'General Inputs'!$F$55:$AN$55)/(1-Loss_GasEnergy)</f>
        <v>0</v>
      </c>
      <c r="BV266" s="59">
        <f ca="1">SUMPRODUCT($CA266:$DI266,OFFSET('General Inputs'!$F$40:$AN$40,MATCH($D266&amp;" Electric ($/kWh)",'General Inputs'!$E$40:$E$46,0),),'General Inputs'!$F$55:$AN$55)</f>
        <v>0</v>
      </c>
      <c r="BW266" s="59">
        <f ca="1">SUMPRODUCT($EU266:$GC266,OFFSET('General Inputs'!$F$40:$AN$40,MATCH($D266&amp;" Natural Gas ($/therm)",'General Inputs'!$E$40:$E$46,0),),'General Inputs'!$F$55:$AN$55)</f>
        <v>0</v>
      </c>
      <c r="BX266" s="59">
        <f ca="1">INDEX('General Inputs'!$F$55:$AN$55,MATCH($H266,'General Inputs'!$F$50:$AN$50,0))*$AI266</f>
        <v>2532.4692953292756</v>
      </c>
      <c r="BY266" s="59">
        <f ca="1">INDEX('General Inputs'!$F$51:$AN$51,MATCH($H266,'General Inputs'!$F$50:$AN$50,0))*$AM266</f>
        <v>0</v>
      </c>
      <c r="BZ266" s="55"/>
      <c r="CA266" s="88">
        <f t="shared" ca="1" si="492"/>
        <v>0</v>
      </c>
      <c r="CB266" s="88">
        <f t="shared" ca="1" si="492"/>
        <v>0</v>
      </c>
      <c r="CC266" s="88">
        <f t="shared" ca="1" si="492"/>
        <v>52202.64</v>
      </c>
      <c r="CD266" s="88">
        <f t="shared" ca="1" si="492"/>
        <v>52202.64</v>
      </c>
      <c r="CE266" s="88">
        <f t="shared" ca="1" si="492"/>
        <v>52202.64</v>
      </c>
      <c r="CF266" s="88">
        <f t="shared" ca="1" si="492"/>
        <v>52202.64</v>
      </c>
      <c r="CG266" s="88">
        <f t="shared" ca="1" si="492"/>
        <v>52202.64</v>
      </c>
      <c r="CH266" s="88">
        <f t="shared" ca="1" si="492"/>
        <v>52202.64</v>
      </c>
      <c r="CI266" s="88">
        <f t="shared" ca="1" si="492"/>
        <v>52202.64</v>
      </c>
      <c r="CJ266" s="88">
        <f t="shared" ca="1" si="492"/>
        <v>52202.64</v>
      </c>
      <c r="CK266" s="88">
        <f t="shared" ca="1" si="493"/>
        <v>52202.64</v>
      </c>
      <c r="CL266" s="88">
        <f t="shared" ca="1" si="493"/>
        <v>52202.64</v>
      </c>
      <c r="CM266" s="88">
        <f t="shared" ca="1" si="493"/>
        <v>52202.64</v>
      </c>
      <c r="CN266" s="88">
        <f t="shared" ca="1" si="493"/>
        <v>52202.64</v>
      </c>
      <c r="CO266" s="88">
        <f t="shared" ca="1" si="493"/>
        <v>52202.64</v>
      </c>
      <c r="CP266" s="88">
        <f t="shared" ca="1" si="493"/>
        <v>52202.64</v>
      </c>
      <c r="CQ266" s="88">
        <f t="shared" ca="1" si="493"/>
        <v>0</v>
      </c>
      <c r="CR266" s="88">
        <f t="shared" ca="1" si="493"/>
        <v>0</v>
      </c>
      <c r="CS266" s="88">
        <f t="shared" ca="1" si="493"/>
        <v>0</v>
      </c>
      <c r="CT266" s="88">
        <f t="shared" ca="1" si="493"/>
        <v>0</v>
      </c>
      <c r="CU266" s="88">
        <f t="shared" ca="1" si="494"/>
        <v>0</v>
      </c>
      <c r="CV266" s="88">
        <f t="shared" ca="1" si="494"/>
        <v>0</v>
      </c>
      <c r="CW266" s="88">
        <f t="shared" ca="1" si="494"/>
        <v>0</v>
      </c>
      <c r="CX266" s="88">
        <f t="shared" ca="1" si="494"/>
        <v>0</v>
      </c>
      <c r="CY266" s="88">
        <f t="shared" ca="1" si="494"/>
        <v>0</v>
      </c>
      <c r="CZ266" s="88">
        <f t="shared" ca="1" si="494"/>
        <v>0</v>
      </c>
      <c r="DA266" s="88">
        <f t="shared" ca="1" si="494"/>
        <v>0</v>
      </c>
      <c r="DB266" s="88">
        <f t="shared" ca="1" si="494"/>
        <v>0</v>
      </c>
      <c r="DC266" s="88">
        <f t="shared" ca="1" si="494"/>
        <v>0</v>
      </c>
      <c r="DD266" s="88">
        <f t="shared" ca="1" si="494"/>
        <v>0</v>
      </c>
      <c r="DE266" s="88">
        <f t="shared" ca="1" si="494"/>
        <v>0</v>
      </c>
      <c r="DF266" s="88">
        <f t="shared" ca="1" si="494"/>
        <v>0</v>
      </c>
      <c r="DG266" s="88">
        <f t="shared" ca="1" si="494"/>
        <v>0</v>
      </c>
      <c r="DH266" s="88">
        <f t="shared" ca="1" si="494"/>
        <v>0</v>
      </c>
      <c r="DI266" s="88">
        <f t="shared" ca="1" si="494"/>
        <v>0</v>
      </c>
      <c r="DJ266" s="169"/>
      <c r="DK266" s="88">
        <f t="shared" ca="1" si="495"/>
        <v>0</v>
      </c>
      <c r="DL266" s="88">
        <f t="shared" ca="1" si="495"/>
        <v>0</v>
      </c>
      <c r="DM266" s="88">
        <f t="shared" ca="1" si="495"/>
        <v>11.76</v>
      </c>
      <c r="DN266" s="88">
        <f t="shared" ca="1" si="495"/>
        <v>11.76</v>
      </c>
      <c r="DO266" s="88">
        <f t="shared" ca="1" si="495"/>
        <v>11.76</v>
      </c>
      <c r="DP266" s="88">
        <f t="shared" ca="1" si="495"/>
        <v>11.76</v>
      </c>
      <c r="DQ266" s="88">
        <f t="shared" ca="1" si="495"/>
        <v>11.76</v>
      </c>
      <c r="DR266" s="88">
        <f t="shared" ca="1" si="495"/>
        <v>11.76</v>
      </c>
      <c r="DS266" s="88">
        <f t="shared" ca="1" si="495"/>
        <v>11.76</v>
      </c>
      <c r="DT266" s="88">
        <f t="shared" ca="1" si="495"/>
        <v>11.76</v>
      </c>
      <c r="DU266" s="88">
        <f t="shared" ca="1" si="496"/>
        <v>11.76</v>
      </c>
      <c r="DV266" s="88">
        <f t="shared" ca="1" si="496"/>
        <v>11.76</v>
      </c>
      <c r="DW266" s="88">
        <f t="shared" ca="1" si="496"/>
        <v>11.76</v>
      </c>
      <c r="DX266" s="88">
        <f t="shared" ca="1" si="496"/>
        <v>11.76</v>
      </c>
      <c r="DY266" s="88">
        <f t="shared" ca="1" si="496"/>
        <v>11.76</v>
      </c>
      <c r="DZ266" s="88">
        <f t="shared" ca="1" si="496"/>
        <v>11.76</v>
      </c>
      <c r="EA266" s="88">
        <f t="shared" ca="1" si="496"/>
        <v>0</v>
      </c>
      <c r="EB266" s="88">
        <f t="shared" ca="1" si="496"/>
        <v>0</v>
      </c>
      <c r="EC266" s="88">
        <f t="shared" ca="1" si="496"/>
        <v>0</v>
      </c>
      <c r="ED266" s="88">
        <f t="shared" ca="1" si="496"/>
        <v>0</v>
      </c>
      <c r="EE266" s="88">
        <f t="shared" ca="1" si="497"/>
        <v>0</v>
      </c>
      <c r="EF266" s="88">
        <f t="shared" ca="1" si="497"/>
        <v>0</v>
      </c>
      <c r="EG266" s="88">
        <f t="shared" ca="1" si="497"/>
        <v>0</v>
      </c>
      <c r="EH266" s="88">
        <f t="shared" ca="1" si="497"/>
        <v>0</v>
      </c>
      <c r="EI266" s="88">
        <f t="shared" ca="1" si="497"/>
        <v>0</v>
      </c>
      <c r="EJ266" s="88">
        <f t="shared" ca="1" si="497"/>
        <v>0</v>
      </c>
      <c r="EK266" s="88">
        <f t="shared" ca="1" si="497"/>
        <v>0</v>
      </c>
      <c r="EL266" s="88">
        <f t="shared" ca="1" si="497"/>
        <v>0</v>
      </c>
      <c r="EM266" s="88">
        <f t="shared" ca="1" si="497"/>
        <v>0</v>
      </c>
      <c r="EN266" s="88">
        <f t="shared" ca="1" si="497"/>
        <v>0</v>
      </c>
      <c r="EO266" s="88">
        <f t="shared" ca="1" si="497"/>
        <v>0</v>
      </c>
      <c r="EP266" s="88">
        <f t="shared" ca="1" si="497"/>
        <v>0</v>
      </c>
      <c r="EQ266" s="88">
        <f t="shared" ca="1" si="497"/>
        <v>0</v>
      </c>
      <c r="ER266" s="88">
        <f t="shared" ca="1" si="497"/>
        <v>0</v>
      </c>
      <c r="ES266" s="88">
        <f t="shared" ca="1" si="497"/>
        <v>0</v>
      </c>
      <c r="ET266" s="169"/>
      <c r="EU266" s="88">
        <f t="shared" ca="1" si="498"/>
        <v>0</v>
      </c>
      <c r="EV266" s="88">
        <f t="shared" ca="1" si="498"/>
        <v>0</v>
      </c>
      <c r="EW266" s="88">
        <f t="shared" ca="1" si="498"/>
        <v>0</v>
      </c>
      <c r="EX266" s="88">
        <f t="shared" ca="1" si="498"/>
        <v>0</v>
      </c>
      <c r="EY266" s="88">
        <f t="shared" ca="1" si="498"/>
        <v>0</v>
      </c>
      <c r="EZ266" s="88">
        <f t="shared" ca="1" si="498"/>
        <v>0</v>
      </c>
      <c r="FA266" s="88">
        <f t="shared" ca="1" si="498"/>
        <v>0</v>
      </c>
      <c r="FB266" s="88">
        <f t="shared" ca="1" si="498"/>
        <v>0</v>
      </c>
      <c r="FC266" s="88">
        <f t="shared" ca="1" si="498"/>
        <v>0</v>
      </c>
      <c r="FD266" s="88">
        <f t="shared" ca="1" si="498"/>
        <v>0</v>
      </c>
      <c r="FE266" s="88">
        <f t="shared" ca="1" si="499"/>
        <v>0</v>
      </c>
      <c r="FF266" s="88">
        <f t="shared" ca="1" si="499"/>
        <v>0</v>
      </c>
      <c r="FG266" s="88">
        <f t="shared" ca="1" si="499"/>
        <v>0</v>
      </c>
      <c r="FH266" s="88">
        <f t="shared" ca="1" si="499"/>
        <v>0</v>
      </c>
      <c r="FI266" s="88">
        <f t="shared" ca="1" si="499"/>
        <v>0</v>
      </c>
      <c r="FJ266" s="88">
        <f t="shared" ca="1" si="499"/>
        <v>0</v>
      </c>
      <c r="FK266" s="88">
        <f t="shared" ca="1" si="499"/>
        <v>0</v>
      </c>
      <c r="FL266" s="88">
        <f t="shared" ca="1" si="499"/>
        <v>0</v>
      </c>
      <c r="FM266" s="88">
        <f t="shared" ca="1" si="499"/>
        <v>0</v>
      </c>
      <c r="FN266" s="88">
        <f t="shared" ca="1" si="499"/>
        <v>0</v>
      </c>
      <c r="FO266" s="88">
        <f t="shared" ca="1" si="500"/>
        <v>0</v>
      </c>
      <c r="FP266" s="88">
        <f t="shared" ca="1" si="500"/>
        <v>0</v>
      </c>
      <c r="FQ266" s="88">
        <f t="shared" ca="1" si="500"/>
        <v>0</v>
      </c>
      <c r="FR266" s="88">
        <f t="shared" ca="1" si="500"/>
        <v>0</v>
      </c>
      <c r="FS266" s="88">
        <f t="shared" ca="1" si="500"/>
        <v>0</v>
      </c>
      <c r="FT266" s="88">
        <f t="shared" ca="1" si="500"/>
        <v>0</v>
      </c>
      <c r="FU266" s="88">
        <f t="shared" ca="1" si="500"/>
        <v>0</v>
      </c>
      <c r="FV266" s="88">
        <f t="shared" ca="1" si="500"/>
        <v>0</v>
      </c>
      <c r="FW266" s="88">
        <f t="shared" ca="1" si="500"/>
        <v>0</v>
      </c>
      <c r="FX266" s="88">
        <f t="shared" ca="1" si="500"/>
        <v>0</v>
      </c>
      <c r="FY266" s="88">
        <f t="shared" ca="1" si="500"/>
        <v>0</v>
      </c>
      <c r="FZ266" s="88">
        <f t="shared" ca="1" si="500"/>
        <v>0</v>
      </c>
      <c r="GA266" s="88">
        <f t="shared" ca="1" si="500"/>
        <v>0</v>
      </c>
      <c r="GB266" s="88">
        <f t="shared" ca="1" si="500"/>
        <v>0</v>
      </c>
      <c r="GC266" s="88">
        <f t="shared" ca="1" si="500"/>
        <v>0</v>
      </c>
      <c r="GD266" s="60"/>
    </row>
    <row r="267" spans="1:186" s="54" customFormat="1" ht="14.45" customHeight="1">
      <c r="A267" s="61"/>
      <c r="B267" s="100" t="str">
        <f t="shared" si="482"/>
        <v>C&amp;I_C&amp;I Prescriptive_0_LED Exterior Flood Lights (36W to 75W)_2019</v>
      </c>
      <c r="C267" s="100">
        <f>INDEX('Measure Inputs'!$D:$D,MATCH($B267,'Measure Inputs'!$B:$B,0))</f>
        <v>219</v>
      </c>
      <c r="D267" s="101" t="s">
        <v>256</v>
      </c>
      <c r="E267" s="101" t="s">
        <v>255</v>
      </c>
      <c r="F267" s="101">
        <v>0</v>
      </c>
      <c r="G267" s="101" t="s">
        <v>368</v>
      </c>
      <c r="H267" s="101">
        <v>2019</v>
      </c>
      <c r="I267" s="55"/>
      <c r="J267" s="58">
        <f t="shared" ca="1" si="229"/>
        <v>2.1691942127910981</v>
      </c>
      <c r="K267" s="58">
        <f t="shared" ca="1" si="246"/>
        <v>4.0973668463831849</v>
      </c>
      <c r="L267" s="58">
        <f t="shared" ca="1" si="230"/>
        <v>0.52941176470588247</v>
      </c>
      <c r="M267" s="58">
        <f t="shared" ca="1" si="231"/>
        <v>2.8636623602389673</v>
      </c>
      <c r="N267" s="58">
        <f t="shared" ca="1" si="232"/>
        <v>4.0973668463831849</v>
      </c>
      <c r="O267" s="55"/>
      <c r="P267" s="175">
        <f ca="1">IFERROR(($AW267+AV267)/SUMPRODUCT($CA267:$DI267,'General Inputs'!$F$51:$AN$51),"n/a")</f>
        <v>9.1191258148202951E-3</v>
      </c>
      <c r="Q267" s="175">
        <f t="shared" ca="1" si="454"/>
        <v>7.7980141057410704E-2</v>
      </c>
      <c r="R267" s="56">
        <f t="shared" ca="1" si="441"/>
        <v>969.47760000000017</v>
      </c>
      <c r="S267" s="55"/>
      <c r="T267" s="56">
        <f ca="1">INDEX(OFFSET('Measure Inputs'!$L$7,,,InputRows),$C267)</f>
        <v>120</v>
      </c>
      <c r="U267" s="134">
        <f ca="1">INDEX(OFFSET('Measure Inputs'!$T$7,,,InputRows),$C267)</f>
        <v>1</v>
      </c>
      <c r="V267" s="134">
        <f ca="1">INDEX(OFFSET('Measure Inputs'!$U$7,,,InputRows),$C267)</f>
        <v>1</v>
      </c>
      <c r="W267" s="55"/>
      <c r="X267" s="96">
        <f ca="1">INDEX(OFFSET('Measure Inputs'!$V$7,,,InputRows),$C267)*$T267*$V267*$U267</f>
        <v>69248.400000000009</v>
      </c>
      <c r="Y267" s="96">
        <f ca="1">INDEX(OFFSET('Measure Inputs'!$W$7,,,InputRows),$C267)*$T267*$V267*$U267</f>
        <v>15.600000000000001</v>
      </c>
      <c r="Z267" s="96">
        <f ca="1">INDEX(OFFSET('Measure Inputs'!$X$7,,,InputRows),$C267)*$T267*$V267*$U267</f>
        <v>0</v>
      </c>
      <c r="AA267" s="55"/>
      <c r="AB267" s="96">
        <f ca="1">INDEX(OFFSET('Measure Inputs'!$Z$7,,,InputRows),$C267)*$T267*$V267*$U267</f>
        <v>0</v>
      </c>
      <c r="AC267" s="96">
        <f ca="1">INDEX(OFFSET('Measure Inputs'!$AA$7,,,InputRows),$C267)*$T267*$V267*$U267</f>
        <v>0</v>
      </c>
      <c r="AD267" s="96">
        <f ca="1">INDEX(OFFSET('Measure Inputs'!$AB$7,,,InputRows),$C267)*$T267*$V267*$U267</f>
        <v>0</v>
      </c>
      <c r="AE267" s="55"/>
      <c r="AF267" s="57">
        <f ca="1">INDEX(OFFSET('Measure Inputs'!$Q$7,,,InputRows),$C267)*$T267</f>
        <v>0</v>
      </c>
      <c r="AG267" s="57">
        <f ca="1">INDEX(OFFSET('Measure Inputs'!$P$7,,,InputRows),$C267)*$T267*$V267</f>
        <v>10200</v>
      </c>
      <c r="AH267" s="57">
        <f ca="1">INDEX(OFFSET('Measure Inputs'!$R$7,,,InputRows),$C267)*$T267*$V267</f>
        <v>0</v>
      </c>
      <c r="AI267" s="57">
        <f ca="1">INDEX(OFFSET('Measure Inputs'!$O$7,,,InputRows),$C267)*$T267</f>
        <v>5400</v>
      </c>
      <c r="AJ267" s="57">
        <f ca="1">INDEX(OFFSET('Measure Inputs'!$S$7,,,InputRows),$C267)*$T267</f>
        <v>0</v>
      </c>
      <c r="AK267" s="63">
        <f ca="1">INDEX(OFFSET('Measure Inputs'!$M$7,,,InputRows),$C267)</f>
        <v>14</v>
      </c>
      <c r="AL267" s="88">
        <f ca="1">INDEX(OFFSET('Measure Inputs'!$N$7,,,InputRows),$C267)</f>
        <v>0</v>
      </c>
      <c r="AM267" s="57">
        <f ca="1">SUMIFS(OFFSET('Program Inputs'!$N$5,,,TotalPrograms),OFFSET('Program Inputs'!$B$5,,,TotalPrograms),SUBSTITUTE($B267,"All","*"))+AF267</f>
        <v>0</v>
      </c>
      <c r="AN267" s="57">
        <f t="shared" ca="1" si="442"/>
        <v>5400</v>
      </c>
      <c r="AO267" s="55"/>
      <c r="AP267" s="59">
        <f t="shared" ca="1" si="443"/>
        <v>18677.620314298008</v>
      </c>
      <c r="AQ267" s="59">
        <f t="shared" ca="1" si="444"/>
        <v>8610.3956041195361</v>
      </c>
      <c r="AR267" s="59">
        <f ca="1">SUMPRODUCT($CA267:$DI267,'General Inputs'!$F$32:$AN$32,'General Inputs'!$F$51:$AN$51)/(1-Loss_ElectricEnergy)</f>
        <v>16073.201429774899</v>
      </c>
      <c r="AS267" s="59">
        <f ca="1">SUMPRODUCT($DK267:$ES267,'General Inputs'!$F$33:$AN$33,'General Inputs'!$F$51:$AN$51)/(1-Loss_ElectricDemand)</f>
        <v>2604.4188845231106</v>
      </c>
      <c r="AT267" s="59">
        <f ca="1">SUMPRODUCT($EU267:$GC267,'General Inputs'!$F$34:$AN$34,'General Inputs'!$F$51:$AN$51)/(1-Loss_GasEnergy)</f>
        <v>0</v>
      </c>
      <c r="AU267" s="59">
        <f ca="1">INDEX('General Inputs'!$F$51:$AN$51,MATCH($H267,'General Inputs'!$F$50:$AN$50,0))*$AJ267</f>
        <v>0</v>
      </c>
      <c r="AV267" s="59">
        <f ca="1">INDEX('General Inputs'!$F$51:$AN$51,MATCH($H267,'General Inputs'!$F$50:$AN$50,0))*$AI267</f>
        <v>4558.4447315926964</v>
      </c>
      <c r="AW267" s="59">
        <f ca="1">INDEX('General Inputs'!$F$51:$AN$51,MATCH($H267,'General Inputs'!$F$50:$AN$50,0))*$AM267</f>
        <v>0</v>
      </c>
      <c r="AX267" s="59">
        <f ca="1">SUM(INDEX('General Inputs'!$F$51:$AN$51,MATCH($H267,'General Inputs'!$F$50:$AN$50,0))*$AG267,INDEX('General Inputs'!$F$51:$AN$51,MATCH($H267+$AL267,'General Inputs'!$F$50:$AN$50,0))*-$AH267)</f>
        <v>8610.3956041195361</v>
      </c>
      <c r="AY267" s="55"/>
      <c r="AZ267" s="59">
        <f ca="1">SUMPRODUCT($CA267:$DI267,'General Inputs'!$F$32:$AN$32,'General Inputs'!$F$52:$AN$52)/(1-Loss_ElectricEnergy)</f>
        <v>16073.201429774899</v>
      </c>
      <c r="BA267" s="59">
        <f ca="1">SUMPRODUCT($DK267:$ES267,'General Inputs'!$F$33:$AN$33,'General Inputs'!$F$52:$AN$52)/(1-Loss_ElectricDemand)</f>
        <v>2604.4188845231106</v>
      </c>
      <c r="BB267" s="59">
        <f ca="1">SUMPRODUCT($EU267:$GC267,'General Inputs'!$F$34:$AN$34,'General Inputs'!$F$52:$AN$52)/(1-Loss_GasEnergy)</f>
        <v>0</v>
      </c>
      <c r="BC267" s="59">
        <f ca="1">INDEX('General Inputs'!$F$52:$AN$52,MATCH($H267,'General Inputs'!$F$50:$AN$50,0))*$AI267</f>
        <v>4558.4447315926964</v>
      </c>
      <c r="BD267" s="59">
        <f ca="1">INDEX('General Inputs'!$F$52:$AN$52,MATCH($H267,'General Inputs'!$F$50:$AN$50,0))*$AM267</f>
        <v>0</v>
      </c>
      <c r="BE267" s="55"/>
      <c r="BF267" s="59">
        <f ca="1">SUMPRODUCT($CA267:$DI267,OFFSET('General Inputs'!$F$40:$AN$40,MATCH($D267&amp;" Electric ($/kWh)",'General Inputs'!$E$40:$E$46,0),),'General Inputs'!$F$54:$AN$54)</f>
        <v>0</v>
      </c>
      <c r="BG267" s="59">
        <f ca="1">SUMPRODUCT($EU267:$GC267,OFFSET('General Inputs'!$F$40:$AN$40,MATCH($D267&amp;" Natural Gas ($/therm)",'General Inputs'!$E$40:$E$46,0),),'General Inputs'!$F$54:$AN$54)</f>
        <v>0</v>
      </c>
      <c r="BH267" s="59">
        <f ca="1">INDEX('General Inputs'!$F$54:$AN$54,MATCH($H267,'General Inputs'!$F$50:$AN$50,0))*$AI267</f>
        <v>4558.4447315926964</v>
      </c>
      <c r="BI267" s="59">
        <f ca="1">SUM(INDEX('General Inputs'!$F$54:$AN$54,MATCH($H267,'General Inputs'!$F$50:$AN$50,0))*$AG267,INDEX('General Inputs'!$F$51:$AN$51,MATCH($H267+$AL267,'General Inputs'!$F$50:$AN$50,0))*-$AH267)</f>
        <v>8610.3956041195361</v>
      </c>
      <c r="BJ267" s="55"/>
      <c r="BK267" s="59">
        <f ca="1">SUMPRODUCT($CA267:$DI267,'General Inputs'!$F$32:$AN$32,'General Inputs'!$F$53:$AN$53)/(1-Loss_ElectricEnergy)</f>
        <v>16073.201429774899</v>
      </c>
      <c r="BL267" s="59">
        <f ca="1">SUMPRODUCT($DK267:$ES267,'General Inputs'!$F$33:$AN$33,'General Inputs'!$F$53:$AN$53)/(1-Loss_ElectricDemand)</f>
        <v>2604.4188845231106</v>
      </c>
      <c r="BM267" s="59">
        <f ca="1">SUMPRODUCT($EU267:$GC267,'General Inputs'!$F$34:$AN$34,'General Inputs'!$F$53:$AN$53)/(1-Loss_GasEnergy)</f>
        <v>0</v>
      </c>
      <c r="BN267" s="59">
        <f ca="1">INDEX('General Inputs'!$F$53:$AN$53,MATCH($H267,'General Inputs'!$F$50:$AN$50,0))*$AJ267</f>
        <v>0</v>
      </c>
      <c r="BO267" s="59">
        <f ca="1">SUMPRODUCT($CA267:$DI267,'General Inputs'!$F$35:$AN$35,'General Inputs'!$F$53:$AN$53)/(1-Loss_ElectricEnergy)</f>
        <v>5979.6454839861681</v>
      </c>
      <c r="BP267" s="59">
        <f ca="1">INDEX('General Inputs'!$F$51:$AN$51,MATCH($H267,'General Inputs'!$F$50:$AN$50,0))*$AM267</f>
        <v>0</v>
      </c>
      <c r="BQ267" s="59">
        <f ca="1">SUM(INDEX('General Inputs'!$F$53:$AN$53,MATCH($H267,'General Inputs'!$F$50:$AN$50,0))*$AG267,INDEX('General Inputs'!$F$53:$AN$53,MATCH($H267+$AL267,'General Inputs'!$F$50:$AN$50,0))*-$AH267)</f>
        <v>8610.3956041195361</v>
      </c>
      <c r="BR267" s="55"/>
      <c r="BS267" s="59">
        <f ca="1">SUMPRODUCT($CA267:$DI267,'General Inputs'!$F$32:$AN$32,'General Inputs'!$F$55:$AN$55)/(1-Loss_ElectricEnergy)</f>
        <v>16073.201429774899</v>
      </c>
      <c r="BT267" s="59">
        <f ca="1">SUMPRODUCT($DK267:$ES267,'General Inputs'!$F$33:$AN$33,'General Inputs'!$F$55:$AN$55)/(1-Loss_ElectricDemand)</f>
        <v>2604.4188845231106</v>
      </c>
      <c r="BU267" s="59">
        <f ca="1">SUMPRODUCT($EU267:$GC267,'General Inputs'!$F$34:$AN$34,'General Inputs'!$F$55:$AN$55)/(1-Loss_GasEnergy)</f>
        <v>0</v>
      </c>
      <c r="BV267" s="59">
        <f ca="1">SUMPRODUCT($CA267:$DI267,OFFSET('General Inputs'!$F$40:$AN$40,MATCH($D267&amp;" Electric ($/kWh)",'General Inputs'!$E$40:$E$46,0),),'General Inputs'!$F$55:$AN$55)</f>
        <v>0</v>
      </c>
      <c r="BW267" s="59">
        <f ca="1">SUMPRODUCT($EU267:$GC267,OFFSET('General Inputs'!$F$40:$AN$40,MATCH($D267&amp;" Natural Gas ($/therm)",'General Inputs'!$E$40:$E$46,0),),'General Inputs'!$F$55:$AN$55)</f>
        <v>0</v>
      </c>
      <c r="BX267" s="59">
        <f ca="1">INDEX('General Inputs'!$F$55:$AN$55,MATCH($H267,'General Inputs'!$F$50:$AN$50,0))*$AI267</f>
        <v>4558.4447315926964</v>
      </c>
      <c r="BY267" s="59">
        <f ca="1">INDEX('General Inputs'!$F$51:$AN$51,MATCH($H267,'General Inputs'!$F$50:$AN$50,0))*$AM267</f>
        <v>0</v>
      </c>
      <c r="BZ267" s="55"/>
      <c r="CA267" s="88">
        <f t="shared" ca="1" si="492"/>
        <v>0</v>
      </c>
      <c r="CB267" s="88">
        <f t="shared" ca="1" si="492"/>
        <v>0</v>
      </c>
      <c r="CC267" s="88">
        <f t="shared" ca="1" si="492"/>
        <v>69248.400000000009</v>
      </c>
      <c r="CD267" s="88">
        <f t="shared" ca="1" si="492"/>
        <v>69248.400000000009</v>
      </c>
      <c r="CE267" s="88">
        <f t="shared" ca="1" si="492"/>
        <v>69248.400000000009</v>
      </c>
      <c r="CF267" s="88">
        <f t="shared" ca="1" si="492"/>
        <v>69248.400000000009</v>
      </c>
      <c r="CG267" s="88">
        <f t="shared" ca="1" si="492"/>
        <v>69248.400000000009</v>
      </c>
      <c r="CH267" s="88">
        <f t="shared" ca="1" si="492"/>
        <v>69248.400000000009</v>
      </c>
      <c r="CI267" s="88">
        <f t="shared" ca="1" si="492"/>
        <v>69248.400000000009</v>
      </c>
      <c r="CJ267" s="88">
        <f t="shared" ca="1" si="492"/>
        <v>69248.400000000009</v>
      </c>
      <c r="CK267" s="88">
        <f t="shared" ca="1" si="493"/>
        <v>69248.400000000009</v>
      </c>
      <c r="CL267" s="88">
        <f t="shared" ca="1" si="493"/>
        <v>69248.400000000009</v>
      </c>
      <c r="CM267" s="88">
        <f t="shared" ca="1" si="493"/>
        <v>69248.400000000009</v>
      </c>
      <c r="CN267" s="88">
        <f t="shared" ca="1" si="493"/>
        <v>69248.400000000009</v>
      </c>
      <c r="CO267" s="88">
        <f t="shared" ca="1" si="493"/>
        <v>69248.400000000009</v>
      </c>
      <c r="CP267" s="88">
        <f t="shared" ca="1" si="493"/>
        <v>69248.400000000009</v>
      </c>
      <c r="CQ267" s="88">
        <f t="shared" ca="1" si="493"/>
        <v>0</v>
      </c>
      <c r="CR267" s="88">
        <f t="shared" ca="1" si="493"/>
        <v>0</v>
      </c>
      <c r="CS267" s="88">
        <f t="shared" ca="1" si="493"/>
        <v>0</v>
      </c>
      <c r="CT267" s="88">
        <f t="shared" ca="1" si="493"/>
        <v>0</v>
      </c>
      <c r="CU267" s="88">
        <f t="shared" ca="1" si="494"/>
        <v>0</v>
      </c>
      <c r="CV267" s="88">
        <f t="shared" ca="1" si="494"/>
        <v>0</v>
      </c>
      <c r="CW267" s="88">
        <f t="shared" ca="1" si="494"/>
        <v>0</v>
      </c>
      <c r="CX267" s="88">
        <f t="shared" ca="1" si="494"/>
        <v>0</v>
      </c>
      <c r="CY267" s="88">
        <f t="shared" ca="1" si="494"/>
        <v>0</v>
      </c>
      <c r="CZ267" s="88">
        <f t="shared" ca="1" si="494"/>
        <v>0</v>
      </c>
      <c r="DA267" s="88">
        <f t="shared" ca="1" si="494"/>
        <v>0</v>
      </c>
      <c r="DB267" s="88">
        <f t="shared" ca="1" si="494"/>
        <v>0</v>
      </c>
      <c r="DC267" s="88">
        <f t="shared" ca="1" si="494"/>
        <v>0</v>
      </c>
      <c r="DD267" s="88">
        <f t="shared" ca="1" si="494"/>
        <v>0</v>
      </c>
      <c r="DE267" s="88">
        <f t="shared" ca="1" si="494"/>
        <v>0</v>
      </c>
      <c r="DF267" s="88">
        <f t="shared" ca="1" si="494"/>
        <v>0</v>
      </c>
      <c r="DG267" s="88">
        <f t="shared" ca="1" si="494"/>
        <v>0</v>
      </c>
      <c r="DH267" s="88">
        <f t="shared" ca="1" si="494"/>
        <v>0</v>
      </c>
      <c r="DI267" s="88">
        <f t="shared" ca="1" si="494"/>
        <v>0</v>
      </c>
      <c r="DJ267" s="169"/>
      <c r="DK267" s="88">
        <f t="shared" ca="1" si="495"/>
        <v>0</v>
      </c>
      <c r="DL267" s="88">
        <f t="shared" ca="1" si="495"/>
        <v>0</v>
      </c>
      <c r="DM267" s="88">
        <f t="shared" ca="1" si="495"/>
        <v>15.600000000000001</v>
      </c>
      <c r="DN267" s="88">
        <f t="shared" ca="1" si="495"/>
        <v>15.600000000000001</v>
      </c>
      <c r="DO267" s="88">
        <f t="shared" ca="1" si="495"/>
        <v>15.600000000000001</v>
      </c>
      <c r="DP267" s="88">
        <f t="shared" ca="1" si="495"/>
        <v>15.600000000000001</v>
      </c>
      <c r="DQ267" s="88">
        <f t="shared" ca="1" si="495"/>
        <v>15.600000000000001</v>
      </c>
      <c r="DR267" s="88">
        <f t="shared" ca="1" si="495"/>
        <v>15.600000000000001</v>
      </c>
      <c r="DS267" s="88">
        <f t="shared" ca="1" si="495"/>
        <v>15.600000000000001</v>
      </c>
      <c r="DT267" s="88">
        <f t="shared" ca="1" si="495"/>
        <v>15.600000000000001</v>
      </c>
      <c r="DU267" s="88">
        <f t="shared" ca="1" si="496"/>
        <v>15.600000000000001</v>
      </c>
      <c r="DV267" s="88">
        <f t="shared" ca="1" si="496"/>
        <v>15.600000000000001</v>
      </c>
      <c r="DW267" s="88">
        <f t="shared" ca="1" si="496"/>
        <v>15.600000000000001</v>
      </c>
      <c r="DX267" s="88">
        <f t="shared" ca="1" si="496"/>
        <v>15.600000000000001</v>
      </c>
      <c r="DY267" s="88">
        <f t="shared" ca="1" si="496"/>
        <v>15.600000000000001</v>
      </c>
      <c r="DZ267" s="88">
        <f t="shared" ca="1" si="496"/>
        <v>15.600000000000001</v>
      </c>
      <c r="EA267" s="88">
        <f t="shared" ca="1" si="496"/>
        <v>0</v>
      </c>
      <c r="EB267" s="88">
        <f t="shared" ca="1" si="496"/>
        <v>0</v>
      </c>
      <c r="EC267" s="88">
        <f t="shared" ca="1" si="496"/>
        <v>0</v>
      </c>
      <c r="ED267" s="88">
        <f t="shared" ca="1" si="496"/>
        <v>0</v>
      </c>
      <c r="EE267" s="88">
        <f t="shared" ca="1" si="497"/>
        <v>0</v>
      </c>
      <c r="EF267" s="88">
        <f t="shared" ca="1" si="497"/>
        <v>0</v>
      </c>
      <c r="EG267" s="88">
        <f t="shared" ca="1" si="497"/>
        <v>0</v>
      </c>
      <c r="EH267" s="88">
        <f t="shared" ca="1" si="497"/>
        <v>0</v>
      </c>
      <c r="EI267" s="88">
        <f t="shared" ca="1" si="497"/>
        <v>0</v>
      </c>
      <c r="EJ267" s="88">
        <f t="shared" ca="1" si="497"/>
        <v>0</v>
      </c>
      <c r="EK267" s="88">
        <f t="shared" ca="1" si="497"/>
        <v>0</v>
      </c>
      <c r="EL267" s="88">
        <f t="shared" ca="1" si="497"/>
        <v>0</v>
      </c>
      <c r="EM267" s="88">
        <f t="shared" ca="1" si="497"/>
        <v>0</v>
      </c>
      <c r="EN267" s="88">
        <f t="shared" ca="1" si="497"/>
        <v>0</v>
      </c>
      <c r="EO267" s="88">
        <f t="shared" ca="1" si="497"/>
        <v>0</v>
      </c>
      <c r="EP267" s="88">
        <f t="shared" ca="1" si="497"/>
        <v>0</v>
      </c>
      <c r="EQ267" s="88">
        <f t="shared" ca="1" si="497"/>
        <v>0</v>
      </c>
      <c r="ER267" s="88">
        <f t="shared" ca="1" si="497"/>
        <v>0</v>
      </c>
      <c r="ES267" s="88">
        <f t="shared" ca="1" si="497"/>
        <v>0</v>
      </c>
      <c r="ET267" s="169"/>
      <c r="EU267" s="88">
        <f t="shared" ca="1" si="498"/>
        <v>0</v>
      </c>
      <c r="EV267" s="88">
        <f t="shared" ca="1" si="498"/>
        <v>0</v>
      </c>
      <c r="EW267" s="88">
        <f t="shared" ca="1" si="498"/>
        <v>0</v>
      </c>
      <c r="EX267" s="88">
        <f t="shared" ca="1" si="498"/>
        <v>0</v>
      </c>
      <c r="EY267" s="88">
        <f t="shared" ca="1" si="498"/>
        <v>0</v>
      </c>
      <c r="EZ267" s="88">
        <f t="shared" ca="1" si="498"/>
        <v>0</v>
      </c>
      <c r="FA267" s="88">
        <f t="shared" ca="1" si="498"/>
        <v>0</v>
      </c>
      <c r="FB267" s="88">
        <f t="shared" ca="1" si="498"/>
        <v>0</v>
      </c>
      <c r="FC267" s="88">
        <f t="shared" ca="1" si="498"/>
        <v>0</v>
      </c>
      <c r="FD267" s="88">
        <f t="shared" ca="1" si="498"/>
        <v>0</v>
      </c>
      <c r="FE267" s="88">
        <f t="shared" ca="1" si="499"/>
        <v>0</v>
      </c>
      <c r="FF267" s="88">
        <f t="shared" ca="1" si="499"/>
        <v>0</v>
      </c>
      <c r="FG267" s="88">
        <f t="shared" ca="1" si="499"/>
        <v>0</v>
      </c>
      <c r="FH267" s="88">
        <f t="shared" ca="1" si="499"/>
        <v>0</v>
      </c>
      <c r="FI267" s="88">
        <f t="shared" ca="1" si="499"/>
        <v>0</v>
      </c>
      <c r="FJ267" s="88">
        <f t="shared" ca="1" si="499"/>
        <v>0</v>
      </c>
      <c r="FK267" s="88">
        <f t="shared" ca="1" si="499"/>
        <v>0</v>
      </c>
      <c r="FL267" s="88">
        <f t="shared" ca="1" si="499"/>
        <v>0</v>
      </c>
      <c r="FM267" s="88">
        <f t="shared" ca="1" si="499"/>
        <v>0</v>
      </c>
      <c r="FN267" s="88">
        <f t="shared" ca="1" si="499"/>
        <v>0</v>
      </c>
      <c r="FO267" s="88">
        <f t="shared" ca="1" si="500"/>
        <v>0</v>
      </c>
      <c r="FP267" s="88">
        <f t="shared" ca="1" si="500"/>
        <v>0</v>
      </c>
      <c r="FQ267" s="88">
        <f t="shared" ca="1" si="500"/>
        <v>0</v>
      </c>
      <c r="FR267" s="88">
        <f t="shared" ca="1" si="500"/>
        <v>0</v>
      </c>
      <c r="FS267" s="88">
        <f t="shared" ca="1" si="500"/>
        <v>0</v>
      </c>
      <c r="FT267" s="88">
        <f t="shared" ca="1" si="500"/>
        <v>0</v>
      </c>
      <c r="FU267" s="88">
        <f t="shared" ca="1" si="500"/>
        <v>0</v>
      </c>
      <c r="FV267" s="88">
        <f t="shared" ca="1" si="500"/>
        <v>0</v>
      </c>
      <c r="FW267" s="88">
        <f t="shared" ca="1" si="500"/>
        <v>0</v>
      </c>
      <c r="FX267" s="88">
        <f t="shared" ca="1" si="500"/>
        <v>0</v>
      </c>
      <c r="FY267" s="88">
        <f t="shared" ca="1" si="500"/>
        <v>0</v>
      </c>
      <c r="FZ267" s="88">
        <f t="shared" ca="1" si="500"/>
        <v>0</v>
      </c>
      <c r="GA267" s="88">
        <f t="shared" ca="1" si="500"/>
        <v>0</v>
      </c>
      <c r="GB267" s="88">
        <f t="shared" ca="1" si="500"/>
        <v>0</v>
      </c>
      <c r="GC267" s="88">
        <f t="shared" ca="1" si="500"/>
        <v>0</v>
      </c>
      <c r="GD267" s="60"/>
    </row>
    <row r="268" spans="1:186" s="54" customFormat="1" ht="14.45" customHeight="1">
      <c r="A268" s="61"/>
      <c r="B268" s="100" t="str">
        <f t="shared" si="482"/>
        <v>C&amp;I_C&amp;I Prescriptive_0_LED Outdoor Pole/Arm Mounted Parking Roadway (&lt;30W)_2019</v>
      </c>
      <c r="C268" s="100">
        <f>INDEX('Measure Inputs'!$D:$D,MATCH($B268,'Measure Inputs'!$B:$B,0))</f>
        <v>220</v>
      </c>
      <c r="D268" s="101" t="s">
        <v>256</v>
      </c>
      <c r="E268" s="101" t="s">
        <v>255</v>
      </c>
      <c r="F268" s="101">
        <v>0</v>
      </c>
      <c r="G268" s="101" t="s">
        <v>369</v>
      </c>
      <c r="H268" s="101">
        <v>2019</v>
      </c>
      <c r="I268" s="55"/>
      <c r="J268" s="58">
        <f t="shared" ca="1" si="229"/>
        <v>0.86000901793567186</v>
      </c>
      <c r="K268" s="58">
        <f t="shared" ca="1" si="246"/>
        <v>2.7233618901296275</v>
      </c>
      <c r="L268" s="58">
        <f t="shared" ca="1" si="230"/>
        <v>0.31578947368421056</v>
      </c>
      <c r="M268" s="58">
        <f t="shared" ca="1" si="231"/>
        <v>1.1390230460966684</v>
      </c>
      <c r="N268" s="58">
        <f t="shared" ca="1" si="232"/>
        <v>2.7233618901296275</v>
      </c>
      <c r="O268" s="55"/>
      <c r="P268" s="175">
        <f ca="1">IFERROR(($AW268+AV268)/SUMPRODUCT($CA268:$DI268,'General Inputs'!$F$51:$AN$51),"n/a")</f>
        <v>1.3538905627472167E-2</v>
      </c>
      <c r="Q268" s="175">
        <f t="shared" ca="1" si="454"/>
        <v>0.11577488807945091</v>
      </c>
      <c r="R268" s="56">
        <f t="shared" ca="1" si="441"/>
        <v>72.55459399999998</v>
      </c>
      <c r="S268" s="55"/>
      <c r="T268" s="56">
        <f ca="1">INDEX(OFFSET('Measure Inputs'!$L$7,,,InputRows),$C268)</f>
        <v>10</v>
      </c>
      <c r="U268" s="134">
        <f ca="1">INDEX(OFFSET('Measure Inputs'!$T$7,,,InputRows),$C268)</f>
        <v>1</v>
      </c>
      <c r="V268" s="134">
        <f ca="1">INDEX(OFFSET('Measure Inputs'!$U$7,,,InputRows),$C268)</f>
        <v>1</v>
      </c>
      <c r="W268" s="55"/>
      <c r="X268" s="96">
        <f ca="1">INDEX(OFFSET('Measure Inputs'!$V$7,,,InputRows),$C268)*$T268*$V268*$U268</f>
        <v>5182.4709999999995</v>
      </c>
      <c r="Y268" s="96">
        <f ca="1">INDEX(OFFSET('Measure Inputs'!$W$7,,,InputRows),$C268)*$T268*$V268*$U268</f>
        <v>1.0569999999999999</v>
      </c>
      <c r="Z268" s="96">
        <f ca="1">INDEX(OFFSET('Measure Inputs'!$X$7,,,InputRows),$C268)*$T268*$V268*$U268</f>
        <v>0</v>
      </c>
      <c r="AA268" s="55"/>
      <c r="AB268" s="96">
        <f ca="1">INDEX(OFFSET('Measure Inputs'!$Z$7,,,InputRows),$C268)*$T268*$V268*$U268</f>
        <v>0</v>
      </c>
      <c r="AC268" s="96">
        <f ca="1">INDEX(OFFSET('Measure Inputs'!$AA$7,,,InputRows),$C268)*$T268*$V268*$U268</f>
        <v>0</v>
      </c>
      <c r="AD268" s="96">
        <f ca="1">INDEX(OFFSET('Measure Inputs'!$AB$7,,,InputRows),$C268)*$T268*$V268*$U268</f>
        <v>0</v>
      </c>
      <c r="AE268" s="55"/>
      <c r="AF268" s="57">
        <f ca="1">INDEX(OFFSET('Measure Inputs'!$Q$7,,,InputRows),$C268)*$T268</f>
        <v>0</v>
      </c>
      <c r="AG268" s="57">
        <f ca="1">INDEX(OFFSET('Measure Inputs'!$P$7,,,InputRows),$C268)*$T268*$V268</f>
        <v>1900</v>
      </c>
      <c r="AH268" s="57">
        <f ca="1">INDEX(OFFSET('Measure Inputs'!$R$7,,,InputRows),$C268)*$T268*$V268</f>
        <v>0</v>
      </c>
      <c r="AI268" s="57">
        <f ca="1">INDEX(OFFSET('Measure Inputs'!$O$7,,,InputRows),$C268)*$T268</f>
        <v>600</v>
      </c>
      <c r="AJ268" s="57">
        <f ca="1">INDEX(OFFSET('Measure Inputs'!$S$7,,,InputRows),$C268)*$T268</f>
        <v>0</v>
      </c>
      <c r="AK268" s="63">
        <f ca="1">INDEX(OFFSET('Measure Inputs'!$M$7,,,InputRows),$C268)</f>
        <v>14</v>
      </c>
      <c r="AL268" s="88">
        <f ca="1">INDEX(OFFSET('Measure Inputs'!$N$7,,,InputRows),$C268)</f>
        <v>0</v>
      </c>
      <c r="AM268" s="57">
        <f ca="1">SUMIFS(OFFSET('Program Inputs'!$N$5,,,TotalPrograms),OFFSET('Program Inputs'!$B$5,,,TotalPrograms),SUBSTITUTE($B268,"All","*"))+AF268</f>
        <v>0</v>
      </c>
      <c r="AN268" s="57">
        <f t="shared" ca="1" si="442"/>
        <v>600</v>
      </c>
      <c r="AO268" s="55"/>
      <c r="AP268" s="59">
        <f t="shared" ca="1" si="443"/>
        <v>1379.3660733646363</v>
      </c>
      <c r="AQ268" s="59">
        <f t="shared" ca="1" si="444"/>
        <v>1603.8972203752078</v>
      </c>
      <c r="AR268" s="59">
        <f ca="1">SUMPRODUCT($CA268:$DI268,'General Inputs'!$F$32:$AN$32,'General Inputs'!$F$51:$AN$51)/(1-Loss_ElectricEnergy)</f>
        <v>1202.8999989453462</v>
      </c>
      <c r="AS268" s="59">
        <f ca="1">SUMPRODUCT($DK268:$ES268,'General Inputs'!$F$33:$AN$33,'General Inputs'!$F$51:$AN$51)/(1-Loss_ElectricDemand)</f>
        <v>176.46607441929027</v>
      </c>
      <c r="AT268" s="59">
        <f ca="1">SUMPRODUCT($EU268:$GC268,'General Inputs'!$F$34:$AN$34,'General Inputs'!$F$51:$AN$51)/(1-Loss_GasEnergy)</f>
        <v>0</v>
      </c>
      <c r="AU268" s="59">
        <f ca="1">INDEX('General Inputs'!$F$51:$AN$51,MATCH($H268,'General Inputs'!$F$50:$AN$50,0))*$AJ268</f>
        <v>0</v>
      </c>
      <c r="AV268" s="59">
        <f ca="1">INDEX('General Inputs'!$F$51:$AN$51,MATCH($H268,'General Inputs'!$F$50:$AN$50,0))*$AI268</f>
        <v>506.49385906585513</v>
      </c>
      <c r="AW268" s="59">
        <f ca="1">INDEX('General Inputs'!$F$51:$AN$51,MATCH($H268,'General Inputs'!$F$50:$AN$50,0))*$AM268</f>
        <v>0</v>
      </c>
      <c r="AX268" s="59">
        <f ca="1">SUM(INDEX('General Inputs'!$F$51:$AN$51,MATCH($H268,'General Inputs'!$F$50:$AN$50,0))*$AG268,INDEX('General Inputs'!$F$51:$AN$51,MATCH($H268+$AL268,'General Inputs'!$F$50:$AN$50,0))*-$AH268)</f>
        <v>1603.8972203752078</v>
      </c>
      <c r="AY268" s="55"/>
      <c r="AZ268" s="59">
        <f ca="1">SUMPRODUCT($CA268:$DI268,'General Inputs'!$F$32:$AN$32,'General Inputs'!$F$52:$AN$52)/(1-Loss_ElectricEnergy)</f>
        <v>1202.8999989453462</v>
      </c>
      <c r="BA268" s="59">
        <f ca="1">SUMPRODUCT($DK268:$ES268,'General Inputs'!$F$33:$AN$33,'General Inputs'!$F$52:$AN$52)/(1-Loss_ElectricDemand)</f>
        <v>176.46607441929027</v>
      </c>
      <c r="BB268" s="59">
        <f ca="1">SUMPRODUCT($EU268:$GC268,'General Inputs'!$F$34:$AN$34,'General Inputs'!$F$52:$AN$52)/(1-Loss_GasEnergy)</f>
        <v>0</v>
      </c>
      <c r="BC268" s="59">
        <f ca="1">INDEX('General Inputs'!$F$52:$AN$52,MATCH($H268,'General Inputs'!$F$50:$AN$50,0))*$AI268</f>
        <v>506.49385906585513</v>
      </c>
      <c r="BD268" s="59">
        <f ca="1">INDEX('General Inputs'!$F$52:$AN$52,MATCH($H268,'General Inputs'!$F$50:$AN$50,0))*$AM268</f>
        <v>0</v>
      </c>
      <c r="BE268" s="55"/>
      <c r="BF268" s="59">
        <f ca="1">SUMPRODUCT($CA268:$DI268,OFFSET('General Inputs'!$F$40:$AN$40,MATCH($D268&amp;" Electric ($/kWh)",'General Inputs'!$E$40:$E$46,0),),'General Inputs'!$F$54:$AN$54)</f>
        <v>0</v>
      </c>
      <c r="BG268" s="59">
        <f ca="1">SUMPRODUCT($EU268:$GC268,OFFSET('General Inputs'!$F$40:$AN$40,MATCH($D268&amp;" Natural Gas ($/therm)",'General Inputs'!$E$40:$E$46,0),),'General Inputs'!$F$54:$AN$54)</f>
        <v>0</v>
      </c>
      <c r="BH268" s="59">
        <f ca="1">INDEX('General Inputs'!$F$54:$AN$54,MATCH($H268,'General Inputs'!$F$50:$AN$50,0))*$AI268</f>
        <v>506.49385906585513</v>
      </c>
      <c r="BI268" s="59">
        <f ca="1">SUM(INDEX('General Inputs'!$F$54:$AN$54,MATCH($H268,'General Inputs'!$F$50:$AN$50,0))*$AG268,INDEX('General Inputs'!$F$51:$AN$51,MATCH($H268+$AL268,'General Inputs'!$F$50:$AN$50,0))*-$AH268)</f>
        <v>1603.8972203752078</v>
      </c>
      <c r="BJ268" s="55"/>
      <c r="BK268" s="59">
        <f ca="1">SUMPRODUCT($CA268:$DI268,'General Inputs'!$F$32:$AN$32,'General Inputs'!$F$53:$AN$53)/(1-Loss_ElectricEnergy)</f>
        <v>1202.8999989453462</v>
      </c>
      <c r="BL268" s="59">
        <f ca="1">SUMPRODUCT($DK268:$ES268,'General Inputs'!$F$33:$AN$33,'General Inputs'!$F$53:$AN$53)/(1-Loss_ElectricDemand)</f>
        <v>176.46607441929027</v>
      </c>
      <c r="BM268" s="59">
        <f ca="1">SUMPRODUCT($EU268:$GC268,'General Inputs'!$F$34:$AN$34,'General Inputs'!$F$53:$AN$53)/(1-Loss_GasEnergy)</f>
        <v>0</v>
      </c>
      <c r="BN268" s="59">
        <f ca="1">INDEX('General Inputs'!$F$53:$AN$53,MATCH($H268,'General Inputs'!$F$50:$AN$50,0))*$AJ268</f>
        <v>0</v>
      </c>
      <c r="BO268" s="59">
        <f ca="1">SUMPRODUCT($CA268:$DI268,'General Inputs'!$F$35:$AN$35,'General Inputs'!$F$53:$AN$53)/(1-Loss_ElectricEnergy)</f>
        <v>447.50982421311204</v>
      </c>
      <c r="BP268" s="59">
        <f ca="1">INDEX('General Inputs'!$F$51:$AN$51,MATCH($H268,'General Inputs'!$F$50:$AN$50,0))*$AM268</f>
        <v>0</v>
      </c>
      <c r="BQ268" s="59">
        <f ca="1">SUM(INDEX('General Inputs'!$F$53:$AN$53,MATCH($H268,'General Inputs'!$F$50:$AN$50,0))*$AG268,INDEX('General Inputs'!$F$53:$AN$53,MATCH($H268+$AL268,'General Inputs'!$F$50:$AN$50,0))*-$AH268)</f>
        <v>1603.8972203752078</v>
      </c>
      <c r="BR268" s="55"/>
      <c r="BS268" s="59">
        <f ca="1">SUMPRODUCT($CA268:$DI268,'General Inputs'!$F$32:$AN$32,'General Inputs'!$F$55:$AN$55)/(1-Loss_ElectricEnergy)</f>
        <v>1202.8999989453462</v>
      </c>
      <c r="BT268" s="59">
        <f ca="1">SUMPRODUCT($DK268:$ES268,'General Inputs'!$F$33:$AN$33,'General Inputs'!$F$55:$AN$55)/(1-Loss_ElectricDemand)</f>
        <v>176.46607441929027</v>
      </c>
      <c r="BU268" s="59">
        <f ca="1">SUMPRODUCT($EU268:$GC268,'General Inputs'!$F$34:$AN$34,'General Inputs'!$F$55:$AN$55)/(1-Loss_GasEnergy)</f>
        <v>0</v>
      </c>
      <c r="BV268" s="59">
        <f ca="1">SUMPRODUCT($CA268:$DI268,OFFSET('General Inputs'!$F$40:$AN$40,MATCH($D268&amp;" Electric ($/kWh)",'General Inputs'!$E$40:$E$46,0),),'General Inputs'!$F$55:$AN$55)</f>
        <v>0</v>
      </c>
      <c r="BW268" s="59">
        <f ca="1">SUMPRODUCT($EU268:$GC268,OFFSET('General Inputs'!$F$40:$AN$40,MATCH($D268&amp;" Natural Gas ($/therm)",'General Inputs'!$E$40:$E$46,0),),'General Inputs'!$F$55:$AN$55)</f>
        <v>0</v>
      </c>
      <c r="BX268" s="59">
        <f ca="1">INDEX('General Inputs'!$F$55:$AN$55,MATCH($H268,'General Inputs'!$F$50:$AN$50,0))*$AI268</f>
        <v>506.49385906585513</v>
      </c>
      <c r="BY268" s="59">
        <f ca="1">INDEX('General Inputs'!$F$51:$AN$51,MATCH($H268,'General Inputs'!$F$50:$AN$50,0))*$AM268</f>
        <v>0</v>
      </c>
      <c r="BZ268" s="55"/>
      <c r="CA268" s="88">
        <f t="shared" ca="1" si="492"/>
        <v>0</v>
      </c>
      <c r="CB268" s="88">
        <f t="shared" ca="1" si="492"/>
        <v>0</v>
      </c>
      <c r="CC268" s="88">
        <f t="shared" ca="1" si="492"/>
        <v>5182.4709999999995</v>
      </c>
      <c r="CD268" s="88">
        <f t="shared" ca="1" si="492"/>
        <v>5182.4709999999995</v>
      </c>
      <c r="CE268" s="88">
        <f t="shared" ca="1" si="492"/>
        <v>5182.4709999999995</v>
      </c>
      <c r="CF268" s="88">
        <f t="shared" ca="1" si="492"/>
        <v>5182.4709999999995</v>
      </c>
      <c r="CG268" s="88">
        <f t="shared" ca="1" si="492"/>
        <v>5182.4709999999995</v>
      </c>
      <c r="CH268" s="88">
        <f t="shared" ca="1" si="492"/>
        <v>5182.4709999999995</v>
      </c>
      <c r="CI268" s="88">
        <f t="shared" ca="1" si="492"/>
        <v>5182.4709999999995</v>
      </c>
      <c r="CJ268" s="88">
        <f t="shared" ca="1" si="492"/>
        <v>5182.4709999999995</v>
      </c>
      <c r="CK268" s="88">
        <f t="shared" ca="1" si="493"/>
        <v>5182.4709999999995</v>
      </c>
      <c r="CL268" s="88">
        <f t="shared" ca="1" si="493"/>
        <v>5182.4709999999995</v>
      </c>
      <c r="CM268" s="88">
        <f t="shared" ca="1" si="493"/>
        <v>5182.4709999999995</v>
      </c>
      <c r="CN268" s="88">
        <f t="shared" ca="1" si="493"/>
        <v>5182.4709999999995</v>
      </c>
      <c r="CO268" s="88">
        <f t="shared" ca="1" si="493"/>
        <v>5182.4709999999995</v>
      </c>
      <c r="CP268" s="88">
        <f t="shared" ca="1" si="493"/>
        <v>5182.4709999999995</v>
      </c>
      <c r="CQ268" s="88">
        <f t="shared" ca="1" si="493"/>
        <v>0</v>
      </c>
      <c r="CR268" s="88">
        <f t="shared" ca="1" si="493"/>
        <v>0</v>
      </c>
      <c r="CS268" s="88">
        <f t="shared" ca="1" si="493"/>
        <v>0</v>
      </c>
      <c r="CT268" s="88">
        <f t="shared" ca="1" si="493"/>
        <v>0</v>
      </c>
      <c r="CU268" s="88">
        <f t="shared" ca="1" si="494"/>
        <v>0</v>
      </c>
      <c r="CV268" s="88">
        <f t="shared" ca="1" si="494"/>
        <v>0</v>
      </c>
      <c r="CW268" s="88">
        <f t="shared" ca="1" si="494"/>
        <v>0</v>
      </c>
      <c r="CX268" s="88">
        <f t="shared" ca="1" si="494"/>
        <v>0</v>
      </c>
      <c r="CY268" s="88">
        <f t="shared" ca="1" si="494"/>
        <v>0</v>
      </c>
      <c r="CZ268" s="88">
        <f t="shared" ca="1" si="494"/>
        <v>0</v>
      </c>
      <c r="DA268" s="88">
        <f t="shared" ca="1" si="494"/>
        <v>0</v>
      </c>
      <c r="DB268" s="88">
        <f t="shared" ca="1" si="494"/>
        <v>0</v>
      </c>
      <c r="DC268" s="88">
        <f t="shared" ca="1" si="494"/>
        <v>0</v>
      </c>
      <c r="DD268" s="88">
        <f t="shared" ca="1" si="494"/>
        <v>0</v>
      </c>
      <c r="DE268" s="88">
        <f t="shared" ca="1" si="494"/>
        <v>0</v>
      </c>
      <c r="DF268" s="88">
        <f t="shared" ca="1" si="494"/>
        <v>0</v>
      </c>
      <c r="DG268" s="88">
        <f t="shared" ca="1" si="494"/>
        <v>0</v>
      </c>
      <c r="DH268" s="88">
        <f t="shared" ca="1" si="494"/>
        <v>0</v>
      </c>
      <c r="DI268" s="88">
        <f t="shared" ca="1" si="494"/>
        <v>0</v>
      </c>
      <c r="DJ268" s="169"/>
      <c r="DK268" s="88">
        <f t="shared" ca="1" si="495"/>
        <v>0</v>
      </c>
      <c r="DL268" s="88">
        <f t="shared" ca="1" si="495"/>
        <v>0</v>
      </c>
      <c r="DM268" s="88">
        <f t="shared" ca="1" si="495"/>
        <v>1.0569999999999999</v>
      </c>
      <c r="DN268" s="88">
        <f t="shared" ca="1" si="495"/>
        <v>1.0569999999999999</v>
      </c>
      <c r="DO268" s="88">
        <f t="shared" ca="1" si="495"/>
        <v>1.0569999999999999</v>
      </c>
      <c r="DP268" s="88">
        <f t="shared" ca="1" si="495"/>
        <v>1.0569999999999999</v>
      </c>
      <c r="DQ268" s="88">
        <f t="shared" ca="1" si="495"/>
        <v>1.0569999999999999</v>
      </c>
      <c r="DR268" s="88">
        <f t="shared" ca="1" si="495"/>
        <v>1.0569999999999999</v>
      </c>
      <c r="DS268" s="88">
        <f t="shared" ca="1" si="495"/>
        <v>1.0569999999999999</v>
      </c>
      <c r="DT268" s="88">
        <f t="shared" ca="1" si="495"/>
        <v>1.0569999999999999</v>
      </c>
      <c r="DU268" s="88">
        <f t="shared" ca="1" si="496"/>
        <v>1.0569999999999999</v>
      </c>
      <c r="DV268" s="88">
        <f t="shared" ca="1" si="496"/>
        <v>1.0569999999999999</v>
      </c>
      <c r="DW268" s="88">
        <f t="shared" ca="1" si="496"/>
        <v>1.0569999999999999</v>
      </c>
      <c r="DX268" s="88">
        <f t="shared" ca="1" si="496"/>
        <v>1.0569999999999999</v>
      </c>
      <c r="DY268" s="88">
        <f t="shared" ca="1" si="496"/>
        <v>1.0569999999999999</v>
      </c>
      <c r="DZ268" s="88">
        <f t="shared" ca="1" si="496"/>
        <v>1.0569999999999999</v>
      </c>
      <c r="EA268" s="88">
        <f t="shared" ca="1" si="496"/>
        <v>0</v>
      </c>
      <c r="EB268" s="88">
        <f t="shared" ca="1" si="496"/>
        <v>0</v>
      </c>
      <c r="EC268" s="88">
        <f t="shared" ca="1" si="496"/>
        <v>0</v>
      </c>
      <c r="ED268" s="88">
        <f t="shared" ca="1" si="496"/>
        <v>0</v>
      </c>
      <c r="EE268" s="88">
        <f t="shared" ca="1" si="497"/>
        <v>0</v>
      </c>
      <c r="EF268" s="88">
        <f t="shared" ca="1" si="497"/>
        <v>0</v>
      </c>
      <c r="EG268" s="88">
        <f t="shared" ca="1" si="497"/>
        <v>0</v>
      </c>
      <c r="EH268" s="88">
        <f t="shared" ca="1" si="497"/>
        <v>0</v>
      </c>
      <c r="EI268" s="88">
        <f t="shared" ca="1" si="497"/>
        <v>0</v>
      </c>
      <c r="EJ268" s="88">
        <f t="shared" ca="1" si="497"/>
        <v>0</v>
      </c>
      <c r="EK268" s="88">
        <f t="shared" ca="1" si="497"/>
        <v>0</v>
      </c>
      <c r="EL268" s="88">
        <f t="shared" ca="1" si="497"/>
        <v>0</v>
      </c>
      <c r="EM268" s="88">
        <f t="shared" ca="1" si="497"/>
        <v>0</v>
      </c>
      <c r="EN268" s="88">
        <f t="shared" ca="1" si="497"/>
        <v>0</v>
      </c>
      <c r="EO268" s="88">
        <f t="shared" ca="1" si="497"/>
        <v>0</v>
      </c>
      <c r="EP268" s="88">
        <f t="shared" ca="1" si="497"/>
        <v>0</v>
      </c>
      <c r="EQ268" s="88">
        <f t="shared" ca="1" si="497"/>
        <v>0</v>
      </c>
      <c r="ER268" s="88">
        <f t="shared" ca="1" si="497"/>
        <v>0</v>
      </c>
      <c r="ES268" s="88">
        <f t="shared" ca="1" si="497"/>
        <v>0</v>
      </c>
      <c r="ET268" s="169"/>
      <c r="EU268" s="88">
        <f t="shared" ca="1" si="498"/>
        <v>0</v>
      </c>
      <c r="EV268" s="88">
        <f t="shared" ca="1" si="498"/>
        <v>0</v>
      </c>
      <c r="EW268" s="88">
        <f t="shared" ca="1" si="498"/>
        <v>0</v>
      </c>
      <c r="EX268" s="88">
        <f t="shared" ca="1" si="498"/>
        <v>0</v>
      </c>
      <c r="EY268" s="88">
        <f t="shared" ca="1" si="498"/>
        <v>0</v>
      </c>
      <c r="EZ268" s="88">
        <f t="shared" ca="1" si="498"/>
        <v>0</v>
      </c>
      <c r="FA268" s="88">
        <f t="shared" ca="1" si="498"/>
        <v>0</v>
      </c>
      <c r="FB268" s="88">
        <f t="shared" ca="1" si="498"/>
        <v>0</v>
      </c>
      <c r="FC268" s="88">
        <f t="shared" ca="1" si="498"/>
        <v>0</v>
      </c>
      <c r="FD268" s="88">
        <f t="shared" ca="1" si="498"/>
        <v>0</v>
      </c>
      <c r="FE268" s="88">
        <f t="shared" ca="1" si="499"/>
        <v>0</v>
      </c>
      <c r="FF268" s="88">
        <f t="shared" ca="1" si="499"/>
        <v>0</v>
      </c>
      <c r="FG268" s="88">
        <f t="shared" ca="1" si="499"/>
        <v>0</v>
      </c>
      <c r="FH268" s="88">
        <f t="shared" ca="1" si="499"/>
        <v>0</v>
      </c>
      <c r="FI268" s="88">
        <f t="shared" ca="1" si="499"/>
        <v>0</v>
      </c>
      <c r="FJ268" s="88">
        <f t="shared" ca="1" si="499"/>
        <v>0</v>
      </c>
      <c r="FK268" s="88">
        <f t="shared" ca="1" si="499"/>
        <v>0</v>
      </c>
      <c r="FL268" s="88">
        <f t="shared" ca="1" si="499"/>
        <v>0</v>
      </c>
      <c r="FM268" s="88">
        <f t="shared" ca="1" si="499"/>
        <v>0</v>
      </c>
      <c r="FN268" s="88">
        <f t="shared" ca="1" si="499"/>
        <v>0</v>
      </c>
      <c r="FO268" s="88">
        <f t="shared" ca="1" si="500"/>
        <v>0</v>
      </c>
      <c r="FP268" s="88">
        <f t="shared" ca="1" si="500"/>
        <v>0</v>
      </c>
      <c r="FQ268" s="88">
        <f t="shared" ca="1" si="500"/>
        <v>0</v>
      </c>
      <c r="FR268" s="88">
        <f t="shared" ca="1" si="500"/>
        <v>0</v>
      </c>
      <c r="FS268" s="88">
        <f t="shared" ca="1" si="500"/>
        <v>0</v>
      </c>
      <c r="FT268" s="88">
        <f t="shared" ca="1" si="500"/>
        <v>0</v>
      </c>
      <c r="FU268" s="88">
        <f t="shared" ca="1" si="500"/>
        <v>0</v>
      </c>
      <c r="FV268" s="88">
        <f t="shared" ca="1" si="500"/>
        <v>0</v>
      </c>
      <c r="FW268" s="88">
        <f t="shared" ca="1" si="500"/>
        <v>0</v>
      </c>
      <c r="FX268" s="88">
        <f t="shared" ca="1" si="500"/>
        <v>0</v>
      </c>
      <c r="FY268" s="88">
        <f t="shared" ca="1" si="500"/>
        <v>0</v>
      </c>
      <c r="FZ268" s="88">
        <f t="shared" ca="1" si="500"/>
        <v>0</v>
      </c>
      <c r="GA268" s="88">
        <f t="shared" ca="1" si="500"/>
        <v>0</v>
      </c>
      <c r="GB268" s="88">
        <f t="shared" ca="1" si="500"/>
        <v>0</v>
      </c>
      <c r="GC268" s="88">
        <f t="shared" ca="1" si="500"/>
        <v>0</v>
      </c>
      <c r="GD268" s="60"/>
    </row>
    <row r="269" spans="1:186" s="54" customFormat="1" ht="14.45" customHeight="1">
      <c r="A269" s="61"/>
      <c r="B269" s="100" t="str">
        <f t="shared" si="482"/>
        <v>C&amp;I_C&amp;I Prescriptive_0_LED Outdoor Pole/Arm Mounted Parking Roadway (30W to 75W)_2019</v>
      </c>
      <c r="C269" s="100">
        <f>INDEX('Measure Inputs'!$D:$D,MATCH($B269,'Measure Inputs'!$B:$B,0))</f>
        <v>221</v>
      </c>
      <c r="D269" s="101" t="s">
        <v>256</v>
      </c>
      <c r="E269" s="101" t="s">
        <v>255</v>
      </c>
      <c r="F269" s="101">
        <v>0</v>
      </c>
      <c r="G269" s="101" t="s">
        <v>370</v>
      </c>
      <c r="H269" s="101">
        <v>2019</v>
      </c>
      <c r="I269" s="55"/>
      <c r="J269" s="58">
        <f t="shared" ca="1" si="229"/>
        <v>0.7023883724687322</v>
      </c>
      <c r="K269" s="58">
        <f t="shared" ca="1" si="246"/>
        <v>2.0158546289852617</v>
      </c>
      <c r="L269" s="58">
        <f t="shared" ca="1" si="230"/>
        <v>0.34843205574912889</v>
      </c>
      <c r="M269" s="58">
        <f t="shared" ca="1" si="231"/>
        <v>0.93026529590653528</v>
      </c>
      <c r="N269" s="58">
        <f t="shared" ca="1" si="232"/>
        <v>2.0158546289852617</v>
      </c>
      <c r="O269" s="55"/>
      <c r="P269" s="175">
        <f ca="1">IFERROR(($AW269+AV269)/SUMPRODUCT($CA269:$DI269,'General Inputs'!$F$51:$AN$51),"n/a")</f>
        <v>1.8290673885784859E-2</v>
      </c>
      <c r="Q269" s="175">
        <f t="shared" ca="1" si="454"/>
        <v>0.15640855917686552</v>
      </c>
      <c r="R269" s="56">
        <f t="shared" ca="1" si="441"/>
        <v>89.509168000000017</v>
      </c>
      <c r="S269" s="55"/>
      <c r="T269" s="56">
        <f ca="1">INDEX(OFFSET('Measure Inputs'!$L$7,,,InputRows),$C269)</f>
        <v>10</v>
      </c>
      <c r="U269" s="134">
        <f ca="1">INDEX(OFFSET('Measure Inputs'!$T$7,,,InputRows),$C269)</f>
        <v>1</v>
      </c>
      <c r="V269" s="134">
        <f ca="1">INDEX(OFFSET('Measure Inputs'!$U$7,,,InputRows),$C269)</f>
        <v>1</v>
      </c>
      <c r="W269" s="55"/>
      <c r="X269" s="96">
        <f ca="1">INDEX(OFFSET('Measure Inputs'!$V$7,,,InputRows),$C269)*$T269*$V269*$U269</f>
        <v>6393.5120000000006</v>
      </c>
      <c r="Y269" s="96">
        <f ca="1">INDEX(OFFSET('Measure Inputs'!$W$7,,,InputRows),$C269)*$T269*$V269*$U269</f>
        <v>1.3040000000000003</v>
      </c>
      <c r="Z269" s="96">
        <f ca="1">INDEX(OFFSET('Measure Inputs'!$X$7,,,InputRows),$C269)*$T269*$V269*$U269</f>
        <v>0</v>
      </c>
      <c r="AA269" s="55"/>
      <c r="AB269" s="96">
        <f ca="1">INDEX(OFFSET('Measure Inputs'!$Z$7,,,InputRows),$C269)*$T269*$V269*$U269</f>
        <v>0</v>
      </c>
      <c r="AC269" s="96">
        <f ca="1">INDEX(OFFSET('Measure Inputs'!$AA$7,,,InputRows),$C269)*$T269*$V269*$U269</f>
        <v>0</v>
      </c>
      <c r="AD269" s="96">
        <f ca="1">INDEX(OFFSET('Measure Inputs'!$AB$7,,,InputRows),$C269)*$T269*$V269*$U269</f>
        <v>0</v>
      </c>
      <c r="AE269" s="55"/>
      <c r="AF269" s="57">
        <f ca="1">INDEX(OFFSET('Measure Inputs'!$Q$7,,,InputRows),$C269)*$T269</f>
        <v>0</v>
      </c>
      <c r="AG269" s="57">
        <f ca="1">INDEX(OFFSET('Measure Inputs'!$P$7,,,InputRows),$C269)*$T269*$V269</f>
        <v>2870</v>
      </c>
      <c r="AH269" s="57">
        <f ca="1">INDEX(OFFSET('Measure Inputs'!$R$7,,,InputRows),$C269)*$T269*$V269</f>
        <v>0</v>
      </c>
      <c r="AI269" s="57">
        <f ca="1">INDEX(OFFSET('Measure Inputs'!$O$7,,,InputRows),$C269)*$T269</f>
        <v>1000</v>
      </c>
      <c r="AJ269" s="57">
        <f ca="1">INDEX(OFFSET('Measure Inputs'!$S$7,,,InputRows),$C269)*$T269</f>
        <v>0</v>
      </c>
      <c r="AK269" s="63">
        <f ca="1">INDEX(OFFSET('Measure Inputs'!$M$7,,,InputRows),$C269)</f>
        <v>14</v>
      </c>
      <c r="AL269" s="88">
        <f ca="1">INDEX(OFFSET('Measure Inputs'!$N$7,,,InputRows),$C269)</f>
        <v>0</v>
      </c>
      <c r="AM269" s="57">
        <f ca="1">SUMIFS(OFFSET('Program Inputs'!$N$5,,,TotalPrograms),OFFSET('Program Inputs'!$B$5,,,TotalPrograms),SUBSTITUTE($B269,"All","*"))+AF269</f>
        <v>0</v>
      </c>
      <c r="AN269" s="57">
        <f t="shared" ca="1" si="442"/>
        <v>1000</v>
      </c>
      <c r="AO269" s="55"/>
      <c r="AP269" s="59">
        <f t="shared" ca="1" si="443"/>
        <v>1701.6966505841879</v>
      </c>
      <c r="AQ269" s="59">
        <f t="shared" ca="1" si="444"/>
        <v>2422.7289591983404</v>
      </c>
      <c r="AR269" s="59">
        <f ca="1">SUMPRODUCT($CA269:$DI269,'General Inputs'!$F$32:$AN$32,'General Inputs'!$F$51:$AN$51)/(1-Loss_ElectricEnergy)</f>
        <v>1483.9939438266149</v>
      </c>
      <c r="AS269" s="59">
        <f ca="1">SUMPRODUCT($DK269:$ES269,'General Inputs'!$F$33:$AN$33,'General Inputs'!$F$51:$AN$51)/(1-Loss_ElectricDemand)</f>
        <v>217.70270675757288</v>
      </c>
      <c r="AT269" s="59">
        <f ca="1">SUMPRODUCT($EU269:$GC269,'General Inputs'!$F$34:$AN$34,'General Inputs'!$F$51:$AN$51)/(1-Loss_GasEnergy)</f>
        <v>0</v>
      </c>
      <c r="AU269" s="59">
        <f ca="1">INDEX('General Inputs'!$F$51:$AN$51,MATCH($H269,'General Inputs'!$F$50:$AN$50,0))*$AJ269</f>
        <v>0</v>
      </c>
      <c r="AV269" s="59">
        <f ca="1">INDEX('General Inputs'!$F$51:$AN$51,MATCH($H269,'General Inputs'!$F$50:$AN$50,0))*$AI269</f>
        <v>844.15643177642517</v>
      </c>
      <c r="AW269" s="59">
        <f ca="1">INDEX('General Inputs'!$F$51:$AN$51,MATCH($H269,'General Inputs'!$F$50:$AN$50,0))*$AM269</f>
        <v>0</v>
      </c>
      <c r="AX269" s="59">
        <f ca="1">SUM(INDEX('General Inputs'!$F$51:$AN$51,MATCH($H269,'General Inputs'!$F$50:$AN$50,0))*$AG269,INDEX('General Inputs'!$F$51:$AN$51,MATCH($H269+$AL269,'General Inputs'!$F$50:$AN$50,0))*-$AH269)</f>
        <v>2422.7289591983404</v>
      </c>
      <c r="AY269" s="55"/>
      <c r="AZ269" s="59">
        <f ca="1">SUMPRODUCT($CA269:$DI269,'General Inputs'!$F$32:$AN$32,'General Inputs'!$F$52:$AN$52)/(1-Loss_ElectricEnergy)</f>
        <v>1483.9939438266149</v>
      </c>
      <c r="BA269" s="59">
        <f ca="1">SUMPRODUCT($DK269:$ES269,'General Inputs'!$F$33:$AN$33,'General Inputs'!$F$52:$AN$52)/(1-Loss_ElectricDemand)</f>
        <v>217.70270675757288</v>
      </c>
      <c r="BB269" s="59">
        <f ca="1">SUMPRODUCT($EU269:$GC269,'General Inputs'!$F$34:$AN$34,'General Inputs'!$F$52:$AN$52)/(1-Loss_GasEnergy)</f>
        <v>0</v>
      </c>
      <c r="BC269" s="59">
        <f ca="1">INDEX('General Inputs'!$F$52:$AN$52,MATCH($H269,'General Inputs'!$F$50:$AN$50,0))*$AI269</f>
        <v>844.15643177642517</v>
      </c>
      <c r="BD269" s="59">
        <f ca="1">INDEX('General Inputs'!$F$52:$AN$52,MATCH($H269,'General Inputs'!$F$50:$AN$50,0))*$AM269</f>
        <v>0</v>
      </c>
      <c r="BE269" s="55"/>
      <c r="BF269" s="59">
        <f ca="1">SUMPRODUCT($CA269:$DI269,OFFSET('General Inputs'!$F$40:$AN$40,MATCH($D269&amp;" Electric ($/kWh)",'General Inputs'!$E$40:$E$46,0),),'General Inputs'!$F$54:$AN$54)</f>
        <v>0</v>
      </c>
      <c r="BG269" s="59">
        <f ca="1">SUMPRODUCT($EU269:$GC269,OFFSET('General Inputs'!$F$40:$AN$40,MATCH($D269&amp;" Natural Gas ($/therm)",'General Inputs'!$E$40:$E$46,0),),'General Inputs'!$F$54:$AN$54)</f>
        <v>0</v>
      </c>
      <c r="BH269" s="59">
        <f ca="1">INDEX('General Inputs'!$F$54:$AN$54,MATCH($H269,'General Inputs'!$F$50:$AN$50,0))*$AI269</f>
        <v>844.15643177642517</v>
      </c>
      <c r="BI269" s="59">
        <f ca="1">SUM(INDEX('General Inputs'!$F$54:$AN$54,MATCH($H269,'General Inputs'!$F$50:$AN$50,0))*$AG269,INDEX('General Inputs'!$F$51:$AN$51,MATCH($H269+$AL269,'General Inputs'!$F$50:$AN$50,0))*-$AH269)</f>
        <v>2422.7289591983404</v>
      </c>
      <c r="BJ269" s="55"/>
      <c r="BK269" s="59">
        <f ca="1">SUMPRODUCT($CA269:$DI269,'General Inputs'!$F$32:$AN$32,'General Inputs'!$F$53:$AN$53)/(1-Loss_ElectricEnergy)</f>
        <v>1483.9939438266149</v>
      </c>
      <c r="BL269" s="59">
        <f ca="1">SUMPRODUCT($DK269:$ES269,'General Inputs'!$F$33:$AN$33,'General Inputs'!$F$53:$AN$53)/(1-Loss_ElectricDemand)</f>
        <v>217.70270675757288</v>
      </c>
      <c r="BM269" s="59">
        <f ca="1">SUMPRODUCT($EU269:$GC269,'General Inputs'!$F$34:$AN$34,'General Inputs'!$F$53:$AN$53)/(1-Loss_GasEnergy)</f>
        <v>0</v>
      </c>
      <c r="BN269" s="59">
        <f ca="1">INDEX('General Inputs'!$F$53:$AN$53,MATCH($H269,'General Inputs'!$F$50:$AN$50,0))*$AJ269</f>
        <v>0</v>
      </c>
      <c r="BO269" s="59">
        <f ca="1">SUMPRODUCT($CA269:$DI269,'General Inputs'!$F$35:$AN$35,'General Inputs'!$F$53:$AN$53)/(1-Loss_ElectricEnergy)</f>
        <v>552.08402154578835</v>
      </c>
      <c r="BP269" s="59">
        <f ca="1">INDEX('General Inputs'!$F$51:$AN$51,MATCH($H269,'General Inputs'!$F$50:$AN$50,0))*$AM269</f>
        <v>0</v>
      </c>
      <c r="BQ269" s="59">
        <f ca="1">SUM(INDEX('General Inputs'!$F$53:$AN$53,MATCH($H269,'General Inputs'!$F$50:$AN$50,0))*$AG269,INDEX('General Inputs'!$F$53:$AN$53,MATCH($H269+$AL269,'General Inputs'!$F$50:$AN$50,0))*-$AH269)</f>
        <v>2422.7289591983404</v>
      </c>
      <c r="BR269" s="55"/>
      <c r="BS269" s="59">
        <f ca="1">SUMPRODUCT($CA269:$DI269,'General Inputs'!$F$32:$AN$32,'General Inputs'!$F$55:$AN$55)/(1-Loss_ElectricEnergy)</f>
        <v>1483.9939438266149</v>
      </c>
      <c r="BT269" s="59">
        <f ca="1">SUMPRODUCT($DK269:$ES269,'General Inputs'!$F$33:$AN$33,'General Inputs'!$F$55:$AN$55)/(1-Loss_ElectricDemand)</f>
        <v>217.70270675757288</v>
      </c>
      <c r="BU269" s="59">
        <f ca="1">SUMPRODUCT($EU269:$GC269,'General Inputs'!$F$34:$AN$34,'General Inputs'!$F$55:$AN$55)/(1-Loss_GasEnergy)</f>
        <v>0</v>
      </c>
      <c r="BV269" s="59">
        <f ca="1">SUMPRODUCT($CA269:$DI269,OFFSET('General Inputs'!$F$40:$AN$40,MATCH($D269&amp;" Electric ($/kWh)",'General Inputs'!$E$40:$E$46,0),),'General Inputs'!$F$55:$AN$55)</f>
        <v>0</v>
      </c>
      <c r="BW269" s="59">
        <f ca="1">SUMPRODUCT($EU269:$GC269,OFFSET('General Inputs'!$F$40:$AN$40,MATCH($D269&amp;" Natural Gas ($/therm)",'General Inputs'!$E$40:$E$46,0),),'General Inputs'!$F$55:$AN$55)</f>
        <v>0</v>
      </c>
      <c r="BX269" s="59">
        <f ca="1">INDEX('General Inputs'!$F$55:$AN$55,MATCH($H269,'General Inputs'!$F$50:$AN$50,0))*$AI269</f>
        <v>844.15643177642517</v>
      </c>
      <c r="BY269" s="59">
        <f ca="1">INDEX('General Inputs'!$F$51:$AN$51,MATCH($H269,'General Inputs'!$F$50:$AN$50,0))*$AM269</f>
        <v>0</v>
      </c>
      <c r="BZ269" s="55"/>
      <c r="CA269" s="88">
        <f t="shared" ca="1" si="492"/>
        <v>0</v>
      </c>
      <c r="CB269" s="88">
        <f t="shared" ca="1" si="492"/>
        <v>0</v>
      </c>
      <c r="CC269" s="88">
        <f t="shared" ca="1" si="492"/>
        <v>6393.5120000000006</v>
      </c>
      <c r="CD269" s="88">
        <f t="shared" ca="1" si="492"/>
        <v>6393.5120000000006</v>
      </c>
      <c r="CE269" s="88">
        <f t="shared" ca="1" si="492"/>
        <v>6393.5120000000006</v>
      </c>
      <c r="CF269" s="88">
        <f t="shared" ca="1" si="492"/>
        <v>6393.5120000000006</v>
      </c>
      <c r="CG269" s="88">
        <f t="shared" ca="1" si="492"/>
        <v>6393.5120000000006</v>
      </c>
      <c r="CH269" s="88">
        <f t="shared" ca="1" si="492"/>
        <v>6393.5120000000006</v>
      </c>
      <c r="CI269" s="88">
        <f t="shared" ca="1" si="492"/>
        <v>6393.5120000000006</v>
      </c>
      <c r="CJ269" s="88">
        <f t="shared" ca="1" si="492"/>
        <v>6393.5120000000006</v>
      </c>
      <c r="CK269" s="88">
        <f t="shared" ca="1" si="493"/>
        <v>6393.5120000000006</v>
      </c>
      <c r="CL269" s="88">
        <f t="shared" ca="1" si="493"/>
        <v>6393.5120000000006</v>
      </c>
      <c r="CM269" s="88">
        <f t="shared" ca="1" si="493"/>
        <v>6393.5120000000006</v>
      </c>
      <c r="CN269" s="88">
        <f t="shared" ca="1" si="493"/>
        <v>6393.5120000000006</v>
      </c>
      <c r="CO269" s="88">
        <f t="shared" ca="1" si="493"/>
        <v>6393.5120000000006</v>
      </c>
      <c r="CP269" s="88">
        <f t="shared" ca="1" si="493"/>
        <v>6393.5120000000006</v>
      </c>
      <c r="CQ269" s="88">
        <f t="shared" ca="1" si="493"/>
        <v>0</v>
      </c>
      <c r="CR269" s="88">
        <f t="shared" ca="1" si="493"/>
        <v>0</v>
      </c>
      <c r="CS269" s="88">
        <f t="shared" ca="1" si="493"/>
        <v>0</v>
      </c>
      <c r="CT269" s="88">
        <f t="shared" ca="1" si="493"/>
        <v>0</v>
      </c>
      <c r="CU269" s="88">
        <f t="shared" ca="1" si="494"/>
        <v>0</v>
      </c>
      <c r="CV269" s="88">
        <f t="shared" ca="1" si="494"/>
        <v>0</v>
      </c>
      <c r="CW269" s="88">
        <f t="shared" ca="1" si="494"/>
        <v>0</v>
      </c>
      <c r="CX269" s="88">
        <f t="shared" ca="1" si="494"/>
        <v>0</v>
      </c>
      <c r="CY269" s="88">
        <f t="shared" ca="1" si="494"/>
        <v>0</v>
      </c>
      <c r="CZ269" s="88">
        <f t="shared" ca="1" si="494"/>
        <v>0</v>
      </c>
      <c r="DA269" s="88">
        <f t="shared" ca="1" si="494"/>
        <v>0</v>
      </c>
      <c r="DB269" s="88">
        <f t="shared" ca="1" si="494"/>
        <v>0</v>
      </c>
      <c r="DC269" s="88">
        <f t="shared" ca="1" si="494"/>
        <v>0</v>
      </c>
      <c r="DD269" s="88">
        <f t="shared" ca="1" si="494"/>
        <v>0</v>
      </c>
      <c r="DE269" s="88">
        <f t="shared" ca="1" si="494"/>
        <v>0</v>
      </c>
      <c r="DF269" s="88">
        <f t="shared" ca="1" si="494"/>
        <v>0</v>
      </c>
      <c r="DG269" s="88">
        <f t="shared" ca="1" si="494"/>
        <v>0</v>
      </c>
      <c r="DH269" s="88">
        <f t="shared" ca="1" si="494"/>
        <v>0</v>
      </c>
      <c r="DI269" s="88">
        <f t="shared" ca="1" si="494"/>
        <v>0</v>
      </c>
      <c r="DJ269" s="169"/>
      <c r="DK269" s="88">
        <f t="shared" ca="1" si="495"/>
        <v>0</v>
      </c>
      <c r="DL269" s="88">
        <f t="shared" ca="1" si="495"/>
        <v>0</v>
      </c>
      <c r="DM269" s="88">
        <f t="shared" ca="1" si="495"/>
        <v>1.3040000000000003</v>
      </c>
      <c r="DN269" s="88">
        <f t="shared" ca="1" si="495"/>
        <v>1.3040000000000003</v>
      </c>
      <c r="DO269" s="88">
        <f t="shared" ca="1" si="495"/>
        <v>1.3040000000000003</v>
      </c>
      <c r="DP269" s="88">
        <f t="shared" ca="1" si="495"/>
        <v>1.3040000000000003</v>
      </c>
      <c r="DQ269" s="88">
        <f t="shared" ca="1" si="495"/>
        <v>1.3040000000000003</v>
      </c>
      <c r="DR269" s="88">
        <f t="shared" ca="1" si="495"/>
        <v>1.3040000000000003</v>
      </c>
      <c r="DS269" s="88">
        <f t="shared" ca="1" si="495"/>
        <v>1.3040000000000003</v>
      </c>
      <c r="DT269" s="88">
        <f t="shared" ca="1" si="495"/>
        <v>1.3040000000000003</v>
      </c>
      <c r="DU269" s="88">
        <f t="shared" ca="1" si="496"/>
        <v>1.3040000000000003</v>
      </c>
      <c r="DV269" s="88">
        <f t="shared" ca="1" si="496"/>
        <v>1.3040000000000003</v>
      </c>
      <c r="DW269" s="88">
        <f t="shared" ca="1" si="496"/>
        <v>1.3040000000000003</v>
      </c>
      <c r="DX269" s="88">
        <f t="shared" ca="1" si="496"/>
        <v>1.3040000000000003</v>
      </c>
      <c r="DY269" s="88">
        <f t="shared" ca="1" si="496"/>
        <v>1.3040000000000003</v>
      </c>
      <c r="DZ269" s="88">
        <f t="shared" ca="1" si="496"/>
        <v>1.3040000000000003</v>
      </c>
      <c r="EA269" s="88">
        <f t="shared" ca="1" si="496"/>
        <v>0</v>
      </c>
      <c r="EB269" s="88">
        <f t="shared" ca="1" si="496"/>
        <v>0</v>
      </c>
      <c r="EC269" s="88">
        <f t="shared" ca="1" si="496"/>
        <v>0</v>
      </c>
      <c r="ED269" s="88">
        <f t="shared" ca="1" si="496"/>
        <v>0</v>
      </c>
      <c r="EE269" s="88">
        <f t="shared" ca="1" si="497"/>
        <v>0</v>
      </c>
      <c r="EF269" s="88">
        <f t="shared" ca="1" si="497"/>
        <v>0</v>
      </c>
      <c r="EG269" s="88">
        <f t="shared" ca="1" si="497"/>
        <v>0</v>
      </c>
      <c r="EH269" s="88">
        <f t="shared" ca="1" si="497"/>
        <v>0</v>
      </c>
      <c r="EI269" s="88">
        <f t="shared" ca="1" si="497"/>
        <v>0</v>
      </c>
      <c r="EJ269" s="88">
        <f t="shared" ca="1" si="497"/>
        <v>0</v>
      </c>
      <c r="EK269" s="88">
        <f t="shared" ca="1" si="497"/>
        <v>0</v>
      </c>
      <c r="EL269" s="88">
        <f t="shared" ca="1" si="497"/>
        <v>0</v>
      </c>
      <c r="EM269" s="88">
        <f t="shared" ca="1" si="497"/>
        <v>0</v>
      </c>
      <c r="EN269" s="88">
        <f t="shared" ca="1" si="497"/>
        <v>0</v>
      </c>
      <c r="EO269" s="88">
        <f t="shared" ca="1" si="497"/>
        <v>0</v>
      </c>
      <c r="EP269" s="88">
        <f t="shared" ca="1" si="497"/>
        <v>0</v>
      </c>
      <c r="EQ269" s="88">
        <f t="shared" ca="1" si="497"/>
        <v>0</v>
      </c>
      <c r="ER269" s="88">
        <f t="shared" ca="1" si="497"/>
        <v>0</v>
      </c>
      <c r="ES269" s="88">
        <f t="shared" ca="1" si="497"/>
        <v>0</v>
      </c>
      <c r="ET269" s="169"/>
      <c r="EU269" s="88">
        <f t="shared" ca="1" si="498"/>
        <v>0</v>
      </c>
      <c r="EV269" s="88">
        <f t="shared" ca="1" si="498"/>
        <v>0</v>
      </c>
      <c r="EW269" s="88">
        <f t="shared" ca="1" si="498"/>
        <v>0</v>
      </c>
      <c r="EX269" s="88">
        <f t="shared" ca="1" si="498"/>
        <v>0</v>
      </c>
      <c r="EY269" s="88">
        <f t="shared" ca="1" si="498"/>
        <v>0</v>
      </c>
      <c r="EZ269" s="88">
        <f t="shared" ca="1" si="498"/>
        <v>0</v>
      </c>
      <c r="FA269" s="88">
        <f t="shared" ca="1" si="498"/>
        <v>0</v>
      </c>
      <c r="FB269" s="88">
        <f t="shared" ca="1" si="498"/>
        <v>0</v>
      </c>
      <c r="FC269" s="88">
        <f t="shared" ca="1" si="498"/>
        <v>0</v>
      </c>
      <c r="FD269" s="88">
        <f t="shared" ca="1" si="498"/>
        <v>0</v>
      </c>
      <c r="FE269" s="88">
        <f t="shared" ca="1" si="499"/>
        <v>0</v>
      </c>
      <c r="FF269" s="88">
        <f t="shared" ca="1" si="499"/>
        <v>0</v>
      </c>
      <c r="FG269" s="88">
        <f t="shared" ca="1" si="499"/>
        <v>0</v>
      </c>
      <c r="FH269" s="88">
        <f t="shared" ca="1" si="499"/>
        <v>0</v>
      </c>
      <c r="FI269" s="88">
        <f t="shared" ca="1" si="499"/>
        <v>0</v>
      </c>
      <c r="FJ269" s="88">
        <f t="shared" ca="1" si="499"/>
        <v>0</v>
      </c>
      <c r="FK269" s="88">
        <f t="shared" ca="1" si="499"/>
        <v>0</v>
      </c>
      <c r="FL269" s="88">
        <f t="shared" ca="1" si="499"/>
        <v>0</v>
      </c>
      <c r="FM269" s="88">
        <f t="shared" ca="1" si="499"/>
        <v>0</v>
      </c>
      <c r="FN269" s="88">
        <f t="shared" ca="1" si="499"/>
        <v>0</v>
      </c>
      <c r="FO269" s="88">
        <f t="shared" ca="1" si="500"/>
        <v>0</v>
      </c>
      <c r="FP269" s="88">
        <f t="shared" ca="1" si="500"/>
        <v>0</v>
      </c>
      <c r="FQ269" s="88">
        <f t="shared" ca="1" si="500"/>
        <v>0</v>
      </c>
      <c r="FR269" s="88">
        <f t="shared" ca="1" si="500"/>
        <v>0</v>
      </c>
      <c r="FS269" s="88">
        <f t="shared" ca="1" si="500"/>
        <v>0</v>
      </c>
      <c r="FT269" s="88">
        <f t="shared" ca="1" si="500"/>
        <v>0</v>
      </c>
      <c r="FU269" s="88">
        <f t="shared" ca="1" si="500"/>
        <v>0</v>
      </c>
      <c r="FV269" s="88">
        <f t="shared" ca="1" si="500"/>
        <v>0</v>
      </c>
      <c r="FW269" s="88">
        <f t="shared" ca="1" si="500"/>
        <v>0</v>
      </c>
      <c r="FX269" s="88">
        <f t="shared" ca="1" si="500"/>
        <v>0</v>
      </c>
      <c r="FY269" s="88">
        <f t="shared" ca="1" si="500"/>
        <v>0</v>
      </c>
      <c r="FZ269" s="88">
        <f t="shared" ca="1" si="500"/>
        <v>0</v>
      </c>
      <c r="GA269" s="88">
        <f t="shared" ca="1" si="500"/>
        <v>0</v>
      </c>
      <c r="GB269" s="88">
        <f t="shared" ca="1" si="500"/>
        <v>0</v>
      </c>
      <c r="GC269" s="88">
        <f t="shared" ca="1" si="500"/>
        <v>0</v>
      </c>
      <c r="GD269" s="60"/>
    </row>
    <row r="270" spans="1:186" s="54" customFormat="1" ht="14.45" customHeight="1">
      <c r="A270" s="61"/>
      <c r="B270" s="100" t="str">
        <f t="shared" si="482"/>
        <v>C&amp;I_C&amp;I Prescriptive_0_LED Outdoor Pole/Arm Mounted Parking Roadway (&gt;75W to 150W)_2019</v>
      </c>
      <c r="C270" s="100">
        <f>INDEX('Measure Inputs'!$D:$D,MATCH($B270,'Measure Inputs'!$B:$B,0))</f>
        <v>222</v>
      </c>
      <c r="D270" s="101" t="s">
        <v>256</v>
      </c>
      <c r="E270" s="101" t="s">
        <v>255</v>
      </c>
      <c r="F270" s="101">
        <v>0</v>
      </c>
      <c r="G270" s="101" t="s">
        <v>371</v>
      </c>
      <c r="H270" s="101">
        <v>2019</v>
      </c>
      <c r="I270" s="55"/>
      <c r="J270" s="58">
        <f t="shared" ref="J270:J275" ca="1" si="501">IFERROR(SUMIFS($AR270:$AX270,$AR$7:$AX$7,"BENEFIT")/SUMIFS($AR270:$AX270,$AR$7:$AX$7,"COST"),"n/a")</f>
        <v>0.96707757804001615</v>
      </c>
      <c r="K270" s="58">
        <f t="shared" ca="1" si="246"/>
        <v>2.7009095215260452</v>
      </c>
      <c r="L270" s="58">
        <f t="shared" ref="L270:L275" ca="1" si="502">IFERROR(SUMIFS($BF270:$BI270,$BF$7:$BI$7,"BENEFIT")/SUMIFS($BF270:$BI270,$BF$7:$BI$7,"COST"),"n/a")</f>
        <v>0.35805626598465473</v>
      </c>
      <c r="M270" s="58">
        <f t="shared" ref="M270:M275" ca="1" si="503">IFERROR(SUMIFS($BK270:$BQ270,$BK$7:$BQ$7,"BENEFIT")/SUMIFS($BK270:$BQ270,$BK$7:$BQ$7,"COST"),"n/a")</f>
        <v>1.2808280213095635</v>
      </c>
      <c r="N270" s="58">
        <f t="shared" ref="N270:N275" ca="1" si="504">IFERROR(SUMIFS($BS270:$BY270,$BS$7:$BY$7,"BENEFIT")/SUMIFS($BS270:$BY270,$BS$7:$BY$7,"COST"),"n/a")</f>
        <v>2.7009095215260452</v>
      </c>
      <c r="O270" s="55"/>
      <c r="P270" s="175">
        <f ca="1">IFERROR(($AW270+AV270)/SUMPRODUCT($CA270:$DI270,'General Inputs'!$F$51:$AN$51),"n/a")</f>
        <v>1.3651453084991355E-2</v>
      </c>
      <c r="Q270" s="175">
        <f t="shared" ca="1" si="454"/>
        <v>0.11673731219676443</v>
      </c>
      <c r="R270" s="56">
        <f t="shared" ca="1" si="441"/>
        <v>167.89833199999998</v>
      </c>
      <c r="S270" s="55"/>
      <c r="T270" s="56">
        <f ca="1">INDEX(OFFSET('Measure Inputs'!$L$7,,,InputRows),$C270)</f>
        <v>10</v>
      </c>
      <c r="U270" s="134">
        <f ca="1">INDEX(OFFSET('Measure Inputs'!$T$7,,,InputRows),$C270)</f>
        <v>1</v>
      </c>
      <c r="V270" s="134">
        <f ca="1">INDEX(OFFSET('Measure Inputs'!$U$7,,,InputRows),$C270)</f>
        <v>1</v>
      </c>
      <c r="W270" s="55"/>
      <c r="X270" s="96">
        <f ca="1">INDEX(OFFSET('Measure Inputs'!$V$7,,,InputRows),$C270)*$T270*$V270*$U270</f>
        <v>11992.737999999998</v>
      </c>
      <c r="Y270" s="96">
        <f ca="1">INDEX(OFFSET('Measure Inputs'!$W$7,,,InputRows),$C270)*$T270*$V270*$U270</f>
        <v>2.4459999999999997</v>
      </c>
      <c r="Z270" s="96">
        <f ca="1">INDEX(OFFSET('Measure Inputs'!$X$7,,,InputRows),$C270)*$T270*$V270*$U270</f>
        <v>0</v>
      </c>
      <c r="AA270" s="55"/>
      <c r="AB270" s="96">
        <f ca="1">INDEX(OFFSET('Measure Inputs'!$Z$7,,,InputRows),$C270)*$T270*$V270*$U270</f>
        <v>0</v>
      </c>
      <c r="AC270" s="96">
        <f ca="1">INDEX(OFFSET('Measure Inputs'!$AA$7,,,InputRows),$C270)*$T270*$V270*$U270</f>
        <v>0</v>
      </c>
      <c r="AD270" s="96">
        <f ca="1">INDEX(OFFSET('Measure Inputs'!$AB$7,,,InputRows),$C270)*$T270*$V270*$U270</f>
        <v>0</v>
      </c>
      <c r="AE270" s="55"/>
      <c r="AF270" s="57">
        <f ca="1">INDEX(OFFSET('Measure Inputs'!$Q$7,,,InputRows),$C270)*$T270</f>
        <v>0</v>
      </c>
      <c r="AG270" s="57">
        <f ca="1">INDEX(OFFSET('Measure Inputs'!$P$7,,,InputRows),$C270)*$T270*$V270</f>
        <v>3910</v>
      </c>
      <c r="AH270" s="57">
        <f ca="1">INDEX(OFFSET('Measure Inputs'!$R$7,,,InputRows),$C270)*$T270*$V270</f>
        <v>0</v>
      </c>
      <c r="AI270" s="57">
        <f ca="1">INDEX(OFFSET('Measure Inputs'!$O$7,,,InputRows),$C270)*$T270</f>
        <v>1400</v>
      </c>
      <c r="AJ270" s="57">
        <f ca="1">INDEX(OFFSET('Measure Inputs'!$S$7,,,InputRows),$C270)*$T270</f>
        <v>0</v>
      </c>
      <c r="AK270" s="63">
        <f ca="1">INDEX(OFFSET('Measure Inputs'!$M$7,,,InputRows),$C270)</f>
        <v>14</v>
      </c>
      <c r="AL270" s="88">
        <f ca="1">INDEX(OFFSET('Measure Inputs'!$N$7,,,InputRows),$C270)</f>
        <v>0</v>
      </c>
      <c r="AM270" s="57">
        <f ca="1">SUMIFS(OFFSET('Program Inputs'!$N$5,,,TotalPrograms),OFFSET('Program Inputs'!$B$5,,,TotalPrograms),SUBSTITUTE($B270,"All","*"))+AF270</f>
        <v>0</v>
      </c>
      <c r="AN270" s="57">
        <f t="shared" ca="1" si="442"/>
        <v>1400</v>
      </c>
      <c r="AO270" s="55"/>
      <c r="AP270" s="59">
        <f t="shared" ca="1" si="443"/>
        <v>3191.9862019393572</v>
      </c>
      <c r="AQ270" s="59">
        <f t="shared" ca="1" si="444"/>
        <v>3300.6516482458223</v>
      </c>
      <c r="AR270" s="59">
        <f ca="1">SUMPRODUCT($CA270:$DI270,'General Inputs'!$F$32:$AN$32,'General Inputs'!$F$51:$AN$51)/(1-Loss_ElectricEnergy)</f>
        <v>2783.626676840413</v>
      </c>
      <c r="AS270" s="59">
        <f ca="1">SUMPRODUCT($DK270:$ES270,'General Inputs'!$F$33:$AN$33,'General Inputs'!$F$51:$AN$51)/(1-Loss_ElectricDemand)</f>
        <v>408.35952509894418</v>
      </c>
      <c r="AT270" s="59">
        <f ca="1">SUMPRODUCT($EU270:$GC270,'General Inputs'!$F$34:$AN$34,'General Inputs'!$F$51:$AN$51)/(1-Loss_GasEnergy)</f>
        <v>0</v>
      </c>
      <c r="AU270" s="59">
        <f ca="1">INDEX('General Inputs'!$F$51:$AN$51,MATCH($H270,'General Inputs'!$F$50:$AN$50,0))*$AJ270</f>
        <v>0</v>
      </c>
      <c r="AV270" s="59">
        <f ca="1">INDEX('General Inputs'!$F$51:$AN$51,MATCH($H270,'General Inputs'!$F$50:$AN$50,0))*$AI270</f>
        <v>1181.8190044869953</v>
      </c>
      <c r="AW270" s="59">
        <f ca="1">INDEX('General Inputs'!$F$51:$AN$51,MATCH($H270,'General Inputs'!$F$50:$AN$50,0))*$AM270</f>
        <v>0</v>
      </c>
      <c r="AX270" s="59">
        <f ca="1">SUM(INDEX('General Inputs'!$F$51:$AN$51,MATCH($H270,'General Inputs'!$F$50:$AN$50,0))*$AG270,INDEX('General Inputs'!$F$51:$AN$51,MATCH($H270+$AL270,'General Inputs'!$F$50:$AN$50,0))*-$AH270)</f>
        <v>3300.6516482458223</v>
      </c>
      <c r="AY270" s="55"/>
      <c r="AZ270" s="59">
        <f ca="1">SUMPRODUCT($CA270:$DI270,'General Inputs'!$F$32:$AN$32,'General Inputs'!$F$52:$AN$52)/(1-Loss_ElectricEnergy)</f>
        <v>2783.626676840413</v>
      </c>
      <c r="BA270" s="59">
        <f ca="1">SUMPRODUCT($DK270:$ES270,'General Inputs'!$F$33:$AN$33,'General Inputs'!$F$52:$AN$52)/(1-Loss_ElectricDemand)</f>
        <v>408.35952509894418</v>
      </c>
      <c r="BB270" s="59">
        <f ca="1">SUMPRODUCT($EU270:$GC270,'General Inputs'!$F$34:$AN$34,'General Inputs'!$F$52:$AN$52)/(1-Loss_GasEnergy)</f>
        <v>0</v>
      </c>
      <c r="BC270" s="59">
        <f ca="1">INDEX('General Inputs'!$F$52:$AN$52,MATCH($H270,'General Inputs'!$F$50:$AN$50,0))*$AI270</f>
        <v>1181.8190044869953</v>
      </c>
      <c r="BD270" s="59">
        <f ca="1">INDEX('General Inputs'!$F$52:$AN$52,MATCH($H270,'General Inputs'!$F$50:$AN$50,0))*$AM270</f>
        <v>0</v>
      </c>
      <c r="BE270" s="55"/>
      <c r="BF270" s="59">
        <f ca="1">SUMPRODUCT($CA270:$DI270,OFFSET('General Inputs'!$F$40:$AN$40,MATCH($D270&amp;" Electric ($/kWh)",'General Inputs'!$E$40:$E$46,0),),'General Inputs'!$F$54:$AN$54)</f>
        <v>0</v>
      </c>
      <c r="BG270" s="59">
        <f ca="1">SUMPRODUCT($EU270:$GC270,OFFSET('General Inputs'!$F$40:$AN$40,MATCH($D270&amp;" Natural Gas ($/therm)",'General Inputs'!$E$40:$E$46,0),),'General Inputs'!$F$54:$AN$54)</f>
        <v>0</v>
      </c>
      <c r="BH270" s="59">
        <f ca="1">INDEX('General Inputs'!$F$54:$AN$54,MATCH($H270,'General Inputs'!$F$50:$AN$50,0))*$AI270</f>
        <v>1181.8190044869953</v>
      </c>
      <c r="BI270" s="59">
        <f ca="1">SUM(INDEX('General Inputs'!$F$54:$AN$54,MATCH($H270,'General Inputs'!$F$50:$AN$50,0))*$AG270,INDEX('General Inputs'!$F$51:$AN$51,MATCH($H270+$AL270,'General Inputs'!$F$50:$AN$50,0))*-$AH270)</f>
        <v>3300.6516482458223</v>
      </c>
      <c r="BJ270" s="55"/>
      <c r="BK270" s="59">
        <f ca="1">SUMPRODUCT($CA270:$DI270,'General Inputs'!$F$32:$AN$32,'General Inputs'!$F$53:$AN$53)/(1-Loss_ElectricEnergy)</f>
        <v>2783.626676840413</v>
      </c>
      <c r="BL270" s="59">
        <f ca="1">SUMPRODUCT($DK270:$ES270,'General Inputs'!$F$33:$AN$33,'General Inputs'!$F$53:$AN$53)/(1-Loss_ElectricDemand)</f>
        <v>408.35952509894418</v>
      </c>
      <c r="BM270" s="59">
        <f ca="1">SUMPRODUCT($EU270:$GC270,'General Inputs'!$F$34:$AN$34,'General Inputs'!$F$53:$AN$53)/(1-Loss_GasEnergy)</f>
        <v>0</v>
      </c>
      <c r="BN270" s="59">
        <f ca="1">INDEX('General Inputs'!$F$53:$AN$53,MATCH($H270,'General Inputs'!$F$50:$AN$50,0))*$AJ270</f>
        <v>0</v>
      </c>
      <c r="BO270" s="59">
        <f ca="1">SUMPRODUCT($CA270:$DI270,'General Inputs'!$F$35:$AN$35,'General Inputs'!$F$53:$AN$53)/(1-Loss_ElectricEnergy)</f>
        <v>1035.5809177154892</v>
      </c>
      <c r="BP270" s="59">
        <f ca="1">INDEX('General Inputs'!$F$51:$AN$51,MATCH($H270,'General Inputs'!$F$50:$AN$50,0))*$AM270</f>
        <v>0</v>
      </c>
      <c r="BQ270" s="59">
        <f ca="1">SUM(INDEX('General Inputs'!$F$53:$AN$53,MATCH($H270,'General Inputs'!$F$50:$AN$50,0))*$AG270,INDEX('General Inputs'!$F$53:$AN$53,MATCH($H270+$AL270,'General Inputs'!$F$50:$AN$50,0))*-$AH270)</f>
        <v>3300.6516482458223</v>
      </c>
      <c r="BR270" s="55"/>
      <c r="BS270" s="59">
        <f ca="1">SUMPRODUCT($CA270:$DI270,'General Inputs'!$F$32:$AN$32,'General Inputs'!$F$55:$AN$55)/(1-Loss_ElectricEnergy)</f>
        <v>2783.626676840413</v>
      </c>
      <c r="BT270" s="59">
        <f ca="1">SUMPRODUCT($DK270:$ES270,'General Inputs'!$F$33:$AN$33,'General Inputs'!$F$55:$AN$55)/(1-Loss_ElectricDemand)</f>
        <v>408.35952509894418</v>
      </c>
      <c r="BU270" s="59">
        <f ca="1">SUMPRODUCT($EU270:$GC270,'General Inputs'!$F$34:$AN$34,'General Inputs'!$F$55:$AN$55)/(1-Loss_GasEnergy)</f>
        <v>0</v>
      </c>
      <c r="BV270" s="59">
        <f ca="1">SUMPRODUCT($CA270:$DI270,OFFSET('General Inputs'!$F$40:$AN$40,MATCH($D270&amp;" Electric ($/kWh)",'General Inputs'!$E$40:$E$46,0),),'General Inputs'!$F$55:$AN$55)</f>
        <v>0</v>
      </c>
      <c r="BW270" s="59">
        <f ca="1">SUMPRODUCT($EU270:$GC270,OFFSET('General Inputs'!$F$40:$AN$40,MATCH($D270&amp;" Natural Gas ($/therm)",'General Inputs'!$E$40:$E$46,0),),'General Inputs'!$F$55:$AN$55)</f>
        <v>0</v>
      </c>
      <c r="BX270" s="59">
        <f ca="1">INDEX('General Inputs'!$F$55:$AN$55,MATCH($H270,'General Inputs'!$F$50:$AN$50,0))*$AI270</f>
        <v>1181.8190044869953</v>
      </c>
      <c r="BY270" s="59">
        <f ca="1">INDEX('General Inputs'!$F$51:$AN$51,MATCH($H270,'General Inputs'!$F$50:$AN$50,0))*$AM270</f>
        <v>0</v>
      </c>
      <c r="BZ270" s="55"/>
      <c r="CA270" s="88">
        <f t="shared" ca="1" si="492"/>
        <v>0</v>
      </c>
      <c r="CB270" s="88">
        <f t="shared" ca="1" si="492"/>
        <v>0</v>
      </c>
      <c r="CC270" s="88">
        <f t="shared" ca="1" si="492"/>
        <v>11992.737999999998</v>
      </c>
      <c r="CD270" s="88">
        <f t="shared" ca="1" si="492"/>
        <v>11992.737999999998</v>
      </c>
      <c r="CE270" s="88">
        <f t="shared" ca="1" si="492"/>
        <v>11992.737999999998</v>
      </c>
      <c r="CF270" s="88">
        <f t="shared" ca="1" si="492"/>
        <v>11992.737999999998</v>
      </c>
      <c r="CG270" s="88">
        <f t="shared" ca="1" si="492"/>
        <v>11992.737999999998</v>
      </c>
      <c r="CH270" s="88">
        <f t="shared" ca="1" si="492"/>
        <v>11992.737999999998</v>
      </c>
      <c r="CI270" s="88">
        <f t="shared" ca="1" si="492"/>
        <v>11992.737999999998</v>
      </c>
      <c r="CJ270" s="88">
        <f t="shared" ca="1" si="492"/>
        <v>11992.737999999998</v>
      </c>
      <c r="CK270" s="88">
        <f t="shared" ca="1" si="493"/>
        <v>11992.737999999998</v>
      </c>
      <c r="CL270" s="88">
        <f t="shared" ca="1" si="493"/>
        <v>11992.737999999998</v>
      </c>
      <c r="CM270" s="88">
        <f t="shared" ca="1" si="493"/>
        <v>11992.737999999998</v>
      </c>
      <c r="CN270" s="88">
        <f t="shared" ca="1" si="493"/>
        <v>11992.737999999998</v>
      </c>
      <c r="CO270" s="88">
        <f t="shared" ca="1" si="493"/>
        <v>11992.737999999998</v>
      </c>
      <c r="CP270" s="88">
        <f t="shared" ca="1" si="493"/>
        <v>11992.737999999998</v>
      </c>
      <c r="CQ270" s="88">
        <f t="shared" ca="1" si="493"/>
        <v>0</v>
      </c>
      <c r="CR270" s="88">
        <f t="shared" ca="1" si="493"/>
        <v>0</v>
      </c>
      <c r="CS270" s="88">
        <f t="shared" ca="1" si="493"/>
        <v>0</v>
      </c>
      <c r="CT270" s="88">
        <f t="shared" ca="1" si="493"/>
        <v>0</v>
      </c>
      <c r="CU270" s="88">
        <f t="shared" ca="1" si="494"/>
        <v>0</v>
      </c>
      <c r="CV270" s="88">
        <f t="shared" ca="1" si="494"/>
        <v>0</v>
      </c>
      <c r="CW270" s="88">
        <f t="shared" ca="1" si="494"/>
        <v>0</v>
      </c>
      <c r="CX270" s="88">
        <f t="shared" ca="1" si="494"/>
        <v>0</v>
      </c>
      <c r="CY270" s="88">
        <f t="shared" ca="1" si="494"/>
        <v>0</v>
      </c>
      <c r="CZ270" s="88">
        <f t="shared" ca="1" si="494"/>
        <v>0</v>
      </c>
      <c r="DA270" s="88">
        <f t="shared" ca="1" si="494"/>
        <v>0</v>
      </c>
      <c r="DB270" s="88">
        <f t="shared" ca="1" si="494"/>
        <v>0</v>
      </c>
      <c r="DC270" s="88">
        <f t="shared" ca="1" si="494"/>
        <v>0</v>
      </c>
      <c r="DD270" s="88">
        <f t="shared" ca="1" si="494"/>
        <v>0</v>
      </c>
      <c r="DE270" s="88">
        <f t="shared" ca="1" si="494"/>
        <v>0</v>
      </c>
      <c r="DF270" s="88">
        <f t="shared" ca="1" si="494"/>
        <v>0</v>
      </c>
      <c r="DG270" s="88">
        <f t="shared" ca="1" si="494"/>
        <v>0</v>
      </c>
      <c r="DH270" s="88">
        <f t="shared" ca="1" si="494"/>
        <v>0</v>
      </c>
      <c r="DI270" s="88">
        <f t="shared" ca="1" si="494"/>
        <v>0</v>
      </c>
      <c r="DJ270" s="169"/>
      <c r="DK270" s="88">
        <f t="shared" ca="1" si="495"/>
        <v>0</v>
      </c>
      <c r="DL270" s="88">
        <f t="shared" ca="1" si="495"/>
        <v>0</v>
      </c>
      <c r="DM270" s="88">
        <f t="shared" ca="1" si="495"/>
        <v>2.4459999999999997</v>
      </c>
      <c r="DN270" s="88">
        <f t="shared" ca="1" si="495"/>
        <v>2.4459999999999997</v>
      </c>
      <c r="DO270" s="88">
        <f t="shared" ca="1" si="495"/>
        <v>2.4459999999999997</v>
      </c>
      <c r="DP270" s="88">
        <f t="shared" ca="1" si="495"/>
        <v>2.4459999999999997</v>
      </c>
      <c r="DQ270" s="88">
        <f t="shared" ca="1" si="495"/>
        <v>2.4459999999999997</v>
      </c>
      <c r="DR270" s="88">
        <f t="shared" ca="1" si="495"/>
        <v>2.4459999999999997</v>
      </c>
      <c r="DS270" s="88">
        <f t="shared" ca="1" si="495"/>
        <v>2.4459999999999997</v>
      </c>
      <c r="DT270" s="88">
        <f t="shared" ca="1" si="495"/>
        <v>2.4459999999999997</v>
      </c>
      <c r="DU270" s="88">
        <f t="shared" ca="1" si="496"/>
        <v>2.4459999999999997</v>
      </c>
      <c r="DV270" s="88">
        <f t="shared" ca="1" si="496"/>
        <v>2.4459999999999997</v>
      </c>
      <c r="DW270" s="88">
        <f t="shared" ca="1" si="496"/>
        <v>2.4459999999999997</v>
      </c>
      <c r="DX270" s="88">
        <f t="shared" ca="1" si="496"/>
        <v>2.4459999999999997</v>
      </c>
      <c r="DY270" s="88">
        <f t="shared" ca="1" si="496"/>
        <v>2.4459999999999997</v>
      </c>
      <c r="DZ270" s="88">
        <f t="shared" ca="1" si="496"/>
        <v>2.4459999999999997</v>
      </c>
      <c r="EA270" s="88">
        <f t="shared" ca="1" si="496"/>
        <v>0</v>
      </c>
      <c r="EB270" s="88">
        <f t="shared" ca="1" si="496"/>
        <v>0</v>
      </c>
      <c r="EC270" s="88">
        <f t="shared" ca="1" si="496"/>
        <v>0</v>
      </c>
      <c r="ED270" s="88">
        <f t="shared" ca="1" si="496"/>
        <v>0</v>
      </c>
      <c r="EE270" s="88">
        <f t="shared" ca="1" si="497"/>
        <v>0</v>
      </c>
      <c r="EF270" s="88">
        <f t="shared" ca="1" si="497"/>
        <v>0</v>
      </c>
      <c r="EG270" s="88">
        <f t="shared" ca="1" si="497"/>
        <v>0</v>
      </c>
      <c r="EH270" s="88">
        <f t="shared" ca="1" si="497"/>
        <v>0</v>
      </c>
      <c r="EI270" s="88">
        <f t="shared" ca="1" si="497"/>
        <v>0</v>
      </c>
      <c r="EJ270" s="88">
        <f t="shared" ca="1" si="497"/>
        <v>0</v>
      </c>
      <c r="EK270" s="88">
        <f t="shared" ca="1" si="497"/>
        <v>0</v>
      </c>
      <c r="EL270" s="88">
        <f t="shared" ca="1" si="497"/>
        <v>0</v>
      </c>
      <c r="EM270" s="88">
        <f t="shared" ca="1" si="497"/>
        <v>0</v>
      </c>
      <c r="EN270" s="88">
        <f t="shared" ca="1" si="497"/>
        <v>0</v>
      </c>
      <c r="EO270" s="88">
        <f t="shared" ca="1" si="497"/>
        <v>0</v>
      </c>
      <c r="EP270" s="88">
        <f t="shared" ca="1" si="497"/>
        <v>0</v>
      </c>
      <c r="EQ270" s="88">
        <f t="shared" ca="1" si="497"/>
        <v>0</v>
      </c>
      <c r="ER270" s="88">
        <f t="shared" ca="1" si="497"/>
        <v>0</v>
      </c>
      <c r="ES270" s="88">
        <f t="shared" ca="1" si="497"/>
        <v>0</v>
      </c>
      <c r="ET270" s="169"/>
      <c r="EU270" s="88">
        <f t="shared" ca="1" si="498"/>
        <v>0</v>
      </c>
      <c r="EV270" s="88">
        <f t="shared" ca="1" si="498"/>
        <v>0</v>
      </c>
      <c r="EW270" s="88">
        <f t="shared" ca="1" si="498"/>
        <v>0</v>
      </c>
      <c r="EX270" s="88">
        <f t="shared" ca="1" si="498"/>
        <v>0</v>
      </c>
      <c r="EY270" s="88">
        <f t="shared" ca="1" si="498"/>
        <v>0</v>
      </c>
      <c r="EZ270" s="88">
        <f t="shared" ca="1" si="498"/>
        <v>0</v>
      </c>
      <c r="FA270" s="88">
        <f t="shared" ca="1" si="498"/>
        <v>0</v>
      </c>
      <c r="FB270" s="88">
        <f t="shared" ca="1" si="498"/>
        <v>0</v>
      </c>
      <c r="FC270" s="88">
        <f t="shared" ca="1" si="498"/>
        <v>0</v>
      </c>
      <c r="FD270" s="88">
        <f t="shared" ca="1" si="498"/>
        <v>0</v>
      </c>
      <c r="FE270" s="88">
        <f t="shared" ca="1" si="499"/>
        <v>0</v>
      </c>
      <c r="FF270" s="88">
        <f t="shared" ca="1" si="499"/>
        <v>0</v>
      </c>
      <c r="FG270" s="88">
        <f t="shared" ca="1" si="499"/>
        <v>0</v>
      </c>
      <c r="FH270" s="88">
        <f t="shared" ca="1" si="499"/>
        <v>0</v>
      </c>
      <c r="FI270" s="88">
        <f t="shared" ca="1" si="499"/>
        <v>0</v>
      </c>
      <c r="FJ270" s="88">
        <f t="shared" ca="1" si="499"/>
        <v>0</v>
      </c>
      <c r="FK270" s="88">
        <f t="shared" ca="1" si="499"/>
        <v>0</v>
      </c>
      <c r="FL270" s="88">
        <f t="shared" ca="1" si="499"/>
        <v>0</v>
      </c>
      <c r="FM270" s="88">
        <f t="shared" ca="1" si="499"/>
        <v>0</v>
      </c>
      <c r="FN270" s="88">
        <f t="shared" ca="1" si="499"/>
        <v>0</v>
      </c>
      <c r="FO270" s="88">
        <f t="shared" ca="1" si="500"/>
        <v>0</v>
      </c>
      <c r="FP270" s="88">
        <f t="shared" ca="1" si="500"/>
        <v>0</v>
      </c>
      <c r="FQ270" s="88">
        <f t="shared" ca="1" si="500"/>
        <v>0</v>
      </c>
      <c r="FR270" s="88">
        <f t="shared" ca="1" si="500"/>
        <v>0</v>
      </c>
      <c r="FS270" s="88">
        <f t="shared" ca="1" si="500"/>
        <v>0</v>
      </c>
      <c r="FT270" s="88">
        <f t="shared" ca="1" si="500"/>
        <v>0</v>
      </c>
      <c r="FU270" s="88">
        <f t="shared" ca="1" si="500"/>
        <v>0</v>
      </c>
      <c r="FV270" s="88">
        <f t="shared" ca="1" si="500"/>
        <v>0</v>
      </c>
      <c r="FW270" s="88">
        <f t="shared" ca="1" si="500"/>
        <v>0</v>
      </c>
      <c r="FX270" s="88">
        <f t="shared" ca="1" si="500"/>
        <v>0</v>
      </c>
      <c r="FY270" s="88">
        <f t="shared" ca="1" si="500"/>
        <v>0</v>
      </c>
      <c r="FZ270" s="88">
        <f t="shared" ca="1" si="500"/>
        <v>0</v>
      </c>
      <c r="GA270" s="88">
        <f t="shared" ca="1" si="500"/>
        <v>0</v>
      </c>
      <c r="GB270" s="88">
        <f t="shared" ca="1" si="500"/>
        <v>0</v>
      </c>
      <c r="GC270" s="88">
        <f t="shared" ca="1" si="500"/>
        <v>0</v>
      </c>
      <c r="GD270" s="60"/>
    </row>
    <row r="271" spans="1:186" s="54" customFormat="1" ht="14.45" customHeight="1">
      <c r="A271" s="61"/>
      <c r="B271" s="100" t="str">
        <f t="shared" si="482"/>
        <v>C&amp;I_C&amp;I Prescriptive_0_Split Package Heat Pump_2019</v>
      </c>
      <c r="C271" s="100">
        <f>INDEX('Measure Inputs'!$D:$D,MATCH($B271,'Measure Inputs'!$B:$B,0))</f>
        <v>223</v>
      </c>
      <c r="D271" s="101" t="s">
        <v>256</v>
      </c>
      <c r="E271" s="101" t="s">
        <v>255</v>
      </c>
      <c r="F271" s="101">
        <v>0</v>
      </c>
      <c r="G271" s="101" t="s">
        <v>312</v>
      </c>
      <c r="H271" s="101">
        <v>2019</v>
      </c>
      <c r="I271" s="55"/>
      <c r="J271" s="58">
        <f t="shared" ca="1" si="501"/>
        <v>1.6991213326167822</v>
      </c>
      <c r="K271" s="58">
        <f t="shared" ref="K271:K275" ca="1" si="505">IFERROR(SUMIFS($AZ271:$BD271,$AZ$7:$BD$7,"BENEFIT")/SUMIFS($AZ271:$BD271,$AZ$7:$BD$7,"COST"),"n/a")</f>
        <v>2.5146995722728378</v>
      </c>
      <c r="L271" s="58">
        <f t="shared" ca="1" si="502"/>
        <v>0.67567567567567566</v>
      </c>
      <c r="M271" s="58">
        <f t="shared" ca="1" si="503"/>
        <v>2.2662351572542732</v>
      </c>
      <c r="N271" s="58">
        <f t="shared" ca="1" si="504"/>
        <v>2.5146995722728378</v>
      </c>
      <c r="O271" s="55"/>
      <c r="P271" s="175">
        <f ca="1">IFERROR(($AW271+AV271)/SUMPRODUCT($CA271:$DI271,'General Inputs'!$F$51:$AN$51),"n/a")</f>
        <v>1.4252137414039547E-2</v>
      </c>
      <c r="Q271" s="175">
        <f t="shared" ca="1" si="454"/>
        <v>0.12622744825765034</v>
      </c>
      <c r="R271" s="56">
        <f t="shared" ref="R271:R275" ca="1" si="506">SUM(CA271:DI271)/1000</f>
        <v>118.83310806840208</v>
      </c>
      <c r="S271" s="55"/>
      <c r="T271" s="56">
        <f ca="1">INDEX(OFFSET('Measure Inputs'!$L$7,,,InputRows),$C271)</f>
        <v>4</v>
      </c>
      <c r="U271" s="134">
        <f ca="1">INDEX(OFFSET('Measure Inputs'!$T$7,,,InputRows),$C271)</f>
        <v>1</v>
      </c>
      <c r="V271" s="134">
        <f ca="1">INDEX(OFFSET('Measure Inputs'!$U$7,,,InputRows),$C271)</f>
        <v>1</v>
      </c>
      <c r="W271" s="55"/>
      <c r="X271" s="96">
        <f ca="1">INDEX(OFFSET('Measure Inputs'!$V$7,,,InputRows),$C271)*$T271*$V271*$U271</f>
        <v>7922.2072045601408</v>
      </c>
      <c r="Y271" s="96">
        <f ca="1">INDEX(OFFSET('Measure Inputs'!$W$7,,,InputRows),$C271)*$T271*$V271*$U271</f>
        <v>1.2039560439560457</v>
      </c>
      <c r="Z271" s="96">
        <f ca="1">INDEX(OFFSET('Measure Inputs'!$X$7,,,InputRows),$C271)*$T271*$V271*$U271</f>
        <v>0</v>
      </c>
      <c r="AA271" s="55"/>
      <c r="AB271" s="96">
        <f ca="1">INDEX(OFFSET('Measure Inputs'!$Z$7,,,InputRows),$C271)*$T271*$V271*$U271</f>
        <v>0</v>
      </c>
      <c r="AC271" s="96">
        <f ca="1">INDEX(OFFSET('Measure Inputs'!$AA$7,,,InputRows),$C271)*$T271*$V271*$U271</f>
        <v>0</v>
      </c>
      <c r="AD271" s="96">
        <f ca="1">INDEX(OFFSET('Measure Inputs'!$AB$7,,,InputRows),$C271)*$T271*$V271*$U271</f>
        <v>0</v>
      </c>
      <c r="AE271" s="55"/>
      <c r="AF271" s="57">
        <f ca="1">INDEX(OFFSET('Measure Inputs'!$Q$7,,,InputRows),$C271)*$T271</f>
        <v>0</v>
      </c>
      <c r="AG271" s="57">
        <f ca="1">INDEX(OFFSET('Measure Inputs'!$P$7,,,InputRows),$C271)*$T271*$V271</f>
        <v>1480</v>
      </c>
      <c r="AH271" s="57">
        <f ca="1">INDEX(OFFSET('Measure Inputs'!$R$7,,,InputRows),$C271)*$T271*$V271</f>
        <v>0</v>
      </c>
      <c r="AI271" s="57">
        <f ca="1">INDEX(OFFSET('Measure Inputs'!$O$7,,,InputRows),$C271)*$T271</f>
        <v>1000</v>
      </c>
      <c r="AJ271" s="57">
        <f ca="1">INDEX(OFFSET('Measure Inputs'!$S$7,,,InputRows),$C271)*$T271</f>
        <v>0</v>
      </c>
      <c r="AK271" s="63">
        <f ca="1">INDEX(OFFSET('Measure Inputs'!$M$7,,,InputRows),$C271)</f>
        <v>15</v>
      </c>
      <c r="AL271" s="88">
        <f ca="1">INDEX(OFFSET('Measure Inputs'!$N$7,,,InputRows),$C271)</f>
        <v>0</v>
      </c>
      <c r="AM271" s="57">
        <f ca="1">SUMIFS(OFFSET('Program Inputs'!$N$5,,,TotalPrograms),OFFSET('Program Inputs'!$B$5,,,TotalPrograms),SUBSTITUTE($B271,"All","*"))+AF271</f>
        <v>0</v>
      </c>
      <c r="AN271" s="57">
        <f t="shared" ref="AN271:AN275" ca="1" si="507">AM271+AI271</f>
        <v>1000</v>
      </c>
      <c r="AO271" s="55"/>
      <c r="AP271" s="59">
        <f t="shared" ref="AP271:AP275" ca="1" si="508">SUMIFS(AR271:AX271,$AR$7:$AX$7,"BENEFIT")</f>
        <v>2122.7998179195415</v>
      </c>
      <c r="AQ271" s="59">
        <f t="shared" ref="AQ271:AQ275" ca="1" si="509">SUMIFS(AR271:AX271,$AR$7:$AX$7,"COST")</f>
        <v>1249.3515190291093</v>
      </c>
      <c r="AR271" s="59">
        <f ca="1">SUMPRODUCT($CA271:$DI271,'General Inputs'!$F$32:$AN$32,'General Inputs'!$F$51:$AN$51)/(1-Loss_ElectricEnergy)</f>
        <v>1913.622627617219</v>
      </c>
      <c r="AS271" s="59">
        <f ca="1">SUMPRODUCT($DK271:$ES271,'General Inputs'!$F$33:$AN$33,'General Inputs'!$F$51:$AN$51)/(1-Loss_ElectricDemand)</f>
        <v>209.17719030232243</v>
      </c>
      <c r="AT271" s="59">
        <f ca="1">SUMPRODUCT($EU271:$GC271,'General Inputs'!$F$34:$AN$34,'General Inputs'!$F$51:$AN$51)/(1-Loss_GasEnergy)</f>
        <v>0</v>
      </c>
      <c r="AU271" s="59">
        <f ca="1">INDEX('General Inputs'!$F$51:$AN$51,MATCH($H271,'General Inputs'!$F$50:$AN$50,0))*$AJ271</f>
        <v>0</v>
      </c>
      <c r="AV271" s="59">
        <f ca="1">INDEX('General Inputs'!$F$51:$AN$51,MATCH($H271,'General Inputs'!$F$50:$AN$50,0))*$AI271</f>
        <v>844.15643177642517</v>
      </c>
      <c r="AW271" s="59">
        <f ca="1">INDEX('General Inputs'!$F$51:$AN$51,MATCH($H271,'General Inputs'!$F$50:$AN$50,0))*$AM271</f>
        <v>0</v>
      </c>
      <c r="AX271" s="59">
        <f ca="1">SUM(INDEX('General Inputs'!$F$51:$AN$51,MATCH($H271,'General Inputs'!$F$50:$AN$50,0))*$AG271,INDEX('General Inputs'!$F$51:$AN$51,MATCH($H271+$AL271,'General Inputs'!$F$50:$AN$50,0))*-$AH271)</f>
        <v>1249.3515190291093</v>
      </c>
      <c r="AY271" s="55"/>
      <c r="AZ271" s="59">
        <f ca="1">SUMPRODUCT($CA271:$DI271,'General Inputs'!$F$32:$AN$32,'General Inputs'!$F$52:$AN$52)/(1-Loss_ElectricEnergy)</f>
        <v>1913.622627617219</v>
      </c>
      <c r="BA271" s="59">
        <f ca="1">SUMPRODUCT($DK271:$ES271,'General Inputs'!$F$33:$AN$33,'General Inputs'!$F$52:$AN$52)/(1-Loss_ElectricDemand)</f>
        <v>209.17719030232243</v>
      </c>
      <c r="BB271" s="59">
        <f ca="1">SUMPRODUCT($EU271:$GC271,'General Inputs'!$F$34:$AN$34,'General Inputs'!$F$52:$AN$52)/(1-Loss_GasEnergy)</f>
        <v>0</v>
      </c>
      <c r="BC271" s="59">
        <f ca="1">INDEX('General Inputs'!$F$52:$AN$52,MATCH($H271,'General Inputs'!$F$50:$AN$50,0))*$AI271</f>
        <v>844.15643177642517</v>
      </c>
      <c r="BD271" s="59">
        <f ca="1">INDEX('General Inputs'!$F$52:$AN$52,MATCH($H271,'General Inputs'!$F$50:$AN$50,0))*$AM271</f>
        <v>0</v>
      </c>
      <c r="BE271" s="55"/>
      <c r="BF271" s="59">
        <f ca="1">SUMPRODUCT($CA271:$DI271,OFFSET('General Inputs'!$F$40:$AN$40,MATCH($D271&amp;" Electric ($/kWh)",'General Inputs'!$E$40:$E$46,0),),'General Inputs'!$F$54:$AN$54)</f>
        <v>0</v>
      </c>
      <c r="BG271" s="59">
        <f ca="1">SUMPRODUCT($EU271:$GC271,OFFSET('General Inputs'!$F$40:$AN$40,MATCH($D271&amp;" Natural Gas ($/therm)",'General Inputs'!$E$40:$E$46,0),),'General Inputs'!$F$54:$AN$54)</f>
        <v>0</v>
      </c>
      <c r="BH271" s="59">
        <f ca="1">INDEX('General Inputs'!$F$54:$AN$54,MATCH($H271,'General Inputs'!$F$50:$AN$50,0))*$AI271</f>
        <v>844.15643177642517</v>
      </c>
      <c r="BI271" s="59">
        <f ca="1">SUM(INDEX('General Inputs'!$F$54:$AN$54,MATCH($H271,'General Inputs'!$F$50:$AN$50,0))*$AG271,INDEX('General Inputs'!$F$51:$AN$51,MATCH($H271+$AL271,'General Inputs'!$F$50:$AN$50,0))*-$AH271)</f>
        <v>1249.3515190291093</v>
      </c>
      <c r="BJ271" s="55"/>
      <c r="BK271" s="59">
        <f ca="1">SUMPRODUCT($CA271:$DI271,'General Inputs'!$F$32:$AN$32,'General Inputs'!$F$53:$AN$53)/(1-Loss_ElectricEnergy)</f>
        <v>1913.622627617219</v>
      </c>
      <c r="BL271" s="59">
        <f ca="1">SUMPRODUCT($DK271:$ES271,'General Inputs'!$F$33:$AN$33,'General Inputs'!$F$53:$AN$53)/(1-Loss_ElectricDemand)</f>
        <v>209.17719030232243</v>
      </c>
      <c r="BM271" s="59">
        <f ca="1">SUMPRODUCT($EU271:$GC271,'General Inputs'!$F$34:$AN$34,'General Inputs'!$F$53:$AN$53)/(1-Loss_GasEnergy)</f>
        <v>0</v>
      </c>
      <c r="BN271" s="59">
        <f ca="1">INDEX('General Inputs'!$F$53:$AN$53,MATCH($H271,'General Inputs'!$F$50:$AN$50,0))*$AJ271</f>
        <v>0</v>
      </c>
      <c r="BO271" s="59">
        <f ca="1">SUMPRODUCT($CA271:$DI271,'General Inputs'!$F$35:$AN$35,'General Inputs'!$F$53:$AN$53)/(1-Loss_ElectricEnergy)</f>
        <v>708.5245182732574</v>
      </c>
      <c r="BP271" s="59">
        <f ca="1">INDEX('General Inputs'!$F$51:$AN$51,MATCH($H271,'General Inputs'!$F$50:$AN$50,0))*$AM271</f>
        <v>0</v>
      </c>
      <c r="BQ271" s="59">
        <f ca="1">SUM(INDEX('General Inputs'!$F$53:$AN$53,MATCH($H271,'General Inputs'!$F$50:$AN$50,0))*$AG271,INDEX('General Inputs'!$F$53:$AN$53,MATCH($H271+$AL271,'General Inputs'!$F$50:$AN$50,0))*-$AH271)</f>
        <v>1249.3515190291093</v>
      </c>
      <c r="BR271" s="55"/>
      <c r="BS271" s="59">
        <f ca="1">SUMPRODUCT($CA271:$DI271,'General Inputs'!$F$32:$AN$32,'General Inputs'!$F$55:$AN$55)/(1-Loss_ElectricEnergy)</f>
        <v>1913.622627617219</v>
      </c>
      <c r="BT271" s="59">
        <f ca="1">SUMPRODUCT($DK271:$ES271,'General Inputs'!$F$33:$AN$33,'General Inputs'!$F$55:$AN$55)/(1-Loss_ElectricDemand)</f>
        <v>209.17719030232243</v>
      </c>
      <c r="BU271" s="59">
        <f ca="1">SUMPRODUCT($EU271:$GC271,'General Inputs'!$F$34:$AN$34,'General Inputs'!$F$55:$AN$55)/(1-Loss_GasEnergy)</f>
        <v>0</v>
      </c>
      <c r="BV271" s="59">
        <f ca="1">SUMPRODUCT($CA271:$DI271,OFFSET('General Inputs'!$F$40:$AN$40,MATCH($D271&amp;" Electric ($/kWh)",'General Inputs'!$E$40:$E$46,0),),'General Inputs'!$F$55:$AN$55)</f>
        <v>0</v>
      </c>
      <c r="BW271" s="59">
        <f ca="1">SUMPRODUCT($EU271:$GC271,OFFSET('General Inputs'!$F$40:$AN$40,MATCH($D271&amp;" Natural Gas ($/therm)",'General Inputs'!$E$40:$E$46,0),),'General Inputs'!$F$55:$AN$55)</f>
        <v>0</v>
      </c>
      <c r="BX271" s="59">
        <f ca="1">INDEX('General Inputs'!$F$55:$AN$55,MATCH($H271,'General Inputs'!$F$50:$AN$50,0))*$AI271</f>
        <v>844.15643177642517</v>
      </c>
      <c r="BY271" s="59">
        <f ca="1">INDEX('General Inputs'!$F$51:$AN$51,MATCH($H271,'General Inputs'!$F$50:$AN$50,0))*$AM271</f>
        <v>0</v>
      </c>
      <c r="BZ271" s="55"/>
      <c r="CA271" s="88">
        <f t="shared" ref="CA271:CJ276" ca="1" si="510">IF(AND($H271&lt;=CA$8,$H271+$AK271&gt;CA$8),IF(AND($H271+$AL271&lt;=CA$8,$AL271&gt;0),$AB271,$X271),0)</f>
        <v>0</v>
      </c>
      <c r="CB271" s="88">
        <f t="shared" ca="1" si="510"/>
        <v>0</v>
      </c>
      <c r="CC271" s="88">
        <f t="shared" ca="1" si="510"/>
        <v>7922.2072045601408</v>
      </c>
      <c r="CD271" s="88">
        <f t="shared" ca="1" si="510"/>
        <v>7922.2072045601408</v>
      </c>
      <c r="CE271" s="88">
        <f t="shared" ca="1" si="510"/>
        <v>7922.2072045601408</v>
      </c>
      <c r="CF271" s="88">
        <f t="shared" ca="1" si="510"/>
        <v>7922.2072045601408</v>
      </c>
      <c r="CG271" s="88">
        <f t="shared" ca="1" si="510"/>
        <v>7922.2072045601408</v>
      </c>
      <c r="CH271" s="88">
        <f t="shared" ca="1" si="510"/>
        <v>7922.2072045601408</v>
      </c>
      <c r="CI271" s="88">
        <f t="shared" ca="1" si="510"/>
        <v>7922.2072045601408</v>
      </c>
      <c r="CJ271" s="88">
        <f t="shared" ca="1" si="510"/>
        <v>7922.2072045601408</v>
      </c>
      <c r="CK271" s="88">
        <f t="shared" ref="CK271:CT276" ca="1" si="511">IF(AND($H271&lt;=CK$8,$H271+$AK271&gt;CK$8),IF(AND($H271+$AL271&lt;=CK$8,$AL271&gt;0),$AB271,$X271),0)</f>
        <v>7922.2072045601408</v>
      </c>
      <c r="CL271" s="88">
        <f t="shared" ca="1" si="511"/>
        <v>7922.2072045601408</v>
      </c>
      <c r="CM271" s="88">
        <f t="shared" ca="1" si="511"/>
        <v>7922.2072045601408</v>
      </c>
      <c r="CN271" s="88">
        <f t="shared" ca="1" si="511"/>
        <v>7922.2072045601408</v>
      </c>
      <c r="CO271" s="88">
        <f t="shared" ca="1" si="511"/>
        <v>7922.2072045601408</v>
      </c>
      <c r="CP271" s="88">
        <f t="shared" ca="1" si="511"/>
        <v>7922.2072045601408</v>
      </c>
      <c r="CQ271" s="88">
        <f t="shared" ca="1" si="511"/>
        <v>7922.2072045601408</v>
      </c>
      <c r="CR271" s="88">
        <f t="shared" ca="1" si="511"/>
        <v>0</v>
      </c>
      <c r="CS271" s="88">
        <f t="shared" ca="1" si="511"/>
        <v>0</v>
      </c>
      <c r="CT271" s="88">
        <f t="shared" ca="1" si="511"/>
        <v>0</v>
      </c>
      <c r="CU271" s="88">
        <f t="shared" ref="CU271:DI276" ca="1" si="512">IF(AND($H271&lt;=CU$8,$H271+$AK271&gt;CU$8),IF(AND($H271+$AL271&lt;=CU$8,$AL271&gt;0),$AB271,$X271),0)</f>
        <v>0</v>
      </c>
      <c r="CV271" s="88">
        <f t="shared" ca="1" si="512"/>
        <v>0</v>
      </c>
      <c r="CW271" s="88">
        <f t="shared" ca="1" si="512"/>
        <v>0</v>
      </c>
      <c r="CX271" s="88">
        <f t="shared" ca="1" si="512"/>
        <v>0</v>
      </c>
      <c r="CY271" s="88">
        <f t="shared" ca="1" si="512"/>
        <v>0</v>
      </c>
      <c r="CZ271" s="88">
        <f t="shared" ca="1" si="512"/>
        <v>0</v>
      </c>
      <c r="DA271" s="88">
        <f t="shared" ca="1" si="512"/>
        <v>0</v>
      </c>
      <c r="DB271" s="88">
        <f t="shared" ca="1" si="512"/>
        <v>0</v>
      </c>
      <c r="DC271" s="88">
        <f t="shared" ca="1" si="512"/>
        <v>0</v>
      </c>
      <c r="DD271" s="88">
        <f t="shared" ca="1" si="512"/>
        <v>0</v>
      </c>
      <c r="DE271" s="88">
        <f t="shared" ca="1" si="512"/>
        <v>0</v>
      </c>
      <c r="DF271" s="88">
        <f t="shared" ca="1" si="512"/>
        <v>0</v>
      </c>
      <c r="DG271" s="88">
        <f t="shared" ca="1" si="512"/>
        <v>0</v>
      </c>
      <c r="DH271" s="88">
        <f t="shared" ca="1" si="512"/>
        <v>0</v>
      </c>
      <c r="DI271" s="88">
        <f t="shared" ca="1" si="512"/>
        <v>0</v>
      </c>
      <c r="DJ271" s="169"/>
      <c r="DK271" s="88">
        <f t="shared" ref="DK271:DT276" ca="1" si="513">IF(AND($H271&lt;=DK$8,$H271+$AK271&gt;DK$8),IF(AND($H271+$AL271&lt;=DK$8,$AL271&gt;0),$AC271,$Y271),0)</f>
        <v>0</v>
      </c>
      <c r="DL271" s="88">
        <f t="shared" ca="1" si="513"/>
        <v>0</v>
      </c>
      <c r="DM271" s="88">
        <f t="shared" ca="1" si="513"/>
        <v>1.2039560439560457</v>
      </c>
      <c r="DN271" s="88">
        <f t="shared" ca="1" si="513"/>
        <v>1.2039560439560457</v>
      </c>
      <c r="DO271" s="88">
        <f t="shared" ca="1" si="513"/>
        <v>1.2039560439560457</v>
      </c>
      <c r="DP271" s="88">
        <f t="shared" ca="1" si="513"/>
        <v>1.2039560439560457</v>
      </c>
      <c r="DQ271" s="88">
        <f t="shared" ca="1" si="513"/>
        <v>1.2039560439560457</v>
      </c>
      <c r="DR271" s="88">
        <f t="shared" ca="1" si="513"/>
        <v>1.2039560439560457</v>
      </c>
      <c r="DS271" s="88">
        <f t="shared" ca="1" si="513"/>
        <v>1.2039560439560457</v>
      </c>
      <c r="DT271" s="88">
        <f t="shared" ca="1" si="513"/>
        <v>1.2039560439560457</v>
      </c>
      <c r="DU271" s="88">
        <f t="shared" ref="DU271:ED276" ca="1" si="514">IF(AND($H271&lt;=DU$8,$H271+$AK271&gt;DU$8),IF(AND($H271+$AL271&lt;=DU$8,$AL271&gt;0),$AC271,$Y271),0)</f>
        <v>1.2039560439560457</v>
      </c>
      <c r="DV271" s="88">
        <f t="shared" ca="1" si="514"/>
        <v>1.2039560439560457</v>
      </c>
      <c r="DW271" s="88">
        <f t="shared" ca="1" si="514"/>
        <v>1.2039560439560457</v>
      </c>
      <c r="DX271" s="88">
        <f t="shared" ca="1" si="514"/>
        <v>1.2039560439560457</v>
      </c>
      <c r="DY271" s="88">
        <f t="shared" ca="1" si="514"/>
        <v>1.2039560439560457</v>
      </c>
      <c r="DZ271" s="88">
        <f t="shared" ca="1" si="514"/>
        <v>1.2039560439560457</v>
      </c>
      <c r="EA271" s="88">
        <f t="shared" ca="1" si="514"/>
        <v>1.2039560439560457</v>
      </c>
      <c r="EB271" s="88">
        <f t="shared" ca="1" si="514"/>
        <v>0</v>
      </c>
      <c r="EC271" s="88">
        <f t="shared" ca="1" si="514"/>
        <v>0</v>
      </c>
      <c r="ED271" s="88">
        <f t="shared" ca="1" si="514"/>
        <v>0</v>
      </c>
      <c r="EE271" s="88">
        <f t="shared" ref="EE271:ES276" ca="1" si="515">IF(AND($H271&lt;=EE$8,$H271+$AK271&gt;EE$8),IF(AND($H271+$AL271&lt;=EE$8,$AL271&gt;0),$AC271,$Y271),0)</f>
        <v>0</v>
      </c>
      <c r="EF271" s="88">
        <f t="shared" ca="1" si="515"/>
        <v>0</v>
      </c>
      <c r="EG271" s="88">
        <f t="shared" ca="1" si="515"/>
        <v>0</v>
      </c>
      <c r="EH271" s="88">
        <f t="shared" ca="1" si="515"/>
        <v>0</v>
      </c>
      <c r="EI271" s="88">
        <f t="shared" ca="1" si="515"/>
        <v>0</v>
      </c>
      <c r="EJ271" s="88">
        <f t="shared" ca="1" si="515"/>
        <v>0</v>
      </c>
      <c r="EK271" s="88">
        <f t="shared" ca="1" si="515"/>
        <v>0</v>
      </c>
      <c r="EL271" s="88">
        <f t="shared" ca="1" si="515"/>
        <v>0</v>
      </c>
      <c r="EM271" s="88">
        <f t="shared" ca="1" si="515"/>
        <v>0</v>
      </c>
      <c r="EN271" s="88">
        <f t="shared" ca="1" si="515"/>
        <v>0</v>
      </c>
      <c r="EO271" s="88">
        <f t="shared" ca="1" si="515"/>
        <v>0</v>
      </c>
      <c r="EP271" s="88">
        <f t="shared" ca="1" si="515"/>
        <v>0</v>
      </c>
      <c r="EQ271" s="88">
        <f t="shared" ca="1" si="515"/>
        <v>0</v>
      </c>
      <c r="ER271" s="88">
        <f t="shared" ca="1" si="515"/>
        <v>0</v>
      </c>
      <c r="ES271" s="88">
        <f t="shared" ca="1" si="515"/>
        <v>0</v>
      </c>
      <c r="ET271" s="169"/>
      <c r="EU271" s="88">
        <f t="shared" ref="EU271:FD276" ca="1" si="516">IF(AND($H271&lt;=EU$8,$H271+$AK271&gt;EU$8),IF(AND($H271+$AL271&lt;=EU$8,$AL271&gt;0),$AD271,$Z271),0)</f>
        <v>0</v>
      </c>
      <c r="EV271" s="88">
        <f t="shared" ca="1" si="516"/>
        <v>0</v>
      </c>
      <c r="EW271" s="88">
        <f t="shared" ca="1" si="516"/>
        <v>0</v>
      </c>
      <c r="EX271" s="88">
        <f t="shared" ca="1" si="516"/>
        <v>0</v>
      </c>
      <c r="EY271" s="88">
        <f t="shared" ca="1" si="516"/>
        <v>0</v>
      </c>
      <c r="EZ271" s="88">
        <f t="shared" ca="1" si="516"/>
        <v>0</v>
      </c>
      <c r="FA271" s="88">
        <f t="shared" ca="1" si="516"/>
        <v>0</v>
      </c>
      <c r="FB271" s="88">
        <f t="shared" ca="1" si="516"/>
        <v>0</v>
      </c>
      <c r="FC271" s="88">
        <f t="shared" ca="1" si="516"/>
        <v>0</v>
      </c>
      <c r="FD271" s="88">
        <f t="shared" ca="1" si="516"/>
        <v>0</v>
      </c>
      <c r="FE271" s="88">
        <f t="shared" ref="FE271:FN276" ca="1" si="517">IF(AND($H271&lt;=FE$8,$H271+$AK271&gt;FE$8),IF(AND($H271+$AL271&lt;=FE$8,$AL271&gt;0),$AD271,$Z271),0)</f>
        <v>0</v>
      </c>
      <c r="FF271" s="88">
        <f t="shared" ca="1" si="517"/>
        <v>0</v>
      </c>
      <c r="FG271" s="88">
        <f t="shared" ca="1" si="517"/>
        <v>0</v>
      </c>
      <c r="FH271" s="88">
        <f t="shared" ca="1" si="517"/>
        <v>0</v>
      </c>
      <c r="FI271" s="88">
        <f t="shared" ca="1" si="517"/>
        <v>0</v>
      </c>
      <c r="FJ271" s="88">
        <f t="shared" ca="1" si="517"/>
        <v>0</v>
      </c>
      <c r="FK271" s="88">
        <f t="shared" ca="1" si="517"/>
        <v>0</v>
      </c>
      <c r="FL271" s="88">
        <f t="shared" ca="1" si="517"/>
        <v>0</v>
      </c>
      <c r="FM271" s="88">
        <f t="shared" ca="1" si="517"/>
        <v>0</v>
      </c>
      <c r="FN271" s="88">
        <f t="shared" ca="1" si="517"/>
        <v>0</v>
      </c>
      <c r="FO271" s="88">
        <f t="shared" ref="FO271:GC276" ca="1" si="518">IF(AND($H271&lt;=FO$8,$H271+$AK271&gt;FO$8),IF(AND($H271+$AL271&lt;=FO$8,$AL271&gt;0),$AD271,$Z271),0)</f>
        <v>0</v>
      </c>
      <c r="FP271" s="88">
        <f t="shared" ca="1" si="518"/>
        <v>0</v>
      </c>
      <c r="FQ271" s="88">
        <f t="shared" ca="1" si="518"/>
        <v>0</v>
      </c>
      <c r="FR271" s="88">
        <f t="shared" ca="1" si="518"/>
        <v>0</v>
      </c>
      <c r="FS271" s="88">
        <f t="shared" ca="1" si="518"/>
        <v>0</v>
      </c>
      <c r="FT271" s="88">
        <f t="shared" ca="1" si="518"/>
        <v>0</v>
      </c>
      <c r="FU271" s="88">
        <f t="shared" ca="1" si="518"/>
        <v>0</v>
      </c>
      <c r="FV271" s="88">
        <f t="shared" ca="1" si="518"/>
        <v>0</v>
      </c>
      <c r="FW271" s="88">
        <f t="shared" ca="1" si="518"/>
        <v>0</v>
      </c>
      <c r="FX271" s="88">
        <f t="shared" ca="1" si="518"/>
        <v>0</v>
      </c>
      <c r="FY271" s="88">
        <f t="shared" ca="1" si="518"/>
        <v>0</v>
      </c>
      <c r="FZ271" s="88">
        <f t="shared" ca="1" si="518"/>
        <v>0</v>
      </c>
      <c r="GA271" s="88">
        <f t="shared" ca="1" si="518"/>
        <v>0</v>
      </c>
      <c r="GB271" s="88">
        <f t="shared" ca="1" si="518"/>
        <v>0</v>
      </c>
      <c r="GC271" s="88">
        <f t="shared" ca="1" si="518"/>
        <v>0</v>
      </c>
      <c r="GD271" s="60"/>
    </row>
    <row r="272" spans="1:186" s="54" customFormat="1" ht="14.45" customHeight="1">
      <c r="A272" s="61"/>
      <c r="B272" s="100" t="str">
        <f t="shared" si="482"/>
        <v>C&amp;I_C&amp;I Prescriptive_0_Single System Heat Pump_2019</v>
      </c>
      <c r="C272" s="100">
        <f>INDEX('Measure Inputs'!$D:$D,MATCH($B272,'Measure Inputs'!$B:$B,0))</f>
        <v>224</v>
      </c>
      <c r="D272" s="101" t="s">
        <v>256</v>
      </c>
      <c r="E272" s="101" t="s">
        <v>255</v>
      </c>
      <c r="F272" s="101">
        <v>0</v>
      </c>
      <c r="G272" s="101" t="s">
        <v>313</v>
      </c>
      <c r="H272" s="101">
        <v>2019</v>
      </c>
      <c r="I272" s="55"/>
      <c r="J272" s="58">
        <f t="shared" ca="1" si="501"/>
        <v>0.86866202190911213</v>
      </c>
      <c r="K272" s="58">
        <f t="shared" ca="1" si="505"/>
        <v>1.2856197924254862</v>
      </c>
      <c r="L272" s="58">
        <f t="shared" ca="1" si="502"/>
        <v>0.67567567567567566</v>
      </c>
      <c r="M272" s="58">
        <f t="shared" ca="1" si="503"/>
        <v>1.1282957955830801</v>
      </c>
      <c r="N272" s="58">
        <f t="shared" ca="1" si="504"/>
        <v>1.2856197924254862</v>
      </c>
      <c r="O272" s="55"/>
      <c r="P272" s="175">
        <f ca="1">IFERROR(($AW272+AV272)/SUMPRODUCT($CA272:$DI272,'General Inputs'!$F$51:$AN$51),"n/a")</f>
        <v>3.113071170888829E-2</v>
      </c>
      <c r="Q272" s="175">
        <f t="shared" ca="1" si="454"/>
        <v>0.27571656007095408</v>
      </c>
      <c r="R272" s="56">
        <f t="shared" ca="1" si="506"/>
        <v>108.80739260739246</v>
      </c>
      <c r="S272" s="55"/>
      <c r="T272" s="56">
        <f ca="1">INDEX(OFFSET('Measure Inputs'!$L$7,,,InputRows),$C272)</f>
        <v>8</v>
      </c>
      <c r="U272" s="134">
        <f ca="1">INDEX(OFFSET('Measure Inputs'!$T$7,,,InputRows),$C272)</f>
        <v>1</v>
      </c>
      <c r="V272" s="134">
        <f ca="1">INDEX(OFFSET('Measure Inputs'!$U$7,,,InputRows),$C272)</f>
        <v>1</v>
      </c>
      <c r="W272" s="55"/>
      <c r="X272" s="96">
        <f ca="1">INDEX(OFFSET('Measure Inputs'!$V$7,,,InputRows),$C272)*$T272*$V272*$U272</f>
        <v>7253.8261738261617</v>
      </c>
      <c r="Y272" s="96">
        <f ca="1">INDEX(OFFSET('Measure Inputs'!$W$7,,,InputRows),$C272)*$T272*$V272*$U272</f>
        <v>2.4079120879120914</v>
      </c>
      <c r="Z272" s="96">
        <f ca="1">INDEX(OFFSET('Measure Inputs'!$X$7,,,InputRows),$C272)*$T272*$V272*$U272</f>
        <v>0</v>
      </c>
      <c r="AA272" s="55"/>
      <c r="AB272" s="96">
        <f ca="1">INDEX(OFFSET('Measure Inputs'!$Z$7,,,InputRows),$C272)*$T272*$V272*$U272</f>
        <v>0</v>
      </c>
      <c r="AC272" s="96">
        <f ca="1">INDEX(OFFSET('Measure Inputs'!$AA$7,,,InputRows),$C272)*$T272*$V272*$U272</f>
        <v>0</v>
      </c>
      <c r="AD272" s="96">
        <f ca="1">INDEX(OFFSET('Measure Inputs'!$AB$7,,,InputRows),$C272)*$T272*$V272*$U272</f>
        <v>0</v>
      </c>
      <c r="AE272" s="55"/>
      <c r="AF272" s="57">
        <f ca="1">INDEX(OFFSET('Measure Inputs'!$Q$7,,,InputRows),$C272)*$T272</f>
        <v>0</v>
      </c>
      <c r="AG272" s="57">
        <f ca="1">INDEX(OFFSET('Measure Inputs'!$P$7,,,InputRows),$C272)*$T272*$V272</f>
        <v>2960</v>
      </c>
      <c r="AH272" s="57">
        <f ca="1">INDEX(OFFSET('Measure Inputs'!$R$7,,,InputRows),$C272)*$T272*$V272</f>
        <v>0</v>
      </c>
      <c r="AI272" s="57">
        <f ca="1">INDEX(OFFSET('Measure Inputs'!$O$7,,,InputRows),$C272)*$T272</f>
        <v>2000</v>
      </c>
      <c r="AJ272" s="57">
        <f ca="1">INDEX(OFFSET('Measure Inputs'!$S$7,,,InputRows),$C272)*$T272</f>
        <v>0</v>
      </c>
      <c r="AK272" s="63">
        <f ca="1">INDEX(OFFSET('Measure Inputs'!$M$7,,,InputRows),$C272)</f>
        <v>15</v>
      </c>
      <c r="AL272" s="88">
        <f ca="1">INDEX(OFFSET('Measure Inputs'!$N$7,,,InputRows),$C272)</f>
        <v>0</v>
      </c>
      <c r="AM272" s="57">
        <f ca="1">SUMIFS(OFFSET('Program Inputs'!$N$5,,,TotalPrograms),OFFSET('Program Inputs'!$B$5,,,TotalPrograms),SUBSTITUTE($B272,"All","*"))+AF272</f>
        <v>0</v>
      </c>
      <c r="AN272" s="57">
        <f t="shared" ca="1" si="507"/>
        <v>2000</v>
      </c>
      <c r="AO272" s="55"/>
      <c r="AP272" s="59">
        <f t="shared" ca="1" si="508"/>
        <v>2170.5284331900934</v>
      </c>
      <c r="AQ272" s="59">
        <f t="shared" ca="1" si="509"/>
        <v>2498.7030380582187</v>
      </c>
      <c r="AR272" s="59">
        <f ca="1">SUMPRODUCT($CA272:$DI272,'General Inputs'!$F$32:$AN$32,'General Inputs'!$F$51:$AN$51)/(1-Loss_ElectricEnergy)</f>
        <v>1752.1740525854484</v>
      </c>
      <c r="AS272" s="59">
        <f ca="1">SUMPRODUCT($DK272:$ES272,'General Inputs'!$F$33:$AN$33,'General Inputs'!$F$51:$AN$51)/(1-Loss_ElectricDemand)</f>
        <v>418.35438060464486</v>
      </c>
      <c r="AT272" s="59">
        <f ca="1">SUMPRODUCT($EU272:$GC272,'General Inputs'!$F$34:$AN$34,'General Inputs'!$F$51:$AN$51)/(1-Loss_GasEnergy)</f>
        <v>0</v>
      </c>
      <c r="AU272" s="59">
        <f ca="1">INDEX('General Inputs'!$F$51:$AN$51,MATCH($H272,'General Inputs'!$F$50:$AN$50,0))*$AJ272</f>
        <v>0</v>
      </c>
      <c r="AV272" s="59">
        <f ca="1">INDEX('General Inputs'!$F$51:$AN$51,MATCH($H272,'General Inputs'!$F$50:$AN$50,0))*$AI272</f>
        <v>1688.3128635528503</v>
      </c>
      <c r="AW272" s="59">
        <f ca="1">INDEX('General Inputs'!$F$51:$AN$51,MATCH($H272,'General Inputs'!$F$50:$AN$50,0))*$AM272</f>
        <v>0</v>
      </c>
      <c r="AX272" s="59">
        <f ca="1">SUM(INDEX('General Inputs'!$F$51:$AN$51,MATCH($H272,'General Inputs'!$F$50:$AN$50,0))*$AG272,INDEX('General Inputs'!$F$51:$AN$51,MATCH($H272+$AL272,'General Inputs'!$F$50:$AN$50,0))*-$AH272)</f>
        <v>2498.7030380582187</v>
      </c>
      <c r="AY272" s="55"/>
      <c r="AZ272" s="59">
        <f ca="1">SUMPRODUCT($CA272:$DI272,'General Inputs'!$F$32:$AN$32,'General Inputs'!$F$52:$AN$52)/(1-Loss_ElectricEnergy)</f>
        <v>1752.1740525854484</v>
      </c>
      <c r="BA272" s="59">
        <f ca="1">SUMPRODUCT($DK272:$ES272,'General Inputs'!$F$33:$AN$33,'General Inputs'!$F$52:$AN$52)/(1-Loss_ElectricDemand)</f>
        <v>418.35438060464486</v>
      </c>
      <c r="BB272" s="59">
        <f ca="1">SUMPRODUCT($EU272:$GC272,'General Inputs'!$F$34:$AN$34,'General Inputs'!$F$52:$AN$52)/(1-Loss_GasEnergy)</f>
        <v>0</v>
      </c>
      <c r="BC272" s="59">
        <f ca="1">INDEX('General Inputs'!$F$52:$AN$52,MATCH($H272,'General Inputs'!$F$50:$AN$50,0))*$AI272</f>
        <v>1688.3128635528503</v>
      </c>
      <c r="BD272" s="59">
        <f ca="1">INDEX('General Inputs'!$F$52:$AN$52,MATCH($H272,'General Inputs'!$F$50:$AN$50,0))*$AM272</f>
        <v>0</v>
      </c>
      <c r="BE272" s="55"/>
      <c r="BF272" s="59">
        <f ca="1">SUMPRODUCT($CA272:$DI272,OFFSET('General Inputs'!$F$40:$AN$40,MATCH($D272&amp;" Electric ($/kWh)",'General Inputs'!$E$40:$E$46,0),),'General Inputs'!$F$54:$AN$54)</f>
        <v>0</v>
      </c>
      <c r="BG272" s="59">
        <f ca="1">SUMPRODUCT($EU272:$GC272,OFFSET('General Inputs'!$F$40:$AN$40,MATCH($D272&amp;" Natural Gas ($/therm)",'General Inputs'!$E$40:$E$46,0),),'General Inputs'!$F$54:$AN$54)</f>
        <v>0</v>
      </c>
      <c r="BH272" s="59">
        <f ca="1">INDEX('General Inputs'!$F$54:$AN$54,MATCH($H272,'General Inputs'!$F$50:$AN$50,0))*$AI272</f>
        <v>1688.3128635528503</v>
      </c>
      <c r="BI272" s="59">
        <f ca="1">SUM(INDEX('General Inputs'!$F$54:$AN$54,MATCH($H272,'General Inputs'!$F$50:$AN$50,0))*$AG272,INDEX('General Inputs'!$F$51:$AN$51,MATCH($H272+$AL272,'General Inputs'!$F$50:$AN$50,0))*-$AH272)</f>
        <v>2498.7030380582187</v>
      </c>
      <c r="BJ272" s="55"/>
      <c r="BK272" s="59">
        <f ca="1">SUMPRODUCT($CA272:$DI272,'General Inputs'!$F$32:$AN$32,'General Inputs'!$F$53:$AN$53)/(1-Loss_ElectricEnergy)</f>
        <v>1752.1740525854484</v>
      </c>
      <c r="BL272" s="59">
        <f ca="1">SUMPRODUCT($DK272:$ES272,'General Inputs'!$F$33:$AN$33,'General Inputs'!$F$53:$AN$53)/(1-Loss_ElectricDemand)</f>
        <v>418.35438060464486</v>
      </c>
      <c r="BM272" s="59">
        <f ca="1">SUMPRODUCT($EU272:$GC272,'General Inputs'!$F$34:$AN$34,'General Inputs'!$F$53:$AN$53)/(1-Loss_GasEnergy)</f>
        <v>0</v>
      </c>
      <c r="BN272" s="59">
        <f ca="1">INDEX('General Inputs'!$F$53:$AN$53,MATCH($H272,'General Inputs'!$F$50:$AN$50,0))*$AJ272</f>
        <v>0</v>
      </c>
      <c r="BO272" s="59">
        <f ca="1">SUMPRODUCT($CA272:$DI272,'General Inputs'!$F$35:$AN$35,'General Inputs'!$F$53:$AN$53)/(1-Loss_ElectricEnergy)</f>
        <v>648.74769906166398</v>
      </c>
      <c r="BP272" s="59">
        <f ca="1">INDEX('General Inputs'!$F$51:$AN$51,MATCH($H272,'General Inputs'!$F$50:$AN$50,0))*$AM272</f>
        <v>0</v>
      </c>
      <c r="BQ272" s="59">
        <f ca="1">SUM(INDEX('General Inputs'!$F$53:$AN$53,MATCH($H272,'General Inputs'!$F$50:$AN$50,0))*$AG272,INDEX('General Inputs'!$F$53:$AN$53,MATCH($H272+$AL272,'General Inputs'!$F$50:$AN$50,0))*-$AH272)</f>
        <v>2498.7030380582187</v>
      </c>
      <c r="BR272" s="55"/>
      <c r="BS272" s="59">
        <f ca="1">SUMPRODUCT($CA272:$DI272,'General Inputs'!$F$32:$AN$32,'General Inputs'!$F$55:$AN$55)/(1-Loss_ElectricEnergy)</f>
        <v>1752.1740525854484</v>
      </c>
      <c r="BT272" s="59">
        <f ca="1">SUMPRODUCT($DK272:$ES272,'General Inputs'!$F$33:$AN$33,'General Inputs'!$F$55:$AN$55)/(1-Loss_ElectricDemand)</f>
        <v>418.35438060464486</v>
      </c>
      <c r="BU272" s="59">
        <f ca="1">SUMPRODUCT($EU272:$GC272,'General Inputs'!$F$34:$AN$34,'General Inputs'!$F$55:$AN$55)/(1-Loss_GasEnergy)</f>
        <v>0</v>
      </c>
      <c r="BV272" s="59">
        <f ca="1">SUMPRODUCT($CA272:$DI272,OFFSET('General Inputs'!$F$40:$AN$40,MATCH($D272&amp;" Electric ($/kWh)",'General Inputs'!$E$40:$E$46,0),),'General Inputs'!$F$55:$AN$55)</f>
        <v>0</v>
      </c>
      <c r="BW272" s="59">
        <f ca="1">SUMPRODUCT($EU272:$GC272,OFFSET('General Inputs'!$F$40:$AN$40,MATCH($D272&amp;" Natural Gas ($/therm)",'General Inputs'!$E$40:$E$46,0),),'General Inputs'!$F$55:$AN$55)</f>
        <v>0</v>
      </c>
      <c r="BX272" s="59">
        <f ca="1">INDEX('General Inputs'!$F$55:$AN$55,MATCH($H272,'General Inputs'!$F$50:$AN$50,0))*$AI272</f>
        <v>1688.3128635528503</v>
      </c>
      <c r="BY272" s="59">
        <f ca="1">INDEX('General Inputs'!$F$51:$AN$51,MATCH($H272,'General Inputs'!$F$50:$AN$50,0))*$AM272</f>
        <v>0</v>
      </c>
      <c r="BZ272" s="55"/>
      <c r="CA272" s="88">
        <f t="shared" ca="1" si="510"/>
        <v>0</v>
      </c>
      <c r="CB272" s="88">
        <f t="shared" ca="1" si="510"/>
        <v>0</v>
      </c>
      <c r="CC272" s="88">
        <f t="shared" ca="1" si="510"/>
        <v>7253.8261738261617</v>
      </c>
      <c r="CD272" s="88">
        <f t="shared" ca="1" si="510"/>
        <v>7253.8261738261617</v>
      </c>
      <c r="CE272" s="88">
        <f t="shared" ca="1" si="510"/>
        <v>7253.8261738261617</v>
      </c>
      <c r="CF272" s="88">
        <f t="shared" ca="1" si="510"/>
        <v>7253.8261738261617</v>
      </c>
      <c r="CG272" s="88">
        <f t="shared" ca="1" si="510"/>
        <v>7253.8261738261617</v>
      </c>
      <c r="CH272" s="88">
        <f t="shared" ca="1" si="510"/>
        <v>7253.8261738261617</v>
      </c>
      <c r="CI272" s="88">
        <f t="shared" ca="1" si="510"/>
        <v>7253.8261738261617</v>
      </c>
      <c r="CJ272" s="88">
        <f t="shared" ca="1" si="510"/>
        <v>7253.8261738261617</v>
      </c>
      <c r="CK272" s="88">
        <f t="shared" ca="1" si="511"/>
        <v>7253.8261738261617</v>
      </c>
      <c r="CL272" s="88">
        <f t="shared" ca="1" si="511"/>
        <v>7253.8261738261617</v>
      </c>
      <c r="CM272" s="88">
        <f t="shared" ca="1" si="511"/>
        <v>7253.8261738261617</v>
      </c>
      <c r="CN272" s="88">
        <f t="shared" ca="1" si="511"/>
        <v>7253.8261738261617</v>
      </c>
      <c r="CO272" s="88">
        <f t="shared" ca="1" si="511"/>
        <v>7253.8261738261617</v>
      </c>
      <c r="CP272" s="88">
        <f t="shared" ca="1" si="511"/>
        <v>7253.8261738261617</v>
      </c>
      <c r="CQ272" s="88">
        <f t="shared" ca="1" si="511"/>
        <v>7253.8261738261617</v>
      </c>
      <c r="CR272" s="88">
        <f t="shared" ca="1" si="511"/>
        <v>0</v>
      </c>
      <c r="CS272" s="88">
        <f t="shared" ca="1" si="511"/>
        <v>0</v>
      </c>
      <c r="CT272" s="88">
        <f t="shared" ca="1" si="511"/>
        <v>0</v>
      </c>
      <c r="CU272" s="88">
        <f t="shared" ca="1" si="512"/>
        <v>0</v>
      </c>
      <c r="CV272" s="88">
        <f t="shared" ca="1" si="512"/>
        <v>0</v>
      </c>
      <c r="CW272" s="88">
        <f t="shared" ca="1" si="512"/>
        <v>0</v>
      </c>
      <c r="CX272" s="88">
        <f t="shared" ca="1" si="512"/>
        <v>0</v>
      </c>
      <c r="CY272" s="88">
        <f t="shared" ca="1" si="512"/>
        <v>0</v>
      </c>
      <c r="CZ272" s="88">
        <f t="shared" ca="1" si="512"/>
        <v>0</v>
      </c>
      <c r="DA272" s="88">
        <f t="shared" ca="1" si="512"/>
        <v>0</v>
      </c>
      <c r="DB272" s="88">
        <f t="shared" ca="1" si="512"/>
        <v>0</v>
      </c>
      <c r="DC272" s="88">
        <f t="shared" ca="1" si="512"/>
        <v>0</v>
      </c>
      <c r="DD272" s="88">
        <f t="shared" ca="1" si="512"/>
        <v>0</v>
      </c>
      <c r="DE272" s="88">
        <f t="shared" ca="1" si="512"/>
        <v>0</v>
      </c>
      <c r="DF272" s="88">
        <f t="shared" ca="1" si="512"/>
        <v>0</v>
      </c>
      <c r="DG272" s="88">
        <f t="shared" ca="1" si="512"/>
        <v>0</v>
      </c>
      <c r="DH272" s="88">
        <f t="shared" ca="1" si="512"/>
        <v>0</v>
      </c>
      <c r="DI272" s="88">
        <f t="shared" ca="1" si="512"/>
        <v>0</v>
      </c>
      <c r="DJ272" s="169"/>
      <c r="DK272" s="88">
        <f t="shared" ca="1" si="513"/>
        <v>0</v>
      </c>
      <c r="DL272" s="88">
        <f t="shared" ca="1" si="513"/>
        <v>0</v>
      </c>
      <c r="DM272" s="88">
        <f t="shared" ca="1" si="513"/>
        <v>2.4079120879120914</v>
      </c>
      <c r="DN272" s="88">
        <f t="shared" ca="1" si="513"/>
        <v>2.4079120879120914</v>
      </c>
      <c r="DO272" s="88">
        <f t="shared" ca="1" si="513"/>
        <v>2.4079120879120914</v>
      </c>
      <c r="DP272" s="88">
        <f t="shared" ca="1" si="513"/>
        <v>2.4079120879120914</v>
      </c>
      <c r="DQ272" s="88">
        <f t="shared" ca="1" si="513"/>
        <v>2.4079120879120914</v>
      </c>
      <c r="DR272" s="88">
        <f t="shared" ca="1" si="513"/>
        <v>2.4079120879120914</v>
      </c>
      <c r="DS272" s="88">
        <f t="shared" ca="1" si="513"/>
        <v>2.4079120879120914</v>
      </c>
      <c r="DT272" s="88">
        <f t="shared" ca="1" si="513"/>
        <v>2.4079120879120914</v>
      </c>
      <c r="DU272" s="88">
        <f t="shared" ca="1" si="514"/>
        <v>2.4079120879120914</v>
      </c>
      <c r="DV272" s="88">
        <f t="shared" ca="1" si="514"/>
        <v>2.4079120879120914</v>
      </c>
      <c r="DW272" s="88">
        <f t="shared" ca="1" si="514"/>
        <v>2.4079120879120914</v>
      </c>
      <c r="DX272" s="88">
        <f t="shared" ca="1" si="514"/>
        <v>2.4079120879120914</v>
      </c>
      <c r="DY272" s="88">
        <f t="shared" ca="1" si="514"/>
        <v>2.4079120879120914</v>
      </c>
      <c r="DZ272" s="88">
        <f t="shared" ca="1" si="514"/>
        <v>2.4079120879120914</v>
      </c>
      <c r="EA272" s="88">
        <f t="shared" ca="1" si="514"/>
        <v>2.4079120879120914</v>
      </c>
      <c r="EB272" s="88">
        <f t="shared" ca="1" si="514"/>
        <v>0</v>
      </c>
      <c r="EC272" s="88">
        <f t="shared" ca="1" si="514"/>
        <v>0</v>
      </c>
      <c r="ED272" s="88">
        <f t="shared" ca="1" si="514"/>
        <v>0</v>
      </c>
      <c r="EE272" s="88">
        <f t="shared" ca="1" si="515"/>
        <v>0</v>
      </c>
      <c r="EF272" s="88">
        <f t="shared" ca="1" si="515"/>
        <v>0</v>
      </c>
      <c r="EG272" s="88">
        <f t="shared" ca="1" si="515"/>
        <v>0</v>
      </c>
      <c r="EH272" s="88">
        <f t="shared" ca="1" si="515"/>
        <v>0</v>
      </c>
      <c r="EI272" s="88">
        <f t="shared" ca="1" si="515"/>
        <v>0</v>
      </c>
      <c r="EJ272" s="88">
        <f t="shared" ca="1" si="515"/>
        <v>0</v>
      </c>
      <c r="EK272" s="88">
        <f t="shared" ca="1" si="515"/>
        <v>0</v>
      </c>
      <c r="EL272" s="88">
        <f t="shared" ca="1" si="515"/>
        <v>0</v>
      </c>
      <c r="EM272" s="88">
        <f t="shared" ca="1" si="515"/>
        <v>0</v>
      </c>
      <c r="EN272" s="88">
        <f t="shared" ca="1" si="515"/>
        <v>0</v>
      </c>
      <c r="EO272" s="88">
        <f t="shared" ca="1" si="515"/>
        <v>0</v>
      </c>
      <c r="EP272" s="88">
        <f t="shared" ca="1" si="515"/>
        <v>0</v>
      </c>
      <c r="EQ272" s="88">
        <f t="shared" ca="1" si="515"/>
        <v>0</v>
      </c>
      <c r="ER272" s="88">
        <f t="shared" ca="1" si="515"/>
        <v>0</v>
      </c>
      <c r="ES272" s="88">
        <f t="shared" ca="1" si="515"/>
        <v>0</v>
      </c>
      <c r="ET272" s="169"/>
      <c r="EU272" s="88">
        <f t="shared" ca="1" si="516"/>
        <v>0</v>
      </c>
      <c r="EV272" s="88">
        <f t="shared" ca="1" si="516"/>
        <v>0</v>
      </c>
      <c r="EW272" s="88">
        <f t="shared" ca="1" si="516"/>
        <v>0</v>
      </c>
      <c r="EX272" s="88">
        <f t="shared" ca="1" si="516"/>
        <v>0</v>
      </c>
      <c r="EY272" s="88">
        <f t="shared" ca="1" si="516"/>
        <v>0</v>
      </c>
      <c r="EZ272" s="88">
        <f t="shared" ca="1" si="516"/>
        <v>0</v>
      </c>
      <c r="FA272" s="88">
        <f t="shared" ca="1" si="516"/>
        <v>0</v>
      </c>
      <c r="FB272" s="88">
        <f t="shared" ca="1" si="516"/>
        <v>0</v>
      </c>
      <c r="FC272" s="88">
        <f t="shared" ca="1" si="516"/>
        <v>0</v>
      </c>
      <c r="FD272" s="88">
        <f t="shared" ca="1" si="516"/>
        <v>0</v>
      </c>
      <c r="FE272" s="88">
        <f t="shared" ca="1" si="517"/>
        <v>0</v>
      </c>
      <c r="FF272" s="88">
        <f t="shared" ca="1" si="517"/>
        <v>0</v>
      </c>
      <c r="FG272" s="88">
        <f t="shared" ca="1" si="517"/>
        <v>0</v>
      </c>
      <c r="FH272" s="88">
        <f t="shared" ca="1" si="517"/>
        <v>0</v>
      </c>
      <c r="FI272" s="88">
        <f t="shared" ca="1" si="517"/>
        <v>0</v>
      </c>
      <c r="FJ272" s="88">
        <f t="shared" ca="1" si="517"/>
        <v>0</v>
      </c>
      <c r="FK272" s="88">
        <f t="shared" ca="1" si="517"/>
        <v>0</v>
      </c>
      <c r="FL272" s="88">
        <f t="shared" ca="1" si="517"/>
        <v>0</v>
      </c>
      <c r="FM272" s="88">
        <f t="shared" ca="1" si="517"/>
        <v>0</v>
      </c>
      <c r="FN272" s="88">
        <f t="shared" ca="1" si="517"/>
        <v>0</v>
      </c>
      <c r="FO272" s="88">
        <f t="shared" ca="1" si="518"/>
        <v>0</v>
      </c>
      <c r="FP272" s="88">
        <f t="shared" ca="1" si="518"/>
        <v>0</v>
      </c>
      <c r="FQ272" s="88">
        <f t="shared" ca="1" si="518"/>
        <v>0</v>
      </c>
      <c r="FR272" s="88">
        <f t="shared" ca="1" si="518"/>
        <v>0</v>
      </c>
      <c r="FS272" s="88">
        <f t="shared" ca="1" si="518"/>
        <v>0</v>
      </c>
      <c r="FT272" s="88">
        <f t="shared" ca="1" si="518"/>
        <v>0</v>
      </c>
      <c r="FU272" s="88">
        <f t="shared" ca="1" si="518"/>
        <v>0</v>
      </c>
      <c r="FV272" s="88">
        <f t="shared" ca="1" si="518"/>
        <v>0</v>
      </c>
      <c r="FW272" s="88">
        <f t="shared" ca="1" si="518"/>
        <v>0</v>
      </c>
      <c r="FX272" s="88">
        <f t="shared" ca="1" si="518"/>
        <v>0</v>
      </c>
      <c r="FY272" s="88">
        <f t="shared" ca="1" si="518"/>
        <v>0</v>
      </c>
      <c r="FZ272" s="88">
        <f t="shared" ca="1" si="518"/>
        <v>0</v>
      </c>
      <c r="GA272" s="88">
        <f t="shared" ca="1" si="518"/>
        <v>0</v>
      </c>
      <c r="GB272" s="88">
        <f t="shared" ca="1" si="518"/>
        <v>0</v>
      </c>
      <c r="GC272" s="88">
        <f t="shared" ca="1" si="518"/>
        <v>0</v>
      </c>
      <c r="GD272" s="60"/>
    </row>
    <row r="273" spans="1:186" s="54" customFormat="1" ht="14.45" customHeight="1">
      <c r="A273" s="61"/>
      <c r="B273" s="100" t="str">
        <f t="shared" si="482"/>
        <v>C&amp;I_C&amp;I Prescriptive_0_Geothermal Heat Pump_2019</v>
      </c>
      <c r="C273" s="100">
        <f>INDEX('Measure Inputs'!$D:$D,MATCH($B273,'Measure Inputs'!$B:$B,0))</f>
        <v>225</v>
      </c>
      <c r="D273" s="101" t="s">
        <v>256</v>
      </c>
      <c r="E273" s="101" t="s">
        <v>255</v>
      </c>
      <c r="F273" s="101">
        <v>0</v>
      </c>
      <c r="G273" s="101" t="s">
        <v>314</v>
      </c>
      <c r="H273" s="101">
        <v>2019</v>
      </c>
      <c r="I273" s="55"/>
      <c r="J273" s="58">
        <f t="shared" ca="1" si="501"/>
        <v>1.6554975628149902</v>
      </c>
      <c r="K273" s="58">
        <f t="shared" ca="1" si="505"/>
        <v>9.6964857250592296</v>
      </c>
      <c r="L273" s="58">
        <f t="shared" ca="1" si="502"/>
        <v>0.17073170731707316</v>
      </c>
      <c r="M273" s="58">
        <f t="shared" ca="1" si="503"/>
        <v>2.2294884356268518</v>
      </c>
      <c r="N273" s="58">
        <f t="shared" ca="1" si="504"/>
        <v>9.6964857250592296</v>
      </c>
      <c r="O273" s="55"/>
      <c r="P273" s="175">
        <f ca="1">IFERROR(($AW273+AV273)/SUMPRODUCT($CA273:$DI273,'General Inputs'!$F$51:$AN$51),"n/a")</f>
        <v>3.5581245593967166E-3</v>
      </c>
      <c r="Q273" s="175">
        <f t="shared" ca="1" si="454"/>
        <v>3.1513377303890609E-2</v>
      </c>
      <c r="R273" s="56">
        <f t="shared" ca="1" si="506"/>
        <v>1332.7673386125678</v>
      </c>
      <c r="S273" s="55"/>
      <c r="T273" s="56">
        <f ca="1">INDEX(OFFSET('Measure Inputs'!$L$7,,,InputRows),$C273)</f>
        <v>4</v>
      </c>
      <c r="U273" s="134">
        <f ca="1">INDEX(OFFSET('Measure Inputs'!$T$7,,,InputRows),$C273)</f>
        <v>1</v>
      </c>
      <c r="V273" s="134">
        <f ca="1">INDEX(OFFSET('Measure Inputs'!$U$7,,,InputRows),$C273)</f>
        <v>1</v>
      </c>
      <c r="W273" s="55"/>
      <c r="X273" s="96">
        <f ca="1">INDEX(OFFSET('Measure Inputs'!$V$7,,,InputRows),$C273)*$T273*$V273*$U273</f>
        <v>88851.155907504552</v>
      </c>
      <c r="Y273" s="96">
        <f ca="1">INDEX(OFFSET('Measure Inputs'!$W$7,,,InputRows),$C273)*$T273*$V273*$U273</f>
        <v>8.3850658721398421</v>
      </c>
      <c r="Z273" s="96">
        <f ca="1">INDEX(OFFSET('Measure Inputs'!$X$7,,,InputRows),$C273)*$T273*$V273*$U273</f>
        <v>0</v>
      </c>
      <c r="AA273" s="55"/>
      <c r="AB273" s="96">
        <f ca="1">INDEX(OFFSET('Measure Inputs'!$Z$7,,,InputRows),$C273)*$T273*$V273*$U273</f>
        <v>0</v>
      </c>
      <c r="AC273" s="96">
        <f ca="1">INDEX(OFFSET('Measure Inputs'!$AA$7,,,InputRows),$C273)*$T273*$V273*$U273</f>
        <v>0</v>
      </c>
      <c r="AD273" s="96">
        <f ca="1">INDEX(OFFSET('Measure Inputs'!$AB$7,,,InputRows),$C273)*$T273*$V273*$U273</f>
        <v>0</v>
      </c>
      <c r="AE273" s="55"/>
      <c r="AF273" s="57">
        <f ca="1">INDEX(OFFSET('Measure Inputs'!$Q$7,,,InputRows),$C273)*$T273</f>
        <v>0</v>
      </c>
      <c r="AG273" s="57">
        <f ca="1">INDEX(OFFSET('Measure Inputs'!$P$7,,,InputRows),$C273)*$T273*$V273</f>
        <v>16400</v>
      </c>
      <c r="AH273" s="57">
        <f ca="1">INDEX(OFFSET('Measure Inputs'!$R$7,,,InputRows),$C273)*$T273*$V273</f>
        <v>0</v>
      </c>
      <c r="AI273" s="57">
        <f ca="1">INDEX(OFFSET('Measure Inputs'!$O$7,,,InputRows),$C273)*$T273</f>
        <v>2800</v>
      </c>
      <c r="AJ273" s="57">
        <f ca="1">INDEX(OFFSET('Measure Inputs'!$S$7,,,InputRows),$C273)*$T273</f>
        <v>0</v>
      </c>
      <c r="AK273" s="63">
        <f ca="1">INDEX(OFFSET('Measure Inputs'!$M$7,,,InputRows),$C273)</f>
        <v>15</v>
      </c>
      <c r="AL273" s="88">
        <f ca="1">INDEX(OFFSET('Measure Inputs'!$N$7,,,InputRows),$C273)</f>
        <v>0</v>
      </c>
      <c r="AM273" s="57">
        <f ca="1">SUMIFS(OFFSET('Program Inputs'!$N$5,,,TotalPrograms),OFFSET('Program Inputs'!$B$5,,,TotalPrograms),SUBSTITUTE($B273,"All","*"))+AF273</f>
        <v>0</v>
      </c>
      <c r="AN273" s="57">
        <f t="shared" ca="1" si="507"/>
        <v>2800</v>
      </c>
      <c r="AO273" s="55"/>
      <c r="AP273" s="59">
        <f t="shared" ca="1" si="508"/>
        <v>22918.982213223717</v>
      </c>
      <c r="AQ273" s="59">
        <f t="shared" ca="1" si="509"/>
        <v>13844.165481133374</v>
      </c>
      <c r="AR273" s="59">
        <f ca="1">SUMPRODUCT($CA273:$DI273,'General Inputs'!$F$32:$AN$32,'General Inputs'!$F$51:$AN$51)/(1-Loss_ElectricEnergy)</f>
        <v>21462.147864130038</v>
      </c>
      <c r="AS273" s="59">
        <f ca="1">SUMPRODUCT($DK273:$ES273,'General Inputs'!$F$33:$AN$33,'General Inputs'!$F$51:$AN$51)/(1-Loss_ElectricDemand)</f>
        <v>1456.8343490936779</v>
      </c>
      <c r="AT273" s="59">
        <f ca="1">SUMPRODUCT($EU273:$GC273,'General Inputs'!$F$34:$AN$34,'General Inputs'!$F$51:$AN$51)/(1-Loss_GasEnergy)</f>
        <v>0</v>
      </c>
      <c r="AU273" s="59">
        <f ca="1">INDEX('General Inputs'!$F$51:$AN$51,MATCH($H273,'General Inputs'!$F$50:$AN$50,0))*$AJ273</f>
        <v>0</v>
      </c>
      <c r="AV273" s="59">
        <f ca="1">INDEX('General Inputs'!$F$51:$AN$51,MATCH($H273,'General Inputs'!$F$50:$AN$50,0))*$AI273</f>
        <v>2363.6380089739905</v>
      </c>
      <c r="AW273" s="59">
        <f ca="1">INDEX('General Inputs'!$F$51:$AN$51,MATCH($H273,'General Inputs'!$F$50:$AN$50,0))*$AM273</f>
        <v>0</v>
      </c>
      <c r="AX273" s="59">
        <f ca="1">SUM(INDEX('General Inputs'!$F$51:$AN$51,MATCH($H273,'General Inputs'!$F$50:$AN$50,0))*$AG273,INDEX('General Inputs'!$F$51:$AN$51,MATCH($H273+$AL273,'General Inputs'!$F$50:$AN$50,0))*-$AH273)</f>
        <v>13844.165481133374</v>
      </c>
      <c r="AY273" s="55"/>
      <c r="AZ273" s="59">
        <f ca="1">SUMPRODUCT($CA273:$DI273,'General Inputs'!$F$32:$AN$32,'General Inputs'!$F$52:$AN$52)/(1-Loss_ElectricEnergy)</f>
        <v>21462.147864130038</v>
      </c>
      <c r="BA273" s="59">
        <f ca="1">SUMPRODUCT($DK273:$ES273,'General Inputs'!$F$33:$AN$33,'General Inputs'!$F$52:$AN$52)/(1-Loss_ElectricDemand)</f>
        <v>1456.8343490936779</v>
      </c>
      <c r="BB273" s="59">
        <f ca="1">SUMPRODUCT($EU273:$GC273,'General Inputs'!$F$34:$AN$34,'General Inputs'!$F$52:$AN$52)/(1-Loss_GasEnergy)</f>
        <v>0</v>
      </c>
      <c r="BC273" s="59">
        <f ca="1">INDEX('General Inputs'!$F$52:$AN$52,MATCH($H273,'General Inputs'!$F$50:$AN$50,0))*$AI273</f>
        <v>2363.6380089739905</v>
      </c>
      <c r="BD273" s="59">
        <f ca="1">INDEX('General Inputs'!$F$52:$AN$52,MATCH($H273,'General Inputs'!$F$50:$AN$50,0))*$AM273</f>
        <v>0</v>
      </c>
      <c r="BE273" s="55"/>
      <c r="BF273" s="59">
        <f ca="1">SUMPRODUCT($CA273:$DI273,OFFSET('General Inputs'!$F$40:$AN$40,MATCH($D273&amp;" Electric ($/kWh)",'General Inputs'!$E$40:$E$46,0),),'General Inputs'!$F$54:$AN$54)</f>
        <v>0</v>
      </c>
      <c r="BG273" s="59">
        <f ca="1">SUMPRODUCT($EU273:$GC273,OFFSET('General Inputs'!$F$40:$AN$40,MATCH($D273&amp;" Natural Gas ($/therm)",'General Inputs'!$E$40:$E$46,0),),'General Inputs'!$F$54:$AN$54)</f>
        <v>0</v>
      </c>
      <c r="BH273" s="59">
        <f ca="1">INDEX('General Inputs'!$F$54:$AN$54,MATCH($H273,'General Inputs'!$F$50:$AN$50,0))*$AI273</f>
        <v>2363.6380089739905</v>
      </c>
      <c r="BI273" s="59">
        <f ca="1">SUM(INDEX('General Inputs'!$F$54:$AN$54,MATCH($H273,'General Inputs'!$F$50:$AN$50,0))*$AG273,INDEX('General Inputs'!$F$51:$AN$51,MATCH($H273+$AL273,'General Inputs'!$F$50:$AN$50,0))*-$AH273)</f>
        <v>13844.165481133374</v>
      </c>
      <c r="BJ273" s="55"/>
      <c r="BK273" s="59">
        <f ca="1">SUMPRODUCT($CA273:$DI273,'General Inputs'!$F$32:$AN$32,'General Inputs'!$F$53:$AN$53)/(1-Loss_ElectricEnergy)</f>
        <v>21462.147864130038</v>
      </c>
      <c r="BL273" s="59">
        <f ca="1">SUMPRODUCT($DK273:$ES273,'General Inputs'!$F$33:$AN$33,'General Inputs'!$F$53:$AN$53)/(1-Loss_ElectricDemand)</f>
        <v>1456.8343490936779</v>
      </c>
      <c r="BM273" s="59">
        <f ca="1">SUMPRODUCT($EU273:$GC273,'General Inputs'!$F$34:$AN$34,'General Inputs'!$F$53:$AN$53)/(1-Loss_GasEnergy)</f>
        <v>0</v>
      </c>
      <c r="BN273" s="59">
        <f ca="1">INDEX('General Inputs'!$F$53:$AN$53,MATCH($H273,'General Inputs'!$F$50:$AN$50,0))*$AJ273</f>
        <v>0</v>
      </c>
      <c r="BO273" s="59">
        <f ca="1">SUMPRODUCT($CA273:$DI273,'General Inputs'!$F$35:$AN$35,'General Inputs'!$F$53:$AN$53)/(1-Loss_ElectricEnergy)</f>
        <v>7946.424627867591</v>
      </c>
      <c r="BP273" s="59">
        <f ca="1">INDEX('General Inputs'!$F$51:$AN$51,MATCH($H273,'General Inputs'!$F$50:$AN$50,0))*$AM273</f>
        <v>0</v>
      </c>
      <c r="BQ273" s="59">
        <f ca="1">SUM(INDEX('General Inputs'!$F$53:$AN$53,MATCH($H273,'General Inputs'!$F$50:$AN$50,0))*$AG273,INDEX('General Inputs'!$F$53:$AN$53,MATCH($H273+$AL273,'General Inputs'!$F$50:$AN$50,0))*-$AH273)</f>
        <v>13844.165481133374</v>
      </c>
      <c r="BR273" s="55"/>
      <c r="BS273" s="59">
        <f ca="1">SUMPRODUCT($CA273:$DI273,'General Inputs'!$F$32:$AN$32,'General Inputs'!$F$55:$AN$55)/(1-Loss_ElectricEnergy)</f>
        <v>21462.147864130038</v>
      </c>
      <c r="BT273" s="59">
        <f ca="1">SUMPRODUCT($DK273:$ES273,'General Inputs'!$F$33:$AN$33,'General Inputs'!$F$55:$AN$55)/(1-Loss_ElectricDemand)</f>
        <v>1456.8343490936779</v>
      </c>
      <c r="BU273" s="59">
        <f ca="1">SUMPRODUCT($EU273:$GC273,'General Inputs'!$F$34:$AN$34,'General Inputs'!$F$55:$AN$55)/(1-Loss_GasEnergy)</f>
        <v>0</v>
      </c>
      <c r="BV273" s="59">
        <f ca="1">SUMPRODUCT($CA273:$DI273,OFFSET('General Inputs'!$F$40:$AN$40,MATCH($D273&amp;" Electric ($/kWh)",'General Inputs'!$E$40:$E$46,0),),'General Inputs'!$F$55:$AN$55)</f>
        <v>0</v>
      </c>
      <c r="BW273" s="59">
        <f ca="1">SUMPRODUCT($EU273:$GC273,OFFSET('General Inputs'!$F$40:$AN$40,MATCH($D273&amp;" Natural Gas ($/therm)",'General Inputs'!$E$40:$E$46,0),),'General Inputs'!$F$55:$AN$55)</f>
        <v>0</v>
      </c>
      <c r="BX273" s="59">
        <f ca="1">INDEX('General Inputs'!$F$55:$AN$55,MATCH($H273,'General Inputs'!$F$50:$AN$50,0))*$AI273</f>
        <v>2363.6380089739905</v>
      </c>
      <c r="BY273" s="59">
        <f ca="1">INDEX('General Inputs'!$F$51:$AN$51,MATCH($H273,'General Inputs'!$F$50:$AN$50,0))*$AM273</f>
        <v>0</v>
      </c>
      <c r="BZ273" s="55"/>
      <c r="CA273" s="88">
        <f t="shared" ca="1" si="510"/>
        <v>0</v>
      </c>
      <c r="CB273" s="88">
        <f t="shared" ca="1" si="510"/>
        <v>0</v>
      </c>
      <c r="CC273" s="88">
        <f t="shared" ca="1" si="510"/>
        <v>88851.155907504552</v>
      </c>
      <c r="CD273" s="88">
        <f t="shared" ca="1" si="510"/>
        <v>88851.155907504552</v>
      </c>
      <c r="CE273" s="88">
        <f t="shared" ca="1" si="510"/>
        <v>88851.155907504552</v>
      </c>
      <c r="CF273" s="88">
        <f t="shared" ca="1" si="510"/>
        <v>88851.155907504552</v>
      </c>
      <c r="CG273" s="88">
        <f t="shared" ca="1" si="510"/>
        <v>88851.155907504552</v>
      </c>
      <c r="CH273" s="88">
        <f t="shared" ca="1" si="510"/>
        <v>88851.155907504552</v>
      </c>
      <c r="CI273" s="88">
        <f t="shared" ca="1" si="510"/>
        <v>88851.155907504552</v>
      </c>
      <c r="CJ273" s="88">
        <f t="shared" ca="1" si="510"/>
        <v>88851.155907504552</v>
      </c>
      <c r="CK273" s="88">
        <f t="shared" ca="1" si="511"/>
        <v>88851.155907504552</v>
      </c>
      <c r="CL273" s="88">
        <f t="shared" ca="1" si="511"/>
        <v>88851.155907504552</v>
      </c>
      <c r="CM273" s="88">
        <f t="shared" ca="1" si="511"/>
        <v>88851.155907504552</v>
      </c>
      <c r="CN273" s="88">
        <f t="shared" ca="1" si="511"/>
        <v>88851.155907504552</v>
      </c>
      <c r="CO273" s="88">
        <f t="shared" ca="1" si="511"/>
        <v>88851.155907504552</v>
      </c>
      <c r="CP273" s="88">
        <f t="shared" ca="1" si="511"/>
        <v>88851.155907504552</v>
      </c>
      <c r="CQ273" s="88">
        <f t="shared" ca="1" si="511"/>
        <v>88851.155907504552</v>
      </c>
      <c r="CR273" s="88">
        <f t="shared" ca="1" si="511"/>
        <v>0</v>
      </c>
      <c r="CS273" s="88">
        <f t="shared" ca="1" si="511"/>
        <v>0</v>
      </c>
      <c r="CT273" s="88">
        <f t="shared" ca="1" si="511"/>
        <v>0</v>
      </c>
      <c r="CU273" s="88">
        <f t="shared" ca="1" si="512"/>
        <v>0</v>
      </c>
      <c r="CV273" s="88">
        <f t="shared" ca="1" si="512"/>
        <v>0</v>
      </c>
      <c r="CW273" s="88">
        <f t="shared" ca="1" si="512"/>
        <v>0</v>
      </c>
      <c r="CX273" s="88">
        <f t="shared" ca="1" si="512"/>
        <v>0</v>
      </c>
      <c r="CY273" s="88">
        <f t="shared" ca="1" si="512"/>
        <v>0</v>
      </c>
      <c r="CZ273" s="88">
        <f t="shared" ca="1" si="512"/>
        <v>0</v>
      </c>
      <c r="DA273" s="88">
        <f t="shared" ca="1" si="512"/>
        <v>0</v>
      </c>
      <c r="DB273" s="88">
        <f t="shared" ca="1" si="512"/>
        <v>0</v>
      </c>
      <c r="DC273" s="88">
        <f t="shared" ca="1" si="512"/>
        <v>0</v>
      </c>
      <c r="DD273" s="88">
        <f t="shared" ca="1" si="512"/>
        <v>0</v>
      </c>
      <c r="DE273" s="88">
        <f t="shared" ca="1" si="512"/>
        <v>0</v>
      </c>
      <c r="DF273" s="88">
        <f t="shared" ca="1" si="512"/>
        <v>0</v>
      </c>
      <c r="DG273" s="88">
        <f t="shared" ca="1" si="512"/>
        <v>0</v>
      </c>
      <c r="DH273" s="88">
        <f t="shared" ca="1" si="512"/>
        <v>0</v>
      </c>
      <c r="DI273" s="88">
        <f t="shared" ca="1" si="512"/>
        <v>0</v>
      </c>
      <c r="DJ273" s="169"/>
      <c r="DK273" s="88">
        <f t="shared" ca="1" si="513"/>
        <v>0</v>
      </c>
      <c r="DL273" s="88">
        <f t="shared" ca="1" si="513"/>
        <v>0</v>
      </c>
      <c r="DM273" s="88">
        <f t="shared" ca="1" si="513"/>
        <v>8.3850658721398421</v>
      </c>
      <c r="DN273" s="88">
        <f t="shared" ca="1" si="513"/>
        <v>8.3850658721398421</v>
      </c>
      <c r="DO273" s="88">
        <f t="shared" ca="1" si="513"/>
        <v>8.3850658721398421</v>
      </c>
      <c r="DP273" s="88">
        <f t="shared" ca="1" si="513"/>
        <v>8.3850658721398421</v>
      </c>
      <c r="DQ273" s="88">
        <f t="shared" ca="1" si="513"/>
        <v>8.3850658721398421</v>
      </c>
      <c r="DR273" s="88">
        <f t="shared" ca="1" si="513"/>
        <v>8.3850658721398421</v>
      </c>
      <c r="DS273" s="88">
        <f t="shared" ca="1" si="513"/>
        <v>8.3850658721398421</v>
      </c>
      <c r="DT273" s="88">
        <f t="shared" ca="1" si="513"/>
        <v>8.3850658721398421</v>
      </c>
      <c r="DU273" s="88">
        <f t="shared" ca="1" si="514"/>
        <v>8.3850658721398421</v>
      </c>
      <c r="DV273" s="88">
        <f t="shared" ca="1" si="514"/>
        <v>8.3850658721398421</v>
      </c>
      <c r="DW273" s="88">
        <f t="shared" ca="1" si="514"/>
        <v>8.3850658721398421</v>
      </c>
      <c r="DX273" s="88">
        <f t="shared" ca="1" si="514"/>
        <v>8.3850658721398421</v>
      </c>
      <c r="DY273" s="88">
        <f t="shared" ca="1" si="514"/>
        <v>8.3850658721398421</v>
      </c>
      <c r="DZ273" s="88">
        <f t="shared" ca="1" si="514"/>
        <v>8.3850658721398421</v>
      </c>
      <c r="EA273" s="88">
        <f t="shared" ca="1" si="514"/>
        <v>8.3850658721398421</v>
      </c>
      <c r="EB273" s="88">
        <f t="shared" ca="1" si="514"/>
        <v>0</v>
      </c>
      <c r="EC273" s="88">
        <f t="shared" ca="1" si="514"/>
        <v>0</v>
      </c>
      <c r="ED273" s="88">
        <f t="shared" ca="1" si="514"/>
        <v>0</v>
      </c>
      <c r="EE273" s="88">
        <f t="shared" ca="1" si="515"/>
        <v>0</v>
      </c>
      <c r="EF273" s="88">
        <f t="shared" ca="1" si="515"/>
        <v>0</v>
      </c>
      <c r="EG273" s="88">
        <f t="shared" ca="1" si="515"/>
        <v>0</v>
      </c>
      <c r="EH273" s="88">
        <f t="shared" ca="1" si="515"/>
        <v>0</v>
      </c>
      <c r="EI273" s="88">
        <f t="shared" ca="1" si="515"/>
        <v>0</v>
      </c>
      <c r="EJ273" s="88">
        <f t="shared" ca="1" si="515"/>
        <v>0</v>
      </c>
      <c r="EK273" s="88">
        <f t="shared" ca="1" si="515"/>
        <v>0</v>
      </c>
      <c r="EL273" s="88">
        <f t="shared" ca="1" si="515"/>
        <v>0</v>
      </c>
      <c r="EM273" s="88">
        <f t="shared" ca="1" si="515"/>
        <v>0</v>
      </c>
      <c r="EN273" s="88">
        <f t="shared" ca="1" si="515"/>
        <v>0</v>
      </c>
      <c r="EO273" s="88">
        <f t="shared" ca="1" si="515"/>
        <v>0</v>
      </c>
      <c r="EP273" s="88">
        <f t="shared" ca="1" si="515"/>
        <v>0</v>
      </c>
      <c r="EQ273" s="88">
        <f t="shared" ca="1" si="515"/>
        <v>0</v>
      </c>
      <c r="ER273" s="88">
        <f t="shared" ca="1" si="515"/>
        <v>0</v>
      </c>
      <c r="ES273" s="88">
        <f t="shared" ca="1" si="515"/>
        <v>0</v>
      </c>
      <c r="ET273" s="169"/>
      <c r="EU273" s="88">
        <f t="shared" ca="1" si="516"/>
        <v>0</v>
      </c>
      <c r="EV273" s="88">
        <f t="shared" ca="1" si="516"/>
        <v>0</v>
      </c>
      <c r="EW273" s="88">
        <f t="shared" ca="1" si="516"/>
        <v>0</v>
      </c>
      <c r="EX273" s="88">
        <f t="shared" ca="1" si="516"/>
        <v>0</v>
      </c>
      <c r="EY273" s="88">
        <f t="shared" ca="1" si="516"/>
        <v>0</v>
      </c>
      <c r="EZ273" s="88">
        <f t="shared" ca="1" si="516"/>
        <v>0</v>
      </c>
      <c r="FA273" s="88">
        <f t="shared" ca="1" si="516"/>
        <v>0</v>
      </c>
      <c r="FB273" s="88">
        <f t="shared" ca="1" si="516"/>
        <v>0</v>
      </c>
      <c r="FC273" s="88">
        <f t="shared" ca="1" si="516"/>
        <v>0</v>
      </c>
      <c r="FD273" s="88">
        <f t="shared" ca="1" si="516"/>
        <v>0</v>
      </c>
      <c r="FE273" s="88">
        <f t="shared" ca="1" si="517"/>
        <v>0</v>
      </c>
      <c r="FF273" s="88">
        <f t="shared" ca="1" si="517"/>
        <v>0</v>
      </c>
      <c r="FG273" s="88">
        <f t="shared" ca="1" si="517"/>
        <v>0</v>
      </c>
      <c r="FH273" s="88">
        <f t="shared" ca="1" si="517"/>
        <v>0</v>
      </c>
      <c r="FI273" s="88">
        <f t="shared" ca="1" si="517"/>
        <v>0</v>
      </c>
      <c r="FJ273" s="88">
        <f t="shared" ca="1" si="517"/>
        <v>0</v>
      </c>
      <c r="FK273" s="88">
        <f t="shared" ca="1" si="517"/>
        <v>0</v>
      </c>
      <c r="FL273" s="88">
        <f t="shared" ca="1" si="517"/>
        <v>0</v>
      </c>
      <c r="FM273" s="88">
        <f t="shared" ca="1" si="517"/>
        <v>0</v>
      </c>
      <c r="FN273" s="88">
        <f t="shared" ca="1" si="517"/>
        <v>0</v>
      </c>
      <c r="FO273" s="88">
        <f t="shared" ca="1" si="518"/>
        <v>0</v>
      </c>
      <c r="FP273" s="88">
        <f t="shared" ca="1" si="518"/>
        <v>0</v>
      </c>
      <c r="FQ273" s="88">
        <f t="shared" ca="1" si="518"/>
        <v>0</v>
      </c>
      <c r="FR273" s="88">
        <f t="shared" ca="1" si="518"/>
        <v>0</v>
      </c>
      <c r="FS273" s="88">
        <f t="shared" ca="1" si="518"/>
        <v>0</v>
      </c>
      <c r="FT273" s="88">
        <f t="shared" ca="1" si="518"/>
        <v>0</v>
      </c>
      <c r="FU273" s="88">
        <f t="shared" ca="1" si="518"/>
        <v>0</v>
      </c>
      <c r="FV273" s="88">
        <f t="shared" ca="1" si="518"/>
        <v>0</v>
      </c>
      <c r="FW273" s="88">
        <f t="shared" ca="1" si="518"/>
        <v>0</v>
      </c>
      <c r="FX273" s="88">
        <f t="shared" ca="1" si="518"/>
        <v>0</v>
      </c>
      <c r="FY273" s="88">
        <f t="shared" ca="1" si="518"/>
        <v>0</v>
      </c>
      <c r="FZ273" s="88">
        <f t="shared" ca="1" si="518"/>
        <v>0</v>
      </c>
      <c r="GA273" s="88">
        <f t="shared" ca="1" si="518"/>
        <v>0</v>
      </c>
      <c r="GB273" s="88">
        <f t="shared" ca="1" si="518"/>
        <v>0</v>
      </c>
      <c r="GC273" s="88">
        <f t="shared" ca="1" si="518"/>
        <v>0</v>
      </c>
      <c r="GD273" s="60"/>
    </row>
    <row r="274" spans="1:186" s="54" customFormat="1" ht="14.45" customHeight="1">
      <c r="A274" s="61"/>
      <c r="B274" s="100" t="str">
        <f t="shared" si="482"/>
        <v>C&amp;I_C&amp;I Prescriptive_0_Heat Pump Water Heater_2019</v>
      </c>
      <c r="C274" s="100">
        <f>INDEX('Measure Inputs'!$D:$D,MATCH($B274,'Measure Inputs'!$B:$B,0))</f>
        <v>226</v>
      </c>
      <c r="D274" s="101" t="s">
        <v>256</v>
      </c>
      <c r="E274" s="101" t="s">
        <v>255</v>
      </c>
      <c r="F274" s="101">
        <v>0</v>
      </c>
      <c r="G274" s="101" t="s">
        <v>260</v>
      </c>
      <c r="H274" s="101">
        <v>2019</v>
      </c>
      <c r="I274" s="55"/>
      <c r="J274" s="58">
        <f t="shared" ca="1" si="501"/>
        <v>0.61850114463216721</v>
      </c>
      <c r="K274" s="58">
        <f t="shared" ca="1" si="505"/>
        <v>2.4245244869580955</v>
      </c>
      <c r="L274" s="58">
        <f t="shared" ca="1" si="502"/>
        <v>0.25510204081632654</v>
      </c>
      <c r="M274" s="58">
        <f t="shared" ca="1" si="503"/>
        <v>0.8421207859632408</v>
      </c>
      <c r="N274" s="58">
        <f t="shared" ca="1" si="504"/>
        <v>2.4245244869580955</v>
      </c>
      <c r="O274" s="55"/>
      <c r="P274" s="175">
        <f ca="1">IFERROR(($AW274+AV274)/SUMPRODUCT($CA274:$DI274,'General Inputs'!$F$51:$AN$51),"n/a")</f>
        <v>1.3646332130194257E-2</v>
      </c>
      <c r="Q274" s="175">
        <f t="shared" ca="1" si="454"/>
        <v>0.11215656092154104</v>
      </c>
      <c r="R274" s="56">
        <f t="shared" ca="1" si="506"/>
        <v>185.45504452967856</v>
      </c>
      <c r="S274" s="55"/>
      <c r="T274" s="56">
        <f ca="1">INDEX(OFFSET('Measure Inputs'!$L$7,,,InputRows),$C274)</f>
        <v>8</v>
      </c>
      <c r="U274" s="134">
        <f ca="1">INDEX(OFFSET('Measure Inputs'!$T$7,,,InputRows),$C274)</f>
        <v>1</v>
      </c>
      <c r="V274" s="134">
        <f ca="1">INDEX(OFFSET('Measure Inputs'!$U$7,,,InputRows),$C274)</f>
        <v>1</v>
      </c>
      <c r="W274" s="55"/>
      <c r="X274" s="96">
        <f ca="1">INDEX(OFFSET('Measure Inputs'!$V$7,,,InputRows),$C274)*$T274*$V274*$U274</f>
        <v>14265.77265612912</v>
      </c>
      <c r="Y274" s="96">
        <f ca="1">INDEX(OFFSET('Measure Inputs'!$W$7,,,InputRows),$C274)*$T274*$V274*$U274</f>
        <v>0.67583605161290738</v>
      </c>
      <c r="Z274" s="96">
        <f ca="1">INDEX(OFFSET('Measure Inputs'!$X$7,,,InputRows),$C274)*$T274*$V274*$U274</f>
        <v>0</v>
      </c>
      <c r="AA274" s="55"/>
      <c r="AB274" s="96">
        <f ca="1">INDEX(OFFSET('Measure Inputs'!$Z$7,,,InputRows),$C274)*$T274*$V274*$U274</f>
        <v>0</v>
      </c>
      <c r="AC274" s="96">
        <f ca="1">INDEX(OFFSET('Measure Inputs'!$AA$7,,,InputRows),$C274)*$T274*$V274*$U274</f>
        <v>0</v>
      </c>
      <c r="AD274" s="96">
        <f ca="1">INDEX(OFFSET('Measure Inputs'!$AB$7,,,InputRows),$C274)*$T274*$V274*$U274</f>
        <v>0</v>
      </c>
      <c r="AE274" s="55"/>
      <c r="AF274" s="57">
        <f ca="1">INDEX(OFFSET('Measure Inputs'!$Q$7,,,InputRows),$C274)*$T274</f>
        <v>0</v>
      </c>
      <c r="AG274" s="57">
        <f ca="1">INDEX(OFFSET('Measure Inputs'!$P$7,,,InputRows),$C274)*$T274*$V274</f>
        <v>6272</v>
      </c>
      <c r="AH274" s="57">
        <f ca="1">INDEX(OFFSET('Measure Inputs'!$R$7,,,InputRows),$C274)*$T274*$V274</f>
        <v>0</v>
      </c>
      <c r="AI274" s="57">
        <f ca="1">INDEX(OFFSET('Measure Inputs'!$O$7,,,InputRows),$C274)*$T274</f>
        <v>1600</v>
      </c>
      <c r="AJ274" s="57">
        <f ca="1">INDEX(OFFSET('Measure Inputs'!$S$7,,,InputRows),$C274)*$T274</f>
        <v>0</v>
      </c>
      <c r="AK274" s="63">
        <f ca="1">INDEX(OFFSET('Measure Inputs'!$M$7,,,InputRows),$C274)</f>
        <v>13</v>
      </c>
      <c r="AL274" s="88">
        <f ca="1">INDEX(OFFSET('Measure Inputs'!$N$7,,,InputRows),$C274)</f>
        <v>0</v>
      </c>
      <c r="AM274" s="57">
        <f ca="1">SUMIFS(OFFSET('Program Inputs'!$N$5,,,TotalPrograms),OFFSET('Program Inputs'!$B$5,,,TotalPrograms),SUBSTITUTE($B274,"All","*"))+AF274</f>
        <v>0</v>
      </c>
      <c r="AN274" s="57">
        <f t="shared" ca="1" si="507"/>
        <v>1600</v>
      </c>
      <c r="AO274" s="55"/>
      <c r="AP274" s="59">
        <f t="shared" ca="1" si="508"/>
        <v>3274.6847034641823</v>
      </c>
      <c r="AQ274" s="59">
        <f t="shared" ca="1" si="509"/>
        <v>5294.5491401017389</v>
      </c>
      <c r="AR274" s="59">
        <f ca="1">SUMPRODUCT($CA274:$DI274,'General Inputs'!$F$32:$AN$32,'General Inputs'!$F$51:$AN$51)/(1-Loss_ElectricEnergy)</f>
        <v>3166.7758750255971</v>
      </c>
      <c r="AS274" s="59">
        <f ca="1">SUMPRODUCT($DK274:$ES274,'General Inputs'!$F$33:$AN$33,'General Inputs'!$F$51:$AN$51)/(1-Loss_ElectricDemand)</f>
        <v>107.90882843858529</v>
      </c>
      <c r="AT274" s="59">
        <f ca="1">SUMPRODUCT($EU274:$GC274,'General Inputs'!$F$34:$AN$34,'General Inputs'!$F$51:$AN$51)/(1-Loss_GasEnergy)</f>
        <v>0</v>
      </c>
      <c r="AU274" s="59">
        <f ca="1">INDEX('General Inputs'!$F$51:$AN$51,MATCH($H274,'General Inputs'!$F$50:$AN$50,0))*$AJ274</f>
        <v>0</v>
      </c>
      <c r="AV274" s="59">
        <f ca="1">INDEX('General Inputs'!$F$51:$AN$51,MATCH($H274,'General Inputs'!$F$50:$AN$50,0))*$AI274</f>
        <v>1350.6502908422804</v>
      </c>
      <c r="AW274" s="59">
        <f ca="1">INDEX('General Inputs'!$F$51:$AN$51,MATCH($H274,'General Inputs'!$F$50:$AN$50,0))*$AM274</f>
        <v>0</v>
      </c>
      <c r="AX274" s="59">
        <f ca="1">SUM(INDEX('General Inputs'!$F$51:$AN$51,MATCH($H274,'General Inputs'!$F$50:$AN$50,0))*$AG274,INDEX('General Inputs'!$F$51:$AN$51,MATCH($H274+$AL274,'General Inputs'!$F$50:$AN$50,0))*-$AH274)</f>
        <v>5294.5491401017389</v>
      </c>
      <c r="AY274" s="55"/>
      <c r="AZ274" s="59">
        <f ca="1">SUMPRODUCT($CA274:$DI274,'General Inputs'!$F$32:$AN$32,'General Inputs'!$F$52:$AN$52)/(1-Loss_ElectricEnergy)</f>
        <v>3166.7758750255971</v>
      </c>
      <c r="BA274" s="59">
        <f ca="1">SUMPRODUCT($DK274:$ES274,'General Inputs'!$F$33:$AN$33,'General Inputs'!$F$52:$AN$52)/(1-Loss_ElectricDemand)</f>
        <v>107.90882843858529</v>
      </c>
      <c r="BB274" s="59">
        <f ca="1">SUMPRODUCT($EU274:$GC274,'General Inputs'!$F$34:$AN$34,'General Inputs'!$F$52:$AN$52)/(1-Loss_GasEnergy)</f>
        <v>0</v>
      </c>
      <c r="BC274" s="59">
        <f ca="1">INDEX('General Inputs'!$F$52:$AN$52,MATCH($H274,'General Inputs'!$F$50:$AN$50,0))*$AI274</f>
        <v>1350.6502908422804</v>
      </c>
      <c r="BD274" s="59">
        <f ca="1">INDEX('General Inputs'!$F$52:$AN$52,MATCH($H274,'General Inputs'!$F$50:$AN$50,0))*$AM274</f>
        <v>0</v>
      </c>
      <c r="BE274" s="55"/>
      <c r="BF274" s="59">
        <f ca="1">SUMPRODUCT($CA274:$DI274,OFFSET('General Inputs'!$F$40:$AN$40,MATCH($D274&amp;" Electric ($/kWh)",'General Inputs'!$E$40:$E$46,0),),'General Inputs'!$F$54:$AN$54)</f>
        <v>0</v>
      </c>
      <c r="BG274" s="59">
        <f ca="1">SUMPRODUCT($EU274:$GC274,OFFSET('General Inputs'!$F$40:$AN$40,MATCH($D274&amp;" Natural Gas ($/therm)",'General Inputs'!$E$40:$E$46,0),),'General Inputs'!$F$54:$AN$54)</f>
        <v>0</v>
      </c>
      <c r="BH274" s="59">
        <f ca="1">INDEX('General Inputs'!$F$54:$AN$54,MATCH($H274,'General Inputs'!$F$50:$AN$50,0))*$AI274</f>
        <v>1350.6502908422804</v>
      </c>
      <c r="BI274" s="59">
        <f ca="1">SUM(INDEX('General Inputs'!$F$54:$AN$54,MATCH($H274,'General Inputs'!$F$50:$AN$50,0))*$AG274,INDEX('General Inputs'!$F$51:$AN$51,MATCH($H274+$AL274,'General Inputs'!$F$50:$AN$50,0))*-$AH274)</f>
        <v>5294.5491401017389</v>
      </c>
      <c r="BJ274" s="55"/>
      <c r="BK274" s="59">
        <f ca="1">SUMPRODUCT($CA274:$DI274,'General Inputs'!$F$32:$AN$32,'General Inputs'!$F$53:$AN$53)/(1-Loss_ElectricEnergy)</f>
        <v>3166.7758750255971</v>
      </c>
      <c r="BL274" s="59">
        <f ca="1">SUMPRODUCT($DK274:$ES274,'General Inputs'!$F$33:$AN$33,'General Inputs'!$F$53:$AN$53)/(1-Loss_ElectricDemand)</f>
        <v>107.90882843858529</v>
      </c>
      <c r="BM274" s="59">
        <f ca="1">SUMPRODUCT($EU274:$GC274,'General Inputs'!$F$34:$AN$34,'General Inputs'!$F$53:$AN$53)/(1-Loss_GasEnergy)</f>
        <v>0</v>
      </c>
      <c r="BN274" s="59">
        <f ca="1">INDEX('General Inputs'!$F$53:$AN$53,MATCH($H274,'General Inputs'!$F$50:$AN$50,0))*$AJ274</f>
        <v>0</v>
      </c>
      <c r="BO274" s="59">
        <f ca="1">SUMPRODUCT($CA274:$DI274,'General Inputs'!$F$35:$AN$35,'General Inputs'!$F$53:$AN$53)/(1-Loss_ElectricEnergy)</f>
        <v>1183.9651797192944</v>
      </c>
      <c r="BP274" s="59">
        <f ca="1">INDEX('General Inputs'!$F$51:$AN$51,MATCH($H274,'General Inputs'!$F$50:$AN$50,0))*$AM274</f>
        <v>0</v>
      </c>
      <c r="BQ274" s="59">
        <f ca="1">SUM(INDEX('General Inputs'!$F$53:$AN$53,MATCH($H274,'General Inputs'!$F$50:$AN$50,0))*$AG274,INDEX('General Inputs'!$F$53:$AN$53,MATCH($H274+$AL274,'General Inputs'!$F$50:$AN$50,0))*-$AH274)</f>
        <v>5294.5491401017389</v>
      </c>
      <c r="BR274" s="55"/>
      <c r="BS274" s="59">
        <f ca="1">SUMPRODUCT($CA274:$DI274,'General Inputs'!$F$32:$AN$32,'General Inputs'!$F$55:$AN$55)/(1-Loss_ElectricEnergy)</f>
        <v>3166.7758750255971</v>
      </c>
      <c r="BT274" s="59">
        <f ca="1">SUMPRODUCT($DK274:$ES274,'General Inputs'!$F$33:$AN$33,'General Inputs'!$F$55:$AN$55)/(1-Loss_ElectricDemand)</f>
        <v>107.90882843858529</v>
      </c>
      <c r="BU274" s="59">
        <f ca="1">SUMPRODUCT($EU274:$GC274,'General Inputs'!$F$34:$AN$34,'General Inputs'!$F$55:$AN$55)/(1-Loss_GasEnergy)</f>
        <v>0</v>
      </c>
      <c r="BV274" s="59">
        <f ca="1">SUMPRODUCT($CA274:$DI274,OFFSET('General Inputs'!$F$40:$AN$40,MATCH($D274&amp;" Electric ($/kWh)",'General Inputs'!$E$40:$E$46,0),),'General Inputs'!$F$55:$AN$55)</f>
        <v>0</v>
      </c>
      <c r="BW274" s="59">
        <f ca="1">SUMPRODUCT($EU274:$GC274,OFFSET('General Inputs'!$F$40:$AN$40,MATCH($D274&amp;" Natural Gas ($/therm)",'General Inputs'!$E$40:$E$46,0),),'General Inputs'!$F$55:$AN$55)</f>
        <v>0</v>
      </c>
      <c r="BX274" s="59">
        <f ca="1">INDEX('General Inputs'!$F$55:$AN$55,MATCH($H274,'General Inputs'!$F$50:$AN$50,0))*$AI274</f>
        <v>1350.6502908422804</v>
      </c>
      <c r="BY274" s="59">
        <f ca="1">INDEX('General Inputs'!$F$51:$AN$51,MATCH($H274,'General Inputs'!$F$50:$AN$50,0))*$AM274</f>
        <v>0</v>
      </c>
      <c r="BZ274" s="55"/>
      <c r="CA274" s="88">
        <f t="shared" ca="1" si="510"/>
        <v>0</v>
      </c>
      <c r="CB274" s="88">
        <f t="shared" ca="1" si="510"/>
        <v>0</v>
      </c>
      <c r="CC274" s="88">
        <f t="shared" ca="1" si="510"/>
        <v>14265.77265612912</v>
      </c>
      <c r="CD274" s="88">
        <f t="shared" ca="1" si="510"/>
        <v>14265.77265612912</v>
      </c>
      <c r="CE274" s="88">
        <f t="shared" ca="1" si="510"/>
        <v>14265.77265612912</v>
      </c>
      <c r="CF274" s="88">
        <f t="shared" ca="1" si="510"/>
        <v>14265.77265612912</v>
      </c>
      <c r="CG274" s="88">
        <f t="shared" ca="1" si="510"/>
        <v>14265.77265612912</v>
      </c>
      <c r="CH274" s="88">
        <f t="shared" ca="1" si="510"/>
        <v>14265.77265612912</v>
      </c>
      <c r="CI274" s="88">
        <f t="shared" ca="1" si="510"/>
        <v>14265.77265612912</v>
      </c>
      <c r="CJ274" s="88">
        <f t="shared" ca="1" si="510"/>
        <v>14265.77265612912</v>
      </c>
      <c r="CK274" s="88">
        <f t="shared" ca="1" si="511"/>
        <v>14265.77265612912</v>
      </c>
      <c r="CL274" s="88">
        <f t="shared" ca="1" si="511"/>
        <v>14265.77265612912</v>
      </c>
      <c r="CM274" s="88">
        <f t="shared" ca="1" si="511"/>
        <v>14265.77265612912</v>
      </c>
      <c r="CN274" s="88">
        <f t="shared" ca="1" si="511"/>
        <v>14265.77265612912</v>
      </c>
      <c r="CO274" s="88">
        <f t="shared" ca="1" si="511"/>
        <v>14265.77265612912</v>
      </c>
      <c r="CP274" s="88">
        <f t="shared" ca="1" si="511"/>
        <v>0</v>
      </c>
      <c r="CQ274" s="88">
        <f t="shared" ca="1" si="511"/>
        <v>0</v>
      </c>
      <c r="CR274" s="88">
        <f t="shared" ca="1" si="511"/>
        <v>0</v>
      </c>
      <c r="CS274" s="88">
        <f t="shared" ca="1" si="511"/>
        <v>0</v>
      </c>
      <c r="CT274" s="88">
        <f t="shared" ca="1" si="511"/>
        <v>0</v>
      </c>
      <c r="CU274" s="88">
        <f t="shared" ca="1" si="512"/>
        <v>0</v>
      </c>
      <c r="CV274" s="88">
        <f t="shared" ca="1" si="512"/>
        <v>0</v>
      </c>
      <c r="CW274" s="88">
        <f t="shared" ca="1" si="512"/>
        <v>0</v>
      </c>
      <c r="CX274" s="88">
        <f t="shared" ca="1" si="512"/>
        <v>0</v>
      </c>
      <c r="CY274" s="88">
        <f t="shared" ca="1" si="512"/>
        <v>0</v>
      </c>
      <c r="CZ274" s="88">
        <f t="shared" ca="1" si="512"/>
        <v>0</v>
      </c>
      <c r="DA274" s="88">
        <f t="shared" ca="1" si="512"/>
        <v>0</v>
      </c>
      <c r="DB274" s="88">
        <f t="shared" ca="1" si="512"/>
        <v>0</v>
      </c>
      <c r="DC274" s="88">
        <f t="shared" ca="1" si="512"/>
        <v>0</v>
      </c>
      <c r="DD274" s="88">
        <f t="shared" ca="1" si="512"/>
        <v>0</v>
      </c>
      <c r="DE274" s="88">
        <f t="shared" ca="1" si="512"/>
        <v>0</v>
      </c>
      <c r="DF274" s="88">
        <f t="shared" ca="1" si="512"/>
        <v>0</v>
      </c>
      <c r="DG274" s="88">
        <f t="shared" ca="1" si="512"/>
        <v>0</v>
      </c>
      <c r="DH274" s="88">
        <f t="shared" ca="1" si="512"/>
        <v>0</v>
      </c>
      <c r="DI274" s="88">
        <f t="shared" ca="1" si="512"/>
        <v>0</v>
      </c>
      <c r="DJ274" s="169"/>
      <c r="DK274" s="88">
        <f t="shared" ca="1" si="513"/>
        <v>0</v>
      </c>
      <c r="DL274" s="88">
        <f t="shared" ca="1" si="513"/>
        <v>0</v>
      </c>
      <c r="DM274" s="88">
        <f t="shared" ca="1" si="513"/>
        <v>0.67583605161290738</v>
      </c>
      <c r="DN274" s="88">
        <f t="shared" ca="1" si="513"/>
        <v>0.67583605161290738</v>
      </c>
      <c r="DO274" s="88">
        <f t="shared" ca="1" si="513"/>
        <v>0.67583605161290738</v>
      </c>
      <c r="DP274" s="88">
        <f t="shared" ca="1" si="513"/>
        <v>0.67583605161290738</v>
      </c>
      <c r="DQ274" s="88">
        <f t="shared" ca="1" si="513"/>
        <v>0.67583605161290738</v>
      </c>
      <c r="DR274" s="88">
        <f t="shared" ca="1" si="513"/>
        <v>0.67583605161290738</v>
      </c>
      <c r="DS274" s="88">
        <f t="shared" ca="1" si="513"/>
        <v>0.67583605161290738</v>
      </c>
      <c r="DT274" s="88">
        <f t="shared" ca="1" si="513"/>
        <v>0.67583605161290738</v>
      </c>
      <c r="DU274" s="88">
        <f t="shared" ca="1" si="514"/>
        <v>0.67583605161290738</v>
      </c>
      <c r="DV274" s="88">
        <f t="shared" ca="1" si="514"/>
        <v>0.67583605161290738</v>
      </c>
      <c r="DW274" s="88">
        <f t="shared" ca="1" si="514"/>
        <v>0.67583605161290738</v>
      </c>
      <c r="DX274" s="88">
        <f t="shared" ca="1" si="514"/>
        <v>0.67583605161290738</v>
      </c>
      <c r="DY274" s="88">
        <f t="shared" ca="1" si="514"/>
        <v>0.67583605161290738</v>
      </c>
      <c r="DZ274" s="88">
        <f t="shared" ca="1" si="514"/>
        <v>0</v>
      </c>
      <c r="EA274" s="88">
        <f t="shared" ca="1" si="514"/>
        <v>0</v>
      </c>
      <c r="EB274" s="88">
        <f t="shared" ca="1" si="514"/>
        <v>0</v>
      </c>
      <c r="EC274" s="88">
        <f t="shared" ca="1" si="514"/>
        <v>0</v>
      </c>
      <c r="ED274" s="88">
        <f t="shared" ca="1" si="514"/>
        <v>0</v>
      </c>
      <c r="EE274" s="88">
        <f t="shared" ca="1" si="515"/>
        <v>0</v>
      </c>
      <c r="EF274" s="88">
        <f t="shared" ca="1" si="515"/>
        <v>0</v>
      </c>
      <c r="EG274" s="88">
        <f t="shared" ca="1" si="515"/>
        <v>0</v>
      </c>
      <c r="EH274" s="88">
        <f t="shared" ca="1" si="515"/>
        <v>0</v>
      </c>
      <c r="EI274" s="88">
        <f t="shared" ca="1" si="515"/>
        <v>0</v>
      </c>
      <c r="EJ274" s="88">
        <f t="shared" ca="1" si="515"/>
        <v>0</v>
      </c>
      <c r="EK274" s="88">
        <f t="shared" ca="1" si="515"/>
        <v>0</v>
      </c>
      <c r="EL274" s="88">
        <f t="shared" ca="1" si="515"/>
        <v>0</v>
      </c>
      <c r="EM274" s="88">
        <f t="shared" ca="1" si="515"/>
        <v>0</v>
      </c>
      <c r="EN274" s="88">
        <f t="shared" ca="1" si="515"/>
        <v>0</v>
      </c>
      <c r="EO274" s="88">
        <f t="shared" ca="1" si="515"/>
        <v>0</v>
      </c>
      <c r="EP274" s="88">
        <f t="shared" ca="1" si="515"/>
        <v>0</v>
      </c>
      <c r="EQ274" s="88">
        <f t="shared" ca="1" si="515"/>
        <v>0</v>
      </c>
      <c r="ER274" s="88">
        <f t="shared" ca="1" si="515"/>
        <v>0</v>
      </c>
      <c r="ES274" s="88">
        <f t="shared" ca="1" si="515"/>
        <v>0</v>
      </c>
      <c r="ET274" s="169"/>
      <c r="EU274" s="88">
        <f t="shared" ca="1" si="516"/>
        <v>0</v>
      </c>
      <c r="EV274" s="88">
        <f t="shared" ca="1" si="516"/>
        <v>0</v>
      </c>
      <c r="EW274" s="88">
        <f t="shared" ca="1" si="516"/>
        <v>0</v>
      </c>
      <c r="EX274" s="88">
        <f t="shared" ca="1" si="516"/>
        <v>0</v>
      </c>
      <c r="EY274" s="88">
        <f t="shared" ca="1" si="516"/>
        <v>0</v>
      </c>
      <c r="EZ274" s="88">
        <f t="shared" ca="1" si="516"/>
        <v>0</v>
      </c>
      <c r="FA274" s="88">
        <f t="shared" ca="1" si="516"/>
        <v>0</v>
      </c>
      <c r="FB274" s="88">
        <f t="shared" ca="1" si="516"/>
        <v>0</v>
      </c>
      <c r="FC274" s="88">
        <f t="shared" ca="1" si="516"/>
        <v>0</v>
      </c>
      <c r="FD274" s="88">
        <f t="shared" ca="1" si="516"/>
        <v>0</v>
      </c>
      <c r="FE274" s="88">
        <f t="shared" ca="1" si="517"/>
        <v>0</v>
      </c>
      <c r="FF274" s="88">
        <f t="shared" ca="1" si="517"/>
        <v>0</v>
      </c>
      <c r="FG274" s="88">
        <f t="shared" ca="1" si="517"/>
        <v>0</v>
      </c>
      <c r="FH274" s="88">
        <f t="shared" ca="1" si="517"/>
        <v>0</v>
      </c>
      <c r="FI274" s="88">
        <f t="shared" ca="1" si="517"/>
        <v>0</v>
      </c>
      <c r="FJ274" s="88">
        <f t="shared" ca="1" si="517"/>
        <v>0</v>
      </c>
      <c r="FK274" s="88">
        <f t="shared" ca="1" si="517"/>
        <v>0</v>
      </c>
      <c r="FL274" s="88">
        <f t="shared" ca="1" si="517"/>
        <v>0</v>
      </c>
      <c r="FM274" s="88">
        <f t="shared" ca="1" si="517"/>
        <v>0</v>
      </c>
      <c r="FN274" s="88">
        <f t="shared" ca="1" si="517"/>
        <v>0</v>
      </c>
      <c r="FO274" s="88">
        <f t="shared" ca="1" si="518"/>
        <v>0</v>
      </c>
      <c r="FP274" s="88">
        <f t="shared" ca="1" si="518"/>
        <v>0</v>
      </c>
      <c r="FQ274" s="88">
        <f t="shared" ca="1" si="518"/>
        <v>0</v>
      </c>
      <c r="FR274" s="88">
        <f t="shared" ca="1" si="518"/>
        <v>0</v>
      </c>
      <c r="FS274" s="88">
        <f t="shared" ca="1" si="518"/>
        <v>0</v>
      </c>
      <c r="FT274" s="88">
        <f t="shared" ca="1" si="518"/>
        <v>0</v>
      </c>
      <c r="FU274" s="88">
        <f t="shared" ca="1" si="518"/>
        <v>0</v>
      </c>
      <c r="FV274" s="88">
        <f t="shared" ca="1" si="518"/>
        <v>0</v>
      </c>
      <c r="FW274" s="88">
        <f t="shared" ca="1" si="518"/>
        <v>0</v>
      </c>
      <c r="FX274" s="88">
        <f t="shared" ca="1" si="518"/>
        <v>0</v>
      </c>
      <c r="FY274" s="88">
        <f t="shared" ca="1" si="518"/>
        <v>0</v>
      </c>
      <c r="FZ274" s="88">
        <f t="shared" ca="1" si="518"/>
        <v>0</v>
      </c>
      <c r="GA274" s="88">
        <f t="shared" ca="1" si="518"/>
        <v>0</v>
      </c>
      <c r="GB274" s="88">
        <f t="shared" ca="1" si="518"/>
        <v>0</v>
      </c>
      <c r="GC274" s="88">
        <f t="shared" ca="1" si="518"/>
        <v>0</v>
      </c>
      <c r="GD274" s="60"/>
    </row>
    <row r="275" spans="1:186" s="54" customFormat="1" ht="14.45" customHeight="1">
      <c r="A275" s="61"/>
      <c r="B275" s="100" t="str">
        <f t="shared" si="482"/>
        <v>C&amp;I_C&amp;I Prescriptive_0_ODC Motor_2019</v>
      </c>
      <c r="C275" s="100">
        <f>INDEX('Measure Inputs'!$D:$D,MATCH($B275,'Measure Inputs'!$B:$B,0))</f>
        <v>227</v>
      </c>
      <c r="D275" s="101" t="s">
        <v>256</v>
      </c>
      <c r="E275" s="101" t="s">
        <v>255</v>
      </c>
      <c r="F275" s="101">
        <v>0</v>
      </c>
      <c r="G275" s="101" t="s">
        <v>316</v>
      </c>
      <c r="H275" s="101">
        <v>2019</v>
      </c>
      <c r="I275" s="55"/>
      <c r="J275" s="58">
        <f t="shared" ca="1" si="501"/>
        <v>1.0240164147298407</v>
      </c>
      <c r="K275" s="58">
        <f t="shared" ca="1" si="505"/>
        <v>2.3552377538786335</v>
      </c>
      <c r="L275" s="58">
        <f t="shared" ca="1" si="502"/>
        <v>0.43478260869565216</v>
      </c>
      <c r="M275" s="58">
        <f t="shared" ca="1" si="503"/>
        <v>1.3498905663957965</v>
      </c>
      <c r="N275" s="58">
        <f t="shared" ca="1" si="504"/>
        <v>2.3552377538786335</v>
      </c>
      <c r="O275" s="55"/>
      <c r="P275" s="175">
        <f ca="1">IFERROR(($AW275+AV275)/SUMPRODUCT($CA275:$DI275,'General Inputs'!$F$51:$AN$51),"n/a")</f>
        <v>1.5960048291096124E-2</v>
      </c>
      <c r="Q275" s="175">
        <f t="shared" ca="1" si="454"/>
        <v>0.14135396757186688</v>
      </c>
      <c r="R275" s="56">
        <f t="shared" ca="1" si="506"/>
        <v>5.3058291386033209</v>
      </c>
      <c r="S275" s="55"/>
      <c r="T275" s="56">
        <f ca="1">INDEX(OFFSET('Measure Inputs'!$L$7,,,InputRows),$C275)</f>
        <v>1</v>
      </c>
      <c r="U275" s="134">
        <f ca="1">INDEX(OFFSET('Measure Inputs'!$T$7,,,InputRows),$C275)</f>
        <v>1</v>
      </c>
      <c r="V275" s="134">
        <f ca="1">INDEX(OFFSET('Measure Inputs'!$U$7,,,InputRows),$C275)</f>
        <v>1</v>
      </c>
      <c r="W275" s="55"/>
      <c r="X275" s="96">
        <f ca="1">INDEX(OFFSET('Measure Inputs'!$V$7,,,InputRows),$C275)*$T275*$V275*$U275</f>
        <v>353.7219425735546</v>
      </c>
      <c r="Y275" s="96">
        <f ca="1">INDEX(OFFSET('Measure Inputs'!$W$7,,,InputRows),$C275)*$T275*$V275*$U275</f>
        <v>8.0391350584898769E-2</v>
      </c>
      <c r="Z275" s="96">
        <f ca="1">INDEX(OFFSET('Measure Inputs'!$X$7,,,InputRows),$C275)*$T275*$V275*$U275</f>
        <v>0</v>
      </c>
      <c r="AA275" s="55"/>
      <c r="AB275" s="96">
        <f ca="1">INDEX(OFFSET('Measure Inputs'!$Z$7,,,InputRows),$C275)*$T275*$V275*$U275</f>
        <v>0</v>
      </c>
      <c r="AC275" s="96">
        <f ca="1">INDEX(OFFSET('Measure Inputs'!$AA$7,,,InputRows),$C275)*$T275*$V275*$U275</f>
        <v>0</v>
      </c>
      <c r="AD275" s="96">
        <f ca="1">INDEX(OFFSET('Measure Inputs'!$AB$7,,,InputRows),$C275)*$T275*$V275*$U275</f>
        <v>0</v>
      </c>
      <c r="AE275" s="55"/>
      <c r="AF275" s="57">
        <f ca="1">INDEX(OFFSET('Measure Inputs'!$Q$7,,,InputRows),$C275)*$T275</f>
        <v>0</v>
      </c>
      <c r="AG275" s="57">
        <f ca="1">INDEX(OFFSET('Measure Inputs'!$P$7,,,InputRows),$C275)*$T275*$V275</f>
        <v>115</v>
      </c>
      <c r="AH275" s="57">
        <f ca="1">INDEX(OFFSET('Measure Inputs'!$R$7,,,InputRows),$C275)*$T275*$V275</f>
        <v>0</v>
      </c>
      <c r="AI275" s="57">
        <f ca="1">INDEX(OFFSET('Measure Inputs'!$O$7,,,InputRows),$C275)*$T275</f>
        <v>50</v>
      </c>
      <c r="AJ275" s="57">
        <f ca="1">INDEX(OFFSET('Measure Inputs'!$S$7,,,InputRows),$C275)*$T275</f>
        <v>0</v>
      </c>
      <c r="AK275" s="63">
        <f ca="1">INDEX(OFFSET('Measure Inputs'!$M$7,,,InputRows),$C275)</f>
        <v>15</v>
      </c>
      <c r="AL275" s="88">
        <f ca="1">INDEX(OFFSET('Measure Inputs'!$N$7,,,InputRows),$C275)</f>
        <v>0</v>
      </c>
      <c r="AM275" s="57">
        <f ca="1">SUMIFS(OFFSET('Program Inputs'!$N$5,,,TotalPrograms),OFFSET('Program Inputs'!$B$5,,,TotalPrograms),SUBSTITUTE($B275,"All","*"))+AF275</f>
        <v>0</v>
      </c>
      <c r="AN275" s="57">
        <f t="shared" ca="1" si="507"/>
        <v>50</v>
      </c>
      <c r="AO275" s="55"/>
      <c r="AP275" s="59">
        <f t="shared" ca="1" si="508"/>
        <v>99.40945491496548</v>
      </c>
      <c r="AQ275" s="59">
        <f t="shared" ca="1" si="509"/>
        <v>97.077989654288899</v>
      </c>
      <c r="AR275" s="59">
        <f ca="1">SUMPRODUCT($CA275:$DI275,'General Inputs'!$F$32:$AN$32,'General Inputs'!$F$51:$AN$51)/(1-Loss_ElectricEnergy)</f>
        <v>85.442136984733793</v>
      </c>
      <c r="AS275" s="59">
        <f ca="1">SUMPRODUCT($DK275:$ES275,'General Inputs'!$F$33:$AN$33,'General Inputs'!$F$51:$AN$51)/(1-Loss_ElectricDemand)</f>
        <v>13.967317930231689</v>
      </c>
      <c r="AT275" s="59">
        <f ca="1">SUMPRODUCT($EU275:$GC275,'General Inputs'!$F$34:$AN$34,'General Inputs'!$F$51:$AN$51)/(1-Loss_GasEnergy)</f>
        <v>0</v>
      </c>
      <c r="AU275" s="59">
        <f ca="1">INDEX('General Inputs'!$F$51:$AN$51,MATCH($H275,'General Inputs'!$F$50:$AN$50,0))*$AJ275</f>
        <v>0</v>
      </c>
      <c r="AV275" s="59">
        <f ca="1">INDEX('General Inputs'!$F$51:$AN$51,MATCH($H275,'General Inputs'!$F$50:$AN$50,0))*$AI275</f>
        <v>42.207821588821261</v>
      </c>
      <c r="AW275" s="59">
        <f ca="1">INDEX('General Inputs'!$F$51:$AN$51,MATCH($H275,'General Inputs'!$F$50:$AN$50,0))*$AM275</f>
        <v>0</v>
      </c>
      <c r="AX275" s="59">
        <f ca="1">SUM(INDEX('General Inputs'!$F$51:$AN$51,MATCH($H275,'General Inputs'!$F$50:$AN$50,0))*$AG275,INDEX('General Inputs'!$F$51:$AN$51,MATCH($H275+$AL275,'General Inputs'!$F$50:$AN$50,0))*-$AH275)</f>
        <v>97.077989654288899</v>
      </c>
      <c r="AY275" s="55"/>
      <c r="AZ275" s="59">
        <f ca="1">SUMPRODUCT($CA275:$DI275,'General Inputs'!$F$32:$AN$32,'General Inputs'!$F$52:$AN$52)/(1-Loss_ElectricEnergy)</f>
        <v>85.442136984733793</v>
      </c>
      <c r="BA275" s="59">
        <f ca="1">SUMPRODUCT($DK275:$ES275,'General Inputs'!$F$33:$AN$33,'General Inputs'!$F$52:$AN$52)/(1-Loss_ElectricDemand)</f>
        <v>13.967317930231689</v>
      </c>
      <c r="BB275" s="59">
        <f ca="1">SUMPRODUCT($EU275:$GC275,'General Inputs'!$F$34:$AN$34,'General Inputs'!$F$52:$AN$52)/(1-Loss_GasEnergy)</f>
        <v>0</v>
      </c>
      <c r="BC275" s="59">
        <f ca="1">INDEX('General Inputs'!$F$52:$AN$52,MATCH($H275,'General Inputs'!$F$50:$AN$50,0))*$AI275</f>
        <v>42.207821588821261</v>
      </c>
      <c r="BD275" s="59">
        <f ca="1">INDEX('General Inputs'!$F$52:$AN$52,MATCH($H275,'General Inputs'!$F$50:$AN$50,0))*$AM275</f>
        <v>0</v>
      </c>
      <c r="BE275" s="55"/>
      <c r="BF275" s="59">
        <f ca="1">SUMPRODUCT($CA275:$DI275,OFFSET('General Inputs'!$F$40:$AN$40,MATCH($D275&amp;" Electric ($/kWh)",'General Inputs'!$E$40:$E$46,0),),'General Inputs'!$F$54:$AN$54)</f>
        <v>0</v>
      </c>
      <c r="BG275" s="59">
        <f ca="1">SUMPRODUCT($EU275:$GC275,OFFSET('General Inputs'!$F$40:$AN$40,MATCH($D275&amp;" Natural Gas ($/therm)",'General Inputs'!$E$40:$E$46,0),),'General Inputs'!$F$54:$AN$54)</f>
        <v>0</v>
      </c>
      <c r="BH275" s="59">
        <f ca="1">INDEX('General Inputs'!$F$54:$AN$54,MATCH($H275,'General Inputs'!$F$50:$AN$50,0))*$AI275</f>
        <v>42.207821588821261</v>
      </c>
      <c r="BI275" s="59">
        <f ca="1">SUM(INDEX('General Inputs'!$F$54:$AN$54,MATCH($H275,'General Inputs'!$F$50:$AN$50,0))*$AG275,INDEX('General Inputs'!$F$51:$AN$51,MATCH($H275+$AL275,'General Inputs'!$F$50:$AN$50,0))*-$AH275)</f>
        <v>97.077989654288899</v>
      </c>
      <c r="BJ275" s="55"/>
      <c r="BK275" s="59">
        <f ca="1">SUMPRODUCT($CA275:$DI275,'General Inputs'!$F$32:$AN$32,'General Inputs'!$F$53:$AN$53)/(1-Loss_ElectricEnergy)</f>
        <v>85.442136984733793</v>
      </c>
      <c r="BL275" s="59">
        <f ca="1">SUMPRODUCT($DK275:$ES275,'General Inputs'!$F$33:$AN$33,'General Inputs'!$F$53:$AN$53)/(1-Loss_ElectricDemand)</f>
        <v>13.967317930231689</v>
      </c>
      <c r="BM275" s="59">
        <f ca="1">SUMPRODUCT($EU275:$GC275,'General Inputs'!$F$34:$AN$34,'General Inputs'!$F$53:$AN$53)/(1-Loss_GasEnergy)</f>
        <v>0</v>
      </c>
      <c r="BN275" s="59">
        <f ca="1">INDEX('General Inputs'!$F$53:$AN$53,MATCH($H275,'General Inputs'!$F$50:$AN$50,0))*$AJ275</f>
        <v>0</v>
      </c>
      <c r="BO275" s="59">
        <f ca="1">SUMPRODUCT($CA275:$DI275,'General Inputs'!$F$35:$AN$35,'General Inputs'!$F$53:$AN$53)/(1-Loss_ElectricEnergy)</f>
        <v>31.635207524027848</v>
      </c>
      <c r="BP275" s="59">
        <f ca="1">INDEX('General Inputs'!$F$51:$AN$51,MATCH($H275,'General Inputs'!$F$50:$AN$50,0))*$AM275</f>
        <v>0</v>
      </c>
      <c r="BQ275" s="59">
        <f ca="1">SUM(INDEX('General Inputs'!$F$53:$AN$53,MATCH($H275,'General Inputs'!$F$50:$AN$50,0))*$AG275,INDEX('General Inputs'!$F$53:$AN$53,MATCH($H275+$AL275,'General Inputs'!$F$50:$AN$50,0))*-$AH275)</f>
        <v>97.077989654288899</v>
      </c>
      <c r="BR275" s="55"/>
      <c r="BS275" s="59">
        <f ca="1">SUMPRODUCT($CA275:$DI275,'General Inputs'!$F$32:$AN$32,'General Inputs'!$F$55:$AN$55)/(1-Loss_ElectricEnergy)</f>
        <v>85.442136984733793</v>
      </c>
      <c r="BT275" s="59">
        <f ca="1">SUMPRODUCT($DK275:$ES275,'General Inputs'!$F$33:$AN$33,'General Inputs'!$F$55:$AN$55)/(1-Loss_ElectricDemand)</f>
        <v>13.967317930231689</v>
      </c>
      <c r="BU275" s="59">
        <f ca="1">SUMPRODUCT($EU275:$GC275,'General Inputs'!$F$34:$AN$34,'General Inputs'!$F$55:$AN$55)/(1-Loss_GasEnergy)</f>
        <v>0</v>
      </c>
      <c r="BV275" s="59">
        <f ca="1">SUMPRODUCT($CA275:$DI275,OFFSET('General Inputs'!$F$40:$AN$40,MATCH($D275&amp;" Electric ($/kWh)",'General Inputs'!$E$40:$E$46,0),),'General Inputs'!$F$55:$AN$55)</f>
        <v>0</v>
      </c>
      <c r="BW275" s="59">
        <f ca="1">SUMPRODUCT($EU275:$GC275,OFFSET('General Inputs'!$F$40:$AN$40,MATCH($D275&amp;" Natural Gas ($/therm)",'General Inputs'!$E$40:$E$46,0),),'General Inputs'!$F$55:$AN$55)</f>
        <v>0</v>
      </c>
      <c r="BX275" s="59">
        <f ca="1">INDEX('General Inputs'!$F$55:$AN$55,MATCH($H275,'General Inputs'!$F$50:$AN$50,0))*$AI275</f>
        <v>42.207821588821261</v>
      </c>
      <c r="BY275" s="59">
        <f ca="1">INDEX('General Inputs'!$F$51:$AN$51,MATCH($H275,'General Inputs'!$F$50:$AN$50,0))*$AM275</f>
        <v>0</v>
      </c>
      <c r="BZ275" s="55"/>
      <c r="CA275" s="88">
        <f t="shared" ca="1" si="510"/>
        <v>0</v>
      </c>
      <c r="CB275" s="88">
        <f t="shared" ca="1" si="510"/>
        <v>0</v>
      </c>
      <c r="CC275" s="88">
        <f t="shared" ca="1" si="510"/>
        <v>353.7219425735546</v>
      </c>
      <c r="CD275" s="88">
        <f t="shared" ca="1" si="510"/>
        <v>353.7219425735546</v>
      </c>
      <c r="CE275" s="88">
        <f t="shared" ca="1" si="510"/>
        <v>353.7219425735546</v>
      </c>
      <c r="CF275" s="88">
        <f t="shared" ca="1" si="510"/>
        <v>353.7219425735546</v>
      </c>
      <c r="CG275" s="88">
        <f t="shared" ca="1" si="510"/>
        <v>353.7219425735546</v>
      </c>
      <c r="CH275" s="88">
        <f t="shared" ca="1" si="510"/>
        <v>353.7219425735546</v>
      </c>
      <c r="CI275" s="88">
        <f t="shared" ca="1" si="510"/>
        <v>353.7219425735546</v>
      </c>
      <c r="CJ275" s="88">
        <f t="shared" ca="1" si="510"/>
        <v>353.7219425735546</v>
      </c>
      <c r="CK275" s="88">
        <f t="shared" ca="1" si="511"/>
        <v>353.7219425735546</v>
      </c>
      <c r="CL275" s="88">
        <f t="shared" ca="1" si="511"/>
        <v>353.7219425735546</v>
      </c>
      <c r="CM275" s="88">
        <f t="shared" ca="1" si="511"/>
        <v>353.7219425735546</v>
      </c>
      <c r="CN275" s="88">
        <f t="shared" ca="1" si="511"/>
        <v>353.7219425735546</v>
      </c>
      <c r="CO275" s="88">
        <f t="shared" ca="1" si="511"/>
        <v>353.7219425735546</v>
      </c>
      <c r="CP275" s="88">
        <f t="shared" ca="1" si="511"/>
        <v>353.7219425735546</v>
      </c>
      <c r="CQ275" s="88">
        <f t="shared" ca="1" si="511"/>
        <v>353.7219425735546</v>
      </c>
      <c r="CR275" s="88">
        <f t="shared" ca="1" si="511"/>
        <v>0</v>
      </c>
      <c r="CS275" s="88">
        <f t="shared" ca="1" si="511"/>
        <v>0</v>
      </c>
      <c r="CT275" s="88">
        <f t="shared" ca="1" si="511"/>
        <v>0</v>
      </c>
      <c r="CU275" s="88">
        <f t="shared" ca="1" si="512"/>
        <v>0</v>
      </c>
      <c r="CV275" s="88">
        <f t="shared" ca="1" si="512"/>
        <v>0</v>
      </c>
      <c r="CW275" s="88">
        <f t="shared" ca="1" si="512"/>
        <v>0</v>
      </c>
      <c r="CX275" s="88">
        <f t="shared" ca="1" si="512"/>
        <v>0</v>
      </c>
      <c r="CY275" s="88">
        <f t="shared" ca="1" si="512"/>
        <v>0</v>
      </c>
      <c r="CZ275" s="88">
        <f t="shared" ca="1" si="512"/>
        <v>0</v>
      </c>
      <c r="DA275" s="88">
        <f t="shared" ca="1" si="512"/>
        <v>0</v>
      </c>
      <c r="DB275" s="88">
        <f t="shared" ca="1" si="512"/>
        <v>0</v>
      </c>
      <c r="DC275" s="88">
        <f t="shared" ca="1" si="512"/>
        <v>0</v>
      </c>
      <c r="DD275" s="88">
        <f t="shared" ca="1" si="512"/>
        <v>0</v>
      </c>
      <c r="DE275" s="88">
        <f t="shared" ca="1" si="512"/>
        <v>0</v>
      </c>
      <c r="DF275" s="88">
        <f t="shared" ca="1" si="512"/>
        <v>0</v>
      </c>
      <c r="DG275" s="88">
        <f t="shared" ca="1" si="512"/>
        <v>0</v>
      </c>
      <c r="DH275" s="88">
        <f t="shared" ca="1" si="512"/>
        <v>0</v>
      </c>
      <c r="DI275" s="88">
        <f t="shared" ca="1" si="512"/>
        <v>0</v>
      </c>
      <c r="DJ275" s="169"/>
      <c r="DK275" s="88">
        <f t="shared" ca="1" si="513"/>
        <v>0</v>
      </c>
      <c r="DL275" s="88">
        <f t="shared" ca="1" si="513"/>
        <v>0</v>
      </c>
      <c r="DM275" s="88">
        <f t="shared" ca="1" si="513"/>
        <v>8.0391350584898769E-2</v>
      </c>
      <c r="DN275" s="88">
        <f t="shared" ca="1" si="513"/>
        <v>8.0391350584898769E-2</v>
      </c>
      <c r="DO275" s="88">
        <f t="shared" ca="1" si="513"/>
        <v>8.0391350584898769E-2</v>
      </c>
      <c r="DP275" s="88">
        <f t="shared" ca="1" si="513"/>
        <v>8.0391350584898769E-2</v>
      </c>
      <c r="DQ275" s="88">
        <f t="shared" ca="1" si="513"/>
        <v>8.0391350584898769E-2</v>
      </c>
      <c r="DR275" s="88">
        <f t="shared" ca="1" si="513"/>
        <v>8.0391350584898769E-2</v>
      </c>
      <c r="DS275" s="88">
        <f t="shared" ca="1" si="513"/>
        <v>8.0391350584898769E-2</v>
      </c>
      <c r="DT275" s="88">
        <f t="shared" ca="1" si="513"/>
        <v>8.0391350584898769E-2</v>
      </c>
      <c r="DU275" s="88">
        <f t="shared" ca="1" si="514"/>
        <v>8.0391350584898769E-2</v>
      </c>
      <c r="DV275" s="88">
        <f t="shared" ca="1" si="514"/>
        <v>8.0391350584898769E-2</v>
      </c>
      <c r="DW275" s="88">
        <f t="shared" ca="1" si="514"/>
        <v>8.0391350584898769E-2</v>
      </c>
      <c r="DX275" s="88">
        <f t="shared" ca="1" si="514"/>
        <v>8.0391350584898769E-2</v>
      </c>
      <c r="DY275" s="88">
        <f t="shared" ca="1" si="514"/>
        <v>8.0391350584898769E-2</v>
      </c>
      <c r="DZ275" s="88">
        <f t="shared" ca="1" si="514"/>
        <v>8.0391350584898769E-2</v>
      </c>
      <c r="EA275" s="88">
        <f t="shared" ca="1" si="514"/>
        <v>8.0391350584898769E-2</v>
      </c>
      <c r="EB275" s="88">
        <f t="shared" ca="1" si="514"/>
        <v>0</v>
      </c>
      <c r="EC275" s="88">
        <f t="shared" ca="1" si="514"/>
        <v>0</v>
      </c>
      <c r="ED275" s="88">
        <f t="shared" ca="1" si="514"/>
        <v>0</v>
      </c>
      <c r="EE275" s="88">
        <f t="shared" ca="1" si="515"/>
        <v>0</v>
      </c>
      <c r="EF275" s="88">
        <f t="shared" ca="1" si="515"/>
        <v>0</v>
      </c>
      <c r="EG275" s="88">
        <f t="shared" ca="1" si="515"/>
        <v>0</v>
      </c>
      <c r="EH275" s="88">
        <f t="shared" ca="1" si="515"/>
        <v>0</v>
      </c>
      <c r="EI275" s="88">
        <f t="shared" ca="1" si="515"/>
        <v>0</v>
      </c>
      <c r="EJ275" s="88">
        <f t="shared" ca="1" si="515"/>
        <v>0</v>
      </c>
      <c r="EK275" s="88">
        <f t="shared" ca="1" si="515"/>
        <v>0</v>
      </c>
      <c r="EL275" s="88">
        <f t="shared" ca="1" si="515"/>
        <v>0</v>
      </c>
      <c r="EM275" s="88">
        <f t="shared" ca="1" si="515"/>
        <v>0</v>
      </c>
      <c r="EN275" s="88">
        <f t="shared" ca="1" si="515"/>
        <v>0</v>
      </c>
      <c r="EO275" s="88">
        <f t="shared" ca="1" si="515"/>
        <v>0</v>
      </c>
      <c r="EP275" s="88">
        <f t="shared" ca="1" si="515"/>
        <v>0</v>
      </c>
      <c r="EQ275" s="88">
        <f t="shared" ca="1" si="515"/>
        <v>0</v>
      </c>
      <c r="ER275" s="88">
        <f t="shared" ca="1" si="515"/>
        <v>0</v>
      </c>
      <c r="ES275" s="88">
        <f t="shared" ca="1" si="515"/>
        <v>0</v>
      </c>
      <c r="ET275" s="169"/>
      <c r="EU275" s="88">
        <f t="shared" ca="1" si="516"/>
        <v>0</v>
      </c>
      <c r="EV275" s="88">
        <f t="shared" ca="1" si="516"/>
        <v>0</v>
      </c>
      <c r="EW275" s="88">
        <f t="shared" ca="1" si="516"/>
        <v>0</v>
      </c>
      <c r="EX275" s="88">
        <f t="shared" ca="1" si="516"/>
        <v>0</v>
      </c>
      <c r="EY275" s="88">
        <f t="shared" ca="1" si="516"/>
        <v>0</v>
      </c>
      <c r="EZ275" s="88">
        <f t="shared" ca="1" si="516"/>
        <v>0</v>
      </c>
      <c r="FA275" s="88">
        <f t="shared" ca="1" si="516"/>
        <v>0</v>
      </c>
      <c r="FB275" s="88">
        <f t="shared" ca="1" si="516"/>
        <v>0</v>
      </c>
      <c r="FC275" s="88">
        <f t="shared" ca="1" si="516"/>
        <v>0</v>
      </c>
      <c r="FD275" s="88">
        <f t="shared" ca="1" si="516"/>
        <v>0</v>
      </c>
      <c r="FE275" s="88">
        <f t="shared" ca="1" si="517"/>
        <v>0</v>
      </c>
      <c r="FF275" s="88">
        <f t="shared" ca="1" si="517"/>
        <v>0</v>
      </c>
      <c r="FG275" s="88">
        <f t="shared" ca="1" si="517"/>
        <v>0</v>
      </c>
      <c r="FH275" s="88">
        <f t="shared" ca="1" si="517"/>
        <v>0</v>
      </c>
      <c r="FI275" s="88">
        <f t="shared" ca="1" si="517"/>
        <v>0</v>
      </c>
      <c r="FJ275" s="88">
        <f t="shared" ca="1" si="517"/>
        <v>0</v>
      </c>
      <c r="FK275" s="88">
        <f t="shared" ca="1" si="517"/>
        <v>0</v>
      </c>
      <c r="FL275" s="88">
        <f t="shared" ca="1" si="517"/>
        <v>0</v>
      </c>
      <c r="FM275" s="88">
        <f t="shared" ca="1" si="517"/>
        <v>0</v>
      </c>
      <c r="FN275" s="88">
        <f t="shared" ca="1" si="517"/>
        <v>0</v>
      </c>
      <c r="FO275" s="88">
        <f t="shared" ca="1" si="518"/>
        <v>0</v>
      </c>
      <c r="FP275" s="88">
        <f t="shared" ca="1" si="518"/>
        <v>0</v>
      </c>
      <c r="FQ275" s="88">
        <f t="shared" ca="1" si="518"/>
        <v>0</v>
      </c>
      <c r="FR275" s="88">
        <f t="shared" ca="1" si="518"/>
        <v>0</v>
      </c>
      <c r="FS275" s="88">
        <f t="shared" ca="1" si="518"/>
        <v>0</v>
      </c>
      <c r="FT275" s="88">
        <f t="shared" ca="1" si="518"/>
        <v>0</v>
      </c>
      <c r="FU275" s="88">
        <f t="shared" ca="1" si="518"/>
        <v>0</v>
      </c>
      <c r="FV275" s="88">
        <f t="shared" ca="1" si="518"/>
        <v>0</v>
      </c>
      <c r="FW275" s="88">
        <f t="shared" ca="1" si="518"/>
        <v>0</v>
      </c>
      <c r="FX275" s="88">
        <f t="shared" ca="1" si="518"/>
        <v>0</v>
      </c>
      <c r="FY275" s="88">
        <f t="shared" ca="1" si="518"/>
        <v>0</v>
      </c>
      <c r="FZ275" s="88">
        <f t="shared" ca="1" si="518"/>
        <v>0</v>
      </c>
      <c r="GA275" s="88">
        <f t="shared" ca="1" si="518"/>
        <v>0</v>
      </c>
      <c r="GB275" s="88">
        <f t="shared" ca="1" si="518"/>
        <v>0</v>
      </c>
      <c r="GC275" s="88">
        <f t="shared" ca="1" si="518"/>
        <v>0</v>
      </c>
      <c r="GD275" s="60"/>
    </row>
    <row r="276" spans="1:186" s="54" customFormat="1" ht="14.45" customHeight="1">
      <c r="A276" s="61"/>
      <c r="B276" s="100" t="str">
        <f t="shared" si="482"/>
        <v>C&amp;I_C&amp;I Prescriptive_0_TEFC Motor_2019</v>
      </c>
      <c r="C276" s="100">
        <f>INDEX('Measure Inputs'!$D:$D,MATCH($B276,'Measure Inputs'!$B:$B,0))</f>
        <v>228</v>
      </c>
      <c r="D276" s="101" t="s">
        <v>256</v>
      </c>
      <c r="E276" s="101" t="s">
        <v>255</v>
      </c>
      <c r="F276" s="101">
        <v>0</v>
      </c>
      <c r="G276" s="101" t="s">
        <v>317</v>
      </c>
      <c r="H276" s="101">
        <v>2019</v>
      </c>
      <c r="I276" s="55"/>
      <c r="J276" s="58">
        <f t="shared" ca="1" si="229"/>
        <v>0.72146611037783881</v>
      </c>
      <c r="K276" s="58">
        <f t="shared" ca="1" si="246"/>
        <v>1.6593720538690293</v>
      </c>
      <c r="L276" s="58">
        <f t="shared" ca="1" si="230"/>
        <v>0.43478260869565216</v>
      </c>
      <c r="M276" s="58">
        <f t="shared" ca="1" si="231"/>
        <v>0.95105926268794316</v>
      </c>
      <c r="N276" s="58">
        <f t="shared" ca="1" si="232"/>
        <v>1.6593720538690293</v>
      </c>
      <c r="O276" s="55"/>
      <c r="P276" s="175">
        <f ca="1">IFERROR(($AW276+AV276)/SUMPRODUCT($CA276:$DI276,'General Inputs'!$F$51:$AN$51),"n/a")</f>
        <v>2.2652971768007513E-2</v>
      </c>
      <c r="Q276" s="175">
        <f t="shared" ca="1" si="454"/>
        <v>0.20063143784394105</v>
      </c>
      <c r="R276" s="56">
        <f t="shared" ca="1" si="428"/>
        <v>3.7381978021977758</v>
      </c>
      <c r="S276" s="55"/>
      <c r="T276" s="56">
        <f ca="1">INDEX(OFFSET('Measure Inputs'!$L$7,,,InputRows),$C276)</f>
        <v>1</v>
      </c>
      <c r="U276" s="134">
        <f ca="1">INDEX(OFFSET('Measure Inputs'!$T$7,,,InputRows),$C276)</f>
        <v>1</v>
      </c>
      <c r="V276" s="134">
        <f ca="1">INDEX(OFFSET('Measure Inputs'!$U$7,,,InputRows),$C276)</f>
        <v>1</v>
      </c>
      <c r="W276" s="55"/>
      <c r="X276" s="96">
        <f ca="1">INDEX(OFFSET('Measure Inputs'!$V$7,,,InputRows),$C276)*$T276*$V276*$U276</f>
        <v>249.21318681318502</v>
      </c>
      <c r="Y276" s="96">
        <f ca="1">INDEX(OFFSET('Measure Inputs'!$W$7,,,InputRows),$C276)*$T276*$V276*$U276</f>
        <v>5.6639360639360231E-2</v>
      </c>
      <c r="Z276" s="96">
        <f ca="1">INDEX(OFFSET('Measure Inputs'!$X$7,,,InputRows),$C276)*$T276*$V276*$U276</f>
        <v>0</v>
      </c>
      <c r="AA276" s="55"/>
      <c r="AB276" s="96">
        <f ca="1">INDEX(OFFSET('Measure Inputs'!$Z$7,,,InputRows),$C276)*$T276*$V276*$U276</f>
        <v>0</v>
      </c>
      <c r="AC276" s="96">
        <f ca="1">INDEX(OFFSET('Measure Inputs'!$AA$7,,,InputRows),$C276)*$T276*$V276*$U276</f>
        <v>0</v>
      </c>
      <c r="AD276" s="96">
        <f ca="1">INDEX(OFFSET('Measure Inputs'!$AB$7,,,InputRows),$C276)*$T276*$V276*$U276</f>
        <v>0</v>
      </c>
      <c r="AE276" s="55"/>
      <c r="AF276" s="57">
        <f ca="1">INDEX(OFFSET('Measure Inputs'!$Q$7,,,InputRows),$C276)*$T276</f>
        <v>0</v>
      </c>
      <c r="AG276" s="57">
        <f ca="1">INDEX(OFFSET('Measure Inputs'!$P$7,,,InputRows),$C276)*$T276*$V276</f>
        <v>115</v>
      </c>
      <c r="AH276" s="57">
        <f ca="1">INDEX(OFFSET('Measure Inputs'!$R$7,,,InputRows),$C276)*$T276*$V276</f>
        <v>0</v>
      </c>
      <c r="AI276" s="57">
        <f ca="1">INDEX(OFFSET('Measure Inputs'!$O$7,,,InputRows),$C276)*$T276</f>
        <v>50</v>
      </c>
      <c r="AJ276" s="57">
        <f ca="1">INDEX(OFFSET('Measure Inputs'!$S$7,,,InputRows),$C276)*$T276</f>
        <v>0</v>
      </c>
      <c r="AK276" s="63">
        <f ca="1">INDEX(OFFSET('Measure Inputs'!$M$7,,,InputRows),$C276)</f>
        <v>15</v>
      </c>
      <c r="AL276" s="88">
        <f ca="1">INDEX(OFFSET('Measure Inputs'!$N$7,,,InputRows),$C276)</f>
        <v>0</v>
      </c>
      <c r="AM276" s="57">
        <f ca="1">SUMIFS(OFFSET('Program Inputs'!$N$5,,,TotalPrograms),OFFSET('Program Inputs'!$B$5,,,TotalPrograms),SUBSTITUTE($B276,"All","*"))+AF276</f>
        <v>0</v>
      </c>
      <c r="AN276" s="57">
        <f t="shared" ca="1" si="429"/>
        <v>50</v>
      </c>
      <c r="AO276" s="55"/>
      <c r="AP276" s="59">
        <f t="shared" ca="1" si="430"/>
        <v>70.038479599179894</v>
      </c>
      <c r="AQ276" s="59">
        <f t="shared" ca="1" si="431"/>
        <v>97.077989654288899</v>
      </c>
      <c r="AR276" s="59">
        <f ca="1">SUMPRODUCT($CA276:$DI276,'General Inputs'!$F$32:$AN$32,'General Inputs'!$F$51:$AN$51)/(1-Loss_ElectricEnergy)</f>
        <v>60.197869239243978</v>
      </c>
      <c r="AS276" s="59">
        <f ca="1">SUMPRODUCT($DK276:$ES276,'General Inputs'!$F$33:$AN$33,'General Inputs'!$F$51:$AN$51)/(1-Loss_ElectricDemand)</f>
        <v>9.8406103599359156</v>
      </c>
      <c r="AT276" s="59">
        <f ca="1">SUMPRODUCT($EU276:$GC276,'General Inputs'!$F$34:$AN$34,'General Inputs'!$F$51:$AN$51)/(1-Loss_GasEnergy)</f>
        <v>0</v>
      </c>
      <c r="AU276" s="59">
        <f ca="1">INDEX('General Inputs'!$F$51:$AN$51,MATCH($H276,'General Inputs'!$F$50:$AN$50,0))*$AJ276</f>
        <v>0</v>
      </c>
      <c r="AV276" s="59">
        <f ca="1">INDEX('General Inputs'!$F$51:$AN$51,MATCH($H276,'General Inputs'!$F$50:$AN$50,0))*$AI276</f>
        <v>42.207821588821261</v>
      </c>
      <c r="AW276" s="59">
        <f ca="1">INDEX('General Inputs'!$F$51:$AN$51,MATCH($H276,'General Inputs'!$F$50:$AN$50,0))*$AM276</f>
        <v>0</v>
      </c>
      <c r="AX276" s="59">
        <f ca="1">SUM(INDEX('General Inputs'!$F$51:$AN$51,MATCH($H276,'General Inputs'!$F$50:$AN$50,0))*$AG276,INDEX('General Inputs'!$F$51:$AN$51,MATCH($H276+$AL276,'General Inputs'!$F$50:$AN$50,0))*-$AH276)</f>
        <v>97.077989654288899</v>
      </c>
      <c r="AY276" s="55"/>
      <c r="AZ276" s="59">
        <f ca="1">SUMPRODUCT($CA276:$DI276,'General Inputs'!$F$32:$AN$32,'General Inputs'!$F$52:$AN$52)/(1-Loss_ElectricEnergy)</f>
        <v>60.197869239243978</v>
      </c>
      <c r="BA276" s="59">
        <f ca="1">SUMPRODUCT($DK276:$ES276,'General Inputs'!$F$33:$AN$33,'General Inputs'!$F$52:$AN$52)/(1-Loss_ElectricDemand)</f>
        <v>9.8406103599359156</v>
      </c>
      <c r="BB276" s="59">
        <f ca="1">SUMPRODUCT($EU276:$GC276,'General Inputs'!$F$34:$AN$34,'General Inputs'!$F$52:$AN$52)/(1-Loss_GasEnergy)</f>
        <v>0</v>
      </c>
      <c r="BC276" s="59">
        <f ca="1">INDEX('General Inputs'!$F$52:$AN$52,MATCH($H276,'General Inputs'!$F$50:$AN$50,0))*$AI276</f>
        <v>42.207821588821261</v>
      </c>
      <c r="BD276" s="59">
        <f ca="1">INDEX('General Inputs'!$F$52:$AN$52,MATCH($H276,'General Inputs'!$F$50:$AN$50,0))*$AM276</f>
        <v>0</v>
      </c>
      <c r="BE276" s="55"/>
      <c r="BF276" s="59">
        <f ca="1">SUMPRODUCT($CA276:$DI276,OFFSET('General Inputs'!$F$40:$AN$40,MATCH($D276&amp;" Electric ($/kWh)",'General Inputs'!$E$40:$E$46,0),),'General Inputs'!$F$54:$AN$54)</f>
        <v>0</v>
      </c>
      <c r="BG276" s="59">
        <f ca="1">SUMPRODUCT($EU276:$GC276,OFFSET('General Inputs'!$F$40:$AN$40,MATCH($D276&amp;" Natural Gas ($/therm)",'General Inputs'!$E$40:$E$46,0),),'General Inputs'!$F$54:$AN$54)</f>
        <v>0</v>
      </c>
      <c r="BH276" s="59">
        <f ca="1">INDEX('General Inputs'!$F$54:$AN$54,MATCH($H276,'General Inputs'!$F$50:$AN$50,0))*$AI276</f>
        <v>42.207821588821261</v>
      </c>
      <c r="BI276" s="59">
        <f ca="1">SUM(INDEX('General Inputs'!$F$54:$AN$54,MATCH($H276,'General Inputs'!$F$50:$AN$50,0))*$AG276,INDEX('General Inputs'!$F$51:$AN$51,MATCH($H276+$AL276,'General Inputs'!$F$50:$AN$50,0))*-$AH276)</f>
        <v>97.077989654288899</v>
      </c>
      <c r="BJ276" s="55"/>
      <c r="BK276" s="59">
        <f ca="1">SUMPRODUCT($CA276:$DI276,'General Inputs'!$F$32:$AN$32,'General Inputs'!$F$53:$AN$53)/(1-Loss_ElectricEnergy)</f>
        <v>60.197869239243978</v>
      </c>
      <c r="BL276" s="59">
        <f ca="1">SUMPRODUCT($DK276:$ES276,'General Inputs'!$F$33:$AN$33,'General Inputs'!$F$53:$AN$53)/(1-Loss_ElectricDemand)</f>
        <v>9.8406103599359156</v>
      </c>
      <c r="BM276" s="59">
        <f ca="1">SUMPRODUCT($EU276:$GC276,'General Inputs'!$F$34:$AN$34,'General Inputs'!$F$53:$AN$53)/(1-Loss_GasEnergy)</f>
        <v>0</v>
      </c>
      <c r="BN276" s="59">
        <f ca="1">INDEX('General Inputs'!$F$53:$AN$53,MATCH($H276,'General Inputs'!$F$50:$AN$50,0))*$AJ276</f>
        <v>0</v>
      </c>
      <c r="BO276" s="59">
        <f ca="1">SUMPRODUCT($CA276:$DI276,'General Inputs'!$F$35:$AN$35,'General Inputs'!$F$53:$AN$53)/(1-Loss_ElectricEnergy)</f>
        <v>22.288441664655874</v>
      </c>
      <c r="BP276" s="59">
        <f ca="1">INDEX('General Inputs'!$F$51:$AN$51,MATCH($H276,'General Inputs'!$F$50:$AN$50,0))*$AM276</f>
        <v>0</v>
      </c>
      <c r="BQ276" s="59">
        <f ca="1">SUM(INDEX('General Inputs'!$F$53:$AN$53,MATCH($H276,'General Inputs'!$F$50:$AN$50,0))*$AG276,INDEX('General Inputs'!$F$53:$AN$53,MATCH($H276+$AL276,'General Inputs'!$F$50:$AN$50,0))*-$AH276)</f>
        <v>97.077989654288899</v>
      </c>
      <c r="BR276" s="55"/>
      <c r="BS276" s="59">
        <f ca="1">SUMPRODUCT($CA276:$DI276,'General Inputs'!$F$32:$AN$32,'General Inputs'!$F$55:$AN$55)/(1-Loss_ElectricEnergy)</f>
        <v>60.197869239243978</v>
      </c>
      <c r="BT276" s="59">
        <f ca="1">SUMPRODUCT($DK276:$ES276,'General Inputs'!$F$33:$AN$33,'General Inputs'!$F$55:$AN$55)/(1-Loss_ElectricDemand)</f>
        <v>9.8406103599359156</v>
      </c>
      <c r="BU276" s="59">
        <f ca="1">SUMPRODUCT($EU276:$GC276,'General Inputs'!$F$34:$AN$34,'General Inputs'!$F$55:$AN$55)/(1-Loss_GasEnergy)</f>
        <v>0</v>
      </c>
      <c r="BV276" s="59">
        <f ca="1">SUMPRODUCT($CA276:$DI276,OFFSET('General Inputs'!$F$40:$AN$40,MATCH($D276&amp;" Electric ($/kWh)",'General Inputs'!$E$40:$E$46,0),),'General Inputs'!$F$55:$AN$55)</f>
        <v>0</v>
      </c>
      <c r="BW276" s="59">
        <f ca="1">SUMPRODUCT($EU276:$GC276,OFFSET('General Inputs'!$F$40:$AN$40,MATCH($D276&amp;" Natural Gas ($/therm)",'General Inputs'!$E$40:$E$46,0),),'General Inputs'!$F$55:$AN$55)</f>
        <v>0</v>
      </c>
      <c r="BX276" s="59">
        <f ca="1">INDEX('General Inputs'!$F$55:$AN$55,MATCH($H276,'General Inputs'!$F$50:$AN$50,0))*$AI276</f>
        <v>42.207821588821261</v>
      </c>
      <c r="BY276" s="59">
        <f ca="1">INDEX('General Inputs'!$F$51:$AN$51,MATCH($H276,'General Inputs'!$F$50:$AN$50,0))*$AM276</f>
        <v>0</v>
      </c>
      <c r="BZ276" s="55"/>
      <c r="CA276" s="88">
        <f t="shared" ca="1" si="510"/>
        <v>0</v>
      </c>
      <c r="CB276" s="88">
        <f t="shared" ca="1" si="510"/>
        <v>0</v>
      </c>
      <c r="CC276" s="88">
        <f t="shared" ca="1" si="510"/>
        <v>249.21318681318502</v>
      </c>
      <c r="CD276" s="88">
        <f t="shared" ca="1" si="510"/>
        <v>249.21318681318502</v>
      </c>
      <c r="CE276" s="88">
        <f t="shared" ca="1" si="510"/>
        <v>249.21318681318502</v>
      </c>
      <c r="CF276" s="88">
        <f t="shared" ca="1" si="510"/>
        <v>249.21318681318502</v>
      </c>
      <c r="CG276" s="88">
        <f t="shared" ca="1" si="510"/>
        <v>249.21318681318502</v>
      </c>
      <c r="CH276" s="88">
        <f t="shared" ca="1" si="510"/>
        <v>249.21318681318502</v>
      </c>
      <c r="CI276" s="88">
        <f t="shared" ca="1" si="510"/>
        <v>249.21318681318502</v>
      </c>
      <c r="CJ276" s="88">
        <f t="shared" ca="1" si="510"/>
        <v>249.21318681318502</v>
      </c>
      <c r="CK276" s="88">
        <f t="shared" ca="1" si="511"/>
        <v>249.21318681318502</v>
      </c>
      <c r="CL276" s="88">
        <f t="shared" ca="1" si="511"/>
        <v>249.21318681318502</v>
      </c>
      <c r="CM276" s="88">
        <f t="shared" ca="1" si="511"/>
        <v>249.21318681318502</v>
      </c>
      <c r="CN276" s="88">
        <f t="shared" ca="1" si="511"/>
        <v>249.21318681318502</v>
      </c>
      <c r="CO276" s="88">
        <f t="shared" ca="1" si="511"/>
        <v>249.21318681318502</v>
      </c>
      <c r="CP276" s="88">
        <f t="shared" ca="1" si="511"/>
        <v>249.21318681318502</v>
      </c>
      <c r="CQ276" s="88">
        <f t="shared" ca="1" si="511"/>
        <v>249.21318681318502</v>
      </c>
      <c r="CR276" s="88">
        <f t="shared" ca="1" si="511"/>
        <v>0</v>
      </c>
      <c r="CS276" s="88">
        <f t="shared" ca="1" si="511"/>
        <v>0</v>
      </c>
      <c r="CT276" s="88">
        <f t="shared" ca="1" si="511"/>
        <v>0</v>
      </c>
      <c r="CU276" s="88">
        <f t="shared" ca="1" si="512"/>
        <v>0</v>
      </c>
      <c r="CV276" s="88">
        <f t="shared" ca="1" si="512"/>
        <v>0</v>
      </c>
      <c r="CW276" s="88">
        <f t="shared" ca="1" si="512"/>
        <v>0</v>
      </c>
      <c r="CX276" s="88">
        <f t="shared" ca="1" si="512"/>
        <v>0</v>
      </c>
      <c r="CY276" s="88">
        <f t="shared" ca="1" si="512"/>
        <v>0</v>
      </c>
      <c r="CZ276" s="88">
        <f t="shared" ca="1" si="512"/>
        <v>0</v>
      </c>
      <c r="DA276" s="88">
        <f t="shared" ca="1" si="512"/>
        <v>0</v>
      </c>
      <c r="DB276" s="88">
        <f t="shared" ca="1" si="512"/>
        <v>0</v>
      </c>
      <c r="DC276" s="88">
        <f t="shared" ca="1" si="512"/>
        <v>0</v>
      </c>
      <c r="DD276" s="88">
        <f t="shared" ca="1" si="512"/>
        <v>0</v>
      </c>
      <c r="DE276" s="88">
        <f t="shared" ca="1" si="512"/>
        <v>0</v>
      </c>
      <c r="DF276" s="88">
        <f t="shared" ca="1" si="512"/>
        <v>0</v>
      </c>
      <c r="DG276" s="88">
        <f t="shared" ca="1" si="512"/>
        <v>0</v>
      </c>
      <c r="DH276" s="88">
        <f t="shared" ca="1" si="512"/>
        <v>0</v>
      </c>
      <c r="DI276" s="88">
        <f t="shared" ca="1" si="512"/>
        <v>0</v>
      </c>
      <c r="DJ276" s="169"/>
      <c r="DK276" s="88">
        <f t="shared" ca="1" si="513"/>
        <v>0</v>
      </c>
      <c r="DL276" s="88">
        <f t="shared" ca="1" si="513"/>
        <v>0</v>
      </c>
      <c r="DM276" s="88">
        <f t="shared" ca="1" si="513"/>
        <v>5.6639360639360231E-2</v>
      </c>
      <c r="DN276" s="88">
        <f t="shared" ca="1" si="513"/>
        <v>5.6639360639360231E-2</v>
      </c>
      <c r="DO276" s="88">
        <f t="shared" ca="1" si="513"/>
        <v>5.6639360639360231E-2</v>
      </c>
      <c r="DP276" s="88">
        <f t="shared" ca="1" si="513"/>
        <v>5.6639360639360231E-2</v>
      </c>
      <c r="DQ276" s="88">
        <f t="shared" ca="1" si="513"/>
        <v>5.6639360639360231E-2</v>
      </c>
      <c r="DR276" s="88">
        <f t="shared" ca="1" si="513"/>
        <v>5.6639360639360231E-2</v>
      </c>
      <c r="DS276" s="88">
        <f t="shared" ca="1" si="513"/>
        <v>5.6639360639360231E-2</v>
      </c>
      <c r="DT276" s="88">
        <f t="shared" ca="1" si="513"/>
        <v>5.6639360639360231E-2</v>
      </c>
      <c r="DU276" s="88">
        <f t="shared" ca="1" si="514"/>
        <v>5.6639360639360231E-2</v>
      </c>
      <c r="DV276" s="88">
        <f t="shared" ca="1" si="514"/>
        <v>5.6639360639360231E-2</v>
      </c>
      <c r="DW276" s="88">
        <f t="shared" ca="1" si="514"/>
        <v>5.6639360639360231E-2</v>
      </c>
      <c r="DX276" s="88">
        <f t="shared" ca="1" si="514"/>
        <v>5.6639360639360231E-2</v>
      </c>
      <c r="DY276" s="88">
        <f t="shared" ca="1" si="514"/>
        <v>5.6639360639360231E-2</v>
      </c>
      <c r="DZ276" s="88">
        <f t="shared" ca="1" si="514"/>
        <v>5.6639360639360231E-2</v>
      </c>
      <c r="EA276" s="88">
        <f t="shared" ca="1" si="514"/>
        <v>5.6639360639360231E-2</v>
      </c>
      <c r="EB276" s="88">
        <f t="shared" ca="1" si="514"/>
        <v>0</v>
      </c>
      <c r="EC276" s="88">
        <f t="shared" ca="1" si="514"/>
        <v>0</v>
      </c>
      <c r="ED276" s="88">
        <f t="shared" ca="1" si="514"/>
        <v>0</v>
      </c>
      <c r="EE276" s="88">
        <f t="shared" ca="1" si="515"/>
        <v>0</v>
      </c>
      <c r="EF276" s="88">
        <f t="shared" ca="1" si="515"/>
        <v>0</v>
      </c>
      <c r="EG276" s="88">
        <f t="shared" ca="1" si="515"/>
        <v>0</v>
      </c>
      <c r="EH276" s="88">
        <f t="shared" ca="1" si="515"/>
        <v>0</v>
      </c>
      <c r="EI276" s="88">
        <f t="shared" ca="1" si="515"/>
        <v>0</v>
      </c>
      <c r="EJ276" s="88">
        <f t="shared" ca="1" si="515"/>
        <v>0</v>
      </c>
      <c r="EK276" s="88">
        <f t="shared" ca="1" si="515"/>
        <v>0</v>
      </c>
      <c r="EL276" s="88">
        <f t="shared" ca="1" si="515"/>
        <v>0</v>
      </c>
      <c r="EM276" s="88">
        <f t="shared" ca="1" si="515"/>
        <v>0</v>
      </c>
      <c r="EN276" s="88">
        <f t="shared" ca="1" si="515"/>
        <v>0</v>
      </c>
      <c r="EO276" s="88">
        <f t="shared" ca="1" si="515"/>
        <v>0</v>
      </c>
      <c r="EP276" s="88">
        <f t="shared" ca="1" si="515"/>
        <v>0</v>
      </c>
      <c r="EQ276" s="88">
        <f t="shared" ca="1" si="515"/>
        <v>0</v>
      </c>
      <c r="ER276" s="88">
        <f t="shared" ca="1" si="515"/>
        <v>0</v>
      </c>
      <c r="ES276" s="88">
        <f t="shared" ca="1" si="515"/>
        <v>0</v>
      </c>
      <c r="ET276" s="169"/>
      <c r="EU276" s="88">
        <f t="shared" ca="1" si="516"/>
        <v>0</v>
      </c>
      <c r="EV276" s="88">
        <f t="shared" ca="1" si="516"/>
        <v>0</v>
      </c>
      <c r="EW276" s="88">
        <f t="shared" ca="1" si="516"/>
        <v>0</v>
      </c>
      <c r="EX276" s="88">
        <f t="shared" ca="1" si="516"/>
        <v>0</v>
      </c>
      <c r="EY276" s="88">
        <f t="shared" ca="1" si="516"/>
        <v>0</v>
      </c>
      <c r="EZ276" s="88">
        <f t="shared" ca="1" si="516"/>
        <v>0</v>
      </c>
      <c r="FA276" s="88">
        <f t="shared" ca="1" si="516"/>
        <v>0</v>
      </c>
      <c r="FB276" s="88">
        <f t="shared" ca="1" si="516"/>
        <v>0</v>
      </c>
      <c r="FC276" s="88">
        <f t="shared" ca="1" si="516"/>
        <v>0</v>
      </c>
      <c r="FD276" s="88">
        <f t="shared" ca="1" si="516"/>
        <v>0</v>
      </c>
      <c r="FE276" s="88">
        <f t="shared" ca="1" si="517"/>
        <v>0</v>
      </c>
      <c r="FF276" s="88">
        <f t="shared" ca="1" si="517"/>
        <v>0</v>
      </c>
      <c r="FG276" s="88">
        <f t="shared" ca="1" si="517"/>
        <v>0</v>
      </c>
      <c r="FH276" s="88">
        <f t="shared" ca="1" si="517"/>
        <v>0</v>
      </c>
      <c r="FI276" s="88">
        <f t="shared" ca="1" si="517"/>
        <v>0</v>
      </c>
      <c r="FJ276" s="88">
        <f t="shared" ca="1" si="517"/>
        <v>0</v>
      </c>
      <c r="FK276" s="88">
        <f t="shared" ca="1" si="517"/>
        <v>0</v>
      </c>
      <c r="FL276" s="88">
        <f t="shared" ca="1" si="517"/>
        <v>0</v>
      </c>
      <c r="FM276" s="88">
        <f t="shared" ca="1" si="517"/>
        <v>0</v>
      </c>
      <c r="FN276" s="88">
        <f t="shared" ca="1" si="517"/>
        <v>0</v>
      </c>
      <c r="FO276" s="88">
        <f t="shared" ca="1" si="518"/>
        <v>0</v>
      </c>
      <c r="FP276" s="88">
        <f t="shared" ca="1" si="518"/>
        <v>0</v>
      </c>
      <c r="FQ276" s="88">
        <f t="shared" ca="1" si="518"/>
        <v>0</v>
      </c>
      <c r="FR276" s="88">
        <f t="shared" ca="1" si="518"/>
        <v>0</v>
      </c>
      <c r="FS276" s="88">
        <f t="shared" ca="1" si="518"/>
        <v>0</v>
      </c>
      <c r="FT276" s="88">
        <f t="shared" ca="1" si="518"/>
        <v>0</v>
      </c>
      <c r="FU276" s="88">
        <f t="shared" ca="1" si="518"/>
        <v>0</v>
      </c>
      <c r="FV276" s="88">
        <f t="shared" ca="1" si="518"/>
        <v>0</v>
      </c>
      <c r="FW276" s="88">
        <f t="shared" ca="1" si="518"/>
        <v>0</v>
      </c>
      <c r="FX276" s="88">
        <f t="shared" ca="1" si="518"/>
        <v>0</v>
      </c>
      <c r="FY276" s="88">
        <f t="shared" ca="1" si="518"/>
        <v>0</v>
      </c>
      <c r="FZ276" s="88">
        <f t="shared" ca="1" si="518"/>
        <v>0</v>
      </c>
      <c r="GA276" s="88">
        <f t="shared" ca="1" si="518"/>
        <v>0</v>
      </c>
      <c r="GB276" s="88">
        <f t="shared" ca="1" si="518"/>
        <v>0</v>
      </c>
      <c r="GC276" s="88">
        <f t="shared" ca="1" si="518"/>
        <v>0</v>
      </c>
      <c r="GD276" s="60"/>
    </row>
  </sheetData>
  <sheetProtection selectLockedCells="1" selectUnlockedCells="1"/>
  <autoFilter ref="D8:H276"/>
  <dataConsolidate/>
  <mergeCells count="14">
    <mergeCell ref="AB6:AD6"/>
    <mergeCell ref="CA6:DI7"/>
    <mergeCell ref="DK6:ES7"/>
    <mergeCell ref="EU6:GC7"/>
    <mergeCell ref="J6:N6"/>
    <mergeCell ref="AZ6:BD6"/>
    <mergeCell ref="BF6:BI6"/>
    <mergeCell ref="BS6:BY6"/>
    <mergeCell ref="BK6:BQ6"/>
    <mergeCell ref="AP6:AX6"/>
    <mergeCell ref="AF6:AM6"/>
    <mergeCell ref="P6:Q6"/>
    <mergeCell ref="T6:V6"/>
    <mergeCell ref="X6:Z6"/>
  </mergeCells>
  <conditionalFormatting sqref="AR7:AX7">
    <cfRule type="cellIs" dxfId="34" priority="70" operator="equal">
      <formula>"COST"</formula>
    </cfRule>
    <cfRule type="cellIs" dxfId="33" priority="71" operator="equal">
      <formula>"BENEFIT"</formula>
    </cfRule>
  </conditionalFormatting>
  <conditionalFormatting sqref="AZ7:BD7">
    <cfRule type="cellIs" dxfId="32" priority="68" operator="equal">
      <formula>"COST"</formula>
    </cfRule>
    <cfRule type="cellIs" dxfId="31" priority="69" operator="equal">
      <formula>"BENEFIT"</formula>
    </cfRule>
  </conditionalFormatting>
  <conditionalFormatting sqref="BF7:BI7">
    <cfRule type="cellIs" dxfId="30" priority="66" operator="equal">
      <formula>"COST"</formula>
    </cfRule>
    <cfRule type="cellIs" dxfId="29" priority="67" operator="equal">
      <formula>"BENEFIT"</formula>
    </cfRule>
  </conditionalFormatting>
  <conditionalFormatting sqref="BK7:BQ7">
    <cfRule type="cellIs" dxfId="28" priority="64" operator="equal">
      <formula>"COST"</formula>
    </cfRule>
    <cfRule type="cellIs" dxfId="27" priority="65" operator="equal">
      <formula>"BENEFIT"</formula>
    </cfRule>
  </conditionalFormatting>
  <conditionalFormatting sqref="BS7:BY7">
    <cfRule type="cellIs" dxfId="26" priority="62" operator="equal">
      <formula>"COST"</formula>
    </cfRule>
    <cfRule type="cellIs" dxfId="25" priority="63" operator="equal">
      <formula>"BENEFIT"</formula>
    </cfRule>
  </conditionalFormatting>
  <conditionalFormatting sqref="J17:N17 J49:N68 J21:N47 J73:N276">
    <cfRule type="cellIs" dxfId="24" priority="56" operator="lessThan">
      <formula>1</formula>
    </cfRule>
    <cfRule type="cellIs" dxfId="23" priority="57" operator="greaterThan">
      <formula>1</formula>
    </cfRule>
  </conditionalFormatting>
  <conditionalFormatting sqref="J17:N17 J49:N68 J21:N47 J73:N276">
    <cfRule type="cellIs" dxfId="22" priority="55" operator="equal">
      <formula>"n/a"</formula>
    </cfRule>
  </conditionalFormatting>
  <conditionalFormatting sqref="J10:N10">
    <cfRule type="cellIs" dxfId="21" priority="53" operator="lessThan">
      <formula>1</formula>
    </cfRule>
    <cfRule type="cellIs" dxfId="20" priority="54" operator="greaterThan">
      <formula>1</formula>
    </cfRule>
  </conditionalFormatting>
  <conditionalFormatting sqref="J10:N10">
    <cfRule type="cellIs" dxfId="19" priority="52" operator="equal">
      <formula>"n/a"</formula>
    </cfRule>
  </conditionalFormatting>
  <conditionalFormatting sqref="J14:N14">
    <cfRule type="cellIs" dxfId="18" priority="44" operator="lessThan">
      <formula>1</formula>
    </cfRule>
    <cfRule type="cellIs" dxfId="17" priority="45" operator="greaterThan">
      <formula>1</formula>
    </cfRule>
  </conditionalFormatting>
  <conditionalFormatting sqref="J14:N14">
    <cfRule type="cellIs" dxfId="16" priority="43" operator="equal">
      <formula>"n/a"</formula>
    </cfRule>
  </conditionalFormatting>
  <conditionalFormatting sqref="J69:N72">
    <cfRule type="cellIs" dxfId="15" priority="20" operator="lessThan">
      <formula>1</formula>
    </cfRule>
    <cfRule type="cellIs" dxfId="14" priority="21" operator="greaterThan">
      <formula>1</formula>
    </cfRule>
  </conditionalFormatting>
  <conditionalFormatting sqref="J69:N72">
    <cfRule type="cellIs" dxfId="13" priority="19" operator="equal">
      <formula>"n/a"</formula>
    </cfRule>
  </conditionalFormatting>
  <conditionalFormatting sqref="J11:N12">
    <cfRule type="cellIs" dxfId="12" priority="11" operator="lessThan">
      <formula>1</formula>
    </cfRule>
    <cfRule type="cellIs" dxfId="11" priority="12" operator="greaterThan">
      <formula>1</formula>
    </cfRule>
  </conditionalFormatting>
  <conditionalFormatting sqref="J11:N12">
    <cfRule type="cellIs" dxfId="10" priority="10" operator="equal">
      <formula>"n/a"</formula>
    </cfRule>
  </conditionalFormatting>
  <conditionalFormatting sqref="J15:N16">
    <cfRule type="cellIs" dxfId="9" priority="8" operator="lessThan">
      <formula>1</formula>
    </cfRule>
    <cfRule type="cellIs" dxfId="8" priority="9" operator="greaterThan">
      <formula>1</formula>
    </cfRule>
  </conditionalFormatting>
  <conditionalFormatting sqref="J15:N16">
    <cfRule type="cellIs" dxfId="7" priority="7" operator="equal">
      <formula>"n/a"</formula>
    </cfRule>
  </conditionalFormatting>
  <conditionalFormatting sqref="J18:N19">
    <cfRule type="cellIs" dxfId="6" priority="5" operator="lessThan">
      <formula>1</formula>
    </cfRule>
    <cfRule type="cellIs" dxfId="5" priority="6" operator="greaterThan">
      <formula>1</formula>
    </cfRule>
  </conditionalFormatting>
  <conditionalFormatting sqref="J18:N19">
    <cfRule type="cellIs" dxfId="4" priority="4" operator="equal">
      <formula>"n/a"</formula>
    </cfRule>
  </conditionalFormatting>
  <pageMargins left="0.7" right="0.7" top="0.75" bottom="0.75" header="0.3" footer="0.3"/>
  <pageSetup orientation="portrait" r:id="rId1"/>
  <ignoredErrors>
    <ignoredError sqref="AA49 AE49 AO49 BE49 AY49 BJ49 BR49 BZ49" unlockedFormula="1"/>
  </ignoredErrors>
  <drawing r:id="rId2"/>
  <legacyDrawing r:id="rId3"/>
  <controls>
    <mc:AlternateContent xmlns:mc="http://schemas.openxmlformats.org/markup-compatibility/2006">
      <mc:Choice Requires="x14">
        <control shapeId="11270" r:id="rId4" name="CheckBox1">
          <controlPr defaultSize="0" autoLine="0" r:id="rId5">
            <anchor>
              <from>
                <xdr:col>4</xdr:col>
                <xdr:colOff>914400</xdr:colOff>
                <xdr:row>0</xdr:row>
                <xdr:rowOff>95250</xdr:rowOff>
              </from>
              <to>
                <xdr:col>6</xdr:col>
                <xdr:colOff>1314450</xdr:colOff>
                <xdr:row>3</xdr:row>
                <xdr:rowOff>161925</xdr:rowOff>
              </to>
            </anchor>
          </controlPr>
        </control>
      </mc:Choice>
      <mc:Fallback>
        <control shapeId="11270" r:id="rId4" name="CheckBox1"/>
      </mc:Fallback>
    </mc:AlternateContent>
  </control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2:V310"/>
  <sheetViews>
    <sheetView showGridLines="0" zoomScaleNormal="100" workbookViewId="0">
      <selection activeCell="C112" sqref="C112"/>
    </sheetView>
  </sheetViews>
  <sheetFormatPr defaultColWidth="9.140625" defaultRowHeight="11.25"/>
  <cols>
    <col min="1" max="1" width="56" style="255" customWidth="1"/>
    <col min="2" max="2" width="16" style="255" bestFit="1" customWidth="1"/>
    <col min="3" max="3" width="16.5703125" style="255" customWidth="1"/>
    <col min="4" max="4" width="15.5703125" style="255" customWidth="1"/>
    <col min="5" max="5" width="18.28515625" style="255" bestFit="1" customWidth="1"/>
    <col min="6" max="6" width="21.85546875" style="255" customWidth="1"/>
    <col min="7" max="7" width="13.5703125" style="255" bestFit="1" customWidth="1"/>
    <col min="8" max="8" width="16.140625" style="255" bestFit="1" customWidth="1"/>
    <col min="9" max="9" width="11.42578125" style="255" customWidth="1"/>
    <col min="10" max="10" width="9.28515625" style="255" customWidth="1"/>
    <col min="11" max="11" width="9.140625" style="255" bestFit="1" customWidth="1"/>
    <col min="12" max="12" width="9.28515625" style="255" customWidth="1"/>
    <col min="13" max="13" width="8.28515625" style="255" customWidth="1"/>
    <col min="14" max="14" width="10.85546875" style="255" bestFit="1" customWidth="1"/>
    <col min="15" max="15" width="10.140625" style="255" bestFit="1" customWidth="1"/>
    <col min="16" max="16" width="9.42578125" style="255" bestFit="1" customWidth="1"/>
    <col min="17" max="17" width="61.28515625" style="255" customWidth="1"/>
    <col min="18" max="18" width="19.42578125" style="255" customWidth="1"/>
    <col min="19" max="19" width="8" style="255" customWidth="1"/>
    <col min="20" max="20" width="9.85546875" style="255" bestFit="1" customWidth="1"/>
    <col min="21" max="21" width="3.85546875" style="255" customWidth="1"/>
    <col min="22" max="22" width="7.5703125" style="255" bestFit="1" customWidth="1"/>
    <col min="23" max="23" width="6.5703125" style="255" bestFit="1" customWidth="1"/>
    <col min="24" max="24" width="7.42578125" style="255" customWidth="1"/>
    <col min="25" max="25" width="8.28515625" style="255" customWidth="1"/>
    <col min="26" max="26" width="11.42578125" style="255" bestFit="1" customWidth="1"/>
    <col min="27" max="16384" width="9.140625" style="255"/>
  </cols>
  <sheetData>
    <row r="2" spans="1:6">
      <c r="B2" s="386" t="s">
        <v>503</v>
      </c>
      <c r="C2" s="386" t="s">
        <v>502</v>
      </c>
    </row>
    <row r="3" spans="1:6">
      <c r="A3" s="399" t="s">
        <v>501</v>
      </c>
      <c r="B3" s="407">
        <v>53</v>
      </c>
      <c r="C3" s="407">
        <v>53</v>
      </c>
    </row>
    <row r="4" spans="1:6">
      <c r="A4" s="429" t="s">
        <v>434</v>
      </c>
      <c r="B4" s="409">
        <v>16.100000000000001</v>
      </c>
      <c r="C4" s="409">
        <v>16.100000000000001</v>
      </c>
      <c r="F4" s="385"/>
    </row>
    <row r="5" spans="1:6">
      <c r="A5" s="429" t="s">
        <v>376</v>
      </c>
      <c r="B5" s="468">
        <v>7.0999999999999994E-2</v>
      </c>
      <c r="C5" s="468">
        <v>7.0999999999999994E-2</v>
      </c>
    </row>
    <row r="6" spans="1:6">
      <c r="A6" s="390" t="s">
        <v>178</v>
      </c>
      <c r="B6" s="757">
        <v>0.98</v>
      </c>
      <c r="C6" s="757">
        <v>0.98</v>
      </c>
    </row>
    <row r="7" spans="1:6">
      <c r="A7" s="429" t="s">
        <v>375</v>
      </c>
      <c r="B7" s="469">
        <f>(B3-B4)/1000*B5*F10*B6</f>
        <v>2.8499272199999995E-3</v>
      </c>
      <c r="C7" s="469">
        <f>(C3-C4)/1000*C5*F10*C6*2</f>
        <v>5.699854439999999E-3</v>
      </c>
      <c r="D7" s="255" t="s">
        <v>372</v>
      </c>
      <c r="E7" s="844" t="s">
        <v>592</v>
      </c>
      <c r="F7" s="845"/>
    </row>
    <row r="8" spans="1:6">
      <c r="A8" s="390" t="s">
        <v>374</v>
      </c>
      <c r="B8" s="430">
        <f>(B3-B4)/1000*F8*F9*B6</f>
        <v>32.466966839999998</v>
      </c>
      <c r="C8" s="430">
        <f>(C3-C4)/1000*F8*F9*C6*2</f>
        <v>64.933933679999996</v>
      </c>
      <c r="D8" s="255" t="s">
        <v>372</v>
      </c>
      <c r="E8" s="481" t="s">
        <v>377</v>
      </c>
      <c r="F8" s="482">
        <v>847</v>
      </c>
    </row>
    <row r="9" spans="1:6">
      <c r="A9" s="388" t="s">
        <v>1</v>
      </c>
      <c r="B9" s="470">
        <v>7.5</v>
      </c>
      <c r="C9" s="433">
        <v>15</v>
      </c>
      <c r="D9" s="255" t="s">
        <v>443</v>
      </c>
      <c r="E9" s="483" t="s">
        <v>438</v>
      </c>
      <c r="F9" s="484">
        <v>1.06</v>
      </c>
    </row>
    <row r="10" spans="1:6">
      <c r="A10" s="390" t="s">
        <v>373</v>
      </c>
      <c r="B10" s="471">
        <v>10</v>
      </c>
      <c r="C10" s="471">
        <v>10</v>
      </c>
      <c r="D10" s="255" t="s">
        <v>372</v>
      </c>
      <c r="E10" s="485" t="s">
        <v>437</v>
      </c>
      <c r="F10" s="486">
        <v>1.1100000000000001</v>
      </c>
    </row>
    <row r="12" spans="1:6">
      <c r="A12" s="383" t="s">
        <v>270</v>
      </c>
      <c r="B12" s="386" t="s">
        <v>500</v>
      </c>
      <c r="C12" s="386" t="s">
        <v>499</v>
      </c>
    </row>
    <row r="13" spans="1:6">
      <c r="A13" s="392" t="s">
        <v>498</v>
      </c>
      <c r="B13" s="473">
        <f>B14/0.75</f>
        <v>3000</v>
      </c>
      <c r="C13" s="473">
        <f>C14/0.75</f>
        <v>3000</v>
      </c>
      <c r="D13" s="382"/>
    </row>
    <row r="14" spans="1:6">
      <c r="A14" s="394" t="s">
        <v>497</v>
      </c>
      <c r="B14" s="474">
        <v>2250</v>
      </c>
      <c r="C14" s="474">
        <v>2250</v>
      </c>
      <c r="D14" s="382"/>
    </row>
    <row r="15" spans="1:6">
      <c r="A15" s="394" t="s">
        <v>511</v>
      </c>
      <c r="B15" s="474">
        <v>3.3</v>
      </c>
      <c r="C15" s="474">
        <v>3.3</v>
      </c>
      <c r="D15" s="382"/>
    </row>
    <row r="16" spans="1:6">
      <c r="A16" s="394" t="s">
        <v>496</v>
      </c>
      <c r="B16" s="476">
        <v>10</v>
      </c>
      <c r="C16" s="476">
        <v>10</v>
      </c>
      <c r="D16" s="382"/>
    </row>
    <row r="17" spans="1:4">
      <c r="A17" s="394" t="s">
        <v>495</v>
      </c>
      <c r="B17" s="475">
        <v>1.7</v>
      </c>
      <c r="C17" s="475"/>
    </row>
    <row r="18" spans="1:4">
      <c r="A18" s="394" t="s">
        <v>494</v>
      </c>
      <c r="B18" s="476">
        <v>0.75</v>
      </c>
      <c r="C18" s="476">
        <v>0.75</v>
      </c>
    </row>
    <row r="19" spans="1:4">
      <c r="A19" s="394" t="s">
        <v>493</v>
      </c>
      <c r="B19" s="477">
        <v>725</v>
      </c>
      <c r="C19" s="477">
        <v>725</v>
      </c>
      <c r="D19" s="255" t="s">
        <v>491</v>
      </c>
    </row>
    <row r="20" spans="1:4">
      <c r="A20" s="394" t="s">
        <v>492</v>
      </c>
      <c r="B20" s="477">
        <v>7078</v>
      </c>
      <c r="C20" s="477"/>
      <c r="D20" s="255" t="s">
        <v>491</v>
      </c>
    </row>
    <row r="21" spans="1:4">
      <c r="A21" s="429" t="s">
        <v>376</v>
      </c>
      <c r="B21" s="478">
        <v>0.72</v>
      </c>
      <c r="C21" s="478"/>
      <c r="D21" s="371" t="s">
        <v>372</v>
      </c>
    </row>
    <row r="22" spans="1:4">
      <c r="A22" s="429" t="s">
        <v>593</v>
      </c>
      <c r="B22" s="475">
        <v>19.3</v>
      </c>
      <c r="C22" s="478"/>
      <c r="D22" s="371"/>
    </row>
    <row r="23" spans="1:4">
      <c r="A23" s="397" t="s">
        <v>594</v>
      </c>
      <c r="B23" s="479">
        <v>32.1</v>
      </c>
      <c r="C23" s="479">
        <v>32.1</v>
      </c>
    </row>
    <row r="24" spans="1:4">
      <c r="A24" s="429" t="s">
        <v>375</v>
      </c>
      <c r="B24" s="400">
        <f>((B13-B14)/B23*60*24*0.018*B$19*B$18/(1000*B$16)*B15)/$J$85*B21</f>
        <v>0.13194175032702399</v>
      </c>
      <c r="C24" s="480"/>
      <c r="D24" s="255" t="s">
        <v>372</v>
      </c>
    </row>
    <row r="25" spans="1:4">
      <c r="A25" s="390" t="s">
        <v>374</v>
      </c>
      <c r="B25" s="390">
        <f>((B13-B14)/B23*60*24*0.018*B$19*B$18/(1000*B$16)*B15)+((B13-B14)/B22*60*24*B20*0.018/(B17*3412))</f>
        <v>1337.7809950818801</v>
      </c>
      <c r="C25" s="390">
        <f>((C13-C14)/C23*60*24*0.018*C$19*C$18/(1000*C$16)*C15)</f>
        <v>108.66869158878504</v>
      </c>
      <c r="D25" s="255" t="s">
        <v>372</v>
      </c>
    </row>
    <row r="26" spans="1:4">
      <c r="A26" s="388" t="s">
        <v>1</v>
      </c>
      <c r="B26" s="472">
        <f>120*3</f>
        <v>360</v>
      </c>
      <c r="C26" s="472">
        <f>120*3</f>
        <v>360</v>
      </c>
      <c r="D26" s="255" t="s">
        <v>394</v>
      </c>
    </row>
    <row r="27" spans="1:4">
      <c r="A27" s="390" t="s">
        <v>373</v>
      </c>
      <c r="B27" s="391">
        <v>15</v>
      </c>
      <c r="C27" s="391">
        <v>15</v>
      </c>
      <c r="D27" s="255" t="s">
        <v>372</v>
      </c>
    </row>
    <row r="28" spans="1:4">
      <c r="A28" s="255" t="s">
        <v>440</v>
      </c>
    </row>
    <row r="30" spans="1:4" ht="22.5">
      <c r="A30" s="492"/>
      <c r="B30" s="493" t="s">
        <v>525</v>
      </c>
      <c r="C30" s="493" t="s">
        <v>267</v>
      </c>
    </row>
    <row r="31" spans="1:4">
      <c r="A31" s="429" t="s">
        <v>490</v>
      </c>
      <c r="B31" s="488">
        <v>1.39</v>
      </c>
      <c r="C31" s="488">
        <v>2.35</v>
      </c>
    </row>
    <row r="32" spans="1:4">
      <c r="A32" s="429" t="s">
        <v>489</v>
      </c>
      <c r="B32" s="400">
        <v>0.94</v>
      </c>
      <c r="C32" s="491">
        <v>2</v>
      </c>
    </row>
    <row r="33" spans="1:4">
      <c r="A33" s="429" t="s">
        <v>488</v>
      </c>
      <c r="B33" s="400">
        <v>9</v>
      </c>
      <c r="C33" s="491">
        <v>7.8</v>
      </c>
    </row>
    <row r="34" spans="1:4">
      <c r="A34" s="429" t="s">
        <v>487</v>
      </c>
      <c r="B34" s="491"/>
      <c r="C34" s="400">
        <v>0.6</v>
      </c>
    </row>
    <row r="35" spans="1:4">
      <c r="A35" s="429" t="s">
        <v>486</v>
      </c>
      <c r="B35" s="488">
        <v>2.56</v>
      </c>
      <c r="C35" s="488">
        <v>2.56</v>
      </c>
    </row>
    <row r="36" spans="1:4">
      <c r="A36" s="429" t="s">
        <v>485</v>
      </c>
      <c r="B36" s="489">
        <v>0.79500000000000004</v>
      </c>
      <c r="C36" s="494"/>
    </row>
    <row r="37" spans="1:4">
      <c r="A37" s="429" t="s">
        <v>484</v>
      </c>
      <c r="B37" s="488">
        <v>3.83</v>
      </c>
      <c r="C37" s="488">
        <v>1.79</v>
      </c>
    </row>
    <row r="38" spans="1:4">
      <c r="A38" s="429" t="s">
        <v>483</v>
      </c>
      <c r="B38" s="490">
        <f>((8.33*1*(91-54.1))/0.98)/3412</f>
        <v>9.1925556858147725E-2</v>
      </c>
      <c r="C38" s="413">
        <f>(8.33*1*(101-54.1))/(0.98*3412)</f>
        <v>0.11683763188745604</v>
      </c>
    </row>
    <row r="39" spans="1:4">
      <c r="A39" s="429" t="s">
        <v>409</v>
      </c>
      <c r="B39" s="408">
        <v>52</v>
      </c>
      <c r="C39" s="408">
        <v>302</v>
      </c>
    </row>
    <row r="40" spans="1:4">
      <c r="A40" s="429" t="s">
        <v>178</v>
      </c>
      <c r="B40" s="396">
        <v>0.95</v>
      </c>
      <c r="C40" s="396">
        <v>0.98</v>
      </c>
    </row>
    <row r="41" spans="1:4">
      <c r="A41" s="390" t="s">
        <v>376</v>
      </c>
      <c r="B41" s="487">
        <v>2.1999999999999999E-2</v>
      </c>
      <c r="C41" s="487">
        <v>2.7799999999999998E-2</v>
      </c>
    </row>
    <row r="42" spans="1:4">
      <c r="A42" s="429" t="s">
        <v>375</v>
      </c>
      <c r="B42" s="469">
        <f>B43/B39*B41</f>
        <v>2.9022540073207832E-2</v>
      </c>
      <c r="C42" s="469">
        <f>C43/C39*C41</f>
        <v>9.0123981717827612E-3</v>
      </c>
      <c r="D42" s="255" t="s">
        <v>372</v>
      </c>
    </row>
    <row r="43" spans="1:4">
      <c r="A43" s="390" t="s">
        <v>374</v>
      </c>
      <c r="B43" s="408">
        <f>((B31*B33-B32*B33)*B35*365*B36/B37)*B38*B40</f>
        <v>68.5987310821276</v>
      </c>
      <c r="C43" s="408">
        <f>((C31*C33-C32*C33)*C35*365*C34/C37)*C38*C40</f>
        <v>97.904469348143664</v>
      </c>
      <c r="D43" s="255" t="s">
        <v>372</v>
      </c>
    </row>
    <row r="44" spans="1:4">
      <c r="A44" s="388" t="s">
        <v>1</v>
      </c>
      <c r="B44" s="433">
        <v>8</v>
      </c>
      <c r="C44" s="433">
        <v>12</v>
      </c>
      <c r="D44" s="255" t="s">
        <v>372</v>
      </c>
    </row>
    <row r="45" spans="1:4">
      <c r="A45" s="390" t="s">
        <v>373</v>
      </c>
      <c r="B45" s="391">
        <v>9</v>
      </c>
      <c r="C45" s="391">
        <v>10</v>
      </c>
      <c r="D45" s="255" t="s">
        <v>372</v>
      </c>
    </row>
    <row r="47" spans="1:4">
      <c r="A47" s="271" t="s">
        <v>474</v>
      </c>
    </row>
    <row r="48" spans="1:4">
      <c r="A48" s="443"/>
      <c r="B48" s="420" t="s">
        <v>468</v>
      </c>
      <c r="C48" s="420" t="s">
        <v>467</v>
      </c>
    </row>
    <row r="49" spans="1:8">
      <c r="A49" s="444" t="s">
        <v>459</v>
      </c>
      <c r="B49" s="422">
        <v>15</v>
      </c>
      <c r="C49" s="422">
        <v>16</v>
      </c>
      <c r="D49" s="255" t="s">
        <v>448</v>
      </c>
      <c r="H49" s="379"/>
    </row>
    <row r="50" spans="1:8">
      <c r="A50" s="445" t="s">
        <v>392</v>
      </c>
      <c r="B50" s="424">
        <v>12.5</v>
      </c>
      <c r="C50" s="424">
        <v>13</v>
      </c>
      <c r="D50" s="255" t="s">
        <v>448</v>
      </c>
      <c r="H50" s="379"/>
    </row>
    <row r="51" spans="1:8">
      <c r="A51" s="446" t="s">
        <v>452</v>
      </c>
      <c r="B51" s="447">
        <v>13</v>
      </c>
      <c r="C51" s="447">
        <v>13</v>
      </c>
      <c r="D51" s="379" t="s">
        <v>444</v>
      </c>
    </row>
    <row r="52" spans="1:8">
      <c r="A52" s="446" t="s">
        <v>390</v>
      </c>
      <c r="B52" s="447">
        <v>11</v>
      </c>
      <c r="C52" s="447">
        <v>11</v>
      </c>
      <c r="D52" s="379" t="s">
        <v>444</v>
      </c>
    </row>
    <row r="53" spans="1:8">
      <c r="A53" s="446" t="s">
        <v>376</v>
      </c>
      <c r="B53" s="396">
        <v>0.68</v>
      </c>
      <c r="C53" s="396">
        <v>0.68</v>
      </c>
      <c r="D53" s="379" t="s">
        <v>372</v>
      </c>
    </row>
    <row r="54" spans="1:8">
      <c r="A54" s="399" t="s">
        <v>375</v>
      </c>
      <c r="B54" s="448">
        <f>($J$86*(1/B52-1/B50))/1000*$B$53</f>
        <v>0.26705454545454549</v>
      </c>
      <c r="C54" s="448">
        <f>($J$86*(1/C52-1/C50))/1000*$C$53</f>
        <v>0.34237762237762237</v>
      </c>
    </row>
    <row r="55" spans="1:8">
      <c r="A55" s="429" t="s">
        <v>374</v>
      </c>
      <c r="B55" s="430">
        <f>($J$85*$J$86*(1/B51-1/B49))/1000</f>
        <v>218.95384615384629</v>
      </c>
      <c r="C55" s="430">
        <f>($J$85*$J$86*(1/C51-1/C49))/1000</f>
        <v>307.90384615384625</v>
      </c>
    </row>
    <row r="56" spans="1:8">
      <c r="A56" s="449" t="s">
        <v>1</v>
      </c>
      <c r="B56" s="389">
        <v>108</v>
      </c>
      <c r="C56" s="450">
        <v>221</v>
      </c>
      <c r="D56" s="255" t="s">
        <v>372</v>
      </c>
    </row>
    <row r="57" spans="1:8">
      <c r="A57" s="451" t="s">
        <v>19</v>
      </c>
      <c r="B57" s="452">
        <v>18</v>
      </c>
      <c r="C57" s="452">
        <v>18</v>
      </c>
      <c r="D57" s="255" t="s">
        <v>443</v>
      </c>
    </row>
    <row r="59" spans="1:8">
      <c r="A59" s="271" t="s">
        <v>471</v>
      </c>
      <c r="C59" s="372"/>
    </row>
    <row r="60" spans="1:8">
      <c r="A60" s="418"/>
      <c r="B60" s="846" t="s">
        <v>470</v>
      </c>
      <c r="C60" s="847"/>
      <c r="D60" s="846" t="s">
        <v>469</v>
      </c>
      <c r="E60" s="847"/>
    </row>
    <row r="61" spans="1:8">
      <c r="A61" s="419"/>
      <c r="B61" s="420" t="s">
        <v>468</v>
      </c>
      <c r="C61" s="420" t="s">
        <v>467</v>
      </c>
      <c r="D61" s="420" t="s">
        <v>468</v>
      </c>
      <c r="E61" s="420" t="s">
        <v>467</v>
      </c>
    </row>
    <row r="62" spans="1:8">
      <c r="A62" s="421" t="s">
        <v>459</v>
      </c>
      <c r="B62" s="421">
        <v>15</v>
      </c>
      <c r="C62" s="422">
        <v>16</v>
      </c>
      <c r="D62" s="421">
        <v>15</v>
      </c>
      <c r="E62" s="422">
        <v>16</v>
      </c>
      <c r="F62" s="255" t="s">
        <v>448</v>
      </c>
    </row>
    <row r="63" spans="1:8">
      <c r="A63" s="423" t="s">
        <v>392</v>
      </c>
      <c r="B63" s="423">
        <v>12.5</v>
      </c>
      <c r="C63" s="424">
        <v>12.5</v>
      </c>
      <c r="D63" s="423">
        <v>12.5</v>
      </c>
      <c r="E63" s="424">
        <v>12.5</v>
      </c>
      <c r="F63" s="255" t="s">
        <v>448</v>
      </c>
    </row>
    <row r="64" spans="1:8">
      <c r="A64" s="423" t="s">
        <v>458</v>
      </c>
      <c r="B64" s="424">
        <v>8.5</v>
      </c>
      <c r="C64" s="424">
        <v>8.5</v>
      </c>
      <c r="D64" s="423">
        <v>8.5</v>
      </c>
      <c r="E64" s="424">
        <v>8.5</v>
      </c>
      <c r="F64" s="255" t="s">
        <v>448</v>
      </c>
    </row>
    <row r="65" spans="1:7">
      <c r="A65" s="425" t="s">
        <v>452</v>
      </c>
      <c r="B65" s="426">
        <v>14</v>
      </c>
      <c r="C65" s="426">
        <v>14</v>
      </c>
      <c r="D65" s="426">
        <v>10</v>
      </c>
      <c r="E65" s="426">
        <v>10</v>
      </c>
      <c r="F65" s="255" t="s">
        <v>444</v>
      </c>
    </row>
    <row r="66" spans="1:7">
      <c r="A66" s="425" t="s">
        <v>390</v>
      </c>
      <c r="B66" s="793">
        <v>11.8</v>
      </c>
      <c r="C66" s="793">
        <v>11.8</v>
      </c>
      <c r="D66" s="424">
        <v>9.1999999999999993</v>
      </c>
      <c r="E66" s="424">
        <v>9.1999999999999993</v>
      </c>
      <c r="F66" s="794" t="s">
        <v>606</v>
      </c>
      <c r="G66" s="794"/>
    </row>
    <row r="67" spans="1:7">
      <c r="A67" s="425" t="s">
        <v>451</v>
      </c>
      <c r="B67" s="424">
        <v>8.1999999999999993</v>
      </c>
      <c r="C67" s="424">
        <v>8.1999999999999993</v>
      </c>
      <c r="D67" s="424">
        <v>6.8</v>
      </c>
      <c r="E67" s="424">
        <v>6.8</v>
      </c>
      <c r="F67" s="255" t="s">
        <v>444</v>
      </c>
    </row>
    <row r="68" spans="1:7">
      <c r="A68" s="427" t="s">
        <v>376</v>
      </c>
      <c r="B68" s="428">
        <v>0.9</v>
      </c>
      <c r="C68" s="428">
        <v>0.9</v>
      </c>
      <c r="D68" s="428">
        <v>0.9</v>
      </c>
      <c r="E68" s="428">
        <v>0.9</v>
      </c>
      <c r="F68" s="255" t="s">
        <v>443</v>
      </c>
    </row>
    <row r="69" spans="1:7">
      <c r="A69" s="429" t="s">
        <v>375</v>
      </c>
      <c r="B69" s="411">
        <f>($J$86/1000*((1/B66-1/B63)+(1/B67-1/B64)))*$B$68</f>
        <v>0.29321751817717606</v>
      </c>
      <c r="C69" s="411">
        <f>($J$86/1000*((1/C66-1/C63)+(1/C67-1/C64)))*$B$68</f>
        <v>0.29321751817717606</v>
      </c>
      <c r="D69" s="411">
        <f>($J$86/1000*((1/D66-1/D63)+(1/D67-1/D64)))*$B$68</f>
        <v>1.8826803069053712</v>
      </c>
      <c r="E69" s="411">
        <f>($J$86/1000*((1/E66-1/E63)+(1/E67-1/E64)))*$B$68</f>
        <v>1.8826803069053712</v>
      </c>
    </row>
    <row r="70" spans="1:7">
      <c r="A70" s="429" t="s">
        <v>374</v>
      </c>
      <c r="B70" s="430">
        <f>$J$86/1000*((1/B65-1/B62)*$J$85+(1/B67-1/B64)*$J$84)</f>
        <v>478.80491904078809</v>
      </c>
      <c r="C70" s="401">
        <f>($J$86/1000*((1/C65-1/C62)*$J$85+(1/C67-1/C64)*$J$84))</f>
        <v>567.75491904078808</v>
      </c>
      <c r="D70" s="430">
        <f>($J$86/1000*((1/D65-1/D62)*$J$85+(1/D67-1/D64)*$J$84))</f>
        <v>3288.776470588236</v>
      </c>
      <c r="E70" s="430">
        <f>($J$86/1000*((1/E65-1/E62)*$J$85+(1/E67-1/E64)*$J$84))</f>
        <v>3377.7264705882358</v>
      </c>
    </row>
    <row r="71" spans="1:7">
      <c r="A71" s="388" t="s">
        <v>1</v>
      </c>
      <c r="B71" s="431">
        <v>303</v>
      </c>
      <c r="C71" s="432">
        <v>438</v>
      </c>
      <c r="D71" s="433">
        <f>1381*3+B71</f>
        <v>4446</v>
      </c>
      <c r="E71" s="433">
        <f>1381*3+C71</f>
        <v>4581</v>
      </c>
      <c r="F71" s="255" t="s">
        <v>372</v>
      </c>
    </row>
    <row r="72" spans="1:7">
      <c r="A72" s="434" t="s">
        <v>515</v>
      </c>
      <c r="B72" s="435"/>
      <c r="C72" s="436"/>
      <c r="D72" s="437">
        <f>1518*3</f>
        <v>4554</v>
      </c>
      <c r="E72" s="437">
        <f>1518*3</f>
        <v>4554</v>
      </c>
      <c r="F72" s="255" t="s">
        <v>372</v>
      </c>
    </row>
    <row r="73" spans="1:7">
      <c r="A73" s="434" t="s">
        <v>19</v>
      </c>
      <c r="B73" s="438">
        <v>18</v>
      </c>
      <c r="C73" s="439">
        <v>18</v>
      </c>
      <c r="D73" s="438">
        <v>18</v>
      </c>
      <c r="E73" s="438">
        <v>18</v>
      </c>
      <c r="F73" s="255" t="s">
        <v>443</v>
      </c>
    </row>
    <row r="74" spans="1:7">
      <c r="A74" s="397" t="s">
        <v>9</v>
      </c>
      <c r="B74" s="391">
        <v>6</v>
      </c>
      <c r="C74" s="440">
        <v>6</v>
      </c>
      <c r="D74" s="391">
        <v>6</v>
      </c>
      <c r="E74" s="391">
        <v>6</v>
      </c>
      <c r="F74" s="255" t="s">
        <v>372</v>
      </c>
    </row>
    <row r="76" spans="1:7">
      <c r="A76" s="271" t="s">
        <v>466</v>
      </c>
    </row>
    <row r="77" spans="1:7">
      <c r="A77" s="421" t="s">
        <v>459</v>
      </c>
      <c r="B77" s="421">
        <v>15</v>
      </c>
    </row>
    <row r="78" spans="1:7">
      <c r="A78" s="423" t="s">
        <v>392</v>
      </c>
      <c r="B78" s="423">
        <v>12.5</v>
      </c>
    </row>
    <row r="79" spans="1:7">
      <c r="A79" s="423" t="s">
        <v>458</v>
      </c>
      <c r="B79" s="424">
        <v>8.5</v>
      </c>
    </row>
    <row r="80" spans="1:7">
      <c r="A80" s="425" t="s">
        <v>457</v>
      </c>
      <c r="B80" s="424">
        <v>10</v>
      </c>
      <c r="C80" s="255" t="s">
        <v>372</v>
      </c>
    </row>
    <row r="81" spans="1:11">
      <c r="A81" s="425" t="s">
        <v>456</v>
      </c>
      <c r="B81" s="424">
        <v>0</v>
      </c>
      <c r="C81" s="255" t="s">
        <v>372</v>
      </c>
    </row>
    <row r="82" spans="1:11">
      <c r="A82" s="425" t="s">
        <v>455</v>
      </c>
      <c r="B82" s="424">
        <v>3.41</v>
      </c>
      <c r="C82" s="255" t="s">
        <v>372</v>
      </c>
    </row>
    <row r="83" spans="1:11">
      <c r="A83" s="427" t="s">
        <v>376</v>
      </c>
      <c r="B83" s="428">
        <v>0.9</v>
      </c>
      <c r="C83" s="255" t="s">
        <v>443</v>
      </c>
    </row>
    <row r="84" spans="1:11">
      <c r="A84" s="429" t="s">
        <v>375</v>
      </c>
      <c r="B84" s="411">
        <f>$J$86/1000*((1/B80-1/B78)+(1/B82-1/B79)*$B$83)</f>
        <v>6.4097015697774706</v>
      </c>
      <c r="I84" s="378" t="s">
        <v>473</v>
      </c>
      <c r="J84" s="381">
        <v>2434</v>
      </c>
      <c r="K84" s="377" t="s">
        <v>448</v>
      </c>
    </row>
    <row r="85" spans="1:11">
      <c r="A85" s="390" t="s">
        <v>374</v>
      </c>
      <c r="B85" s="401">
        <f>J86/1000*((1/B80-1/B77)*J85+(1/B82-1/B79)*J84)</f>
        <v>16099.081800931512</v>
      </c>
      <c r="I85" s="376" t="s">
        <v>472</v>
      </c>
      <c r="J85" s="380">
        <v>593</v>
      </c>
      <c r="K85" s="375" t="s">
        <v>448</v>
      </c>
    </row>
    <row r="86" spans="1:11">
      <c r="A86" s="441" t="s">
        <v>19</v>
      </c>
      <c r="B86" s="442">
        <v>18</v>
      </c>
      <c r="C86" s="255" t="s">
        <v>443</v>
      </c>
      <c r="I86" s="463" t="s">
        <v>393</v>
      </c>
      <c r="J86" s="464">
        <v>36000</v>
      </c>
      <c r="K86" s="453" t="s">
        <v>448</v>
      </c>
    </row>
    <row r="88" spans="1:11">
      <c r="A88" s="271" t="s">
        <v>465</v>
      </c>
      <c r="C88" s="372"/>
    </row>
    <row r="89" spans="1:11">
      <c r="A89" s="255" t="s">
        <v>464</v>
      </c>
      <c r="B89" s="374" t="s">
        <v>386</v>
      </c>
      <c r="C89" s="374" t="s">
        <v>463</v>
      </c>
    </row>
    <row r="90" spans="1:11">
      <c r="A90" s="392" t="s">
        <v>462</v>
      </c>
      <c r="B90" s="399">
        <v>18</v>
      </c>
      <c r="C90" s="399">
        <v>18</v>
      </c>
      <c r="D90" s="373"/>
    </row>
    <row r="91" spans="1:11">
      <c r="A91" s="394" t="s">
        <v>461</v>
      </c>
      <c r="B91" s="429">
        <f>ROUND($J$84*1520/1969,0)</f>
        <v>1879</v>
      </c>
      <c r="C91" s="429"/>
      <c r="D91" s="373" t="s">
        <v>460</v>
      </c>
    </row>
    <row r="92" spans="1:11">
      <c r="A92" s="423" t="s">
        <v>459</v>
      </c>
      <c r="B92" s="457">
        <v>19</v>
      </c>
      <c r="C92" s="457">
        <v>19</v>
      </c>
      <c r="D92" s="372"/>
    </row>
    <row r="93" spans="1:11">
      <c r="A93" s="423" t="s">
        <v>392</v>
      </c>
      <c r="B93" s="457">
        <v>12.8</v>
      </c>
      <c r="C93" s="457">
        <v>12.8</v>
      </c>
      <c r="D93" s="372"/>
    </row>
    <row r="94" spans="1:11">
      <c r="A94" s="423" t="s">
        <v>458</v>
      </c>
      <c r="B94" s="458">
        <v>10</v>
      </c>
      <c r="C94" s="458"/>
      <c r="D94" s="372"/>
    </row>
    <row r="95" spans="1:11">
      <c r="A95" s="423" t="s">
        <v>457</v>
      </c>
      <c r="B95" s="454">
        <v>8</v>
      </c>
      <c r="C95" s="455">
        <v>8</v>
      </c>
      <c r="D95" s="255" t="s">
        <v>372</v>
      </c>
    </row>
    <row r="96" spans="1:11">
      <c r="A96" s="423" t="s">
        <v>456</v>
      </c>
      <c r="B96" s="454">
        <v>7.7</v>
      </c>
      <c r="C96" s="454">
        <v>7.7</v>
      </c>
      <c r="D96" s="255" t="s">
        <v>372</v>
      </c>
    </row>
    <row r="97" spans="1:8">
      <c r="A97" s="423" t="s">
        <v>455</v>
      </c>
      <c r="B97" s="455">
        <v>5.44</v>
      </c>
      <c r="C97" s="454"/>
      <c r="D97" s="255" t="s">
        <v>372</v>
      </c>
    </row>
    <row r="98" spans="1:8">
      <c r="A98" s="423" t="s">
        <v>376</v>
      </c>
      <c r="B98" s="456">
        <v>0.9</v>
      </c>
      <c r="C98" s="456">
        <v>0.9</v>
      </c>
      <c r="D98" s="255" t="s">
        <v>443</v>
      </c>
    </row>
    <row r="99" spans="1:8">
      <c r="A99" s="399" t="s">
        <v>375</v>
      </c>
      <c r="B99" s="448">
        <f>B90*(1/B96-1/B93)*B98</f>
        <v>0.83827110389610371</v>
      </c>
      <c r="C99" s="448">
        <f>C90*(1/C96-1/C93)*C98</f>
        <v>0.83827110389610371</v>
      </c>
      <c r="D99" s="372"/>
    </row>
    <row r="100" spans="1:8">
      <c r="A100" s="390" t="s">
        <v>374</v>
      </c>
      <c r="B100" s="459">
        <f>B90*(1/B97-1/B94)*B91+B90*(1/B95-1/B92)*J85</f>
        <v>3607.5399380804947</v>
      </c>
      <c r="C100" s="401">
        <f>C90*(1/C95-1/C92)*J85</f>
        <v>772.46052631578959</v>
      </c>
      <c r="D100" s="372"/>
    </row>
    <row r="101" spans="1:8">
      <c r="A101" s="434" t="s">
        <v>1</v>
      </c>
      <c r="B101" s="437">
        <f>3750-1381*1.5</f>
        <v>1678.5</v>
      </c>
      <c r="C101" s="437">
        <f>3750-1381*1.5</f>
        <v>1678.5</v>
      </c>
      <c r="D101" s="255" t="s">
        <v>372</v>
      </c>
    </row>
    <row r="102" spans="1:8">
      <c r="A102" s="390" t="s">
        <v>373</v>
      </c>
      <c r="B102" s="452">
        <v>18</v>
      </c>
      <c r="C102" s="452">
        <v>18</v>
      </c>
      <c r="D102" s="372" t="s">
        <v>372</v>
      </c>
    </row>
    <row r="103" spans="1:8">
      <c r="G103" s="371"/>
      <c r="H103" s="371"/>
    </row>
    <row r="104" spans="1:8">
      <c r="A104" s="370" t="s">
        <v>314</v>
      </c>
      <c r="B104" s="467" t="s">
        <v>454</v>
      </c>
      <c r="C104" s="467" t="s">
        <v>453</v>
      </c>
    </row>
    <row r="105" spans="1:8">
      <c r="A105" s="444" t="s">
        <v>392</v>
      </c>
      <c r="B105" s="792">
        <v>17.100000000000001</v>
      </c>
      <c r="C105" s="792">
        <v>17.100000000000001</v>
      </c>
      <c r="D105" s="794" t="s">
        <v>605</v>
      </c>
      <c r="E105" s="794"/>
      <c r="F105" s="794"/>
    </row>
    <row r="106" spans="1:8">
      <c r="A106" s="445" t="s">
        <v>391</v>
      </c>
      <c r="B106" s="793">
        <v>3.6</v>
      </c>
      <c r="C106" s="793">
        <v>3.6</v>
      </c>
      <c r="D106" s="794" t="s">
        <v>605</v>
      </c>
      <c r="E106" s="794"/>
      <c r="F106" s="794"/>
    </row>
    <row r="107" spans="1:8">
      <c r="A107" s="445" t="s">
        <v>452</v>
      </c>
      <c r="B107" s="424">
        <f>B65</f>
        <v>14</v>
      </c>
      <c r="C107" s="424">
        <v>9.1199999999999992</v>
      </c>
    </row>
    <row r="108" spans="1:8">
      <c r="A108" s="445" t="s">
        <v>390</v>
      </c>
      <c r="B108" s="424">
        <f>B66</f>
        <v>11.8</v>
      </c>
      <c r="C108" s="424">
        <v>8.5500000000000007</v>
      </c>
    </row>
    <row r="109" spans="1:8">
      <c r="A109" s="445" t="s">
        <v>451</v>
      </c>
      <c r="B109" s="424">
        <f>B67</f>
        <v>8.1999999999999993</v>
      </c>
      <c r="C109" s="424">
        <v>5.44</v>
      </c>
    </row>
    <row r="110" spans="1:8">
      <c r="A110" s="465" t="s">
        <v>376</v>
      </c>
      <c r="B110" s="466">
        <v>0.9</v>
      </c>
      <c r="C110" s="466">
        <v>0.9</v>
      </c>
      <c r="D110" s="255" t="s">
        <v>443</v>
      </c>
    </row>
    <row r="111" spans="1:8">
      <c r="A111" s="399" t="s">
        <v>375</v>
      </c>
      <c r="B111" s="790">
        <f>$J$86*(1/B66-1/B105)/1000*$B$110</f>
        <v>0.85102586975914363</v>
      </c>
      <c r="C111" s="790">
        <f>$J$86*(1/C108-1/C105)/1000*$B$110</f>
        <v>1.8947368421052631</v>
      </c>
      <c r="D111" s="794" t="s">
        <v>607</v>
      </c>
      <c r="E111" s="794"/>
      <c r="F111" s="794"/>
    </row>
    <row r="112" spans="1:8">
      <c r="A112" s="429" t="s">
        <v>374</v>
      </c>
      <c r="B112" s="791">
        <f>$J$86/1000*((1/B107-1/(B105/0.9))*$J$85+(1/B109-1/(B106*3.412))*$J$84)</f>
        <v>3953.4858985739597</v>
      </c>
      <c r="C112" s="791">
        <f>$J$85*$J$86*(1/C107-1/(C105/0.9))/1000+$J$84*$J$86*(1/C109-1/(C106*3.412))/1000</f>
        <v>10190.917512040911</v>
      </c>
      <c r="D112" s="794" t="s">
        <v>608</v>
      </c>
      <c r="E112" s="794"/>
      <c r="F112" s="795"/>
      <c r="G112" s="371"/>
    </row>
    <row r="113" spans="1:7">
      <c r="A113" s="399" t="s">
        <v>1</v>
      </c>
      <c r="B113" s="431">
        <f>(3957-1381)*3</f>
        <v>7728</v>
      </c>
      <c r="C113" s="431">
        <f>3957*3</f>
        <v>11871</v>
      </c>
      <c r="F113" s="371"/>
      <c r="G113" s="371"/>
    </row>
    <row r="114" spans="1:7">
      <c r="A114" s="434" t="s">
        <v>515</v>
      </c>
      <c r="B114" s="435"/>
      <c r="C114" s="435">
        <f>1518*3</f>
        <v>4554</v>
      </c>
      <c r="F114" s="371"/>
      <c r="G114" s="371"/>
    </row>
    <row r="115" spans="1:7">
      <c r="A115" s="390" t="s">
        <v>373</v>
      </c>
      <c r="B115" s="452">
        <v>25</v>
      </c>
      <c r="C115" s="452">
        <v>8</v>
      </c>
      <c r="D115" s="255" t="s">
        <v>372</v>
      </c>
    </row>
    <row r="117" spans="1:7">
      <c r="A117" s="370" t="s">
        <v>260</v>
      </c>
    </row>
    <row r="118" spans="1:7">
      <c r="A118" s="392" t="s">
        <v>447</v>
      </c>
      <c r="B118" s="414">
        <v>40</v>
      </c>
      <c r="C118" s="255" t="s">
        <v>440</v>
      </c>
    </row>
    <row r="119" spans="1:7">
      <c r="A119" s="394" t="s">
        <v>446</v>
      </c>
      <c r="B119" s="408">
        <v>130</v>
      </c>
      <c r="C119" s="255" t="s">
        <v>440</v>
      </c>
    </row>
    <row r="120" spans="1:7">
      <c r="A120" s="394" t="s">
        <v>445</v>
      </c>
      <c r="B120" s="408">
        <v>54</v>
      </c>
    </row>
    <row r="121" spans="1:7">
      <c r="A121" s="394" t="s">
        <v>506</v>
      </c>
      <c r="B121" s="409">
        <v>17.600000000000001</v>
      </c>
    </row>
    <row r="122" spans="1:7">
      <c r="A122" s="394" t="s">
        <v>507</v>
      </c>
      <c r="B122" s="410">
        <v>2.56</v>
      </c>
    </row>
    <row r="123" spans="1:7">
      <c r="A123" s="394" t="s">
        <v>450</v>
      </c>
      <c r="B123" s="413">
        <f>0.96-(0.0003*B118)</f>
        <v>0.94799999999999995</v>
      </c>
      <c r="C123" s="255" t="s">
        <v>514</v>
      </c>
    </row>
    <row r="124" spans="1:7">
      <c r="A124" s="394" t="s">
        <v>449</v>
      </c>
      <c r="B124" s="409">
        <v>2</v>
      </c>
      <c r="C124" s="255" t="s">
        <v>448</v>
      </c>
    </row>
    <row r="125" spans="1:7">
      <c r="A125" s="394" t="s">
        <v>508</v>
      </c>
      <c r="B125" s="409">
        <v>0.5</v>
      </c>
    </row>
    <row r="126" spans="1:7">
      <c r="A126" s="394" t="s">
        <v>509</v>
      </c>
      <c r="B126" s="409">
        <v>3.08</v>
      </c>
    </row>
    <row r="127" spans="1:7">
      <c r="A127" s="394" t="s">
        <v>512</v>
      </c>
      <c r="B127" s="410">
        <v>1.28</v>
      </c>
    </row>
    <row r="128" spans="1:7">
      <c r="A128" s="394" t="s">
        <v>511</v>
      </c>
      <c r="B128" s="409">
        <v>1.33</v>
      </c>
    </row>
    <row r="129" spans="1:3">
      <c r="A129" s="394" t="s">
        <v>377</v>
      </c>
      <c r="B129" s="408">
        <v>2533</v>
      </c>
    </row>
    <row r="130" spans="1:3">
      <c r="A130" s="397" t="s">
        <v>376</v>
      </c>
      <c r="B130" s="406">
        <v>0.12</v>
      </c>
    </row>
    <row r="131" spans="1:3">
      <c r="A131" s="394" t="s">
        <v>510</v>
      </c>
      <c r="B131" s="408">
        <f>((B121*B122*365.25*8.33*(B119-B120))/3412-(1/B124*B121*B122*365.25*8.33*(B119-B120))/3412)*B125*27%/B126*B128</f>
        <v>89.001459027432588</v>
      </c>
    </row>
    <row r="132" spans="1:3">
      <c r="A132" s="394" t="s">
        <v>513</v>
      </c>
      <c r="B132" s="408">
        <v>0</v>
      </c>
    </row>
    <row r="133" spans="1:3">
      <c r="A133" s="399" t="s">
        <v>375</v>
      </c>
      <c r="B133" s="415">
        <f>B134/B129*B130</f>
        <v>8.4479506451613423E-2</v>
      </c>
      <c r="C133" s="255" t="s">
        <v>372</v>
      </c>
    </row>
    <row r="134" spans="1:3">
      <c r="A134" s="390" t="s">
        <v>374</v>
      </c>
      <c r="B134" s="401">
        <f>((1/B123-1/B124)*B121*B122*365.25*8.33*(B119-B120))/3412+B131-B132</f>
        <v>1783.22158201614</v>
      </c>
      <c r="C134" s="255" t="s">
        <v>372</v>
      </c>
    </row>
    <row r="135" spans="1:3">
      <c r="A135" s="388" t="s">
        <v>1</v>
      </c>
      <c r="B135" s="389">
        <v>784</v>
      </c>
      <c r="C135" s="255" t="s">
        <v>443</v>
      </c>
    </row>
    <row r="136" spans="1:3">
      <c r="A136" s="390" t="s">
        <v>373</v>
      </c>
      <c r="B136" s="391">
        <v>13</v>
      </c>
      <c r="C136" s="255" t="s">
        <v>443</v>
      </c>
    </row>
    <row r="138" spans="1:3">
      <c r="A138" s="370" t="s">
        <v>271</v>
      </c>
    </row>
    <row r="139" spans="1:3">
      <c r="A139" s="392" t="s">
        <v>442</v>
      </c>
      <c r="B139" s="393">
        <v>8.3000000000000004E-2</v>
      </c>
    </row>
    <row r="140" spans="1:3">
      <c r="A140" s="394" t="s">
        <v>441</v>
      </c>
      <c r="B140" s="395">
        <v>23.18</v>
      </c>
      <c r="C140" s="255" t="s">
        <v>372</v>
      </c>
    </row>
    <row r="141" spans="1:3">
      <c r="A141" s="394" t="s">
        <v>504</v>
      </c>
      <c r="B141" s="395">
        <v>0.98</v>
      </c>
    </row>
    <row r="142" spans="1:3">
      <c r="A142" s="394" t="s">
        <v>376</v>
      </c>
      <c r="B142" s="396">
        <v>1</v>
      </c>
    </row>
    <row r="143" spans="1:3">
      <c r="A143" s="397" t="s">
        <v>377</v>
      </c>
      <c r="B143" s="398">
        <v>8766</v>
      </c>
    </row>
    <row r="144" spans="1:3">
      <c r="A144" s="399" t="s">
        <v>375</v>
      </c>
      <c r="B144" s="400">
        <f>B145/B143*B142</f>
        <v>5.7538220446443529E-3</v>
      </c>
      <c r="C144" s="255" t="s">
        <v>372</v>
      </c>
    </row>
    <row r="145" spans="1:5">
      <c r="A145" s="390" t="s">
        <v>374</v>
      </c>
      <c r="B145" s="401">
        <f>(B139*B140)*(B119-120)*B143/(3412*B141)</f>
        <v>50.4380040433524</v>
      </c>
      <c r="C145" s="255" t="s">
        <v>372</v>
      </c>
    </row>
    <row r="146" spans="1:5">
      <c r="A146" s="388" t="s">
        <v>1</v>
      </c>
      <c r="B146" s="389">
        <v>0</v>
      </c>
      <c r="C146" s="255" t="s">
        <v>372</v>
      </c>
    </row>
    <row r="147" spans="1:5">
      <c r="A147" s="390" t="s">
        <v>373</v>
      </c>
      <c r="B147" s="391">
        <v>2</v>
      </c>
      <c r="C147" s="255" t="s">
        <v>372</v>
      </c>
      <c r="E147" s="384"/>
    </row>
    <row r="148" spans="1:5">
      <c r="A148" s="369"/>
      <c r="B148" s="267"/>
    </row>
    <row r="149" spans="1:5">
      <c r="A149" s="370" t="s">
        <v>482</v>
      </c>
    </row>
    <row r="150" spans="1:5">
      <c r="A150" s="402" t="s">
        <v>376</v>
      </c>
      <c r="B150" s="403">
        <v>1</v>
      </c>
      <c r="C150" s="255" t="s">
        <v>372</v>
      </c>
      <c r="D150" s="255" t="s">
        <v>481</v>
      </c>
    </row>
    <row r="151" spans="1:5">
      <c r="A151" s="399" t="s">
        <v>375</v>
      </c>
      <c r="B151" s="404">
        <v>1.6400000000000001E-2</v>
      </c>
      <c r="C151" s="255" t="s">
        <v>372</v>
      </c>
    </row>
    <row r="152" spans="1:5">
      <c r="A152" s="390" t="s">
        <v>374</v>
      </c>
      <c r="B152" s="401">
        <v>143</v>
      </c>
      <c r="C152" s="255" t="s">
        <v>372</v>
      </c>
    </row>
    <row r="153" spans="1:5">
      <c r="A153" s="388" t="s">
        <v>1</v>
      </c>
      <c r="B153" s="389">
        <v>10</v>
      </c>
      <c r="C153" s="255" t="s">
        <v>480</v>
      </c>
    </row>
    <row r="154" spans="1:5">
      <c r="A154" s="390" t="s">
        <v>373</v>
      </c>
      <c r="B154" s="391">
        <v>5</v>
      </c>
      <c r="C154" s="255" t="s">
        <v>372</v>
      </c>
    </row>
    <row r="156" spans="1:5">
      <c r="A156" s="370" t="s">
        <v>265</v>
      </c>
    </row>
    <row r="157" spans="1:5">
      <c r="A157" s="392" t="s">
        <v>479</v>
      </c>
      <c r="B157" s="407">
        <v>1</v>
      </c>
    </row>
    <row r="158" spans="1:5">
      <c r="A158" s="394" t="s">
        <v>478</v>
      </c>
      <c r="B158" s="408">
        <v>5</v>
      </c>
    </row>
    <row r="159" spans="1:5">
      <c r="A159" s="394" t="s">
        <v>477</v>
      </c>
      <c r="B159" s="409">
        <v>5</v>
      </c>
    </row>
    <row r="160" spans="1:5">
      <c r="A160" s="394" t="s">
        <v>476</v>
      </c>
      <c r="B160" s="410">
        <v>0.19600000000000001</v>
      </c>
    </row>
    <row r="161" spans="1:3">
      <c r="A161" s="394" t="s">
        <v>505</v>
      </c>
      <c r="B161" s="408">
        <v>60</v>
      </c>
    </row>
    <row r="162" spans="1:3">
      <c r="A162" s="394" t="s">
        <v>475</v>
      </c>
      <c r="B162" s="410">
        <v>0.98</v>
      </c>
    </row>
    <row r="163" spans="1:3">
      <c r="A163" s="397" t="s">
        <v>376</v>
      </c>
      <c r="B163" s="406">
        <v>1</v>
      </c>
    </row>
    <row r="164" spans="1:3">
      <c r="A164" s="399" t="s">
        <v>375</v>
      </c>
      <c r="B164" s="411">
        <f>B165/8760*B163</f>
        <v>1.4063873425139173E-2</v>
      </c>
      <c r="C164" s="255" t="s">
        <v>372</v>
      </c>
    </row>
    <row r="165" spans="1:3">
      <c r="A165" s="387" t="s">
        <v>374</v>
      </c>
      <c r="B165" s="412">
        <f>((1/B157-1/B158)*(B159*B160)*B161*8760)/B162/3413</f>
        <v>123.19953120421916</v>
      </c>
      <c r="C165" s="255" t="s">
        <v>372</v>
      </c>
    </row>
    <row r="166" spans="1:3">
      <c r="A166" s="388" t="s">
        <v>1</v>
      </c>
      <c r="B166" s="405">
        <f>3*B159</f>
        <v>15</v>
      </c>
      <c r="C166" s="255" t="s">
        <v>372</v>
      </c>
    </row>
    <row r="167" spans="1:3">
      <c r="A167" s="390" t="s">
        <v>373</v>
      </c>
      <c r="B167" s="391">
        <v>15</v>
      </c>
      <c r="C167" s="255" t="s">
        <v>372</v>
      </c>
    </row>
    <row r="172" spans="1:3">
      <c r="C172" s="368"/>
    </row>
    <row r="179" spans="1:22" s="367" customFormat="1">
      <c r="A179" s="367" t="s">
        <v>439</v>
      </c>
    </row>
    <row r="180" spans="1:22" s="361" customFormat="1">
      <c r="A180" s="366"/>
      <c r="C180" s="365"/>
      <c r="D180" s="365"/>
      <c r="E180" s="364"/>
      <c r="F180" s="363"/>
      <c r="G180" s="363"/>
      <c r="H180" s="363"/>
      <c r="I180" s="363"/>
      <c r="L180" s="362"/>
      <c r="M180" s="290"/>
      <c r="N180" s="290"/>
      <c r="O180" s="290"/>
      <c r="P180" s="290"/>
      <c r="Q180" s="290"/>
      <c r="R180" s="255"/>
      <c r="S180" s="255"/>
      <c r="T180" s="255"/>
      <c r="U180" s="255"/>
      <c r="V180" s="255"/>
    </row>
    <row r="181" spans="1:22">
      <c r="A181" s="271" t="s">
        <v>408</v>
      </c>
      <c r="B181" s="256"/>
      <c r="C181" s="256"/>
      <c r="D181" s="272"/>
      <c r="E181" s="272"/>
      <c r="F181" s="272"/>
      <c r="M181" s="291"/>
      <c r="N181" s="291"/>
      <c r="O181" s="289"/>
      <c r="P181" s="290"/>
      <c r="Q181" s="288"/>
      <c r="R181" s="290"/>
      <c r="S181" s="289"/>
      <c r="T181" s="288"/>
    </row>
    <row r="182" spans="1:22">
      <c r="A182" s="308"/>
      <c r="B182" s="307" t="s">
        <v>407</v>
      </c>
      <c r="C182" s="307" t="s">
        <v>406</v>
      </c>
      <c r="D182" s="307" t="s">
        <v>405</v>
      </c>
      <c r="E182" s="307" t="s">
        <v>404</v>
      </c>
      <c r="F182" s="306" t="s">
        <v>403</v>
      </c>
      <c r="H182" s="305" t="s">
        <v>402</v>
      </c>
      <c r="I182" s="304">
        <v>593</v>
      </c>
      <c r="N182" s="291"/>
      <c r="O182" s="291"/>
      <c r="P182" s="291"/>
      <c r="Q182" s="289"/>
      <c r="R182" s="290"/>
      <c r="S182" s="288"/>
      <c r="T182" s="290"/>
      <c r="U182" s="289"/>
      <c r="V182" s="288"/>
    </row>
    <row r="183" spans="1:22">
      <c r="A183" s="269" t="s">
        <v>401</v>
      </c>
      <c r="B183" s="269">
        <v>60</v>
      </c>
      <c r="C183" s="269">
        <v>60</v>
      </c>
      <c r="D183" s="269">
        <v>84</v>
      </c>
      <c r="E183" s="269">
        <v>120</v>
      </c>
      <c r="F183" s="269">
        <v>240</v>
      </c>
      <c r="H183" s="303" t="s">
        <v>400</v>
      </c>
      <c r="I183" s="302">
        <v>2434</v>
      </c>
      <c r="N183" s="291"/>
      <c r="O183" s="291"/>
      <c r="P183" s="291"/>
      <c r="Q183" s="289"/>
      <c r="R183" s="290"/>
      <c r="S183" s="288"/>
      <c r="T183" s="290"/>
      <c r="U183" s="289"/>
      <c r="V183" s="288"/>
    </row>
    <row r="184" spans="1:22">
      <c r="A184" s="286" t="s">
        <v>399</v>
      </c>
      <c r="B184" s="285">
        <v>14</v>
      </c>
      <c r="C184" s="285">
        <v>14</v>
      </c>
      <c r="D184" s="285">
        <v>11.1</v>
      </c>
      <c r="E184" s="285">
        <v>10.9</v>
      </c>
      <c r="F184" s="285">
        <v>10.1</v>
      </c>
      <c r="G184" s="255" t="s">
        <v>397</v>
      </c>
      <c r="H184" s="301" t="s">
        <v>376</v>
      </c>
      <c r="I184" s="300">
        <v>0.91300000000000003</v>
      </c>
      <c r="N184" s="291"/>
      <c r="O184" s="291"/>
      <c r="P184" s="291"/>
      <c r="Q184" s="289"/>
      <c r="R184" s="290"/>
      <c r="S184" s="288"/>
      <c r="T184" s="290"/>
      <c r="U184" s="289"/>
      <c r="V184" s="288"/>
    </row>
    <row r="185" spans="1:22">
      <c r="A185" s="286" t="s">
        <v>398</v>
      </c>
      <c r="B185" s="285">
        <v>8.5</v>
      </c>
      <c r="C185" s="285">
        <v>8</v>
      </c>
      <c r="D185" s="285">
        <v>3.4</v>
      </c>
      <c r="E185" s="285">
        <v>3.2</v>
      </c>
      <c r="F185" s="285">
        <v>3.2</v>
      </c>
      <c r="G185" s="255" t="s">
        <v>397</v>
      </c>
      <c r="H185" s="256"/>
      <c r="I185" s="256"/>
      <c r="M185" s="292"/>
      <c r="N185" s="291"/>
      <c r="O185" s="291"/>
      <c r="P185" s="291"/>
      <c r="Q185" s="289"/>
      <c r="R185" s="290"/>
      <c r="S185" s="288"/>
      <c r="T185" s="290"/>
      <c r="U185" s="289"/>
      <c r="V185" s="288"/>
    </row>
    <row r="186" spans="1:22">
      <c r="A186" s="286" t="s">
        <v>396</v>
      </c>
      <c r="B186" s="285">
        <v>13</v>
      </c>
      <c r="C186" s="285">
        <v>13</v>
      </c>
      <c r="D186" s="285">
        <v>11</v>
      </c>
      <c r="E186" s="285">
        <v>10.6</v>
      </c>
      <c r="F186" s="285">
        <v>9.5</v>
      </c>
      <c r="G186" s="255" t="s">
        <v>372</v>
      </c>
      <c r="M186" s="292"/>
      <c r="N186" s="291"/>
      <c r="O186" s="291"/>
      <c r="P186" s="291"/>
      <c r="Q186" s="289"/>
      <c r="R186" s="290"/>
      <c r="S186" s="288"/>
      <c r="T186" s="290"/>
      <c r="U186" s="289"/>
      <c r="V186" s="288"/>
    </row>
    <row r="187" spans="1:22">
      <c r="A187" s="299" t="s">
        <v>395</v>
      </c>
      <c r="B187" s="298">
        <v>7.7</v>
      </c>
      <c r="C187" s="298">
        <v>7.7</v>
      </c>
      <c r="D187" s="298">
        <v>3.3</v>
      </c>
      <c r="E187" s="298">
        <v>3.2</v>
      </c>
      <c r="F187" s="298">
        <v>3.2</v>
      </c>
      <c r="G187" s="255" t="s">
        <v>372</v>
      </c>
      <c r="M187" s="292"/>
      <c r="N187" s="291"/>
      <c r="O187" s="291"/>
      <c r="P187" s="291"/>
      <c r="Q187" s="289"/>
      <c r="R187" s="290"/>
      <c r="S187" s="288"/>
      <c r="T187" s="290"/>
      <c r="U187" s="289"/>
      <c r="V187" s="288"/>
    </row>
    <row r="188" spans="1:22">
      <c r="A188" s="297" t="s">
        <v>375</v>
      </c>
      <c r="B188" s="296">
        <f>B183*(1/B186-1/B184)*I184</f>
        <v>0.30098901098901143</v>
      </c>
      <c r="C188" s="296">
        <f>C183*(1/C186-1/C184)*I184</f>
        <v>0.30098901098901143</v>
      </c>
      <c r="D188" s="296">
        <f>D183*(1/D186-1/D184)*I184</f>
        <v>6.2810810810810275E-2</v>
      </c>
      <c r="E188" s="296">
        <f>E183*(1/E186-1/E184)*I184</f>
        <v>0.28447290981478446</v>
      </c>
      <c r="F188" s="296">
        <f>F183*(1/F186-1/F184)*I184</f>
        <v>1.3702136529442395</v>
      </c>
      <c r="G188" s="259"/>
      <c r="M188" s="292"/>
      <c r="N188" s="291"/>
      <c r="O188" s="291"/>
      <c r="P188" s="291"/>
      <c r="Q188" s="289"/>
      <c r="R188" s="290"/>
      <c r="S188" s="288"/>
      <c r="T188" s="290"/>
      <c r="U188" s="289"/>
      <c r="V188" s="288"/>
    </row>
    <row r="189" spans="1:22">
      <c r="A189" s="261" t="s">
        <v>374</v>
      </c>
      <c r="B189" s="277">
        <f>B183*(1/B186-1/B184)*$I$182+B183*(1/B187-1/B185)*$I$183</f>
        <v>1980.5518011400352</v>
      </c>
      <c r="C189" s="277">
        <f>C183*(1/C186-1/C184)*$I$182+C183*(1/C187-1/C185)*$I$183</f>
        <v>906.72827172827022</v>
      </c>
      <c r="D189" s="277">
        <f>D183*(1/D186-1/D184)*$I$182+D183*(1/D187-1/D185)*$I$183</f>
        <v>1863.0420581008811</v>
      </c>
      <c r="E189" s="277">
        <f>E183*(1/E186-1/E184)*$I$182+E183*(1/E187-1/E185)*$I$183</f>
        <v>184.76718019733536</v>
      </c>
      <c r="F189" s="277">
        <f>F183*(1/F186-1/F184)*$I$182+F183*(1/F187-1/F185)*$I$183</f>
        <v>889.96352266805479</v>
      </c>
      <c r="M189" s="292"/>
      <c r="N189" s="291"/>
      <c r="O189" s="291"/>
      <c r="P189" s="291"/>
      <c r="Q189" s="289"/>
      <c r="R189" s="290"/>
      <c r="S189" s="288"/>
      <c r="T189" s="290"/>
      <c r="U189" s="289"/>
      <c r="V189" s="288"/>
    </row>
    <row r="190" spans="1:22">
      <c r="A190" s="263" t="s">
        <v>1</v>
      </c>
      <c r="B190" s="262">
        <f>74*B183/12</f>
        <v>370</v>
      </c>
      <c r="C190" s="262">
        <f>74*C183/12</f>
        <v>370</v>
      </c>
      <c r="D190" s="262">
        <f>D183/12*100</f>
        <v>700</v>
      </c>
      <c r="E190" s="262">
        <f>E183/12*100</f>
        <v>1000</v>
      </c>
      <c r="F190" s="262">
        <f>F183/12*100</f>
        <v>2000</v>
      </c>
      <c r="G190" s="259" t="s">
        <v>394</v>
      </c>
      <c r="I190" s="293"/>
      <c r="M190" s="292"/>
      <c r="N190" s="291"/>
      <c r="O190" s="291"/>
      <c r="P190" s="291"/>
      <c r="Q190" s="289"/>
      <c r="R190" s="290"/>
      <c r="S190" s="288"/>
      <c r="T190" s="290"/>
      <c r="U190" s="289"/>
      <c r="V190" s="288"/>
    </row>
    <row r="191" spans="1:22">
      <c r="A191" s="261" t="s">
        <v>373</v>
      </c>
      <c r="B191" s="260">
        <v>15</v>
      </c>
      <c r="C191" s="260">
        <v>15</v>
      </c>
      <c r="D191" s="260">
        <v>15</v>
      </c>
      <c r="E191" s="260">
        <v>15</v>
      </c>
      <c r="F191" s="260">
        <v>15</v>
      </c>
      <c r="G191" s="255" t="s">
        <v>372</v>
      </c>
      <c r="I191" s="293"/>
      <c r="M191" s="292"/>
      <c r="N191" s="291"/>
      <c r="O191" s="291"/>
      <c r="P191" s="291"/>
      <c r="Q191" s="289"/>
      <c r="R191" s="290"/>
      <c r="S191" s="288"/>
      <c r="T191" s="290"/>
      <c r="U191" s="289"/>
      <c r="V191" s="288"/>
    </row>
    <row r="192" spans="1:22">
      <c r="B192" s="295">
        <f>B183/12</f>
        <v>5</v>
      </c>
      <c r="C192" s="295">
        <f>C183/12</f>
        <v>5</v>
      </c>
      <c r="D192" s="295">
        <f>D183/12</f>
        <v>7</v>
      </c>
      <c r="E192" s="295">
        <f>E183/12</f>
        <v>10</v>
      </c>
      <c r="F192" s="295">
        <f>F183/12</f>
        <v>20</v>
      </c>
      <c r="G192" s="294"/>
      <c r="H192" s="293"/>
      <c r="L192" s="292"/>
      <c r="M192" s="291"/>
      <c r="N192" s="291"/>
      <c r="O192" s="291"/>
      <c r="P192" s="289"/>
      <c r="Q192" s="290"/>
      <c r="R192" s="288"/>
      <c r="S192" s="290"/>
      <c r="T192" s="289"/>
      <c r="U192" s="288"/>
    </row>
    <row r="193" spans="1:9">
      <c r="A193" s="271" t="s">
        <v>314</v>
      </c>
      <c r="B193" s="256"/>
      <c r="C193" s="284"/>
      <c r="D193" s="259"/>
      <c r="E193" s="259"/>
      <c r="F193" s="258"/>
      <c r="G193" s="257"/>
      <c r="H193" s="256"/>
      <c r="I193" s="256"/>
    </row>
    <row r="194" spans="1:9">
      <c r="A194" s="269" t="s">
        <v>393</v>
      </c>
      <c r="B194" s="287">
        <f>10*12000</f>
        <v>120000</v>
      </c>
      <c r="C194" s="284"/>
      <c r="D194" s="259"/>
      <c r="E194" s="259"/>
      <c r="F194" s="258"/>
      <c r="G194" s="257"/>
      <c r="H194" s="256"/>
      <c r="I194" s="256"/>
    </row>
    <row r="195" spans="1:9">
      <c r="A195" s="286" t="s">
        <v>392</v>
      </c>
      <c r="B195" s="285">
        <v>17.100000000000001</v>
      </c>
      <c r="C195" s="284"/>
      <c r="D195" s="259"/>
      <c r="E195" s="259"/>
      <c r="F195" s="258"/>
      <c r="G195" s="257"/>
      <c r="H195" s="256"/>
      <c r="I195" s="256"/>
    </row>
    <row r="196" spans="1:9">
      <c r="A196" s="286" t="s">
        <v>391</v>
      </c>
      <c r="B196" s="285">
        <v>3.6</v>
      </c>
      <c r="C196" s="284"/>
      <c r="D196" s="259"/>
      <c r="E196" s="259"/>
      <c r="F196" s="258"/>
      <c r="G196" s="257"/>
      <c r="H196" s="256"/>
      <c r="I196" s="256"/>
    </row>
    <row r="197" spans="1:9">
      <c r="A197" s="286" t="s">
        <v>390</v>
      </c>
      <c r="B197" s="285">
        <v>13.4</v>
      </c>
      <c r="C197" s="284"/>
      <c r="D197" s="259"/>
      <c r="E197" s="259"/>
      <c r="F197" s="258"/>
      <c r="G197" s="257"/>
      <c r="H197" s="256"/>
      <c r="I197" s="256"/>
    </row>
    <row r="198" spans="1:9">
      <c r="A198" s="286" t="s">
        <v>389</v>
      </c>
      <c r="B198" s="285">
        <v>3.1</v>
      </c>
      <c r="C198" s="284"/>
      <c r="D198" s="259"/>
      <c r="E198" s="259"/>
      <c r="F198" s="258"/>
      <c r="G198" s="257"/>
      <c r="H198" s="256"/>
      <c r="I198" s="256"/>
    </row>
    <row r="199" spans="1:9">
      <c r="A199" s="266" t="s">
        <v>375</v>
      </c>
      <c r="B199" s="283">
        <f>$B$194*(1/B197-1/(-0.02*(B195*1.02)^2+(1.12*(C105*1.02))))/1000*$I$184</f>
        <v>3.0741337626382776E-2</v>
      </c>
      <c r="C199" s="255" t="s">
        <v>372</v>
      </c>
      <c r="D199" s="259"/>
      <c r="E199" s="259"/>
      <c r="F199" s="258"/>
      <c r="G199" s="257"/>
      <c r="H199" s="256"/>
      <c r="I199" s="256"/>
    </row>
    <row r="200" spans="1:9">
      <c r="A200" s="261" t="s">
        <v>374</v>
      </c>
      <c r="B200" s="260">
        <f>I183*B194*(1/B197-(1/(B195*1.02)))/1000+I182*B194*(1/B198-(1/(B196*3.412)))/1000</f>
        <v>22212.788976876138</v>
      </c>
      <c r="C200" s="255" t="s">
        <v>372</v>
      </c>
      <c r="D200" s="259"/>
      <c r="E200" s="259"/>
      <c r="F200" s="258"/>
      <c r="G200" s="257"/>
      <c r="H200" s="256"/>
      <c r="I200" s="256"/>
    </row>
    <row r="201" spans="1:9">
      <c r="A201" s="263" t="s">
        <v>1</v>
      </c>
      <c r="B201" s="282">
        <f>410*10</f>
        <v>4100</v>
      </c>
      <c r="C201" s="255" t="s">
        <v>372</v>
      </c>
      <c r="D201" s="259"/>
      <c r="E201" s="259"/>
      <c r="F201" s="258"/>
      <c r="G201" s="257"/>
      <c r="H201" s="256"/>
      <c r="I201" s="256"/>
    </row>
    <row r="202" spans="1:9">
      <c r="A202" s="261" t="s">
        <v>373</v>
      </c>
      <c r="B202" s="281">
        <v>15</v>
      </c>
      <c r="C202" s="255" t="s">
        <v>372</v>
      </c>
      <c r="D202" s="259"/>
      <c r="E202" s="259"/>
      <c r="F202" s="258"/>
      <c r="G202" s="257"/>
      <c r="H202" s="256"/>
      <c r="I202" s="256"/>
    </row>
    <row r="203" spans="1:9">
      <c r="B203" s="257"/>
      <c r="C203" s="280"/>
      <c r="D203" s="259"/>
      <c r="E203" s="259"/>
      <c r="F203" s="258"/>
      <c r="G203" s="257"/>
      <c r="H203" s="256"/>
      <c r="I203" s="256"/>
    </row>
    <row r="204" spans="1:9">
      <c r="A204" s="271" t="s">
        <v>388</v>
      </c>
      <c r="B204" s="515" t="s">
        <v>387</v>
      </c>
      <c r="C204" s="280"/>
    </row>
    <row r="205" spans="1:9">
      <c r="A205" s="266" t="s">
        <v>375</v>
      </c>
      <c r="B205" s="416">
        <v>0.2</v>
      </c>
      <c r="C205" s="259" t="s">
        <v>372</v>
      </c>
      <c r="F205" s="257"/>
      <c r="G205" s="256"/>
      <c r="H205" s="256"/>
    </row>
    <row r="206" spans="1:9">
      <c r="A206" s="279" t="s">
        <v>374</v>
      </c>
      <c r="B206" s="417">
        <v>1780.85</v>
      </c>
      <c r="C206" s="259" t="s">
        <v>372</v>
      </c>
      <c r="F206" s="257"/>
      <c r="G206" s="256"/>
      <c r="H206" s="256"/>
    </row>
    <row r="207" spans="1:9">
      <c r="A207" s="263" t="s">
        <v>1</v>
      </c>
      <c r="B207" s="278">
        <v>1050</v>
      </c>
      <c r="C207" s="259" t="s">
        <v>372</v>
      </c>
      <c r="F207" s="257"/>
      <c r="G207" s="256"/>
      <c r="H207" s="256"/>
    </row>
    <row r="208" spans="1:9">
      <c r="A208" s="261" t="s">
        <v>373</v>
      </c>
      <c r="B208" s="277">
        <v>5</v>
      </c>
      <c r="C208" s="259" t="s">
        <v>372</v>
      </c>
      <c r="F208" s="257"/>
      <c r="G208" s="256"/>
      <c r="H208" s="256"/>
    </row>
    <row r="209" spans="1:9">
      <c r="B209" s="257"/>
      <c r="C209" s="259"/>
      <c r="D209" s="259"/>
      <c r="E209" s="259"/>
      <c r="F209" s="258"/>
      <c r="G209" s="257"/>
      <c r="H209" s="256"/>
      <c r="I209" s="256"/>
    </row>
    <row r="210" spans="1:9">
      <c r="B210" s="257"/>
      <c r="C210" s="259"/>
      <c r="D210" s="259"/>
      <c r="E210" s="259"/>
      <c r="F210" s="258"/>
      <c r="G210" s="257"/>
      <c r="H210" s="256"/>
      <c r="I210" s="256"/>
    </row>
    <row r="211" spans="1:9">
      <c r="A211" s="271" t="s">
        <v>315</v>
      </c>
      <c r="B211" s="515" t="s">
        <v>385</v>
      </c>
      <c r="C211" s="515" t="s">
        <v>384</v>
      </c>
      <c r="E211" s="259"/>
      <c r="F211" s="258"/>
      <c r="G211" s="257"/>
      <c r="H211" s="256"/>
      <c r="I211" s="256"/>
    </row>
    <row r="212" spans="1:9">
      <c r="A212" s="270" t="s">
        <v>383</v>
      </c>
      <c r="B212" s="275">
        <v>15</v>
      </c>
      <c r="C212" s="275">
        <v>15</v>
      </c>
      <c r="E212" s="259"/>
      <c r="F212" s="258"/>
      <c r="G212" s="257"/>
    </row>
    <row r="213" spans="1:9">
      <c r="A213" s="268" t="s">
        <v>382</v>
      </c>
      <c r="B213" s="276">
        <v>0.91</v>
      </c>
      <c r="C213" s="276">
        <v>0.91</v>
      </c>
      <c r="E213" s="259"/>
      <c r="F213" s="258"/>
      <c r="G213" s="257"/>
    </row>
    <row r="214" spans="1:9">
      <c r="A214" s="268" t="s">
        <v>381</v>
      </c>
      <c r="B214" s="276">
        <v>0.93</v>
      </c>
      <c r="C214" s="276">
        <v>0.92400000000000004</v>
      </c>
      <c r="D214" s="255" t="s">
        <v>380</v>
      </c>
      <c r="E214" s="257"/>
      <c r="F214" s="257"/>
    </row>
    <row r="215" spans="1:9">
      <c r="A215" s="268" t="s">
        <v>377</v>
      </c>
      <c r="B215" s="275">
        <v>4400</v>
      </c>
      <c r="C215" s="275">
        <v>4400</v>
      </c>
      <c r="D215" s="255" t="s">
        <v>379</v>
      </c>
      <c r="E215" s="257"/>
      <c r="F215" s="257"/>
    </row>
    <row r="216" spans="1:9">
      <c r="A216" s="274" t="s">
        <v>376</v>
      </c>
      <c r="B216" s="273">
        <v>0.38</v>
      </c>
      <c r="C216" s="273">
        <v>0.38</v>
      </c>
      <c r="D216" s="259" t="s">
        <v>378</v>
      </c>
      <c r="E216" s="257"/>
      <c r="F216" s="257"/>
    </row>
    <row r="217" spans="1:9">
      <c r="A217" s="266" t="s">
        <v>375</v>
      </c>
      <c r="B217" s="265">
        <f>B212*0.746*0.8*(1/B213-1/B214)*B216</f>
        <v>8.0391350584898769E-2</v>
      </c>
      <c r="C217" s="265">
        <f>C212*0.746*0.8*(1/C213-1/C214)*C216</f>
        <v>5.6639360639360231E-2</v>
      </c>
      <c r="E217" s="257"/>
      <c r="F217" s="257"/>
    </row>
    <row r="218" spans="1:9">
      <c r="A218" s="261" t="s">
        <v>374</v>
      </c>
      <c r="B218" s="264">
        <f>B217*B215</f>
        <v>353.7219425735546</v>
      </c>
      <c r="C218" s="264">
        <f>C217*C215</f>
        <v>249.21318681318502</v>
      </c>
      <c r="E218" s="257"/>
      <c r="F218" s="272"/>
      <c r="G218" s="257"/>
      <c r="H218" s="256"/>
      <c r="I218" s="256"/>
    </row>
    <row r="219" spans="1:9">
      <c r="A219" s="263" t="s">
        <v>1</v>
      </c>
      <c r="B219" s="262">
        <v>115</v>
      </c>
      <c r="C219" s="262">
        <v>115</v>
      </c>
      <c r="D219" s="259" t="s">
        <v>378</v>
      </c>
      <c r="E219" s="257"/>
      <c r="F219" s="258"/>
      <c r="G219" s="257"/>
      <c r="H219" s="256"/>
      <c r="I219" s="256"/>
    </row>
    <row r="220" spans="1:9">
      <c r="A220" s="261" t="s">
        <v>373</v>
      </c>
      <c r="B220" s="260">
        <v>15</v>
      </c>
      <c r="C220" s="260">
        <v>15</v>
      </c>
      <c r="D220" s="259" t="s">
        <v>378</v>
      </c>
      <c r="E220" s="257"/>
      <c r="F220" s="258"/>
      <c r="G220" s="257"/>
      <c r="H220" s="256"/>
      <c r="I220" s="256"/>
    </row>
    <row r="222" spans="1:9">
      <c r="A222" s="259"/>
      <c r="B222" s="257"/>
      <c r="C222" s="257"/>
      <c r="D222" s="259"/>
      <c r="H222" s="256"/>
      <c r="I222" s="256"/>
    </row>
    <row r="223" spans="1:9">
      <c r="A223" s="259"/>
      <c r="B223" s="257"/>
      <c r="C223" s="257"/>
      <c r="D223" s="259"/>
      <c r="H223" s="256"/>
      <c r="I223" s="256"/>
    </row>
    <row r="225" spans="1:15" s="519" customFormat="1">
      <c r="A225" s="516" t="s">
        <v>530</v>
      </c>
      <c r="B225" s="516" t="s">
        <v>531</v>
      </c>
      <c r="C225" s="517" t="s">
        <v>532</v>
      </c>
      <c r="D225" s="516" t="s">
        <v>533</v>
      </c>
      <c r="E225" s="517" t="s">
        <v>534</v>
      </c>
      <c r="F225" s="518" t="s">
        <v>535</v>
      </c>
      <c r="J225" s="519" t="s">
        <v>536</v>
      </c>
      <c r="O225" s="361"/>
    </row>
    <row r="226" spans="1:15" s="519" customFormat="1">
      <c r="A226" s="520">
        <v>1490</v>
      </c>
      <c r="B226" s="521">
        <v>2600</v>
      </c>
      <c r="C226" s="522">
        <v>100</v>
      </c>
      <c r="D226" s="522">
        <v>72</v>
      </c>
      <c r="E226" s="522" t="s">
        <v>537</v>
      </c>
      <c r="F226" s="523">
        <v>22</v>
      </c>
      <c r="J226" s="519" t="s">
        <v>538</v>
      </c>
      <c r="O226" s="361"/>
    </row>
    <row r="227" spans="1:15" s="519" customFormat="1">
      <c r="A227" s="520">
        <v>1050</v>
      </c>
      <c r="B227" s="521">
        <v>1489</v>
      </c>
      <c r="C227" s="522">
        <v>75</v>
      </c>
      <c r="D227" s="522">
        <v>53</v>
      </c>
      <c r="E227" s="522" t="s">
        <v>539</v>
      </c>
      <c r="F227" s="523" t="s">
        <v>540</v>
      </c>
      <c r="O227" s="361"/>
    </row>
    <row r="228" spans="1:15" s="519" customFormat="1">
      <c r="A228" s="520">
        <v>750</v>
      </c>
      <c r="B228" s="521">
        <v>1049</v>
      </c>
      <c r="C228" s="522">
        <v>60</v>
      </c>
      <c r="D228" s="522">
        <v>43</v>
      </c>
      <c r="E228" s="522" t="s">
        <v>541</v>
      </c>
      <c r="F228" s="523" t="s">
        <v>542</v>
      </c>
      <c r="O228" s="361"/>
    </row>
    <row r="229" spans="1:15" s="519" customFormat="1">
      <c r="A229" s="520">
        <v>310</v>
      </c>
      <c r="B229" s="521">
        <v>749</v>
      </c>
      <c r="C229" s="522">
        <v>40</v>
      </c>
      <c r="D229" s="522">
        <v>29</v>
      </c>
      <c r="E229" s="524" t="s">
        <v>543</v>
      </c>
      <c r="F229" s="523" t="s">
        <v>544</v>
      </c>
      <c r="O229" s="361"/>
    </row>
    <row r="230" spans="1:15" s="519" customFormat="1">
      <c r="A230" s="519" t="s">
        <v>545</v>
      </c>
      <c r="F230" s="525"/>
      <c r="O230" s="361"/>
    </row>
    <row r="231" spans="1:15" s="519" customFormat="1">
      <c r="F231" s="525"/>
      <c r="O231" s="361"/>
    </row>
    <row r="232" spans="1:15" s="519" customFormat="1">
      <c r="A232" s="271" t="s">
        <v>410</v>
      </c>
      <c r="F232" s="525"/>
    </row>
    <row r="233" spans="1:15" s="519" customFormat="1">
      <c r="A233" s="526" t="s">
        <v>436</v>
      </c>
      <c r="B233" s="527" t="s">
        <v>425</v>
      </c>
      <c r="F233" s="525"/>
      <c r="H233" s="255"/>
    </row>
    <row r="234" spans="1:15" s="519" customFormat="1">
      <c r="A234" s="266" t="s">
        <v>435</v>
      </c>
      <c r="B234" s="313">
        <v>46</v>
      </c>
      <c r="C234" s="255" t="s">
        <v>372</v>
      </c>
      <c r="F234" s="525"/>
    </row>
    <row r="235" spans="1:15" s="519" customFormat="1">
      <c r="A235" s="297" t="s">
        <v>434</v>
      </c>
      <c r="B235" s="312">
        <v>2</v>
      </c>
      <c r="C235" s="255"/>
      <c r="F235" s="525"/>
    </row>
    <row r="236" spans="1:15" s="519" customFormat="1">
      <c r="A236" s="314" t="s">
        <v>409</v>
      </c>
      <c r="B236" s="275">
        <v>8760</v>
      </c>
      <c r="C236" s="255"/>
      <c r="F236" s="525"/>
    </row>
    <row r="237" spans="1:15" s="519" customFormat="1">
      <c r="A237" s="360" t="s">
        <v>527</v>
      </c>
      <c r="B237" s="528">
        <f>(B234-B235)/1000*$G$244</f>
        <v>5.8520000000000003E-2</v>
      </c>
      <c r="C237" s="259" t="s">
        <v>528</v>
      </c>
      <c r="F237" s="525"/>
    </row>
    <row r="238" spans="1:15" s="519" customFormat="1">
      <c r="A238" s="314" t="s">
        <v>374</v>
      </c>
      <c r="B238" s="311">
        <f>((B234-B235)/1000)*$G$243*B236</f>
        <v>435.54719999999992</v>
      </c>
      <c r="C238" s="259" t="s">
        <v>528</v>
      </c>
      <c r="F238" s="525"/>
    </row>
    <row r="239" spans="1:15" s="519" customFormat="1">
      <c r="A239" s="279" t="s">
        <v>546</v>
      </c>
      <c r="B239" s="529">
        <f>(B234-B235)/100*$B$236*$G$245</f>
        <v>-2.0813760000000001</v>
      </c>
      <c r="C239" s="259" t="s">
        <v>528</v>
      </c>
      <c r="F239" s="525"/>
    </row>
    <row r="240" spans="1:15" s="519" customFormat="1">
      <c r="A240" s="530" t="s">
        <v>1</v>
      </c>
      <c r="B240" s="310">
        <v>25</v>
      </c>
      <c r="C240" s="259" t="s">
        <v>394</v>
      </c>
      <c r="F240" s="525"/>
    </row>
    <row r="241" spans="1:19" s="519" customFormat="1">
      <c r="A241" s="279" t="s">
        <v>373</v>
      </c>
      <c r="B241" s="309">
        <v>16</v>
      </c>
      <c r="C241" s="257" t="s">
        <v>372</v>
      </c>
      <c r="F241" s="525"/>
    </row>
    <row r="242" spans="1:19" s="519" customFormat="1">
      <c r="F242" s="841" t="s">
        <v>528</v>
      </c>
      <c r="G242" s="842"/>
      <c r="H242" s="843"/>
      <c r="N242" s="361"/>
      <c r="O242" s="361"/>
    </row>
    <row r="243" spans="1:19" s="519" customFormat="1">
      <c r="A243" s="531" t="s">
        <v>547</v>
      </c>
      <c r="F243" s="532" t="s">
        <v>548</v>
      </c>
      <c r="G243" s="533">
        <v>1.1299999999999999</v>
      </c>
      <c r="H243" s="534" t="s">
        <v>549</v>
      </c>
      <c r="N243" s="361"/>
      <c r="O243" s="361"/>
    </row>
    <row r="244" spans="1:19" s="519" customFormat="1">
      <c r="A244" s="316"/>
      <c r="B244" s="316" t="s">
        <v>550</v>
      </c>
      <c r="C244" s="316" t="s">
        <v>551</v>
      </c>
      <c r="D244" s="316" t="s">
        <v>552</v>
      </c>
      <c r="F244" s="532" t="s">
        <v>553</v>
      </c>
      <c r="G244" s="535">
        <v>1.33</v>
      </c>
      <c r="H244" s="534" t="s">
        <v>549</v>
      </c>
      <c r="P244" s="361"/>
    </row>
    <row r="245" spans="1:19" s="519" customFormat="1">
      <c r="A245" s="266" t="s">
        <v>554</v>
      </c>
      <c r="B245" s="536">
        <v>0.51700000000000002</v>
      </c>
      <c r="C245" s="537">
        <v>0.30499999999999999</v>
      </c>
      <c r="D245" s="537">
        <v>0.18</v>
      </c>
      <c r="F245" s="538" t="s">
        <v>555</v>
      </c>
      <c r="G245" s="539">
        <v>-5.4000000000000001E-4</v>
      </c>
      <c r="H245" s="540"/>
      <c r="P245" s="361"/>
    </row>
    <row r="246" spans="1:19" s="519" customFormat="1">
      <c r="A246" s="297" t="s">
        <v>556</v>
      </c>
      <c r="B246" s="541">
        <v>0.7</v>
      </c>
      <c r="C246" s="542">
        <v>0.7</v>
      </c>
      <c r="D246" s="542">
        <v>0.7</v>
      </c>
      <c r="F246" s="525"/>
      <c r="P246" s="361"/>
    </row>
    <row r="247" spans="1:19" s="519" customFormat="1">
      <c r="A247" s="261" t="s">
        <v>411</v>
      </c>
      <c r="B247" s="543">
        <v>0.24</v>
      </c>
      <c r="C247" s="544">
        <v>0.24</v>
      </c>
      <c r="D247" s="544">
        <v>0.24</v>
      </c>
      <c r="F247" s="525"/>
      <c r="P247" s="361"/>
    </row>
    <row r="248" spans="1:19" s="519" customFormat="1">
      <c r="A248" s="314" t="s">
        <v>527</v>
      </c>
      <c r="B248" s="315">
        <f>B245*$G$244</f>
        <v>0.68761000000000005</v>
      </c>
      <c r="C248" s="315">
        <f>C245*$G$244</f>
        <v>0.40565000000000001</v>
      </c>
      <c r="D248" s="315">
        <f>D245*$G$244</f>
        <v>0.2394</v>
      </c>
      <c r="E248" s="519" t="s">
        <v>372</v>
      </c>
      <c r="F248" s="545" t="s">
        <v>528</v>
      </c>
      <c r="G248" s="546" t="s">
        <v>529</v>
      </c>
      <c r="H248" s="547" t="s">
        <v>430</v>
      </c>
      <c r="P248" s="361"/>
    </row>
    <row r="249" spans="1:19" s="519" customFormat="1">
      <c r="A249" s="314" t="s">
        <v>374</v>
      </c>
      <c r="B249" s="297">
        <f>B245*$G$251*B247*$G$243</f>
        <v>622.39396559999989</v>
      </c>
      <c r="C249" s="297">
        <f>C245*$G$251*C247*$G$243</f>
        <v>367.17632399999997</v>
      </c>
      <c r="D249" s="297">
        <f>D245*$G$251*D247*$G$243</f>
        <v>216.69422399999996</v>
      </c>
      <c r="E249" s="519" t="s">
        <v>372</v>
      </c>
      <c r="F249" s="548" t="s">
        <v>558</v>
      </c>
      <c r="G249" s="549">
        <v>8760</v>
      </c>
      <c r="H249" s="550">
        <v>1</v>
      </c>
      <c r="P249" s="361"/>
    </row>
    <row r="250" spans="1:19" s="519" customFormat="1">
      <c r="A250" s="279" t="s">
        <v>546</v>
      </c>
      <c r="B250" s="551">
        <f>B245*$G$251*B247*$G$245</f>
        <v>-0.29742720480000001</v>
      </c>
      <c r="C250" s="551">
        <f>C245*$G$251*C247*$G$245</f>
        <v>-0.17546479200000001</v>
      </c>
      <c r="D250" s="551">
        <f>D245*$G$251*D247*$G$245</f>
        <v>-0.103552992</v>
      </c>
      <c r="E250" s="519" t="s">
        <v>372</v>
      </c>
      <c r="F250" s="552" t="s">
        <v>559</v>
      </c>
      <c r="G250" s="549">
        <v>4903</v>
      </c>
      <c r="H250" s="550">
        <v>0</v>
      </c>
      <c r="P250" s="361"/>
    </row>
    <row r="251" spans="1:19" s="519" customFormat="1">
      <c r="A251" s="530" t="s">
        <v>1</v>
      </c>
      <c r="B251" s="263">
        <v>102</v>
      </c>
      <c r="C251" s="262">
        <v>51</v>
      </c>
      <c r="D251" s="262">
        <v>92</v>
      </c>
      <c r="E251" s="519" t="s">
        <v>372</v>
      </c>
      <c r="F251" s="538" t="s">
        <v>379</v>
      </c>
      <c r="G251" s="553">
        <v>4439</v>
      </c>
      <c r="H251" s="554">
        <v>0.7</v>
      </c>
      <c r="P251" s="361"/>
    </row>
    <row r="252" spans="1:19" s="519" customFormat="1">
      <c r="A252" s="279" t="s">
        <v>373</v>
      </c>
      <c r="B252" s="309">
        <v>8</v>
      </c>
      <c r="C252" s="309">
        <v>8</v>
      </c>
      <c r="D252" s="309">
        <v>8</v>
      </c>
      <c r="E252" s="519" t="s">
        <v>372</v>
      </c>
      <c r="F252" s="519" t="s">
        <v>557</v>
      </c>
      <c r="P252" s="361"/>
    </row>
    <row r="253" spans="1:19" s="519" customFormat="1">
      <c r="F253" s="525"/>
      <c r="P253" s="361"/>
    </row>
    <row r="254" spans="1:19" s="519" customFormat="1">
      <c r="F254" s="525"/>
      <c r="P254" s="361"/>
    </row>
    <row r="255" spans="1:19" s="750" customFormat="1" ht="33.75">
      <c r="A255" s="742" t="s">
        <v>3</v>
      </c>
      <c r="B255" s="743" t="s">
        <v>436</v>
      </c>
      <c r="C255" s="744" t="s">
        <v>435</v>
      </c>
      <c r="D255" s="745" t="s">
        <v>434</v>
      </c>
      <c r="E255" s="744" t="s">
        <v>546</v>
      </c>
      <c r="F255" s="746" t="s">
        <v>374</v>
      </c>
      <c r="G255" s="745" t="s">
        <v>433</v>
      </c>
      <c r="H255" s="747" t="s">
        <v>1</v>
      </c>
      <c r="I255" s="748" t="s">
        <v>432</v>
      </c>
      <c r="J255" s="748" t="s">
        <v>431</v>
      </c>
      <c r="K255" s="748" t="s">
        <v>430</v>
      </c>
      <c r="L255" s="745" t="s">
        <v>373</v>
      </c>
      <c r="M255" s="359" t="s">
        <v>429</v>
      </c>
      <c r="N255" s="749"/>
      <c r="S255" s="751"/>
    </row>
    <row r="256" spans="1:19" s="519" customFormat="1">
      <c r="A256" s="555" t="s">
        <v>353</v>
      </c>
      <c r="B256" s="556" t="s">
        <v>413</v>
      </c>
      <c r="C256" s="557">
        <v>210</v>
      </c>
      <c r="D256" s="557">
        <v>117</v>
      </c>
      <c r="E256" s="558">
        <f t="shared" ref="E256:E299" si="0">(C256-D256)/100*$G$251*$G$245</f>
        <v>-2.2292658000000003</v>
      </c>
      <c r="F256" s="559">
        <f t="shared" ref="F256:F263" si="1">((C256-D256)/1000)*$G$243*$G$251</f>
        <v>466.49450999999993</v>
      </c>
      <c r="G256" s="560">
        <f t="shared" ref="G256:G299" si="2">(C256-D256)/1000*$G$244</f>
        <v>0.12369000000000001</v>
      </c>
      <c r="H256" s="561">
        <v>100</v>
      </c>
      <c r="I256" s="562"/>
      <c r="J256" s="563"/>
      <c r="K256" s="325">
        <f t="shared" ref="K256:K288" si="3">$H$251</f>
        <v>0.7</v>
      </c>
      <c r="L256" s="341">
        <v>15</v>
      </c>
      <c r="M256" s="323"/>
      <c r="N256" s="519" t="s">
        <v>372</v>
      </c>
      <c r="Q256" s="361"/>
    </row>
    <row r="257" spans="1:17" s="519" customFormat="1">
      <c r="A257" s="564" t="s">
        <v>272</v>
      </c>
      <c r="B257" s="355" t="s">
        <v>427</v>
      </c>
      <c r="C257" s="358">
        <v>456</v>
      </c>
      <c r="D257" s="358">
        <v>295</v>
      </c>
      <c r="E257" s="565">
        <f t="shared" si="0"/>
        <v>-3.8592666000000007</v>
      </c>
      <c r="F257" s="566">
        <f>((C257-D257)/1000)*$G$243*$G$251</f>
        <v>807.58726999999988</v>
      </c>
      <c r="G257" s="567">
        <f t="shared" si="2"/>
        <v>0.21413000000000001</v>
      </c>
      <c r="H257" s="354">
        <v>125</v>
      </c>
      <c r="I257" s="568"/>
      <c r="J257" s="569"/>
      <c r="K257" s="347">
        <f t="shared" si="3"/>
        <v>0.7</v>
      </c>
      <c r="L257" s="346">
        <v>15</v>
      </c>
      <c r="M257" s="329"/>
      <c r="N257" s="519" t="s">
        <v>372</v>
      </c>
      <c r="Q257" s="361"/>
    </row>
    <row r="258" spans="1:17" s="519" customFormat="1">
      <c r="A258" s="564" t="s">
        <v>273</v>
      </c>
      <c r="B258" s="355" t="s">
        <v>426</v>
      </c>
      <c r="C258" s="358">
        <v>850</v>
      </c>
      <c r="D258" s="358">
        <v>468</v>
      </c>
      <c r="E258" s="565">
        <f t="shared" si="0"/>
        <v>-9.1567691999999994</v>
      </c>
      <c r="F258" s="566">
        <f>((C258-D258)/1000)*$G$243*$G$251</f>
        <v>1916.1387399999999</v>
      </c>
      <c r="G258" s="567">
        <f>(C258-D258)/1000*$G$244</f>
        <v>0.50806000000000007</v>
      </c>
      <c r="H258" s="354">
        <v>125</v>
      </c>
      <c r="I258" s="568"/>
      <c r="J258" s="569"/>
      <c r="K258" s="347">
        <f t="shared" si="3"/>
        <v>0.7</v>
      </c>
      <c r="L258" s="346">
        <v>15</v>
      </c>
      <c r="M258" s="329"/>
      <c r="N258" s="519" t="s">
        <v>372</v>
      </c>
    </row>
    <row r="259" spans="1:17" s="519" customFormat="1">
      <c r="A259" s="570" t="s">
        <v>274</v>
      </c>
      <c r="B259" s="357" t="s">
        <v>428</v>
      </c>
      <c r="C259" s="356">
        <v>1080</v>
      </c>
      <c r="D259" s="356">
        <v>585</v>
      </c>
      <c r="E259" s="571">
        <f t="shared" si="0"/>
        <v>-11.865447</v>
      </c>
      <c r="F259" s="572">
        <f>((C259-D259)/1000)*$G$243*$G$251</f>
        <v>2482.9546499999997</v>
      </c>
      <c r="G259" s="573">
        <f t="shared" si="2"/>
        <v>0.65834999999999999</v>
      </c>
      <c r="H259" s="337">
        <v>150</v>
      </c>
      <c r="I259" s="574"/>
      <c r="J259" s="575"/>
      <c r="K259" s="336">
        <f t="shared" si="3"/>
        <v>0.7</v>
      </c>
      <c r="L259" s="335">
        <v>15</v>
      </c>
      <c r="M259" s="317"/>
      <c r="N259" s="519" t="s">
        <v>372</v>
      </c>
    </row>
    <row r="260" spans="1:17" s="519" customFormat="1">
      <c r="A260" s="555" t="s">
        <v>560</v>
      </c>
      <c r="B260" s="556" t="s">
        <v>413</v>
      </c>
      <c r="C260" s="344">
        <v>210</v>
      </c>
      <c r="D260" s="343">
        <v>112.64</v>
      </c>
      <c r="E260" s="576">
        <f t="shared" si="0"/>
        <v>-2.3337776160000003</v>
      </c>
      <c r="F260" s="559">
        <f t="shared" si="1"/>
        <v>488.36457519999999</v>
      </c>
      <c r="G260" s="560">
        <f t="shared" si="2"/>
        <v>0.12948880000000002</v>
      </c>
      <c r="H260" s="561">
        <v>200</v>
      </c>
      <c r="I260" s="562"/>
      <c r="J260" s="563"/>
      <c r="K260" s="325">
        <f t="shared" si="3"/>
        <v>0.7</v>
      </c>
      <c r="L260" s="341">
        <v>15</v>
      </c>
      <c r="M260" s="341"/>
      <c r="N260" s="519" t="s">
        <v>372</v>
      </c>
    </row>
    <row r="261" spans="1:17" s="519" customFormat="1">
      <c r="A261" s="564" t="s">
        <v>275</v>
      </c>
      <c r="B261" s="355" t="s">
        <v>427</v>
      </c>
      <c r="C261" s="350">
        <v>456</v>
      </c>
      <c r="D261" s="349">
        <v>168.96</v>
      </c>
      <c r="E261" s="577">
        <f t="shared" si="0"/>
        <v>-6.8805210239999983</v>
      </c>
      <c r="F261" s="566">
        <f t="shared" si="1"/>
        <v>1439.8127327999996</v>
      </c>
      <c r="G261" s="567">
        <f t="shared" si="2"/>
        <v>0.38176319999999997</v>
      </c>
      <c r="H261" s="354">
        <v>225</v>
      </c>
      <c r="I261" s="568"/>
      <c r="J261" s="569"/>
      <c r="K261" s="347">
        <f t="shared" si="3"/>
        <v>0.7</v>
      </c>
      <c r="L261" s="346">
        <v>15</v>
      </c>
      <c r="M261" s="346"/>
      <c r="N261" s="519" t="s">
        <v>372</v>
      </c>
    </row>
    <row r="262" spans="1:17" s="519" customFormat="1">
      <c r="A262" s="564" t="s">
        <v>276</v>
      </c>
      <c r="B262" s="355" t="s">
        <v>426</v>
      </c>
      <c r="C262" s="350">
        <v>850</v>
      </c>
      <c r="D262" s="349">
        <v>394.23999999999995</v>
      </c>
      <c r="E262" s="577">
        <f t="shared" si="0"/>
        <v>-10.924840656000001</v>
      </c>
      <c r="F262" s="566">
        <f t="shared" si="1"/>
        <v>2286.1240632000004</v>
      </c>
      <c r="G262" s="567">
        <f t="shared" si="2"/>
        <v>0.60616080000000006</v>
      </c>
      <c r="H262" s="354">
        <v>250</v>
      </c>
      <c r="I262" s="568"/>
      <c r="J262" s="569"/>
      <c r="K262" s="347">
        <f t="shared" si="3"/>
        <v>0.7</v>
      </c>
      <c r="L262" s="346">
        <v>15</v>
      </c>
      <c r="M262" s="346"/>
      <c r="N262" s="519" t="s">
        <v>372</v>
      </c>
    </row>
    <row r="263" spans="1:17" s="519" customFormat="1">
      <c r="A263" s="570" t="s">
        <v>355</v>
      </c>
      <c r="B263" s="357" t="s">
        <v>428</v>
      </c>
      <c r="C263" s="339">
        <v>1080</v>
      </c>
      <c r="D263" s="338">
        <v>506.88</v>
      </c>
      <c r="E263" s="578">
        <f t="shared" si="0"/>
        <v>-13.738030272</v>
      </c>
      <c r="F263" s="572">
        <f t="shared" si="1"/>
        <v>2874.8100383999995</v>
      </c>
      <c r="G263" s="573">
        <f t="shared" si="2"/>
        <v>0.76224959999999997</v>
      </c>
      <c r="H263" s="337">
        <v>250</v>
      </c>
      <c r="I263" s="574"/>
      <c r="J263" s="575"/>
      <c r="K263" s="336">
        <f t="shared" si="3"/>
        <v>0.7</v>
      </c>
      <c r="L263" s="335">
        <v>15</v>
      </c>
      <c r="M263" s="335"/>
      <c r="N263" s="519" t="s">
        <v>372</v>
      </c>
    </row>
    <row r="264" spans="1:17" s="590" customFormat="1">
      <c r="A264" s="579" t="s">
        <v>277</v>
      </c>
      <c r="B264" s="580" t="s">
        <v>417</v>
      </c>
      <c r="C264" s="581">
        <v>60</v>
      </c>
      <c r="D264" s="582">
        <v>15.87</v>
      </c>
      <c r="E264" s="583">
        <f t="shared" si="0"/>
        <v>-1.0578225780000001</v>
      </c>
      <c r="F264" s="584">
        <f>(C264-D264)/1000*$G$251*$G$243</f>
        <v>221.3591691</v>
      </c>
      <c r="G264" s="585">
        <f t="shared" si="2"/>
        <v>5.8692900000000006E-2</v>
      </c>
      <c r="H264" s="586">
        <f>J264-I264</f>
        <v>74.349999999999994</v>
      </c>
      <c r="I264" s="587">
        <v>2</v>
      </c>
      <c r="J264" s="587">
        <v>76.349999999999994</v>
      </c>
      <c r="K264" s="588">
        <f t="shared" si="3"/>
        <v>0.7</v>
      </c>
      <c r="L264" s="589">
        <f>ROUND(M264/$G$251,0)</f>
        <v>2</v>
      </c>
      <c r="M264" s="589">
        <v>8000</v>
      </c>
      <c r="N264" s="590" t="s">
        <v>416</v>
      </c>
    </row>
    <row r="265" spans="1:17" s="590" customFormat="1">
      <c r="A265" s="591" t="s">
        <v>278</v>
      </c>
      <c r="B265" s="592" t="s">
        <v>417</v>
      </c>
      <c r="C265" s="593">
        <v>75</v>
      </c>
      <c r="D265" s="594">
        <v>26.45</v>
      </c>
      <c r="E265" s="595">
        <f t="shared" si="0"/>
        <v>-1.16377263</v>
      </c>
      <c r="F265" s="596">
        <f>(C265-D265)/1000*$G$251*$G$243</f>
        <v>243.53019849999995</v>
      </c>
      <c r="G265" s="597">
        <f t="shared" si="2"/>
        <v>6.4571500000000004E-2</v>
      </c>
      <c r="H265" s="598">
        <f>J265-I265</f>
        <v>74.349999999999994</v>
      </c>
      <c r="I265" s="599">
        <v>2</v>
      </c>
      <c r="J265" s="599">
        <v>76.349999999999994</v>
      </c>
      <c r="K265" s="600">
        <f t="shared" si="3"/>
        <v>0.7</v>
      </c>
      <c r="L265" s="601">
        <f>ROUND(M265/$G$251,0)</f>
        <v>2</v>
      </c>
      <c r="M265" s="601">
        <v>8000</v>
      </c>
      <c r="N265" s="590" t="s">
        <v>416</v>
      </c>
    </row>
    <row r="266" spans="1:17" s="590" customFormat="1">
      <c r="A266" s="602" t="s">
        <v>279</v>
      </c>
      <c r="B266" s="603" t="s">
        <v>425</v>
      </c>
      <c r="C266" s="604">
        <v>150</v>
      </c>
      <c r="D266" s="605">
        <v>55.015999999999998</v>
      </c>
      <c r="E266" s="606">
        <f t="shared" si="0"/>
        <v>-2.2768234704000005</v>
      </c>
      <c r="F266" s="607">
        <f>(C266-D266)/1000*$G$251*$G$243</f>
        <v>476.44639288000002</v>
      </c>
      <c r="G266" s="608">
        <f t="shared" si="2"/>
        <v>0.12632872000000003</v>
      </c>
      <c r="H266" s="609">
        <f>J266-I266</f>
        <v>108.23</v>
      </c>
      <c r="I266" s="610">
        <v>4.3099999999999996</v>
      </c>
      <c r="J266" s="610">
        <v>112.54</v>
      </c>
      <c r="K266" s="611">
        <f t="shared" si="3"/>
        <v>0.7</v>
      </c>
      <c r="L266" s="612">
        <f>ROUND(M266/$G$251,0)</f>
        <v>2</v>
      </c>
      <c r="M266" s="612">
        <v>8000</v>
      </c>
      <c r="N266" s="590" t="s">
        <v>416</v>
      </c>
    </row>
    <row r="267" spans="1:17" s="519" customFormat="1">
      <c r="A267" s="555" t="s">
        <v>424</v>
      </c>
      <c r="B267" s="345" t="s">
        <v>423</v>
      </c>
      <c r="C267" s="344">
        <v>28</v>
      </c>
      <c r="D267" s="343">
        <v>22</v>
      </c>
      <c r="E267" s="558">
        <f t="shared" si="0"/>
        <v>-0.1438236</v>
      </c>
      <c r="F267" s="559">
        <f>((C267-D267)/1000)*$G$243*$G$251</f>
        <v>30.096419999999998</v>
      </c>
      <c r="G267" s="613">
        <f t="shared" si="2"/>
        <v>7.980000000000001E-3</v>
      </c>
      <c r="H267" s="342">
        <v>2</v>
      </c>
      <c r="I267" s="563"/>
      <c r="J267" s="563"/>
      <c r="K267" s="325">
        <f t="shared" si="3"/>
        <v>0.7</v>
      </c>
      <c r="L267" s="324">
        <f>ROUND(M267/$G$251,0)</f>
        <v>8</v>
      </c>
      <c r="M267" s="341">
        <v>36000</v>
      </c>
      <c r="N267" s="519" t="s">
        <v>372</v>
      </c>
    </row>
    <row r="268" spans="1:17" s="590" customFormat="1">
      <c r="A268" s="579" t="s">
        <v>281</v>
      </c>
      <c r="B268" s="614" t="s">
        <v>422</v>
      </c>
      <c r="C268" s="581">
        <v>126</v>
      </c>
      <c r="D268" s="582">
        <v>70</v>
      </c>
      <c r="E268" s="615">
        <f t="shared" si="0"/>
        <v>-1.3423536</v>
      </c>
      <c r="F268" s="584">
        <f t="shared" ref="F268:F275" si="4">(C268-D268)/1000*$G$251*$G$243</f>
        <v>280.89991999999995</v>
      </c>
      <c r="G268" s="616">
        <f t="shared" si="2"/>
        <v>7.4480000000000005E-2</v>
      </c>
      <c r="H268" s="586">
        <f>J268-I268</f>
        <v>72</v>
      </c>
      <c r="I268" s="587">
        <v>150</v>
      </c>
      <c r="J268" s="587">
        <v>222</v>
      </c>
      <c r="K268" s="588">
        <f t="shared" si="3"/>
        <v>0.7</v>
      </c>
      <c r="L268" s="589">
        <v>13</v>
      </c>
      <c r="M268" s="617"/>
      <c r="N268" s="590" t="s">
        <v>416</v>
      </c>
    </row>
    <row r="269" spans="1:17" s="590" customFormat="1">
      <c r="A269" s="591" t="s">
        <v>282</v>
      </c>
      <c r="B269" s="618" t="s">
        <v>421</v>
      </c>
      <c r="C269" s="593">
        <v>295</v>
      </c>
      <c r="D269" s="594">
        <v>189</v>
      </c>
      <c r="E269" s="619">
        <f t="shared" si="0"/>
        <v>-2.5408835999999999</v>
      </c>
      <c r="F269" s="596">
        <f t="shared" si="4"/>
        <v>531.70341999999994</v>
      </c>
      <c r="G269" s="620">
        <f t="shared" si="2"/>
        <v>0.14097999999999999</v>
      </c>
      <c r="H269" s="598">
        <f>J269-I269</f>
        <v>142.12</v>
      </c>
      <c r="I269" s="599">
        <v>147.88</v>
      </c>
      <c r="J269" s="599">
        <v>290</v>
      </c>
      <c r="K269" s="600">
        <f t="shared" si="3"/>
        <v>0.7</v>
      </c>
      <c r="L269" s="601">
        <v>13</v>
      </c>
      <c r="M269" s="621"/>
      <c r="N269" s="590" t="s">
        <v>416</v>
      </c>
    </row>
    <row r="270" spans="1:17" s="590" customFormat="1">
      <c r="A270" s="591" t="s">
        <v>283</v>
      </c>
      <c r="B270" s="618" t="s">
        <v>420</v>
      </c>
      <c r="C270" s="593">
        <v>456</v>
      </c>
      <c r="D270" s="594">
        <v>349</v>
      </c>
      <c r="E270" s="619">
        <f t="shared" si="0"/>
        <v>-2.5648542000000001</v>
      </c>
      <c r="F270" s="596">
        <f t="shared" si="4"/>
        <v>536.71948999999995</v>
      </c>
      <c r="G270" s="620">
        <f t="shared" si="2"/>
        <v>0.14230999999999999</v>
      </c>
      <c r="H270" s="598">
        <f>J270-I270</f>
        <v>117</v>
      </c>
      <c r="I270" s="599">
        <v>175</v>
      </c>
      <c r="J270" s="599">
        <v>292</v>
      </c>
      <c r="K270" s="600">
        <f t="shared" si="3"/>
        <v>0.7</v>
      </c>
      <c r="L270" s="601">
        <v>13</v>
      </c>
      <c r="M270" s="621"/>
      <c r="N270" s="590" t="s">
        <v>416</v>
      </c>
      <c r="Q270" s="622"/>
    </row>
    <row r="271" spans="1:17" s="590" customFormat="1">
      <c r="A271" s="602" t="s">
        <v>561</v>
      </c>
      <c r="B271" s="623" t="s">
        <v>425</v>
      </c>
      <c r="C271" s="604">
        <v>100</v>
      </c>
      <c r="D271" s="605">
        <v>20</v>
      </c>
      <c r="E271" s="624">
        <f t="shared" si="0"/>
        <v>-1.9176480000000002</v>
      </c>
      <c r="F271" s="607">
        <f t="shared" si="4"/>
        <v>401.28559999999999</v>
      </c>
      <c r="G271" s="625">
        <f t="shared" si="2"/>
        <v>0.10640000000000001</v>
      </c>
      <c r="H271" s="609">
        <f>J271-I271</f>
        <v>52.69</v>
      </c>
      <c r="I271" s="610">
        <v>4.3099999999999996</v>
      </c>
      <c r="J271" s="610">
        <v>57</v>
      </c>
      <c r="K271" s="611">
        <f t="shared" si="3"/>
        <v>0.7</v>
      </c>
      <c r="L271" s="612">
        <v>13</v>
      </c>
      <c r="M271" s="626"/>
      <c r="N271" s="590" t="s">
        <v>416</v>
      </c>
      <c r="Q271" s="622"/>
    </row>
    <row r="272" spans="1:17" s="590" customFormat="1">
      <c r="A272" s="579" t="s">
        <v>284</v>
      </c>
      <c r="B272" s="614" t="s">
        <v>419</v>
      </c>
      <c r="C272" s="581">
        <v>210</v>
      </c>
      <c r="D272" s="582">
        <v>189</v>
      </c>
      <c r="E272" s="615">
        <f t="shared" si="0"/>
        <v>-0.50338260000000001</v>
      </c>
      <c r="F272" s="584">
        <f t="shared" si="4"/>
        <v>105.33747</v>
      </c>
      <c r="G272" s="616">
        <f t="shared" si="2"/>
        <v>2.7930000000000003E-2</v>
      </c>
      <c r="H272" s="586">
        <f>J272-I272</f>
        <v>69.180000000000007</v>
      </c>
      <c r="I272" s="587">
        <v>91.82</v>
      </c>
      <c r="J272" s="587">
        <v>161</v>
      </c>
      <c r="K272" s="588">
        <f t="shared" si="3"/>
        <v>0.7</v>
      </c>
      <c r="L272" s="589">
        <v>15</v>
      </c>
      <c r="M272" s="617"/>
      <c r="N272" s="590" t="s">
        <v>416</v>
      </c>
      <c r="Q272" s="622"/>
    </row>
    <row r="273" spans="1:17" s="590" customFormat="1">
      <c r="A273" s="591" t="s">
        <v>285</v>
      </c>
      <c r="B273" s="618" t="s">
        <v>419</v>
      </c>
      <c r="C273" s="593">
        <v>295</v>
      </c>
      <c r="D273" s="594">
        <v>232</v>
      </c>
      <c r="E273" s="619">
        <f t="shared" si="0"/>
        <v>-1.5101478000000002</v>
      </c>
      <c r="F273" s="596">
        <f t="shared" si="4"/>
        <v>316.01240999999993</v>
      </c>
      <c r="G273" s="620">
        <f t="shared" si="2"/>
        <v>8.3790000000000003E-2</v>
      </c>
      <c r="H273" s="598">
        <f t="shared" ref="H273:H275" si="5">J273-I273</f>
        <v>132.12</v>
      </c>
      <c r="I273" s="599">
        <v>147.88</v>
      </c>
      <c r="J273" s="599">
        <v>280</v>
      </c>
      <c r="K273" s="600">
        <f t="shared" si="3"/>
        <v>0.7</v>
      </c>
      <c r="L273" s="601">
        <v>15</v>
      </c>
      <c r="M273" s="621"/>
      <c r="N273" s="590" t="s">
        <v>416</v>
      </c>
      <c r="Q273" s="622"/>
    </row>
    <row r="274" spans="1:17" s="590" customFormat="1">
      <c r="A274" s="591" t="s">
        <v>286</v>
      </c>
      <c r="B274" s="618" t="s">
        <v>419</v>
      </c>
      <c r="C274" s="593">
        <v>456</v>
      </c>
      <c r="D274" s="594">
        <v>370</v>
      </c>
      <c r="E274" s="619">
        <f t="shared" si="0"/>
        <v>-2.0614716</v>
      </c>
      <c r="F274" s="596">
        <f t="shared" si="4"/>
        <v>431.3820199999999</v>
      </c>
      <c r="G274" s="620">
        <f t="shared" si="2"/>
        <v>0.11438</v>
      </c>
      <c r="H274" s="598">
        <f t="shared" si="5"/>
        <v>108</v>
      </c>
      <c r="I274" s="599">
        <v>175</v>
      </c>
      <c r="J274" s="599">
        <v>283</v>
      </c>
      <c r="K274" s="600">
        <f t="shared" si="3"/>
        <v>0.7</v>
      </c>
      <c r="L274" s="601">
        <v>15</v>
      </c>
      <c r="M274" s="621"/>
      <c r="N274" s="590" t="s">
        <v>416</v>
      </c>
      <c r="Q274" s="622"/>
    </row>
    <row r="275" spans="1:17" s="590" customFormat="1">
      <c r="A275" s="602" t="s">
        <v>287</v>
      </c>
      <c r="B275" s="623" t="s">
        <v>419</v>
      </c>
      <c r="C275" s="604">
        <v>1080</v>
      </c>
      <c r="D275" s="605">
        <v>812</v>
      </c>
      <c r="E275" s="624">
        <f t="shared" si="0"/>
        <v>-6.4241208000000007</v>
      </c>
      <c r="F275" s="607">
        <f t="shared" si="4"/>
        <v>1344.3067599999999</v>
      </c>
      <c r="G275" s="625">
        <f t="shared" si="2"/>
        <v>0.35644000000000003</v>
      </c>
      <c r="H275" s="609">
        <f t="shared" si="5"/>
        <v>10</v>
      </c>
      <c r="I275" s="610">
        <v>270</v>
      </c>
      <c r="J275" s="610">
        <v>280</v>
      </c>
      <c r="K275" s="611">
        <f t="shared" si="3"/>
        <v>0.7</v>
      </c>
      <c r="L275" s="612">
        <v>15</v>
      </c>
      <c r="M275" s="626"/>
      <c r="N275" s="590" t="s">
        <v>416</v>
      </c>
      <c r="Q275" s="622"/>
    </row>
    <row r="276" spans="1:17" s="519" customFormat="1">
      <c r="A276" s="555" t="s">
        <v>288</v>
      </c>
      <c r="B276" s="352" t="s">
        <v>417</v>
      </c>
      <c r="C276" s="344">
        <v>20</v>
      </c>
      <c r="D276" s="343">
        <v>4</v>
      </c>
      <c r="E276" s="576">
        <f t="shared" si="0"/>
        <v>-0.38352960000000003</v>
      </c>
      <c r="F276" s="559">
        <f t="shared" ref="F276:F299" si="6">((C276-D276)/1000)*$G$243*$G$251</f>
        <v>80.25712</v>
      </c>
      <c r="G276" s="560">
        <f t="shared" si="2"/>
        <v>2.128E-2</v>
      </c>
      <c r="H276" s="342">
        <v>9</v>
      </c>
      <c r="I276" s="562"/>
      <c r="J276" s="563"/>
      <c r="K276" s="325">
        <f t="shared" si="3"/>
        <v>0.7</v>
      </c>
      <c r="L276" s="341">
        <v>8</v>
      </c>
      <c r="M276" s="341"/>
      <c r="N276" s="519" t="s">
        <v>372</v>
      </c>
      <c r="Q276" s="361"/>
    </row>
    <row r="277" spans="1:17" s="519" customFormat="1">
      <c r="A277" s="564" t="s">
        <v>418</v>
      </c>
      <c r="B277" s="351" t="s">
        <v>417</v>
      </c>
      <c r="C277" s="350">
        <v>30</v>
      </c>
      <c r="D277" s="349">
        <v>6</v>
      </c>
      <c r="E277" s="577">
        <f>(C277-D277)/100*$G$251*$G$245</f>
        <v>-0.57529439999999998</v>
      </c>
      <c r="F277" s="566">
        <f>((C277-D277)/1000)*$G$243*$G$251</f>
        <v>120.38567999999999</v>
      </c>
      <c r="G277" s="567">
        <f>(C277-D277)/1000*$G$244</f>
        <v>3.1920000000000004E-2</v>
      </c>
      <c r="H277" s="348">
        <v>9</v>
      </c>
      <c r="I277" s="568"/>
      <c r="J277" s="569"/>
      <c r="K277" s="347">
        <f t="shared" si="3"/>
        <v>0.7</v>
      </c>
      <c r="L277" s="346">
        <v>8</v>
      </c>
      <c r="M277" s="346"/>
      <c r="N277" s="519" t="s">
        <v>372</v>
      </c>
      <c r="Q277" s="361"/>
    </row>
    <row r="278" spans="1:17" s="519" customFormat="1">
      <c r="A278" s="564" t="s">
        <v>562</v>
      </c>
      <c r="B278" s="351" t="s">
        <v>417</v>
      </c>
      <c r="C278" s="350">
        <v>55</v>
      </c>
      <c r="D278" s="349">
        <v>17</v>
      </c>
      <c r="E278" s="577">
        <f t="shared" si="0"/>
        <v>-0.91088279999999999</v>
      </c>
      <c r="F278" s="566">
        <f>((C278-D278)/1000)*$G$243*$G$251</f>
        <v>190.61065999999997</v>
      </c>
      <c r="G278" s="567">
        <f t="shared" si="2"/>
        <v>5.0540000000000002E-2</v>
      </c>
      <c r="H278" s="348">
        <v>16</v>
      </c>
      <c r="I278" s="568"/>
      <c r="J278" s="569"/>
      <c r="K278" s="347">
        <f t="shared" si="3"/>
        <v>0.7</v>
      </c>
      <c r="L278" s="346">
        <v>8</v>
      </c>
      <c r="M278" s="346"/>
      <c r="N278" s="519" t="s">
        <v>372</v>
      </c>
      <c r="Q278" s="361"/>
    </row>
    <row r="279" spans="1:17" s="519" customFormat="1">
      <c r="A279" s="570" t="s">
        <v>563</v>
      </c>
      <c r="B279" s="627" t="s">
        <v>417</v>
      </c>
      <c r="C279" s="339">
        <v>70</v>
      </c>
      <c r="D279" s="338">
        <v>22</v>
      </c>
      <c r="E279" s="578">
        <f>(C279-D279)/100*$G$251*$G$245</f>
        <v>-1.1505888</v>
      </c>
      <c r="F279" s="572">
        <f>((C279-D279)/1000)*$G$243*$G$251</f>
        <v>240.77135999999999</v>
      </c>
      <c r="G279" s="573">
        <f>(C279-D279)/1000*$G$244</f>
        <v>6.3840000000000008E-2</v>
      </c>
      <c r="H279" s="353">
        <v>22</v>
      </c>
      <c r="I279" s="574"/>
      <c r="J279" s="575"/>
      <c r="K279" s="336">
        <f t="shared" si="3"/>
        <v>0.7</v>
      </c>
      <c r="L279" s="335">
        <v>8</v>
      </c>
      <c r="M279" s="335"/>
      <c r="N279" s="519" t="s">
        <v>372</v>
      </c>
      <c r="Q279" s="361"/>
    </row>
    <row r="280" spans="1:17" s="519" customFormat="1">
      <c r="A280" s="564" t="s">
        <v>564</v>
      </c>
      <c r="B280" s="351" t="s">
        <v>425</v>
      </c>
      <c r="C280" s="350">
        <v>65</v>
      </c>
      <c r="D280" s="349">
        <v>12</v>
      </c>
      <c r="E280" s="577">
        <f>(C280-D280)/100*$G$251*$G$245</f>
        <v>-1.2704418</v>
      </c>
      <c r="F280" s="566">
        <f t="shared" si="6"/>
        <v>265.85170999999997</v>
      </c>
      <c r="G280" s="567">
        <f t="shared" si="2"/>
        <v>7.0489999999999997E-2</v>
      </c>
      <c r="H280" s="348">
        <v>27</v>
      </c>
      <c r="I280" s="568"/>
      <c r="J280" s="569"/>
      <c r="K280" s="347">
        <f t="shared" si="3"/>
        <v>0.7</v>
      </c>
      <c r="L280" s="346">
        <v>15</v>
      </c>
      <c r="M280" s="346"/>
      <c r="N280" s="519" t="s">
        <v>372</v>
      </c>
      <c r="Q280" s="361"/>
    </row>
    <row r="281" spans="1:17" s="519" customFormat="1">
      <c r="A281" s="628" t="s">
        <v>565</v>
      </c>
      <c r="B281" s="345" t="s">
        <v>415</v>
      </c>
      <c r="C281" s="557">
        <v>59</v>
      </c>
      <c r="D281" s="557">
        <v>49</v>
      </c>
      <c r="E281" s="558">
        <f>(C281-D281)/100*$G$251*$G$245</f>
        <v>-0.23970600000000003</v>
      </c>
      <c r="F281" s="559">
        <f>((C281-D281)/1000)*$G$243*$G$251</f>
        <v>50.160699999999999</v>
      </c>
      <c r="G281" s="613">
        <f t="shared" si="2"/>
        <v>1.3300000000000001E-2</v>
      </c>
      <c r="H281" s="562">
        <v>18</v>
      </c>
      <c r="I281" s="562"/>
      <c r="J281" s="563"/>
      <c r="K281" s="629">
        <f t="shared" si="3"/>
        <v>0.7</v>
      </c>
      <c r="L281" s="630">
        <v>15</v>
      </c>
      <c r="M281" s="323"/>
      <c r="N281" s="631" t="s">
        <v>372</v>
      </c>
      <c r="Q281" s="361"/>
    </row>
    <row r="282" spans="1:17" s="519" customFormat="1">
      <c r="A282" s="632" t="s">
        <v>566</v>
      </c>
      <c r="B282" s="340" t="s">
        <v>415</v>
      </c>
      <c r="C282" s="356">
        <v>113</v>
      </c>
      <c r="D282" s="356">
        <v>94</v>
      </c>
      <c r="E282" s="571">
        <f t="shared" si="0"/>
        <v>-0.4554414</v>
      </c>
      <c r="F282" s="572">
        <f>((C282-D282)/1000)*$G$243*$G$251</f>
        <v>95.305329999999984</v>
      </c>
      <c r="G282" s="633">
        <f t="shared" si="2"/>
        <v>2.5270000000000001E-2</v>
      </c>
      <c r="H282" s="574">
        <v>23</v>
      </c>
      <c r="I282" s="574"/>
      <c r="J282" s="575"/>
      <c r="K282" s="634">
        <f t="shared" si="3"/>
        <v>0.7</v>
      </c>
      <c r="L282" s="635">
        <v>15</v>
      </c>
      <c r="M282" s="317"/>
      <c r="N282" s="631" t="s">
        <v>372</v>
      </c>
      <c r="Q282" s="361"/>
    </row>
    <row r="283" spans="1:17" s="519" customFormat="1">
      <c r="A283" s="564" t="s">
        <v>567</v>
      </c>
      <c r="B283" s="351" t="s">
        <v>415</v>
      </c>
      <c r="C283" s="350">
        <v>61</v>
      </c>
      <c r="D283" s="349">
        <v>44.9</v>
      </c>
      <c r="E283" s="577">
        <f t="shared" si="0"/>
        <v>-0.38592665999999998</v>
      </c>
      <c r="F283" s="566">
        <f t="shared" si="6"/>
        <v>80.758726999999993</v>
      </c>
      <c r="G283" s="567">
        <f t="shared" si="2"/>
        <v>2.1413000000000001E-2</v>
      </c>
      <c r="H283" s="636">
        <v>48</v>
      </c>
      <c r="I283" s="568"/>
      <c r="J283" s="569"/>
      <c r="K283" s="637">
        <f t="shared" si="3"/>
        <v>0.7</v>
      </c>
      <c r="L283" s="346">
        <v>15</v>
      </c>
      <c r="M283" s="329"/>
      <c r="N283" s="631" t="s">
        <v>372</v>
      </c>
    </row>
    <row r="284" spans="1:17" s="519" customFormat="1">
      <c r="A284" s="564" t="s">
        <v>568</v>
      </c>
      <c r="B284" s="351" t="s">
        <v>415</v>
      </c>
      <c r="C284" s="350">
        <v>88</v>
      </c>
      <c r="D284" s="349">
        <v>53.6</v>
      </c>
      <c r="E284" s="577">
        <f>(C284-D284)/100*$G$251*$G$245</f>
        <v>-0.82458863999999998</v>
      </c>
      <c r="F284" s="566">
        <f t="shared" si="6"/>
        <v>172.552808</v>
      </c>
      <c r="G284" s="567">
        <f t="shared" si="2"/>
        <v>4.5752000000000001E-2</v>
      </c>
      <c r="H284" s="636">
        <v>99</v>
      </c>
      <c r="I284" s="568"/>
      <c r="J284" s="569"/>
      <c r="K284" s="637">
        <f t="shared" si="3"/>
        <v>0.7</v>
      </c>
      <c r="L284" s="346">
        <v>15</v>
      </c>
      <c r="M284" s="329"/>
      <c r="N284" s="631" t="s">
        <v>372</v>
      </c>
    </row>
    <row r="285" spans="1:17" s="519" customFormat="1">
      <c r="A285" s="564" t="s">
        <v>569</v>
      </c>
      <c r="B285" s="351" t="s">
        <v>415</v>
      </c>
      <c r="C285" s="339">
        <v>59</v>
      </c>
      <c r="D285" s="338">
        <v>32.200000000000003</v>
      </c>
      <c r="E285" s="577">
        <f t="shared" si="0"/>
        <v>-0.64241207999999994</v>
      </c>
      <c r="F285" s="566">
        <f t="shared" si="6"/>
        <v>134.43067599999998</v>
      </c>
      <c r="G285" s="567">
        <f t="shared" si="2"/>
        <v>3.5643999999999995E-2</v>
      </c>
      <c r="H285" s="638">
        <v>76</v>
      </c>
      <c r="I285" s="574"/>
      <c r="J285" s="575"/>
      <c r="K285" s="634">
        <f t="shared" si="3"/>
        <v>0.7</v>
      </c>
      <c r="L285" s="335">
        <v>15</v>
      </c>
      <c r="M285" s="317"/>
      <c r="N285" s="631" t="s">
        <v>372</v>
      </c>
    </row>
    <row r="286" spans="1:17" s="631" customFormat="1">
      <c r="A286" s="639" t="s">
        <v>570</v>
      </c>
      <c r="B286" s="640" t="s">
        <v>415</v>
      </c>
      <c r="C286" s="641">
        <v>61</v>
      </c>
      <c r="D286" s="642">
        <v>44.9</v>
      </c>
      <c r="E286" s="643">
        <f t="shared" si="0"/>
        <v>-0.38592665999999998</v>
      </c>
      <c r="F286" s="644">
        <f t="shared" si="6"/>
        <v>80.758726999999993</v>
      </c>
      <c r="G286" s="645">
        <f t="shared" si="2"/>
        <v>2.1413000000000001E-2</v>
      </c>
      <c r="H286" s="646">
        <v>48</v>
      </c>
      <c r="I286" s="647"/>
      <c r="J286" s="648"/>
      <c r="K286" s="649">
        <f t="shared" si="3"/>
        <v>0.7</v>
      </c>
      <c r="L286" s="650">
        <v>15</v>
      </c>
      <c r="M286" s="651"/>
      <c r="N286" s="631" t="s">
        <v>372</v>
      </c>
    </row>
    <row r="287" spans="1:17" s="631" customFormat="1">
      <c r="A287" s="652" t="s">
        <v>571</v>
      </c>
      <c r="B287" s="653" t="s">
        <v>415</v>
      </c>
      <c r="C287" s="654">
        <v>88</v>
      </c>
      <c r="D287" s="655">
        <v>53.6</v>
      </c>
      <c r="E287" s="656">
        <f t="shared" si="0"/>
        <v>-0.82458863999999998</v>
      </c>
      <c r="F287" s="657">
        <f t="shared" si="6"/>
        <v>172.552808</v>
      </c>
      <c r="G287" s="658">
        <f t="shared" si="2"/>
        <v>4.5752000000000001E-2</v>
      </c>
      <c r="H287" s="659">
        <v>99</v>
      </c>
      <c r="I287" s="660"/>
      <c r="J287" s="661"/>
      <c r="K287" s="662">
        <f t="shared" si="3"/>
        <v>0.7</v>
      </c>
      <c r="L287" s="663">
        <v>15</v>
      </c>
      <c r="M287" s="664"/>
      <c r="N287" s="631" t="s">
        <v>372</v>
      </c>
    </row>
    <row r="288" spans="1:17" s="631" customFormat="1">
      <c r="A288" s="652" t="s">
        <v>572</v>
      </c>
      <c r="B288" s="653" t="s">
        <v>415</v>
      </c>
      <c r="C288" s="665">
        <v>59</v>
      </c>
      <c r="D288" s="666">
        <v>32.200000000000003</v>
      </c>
      <c r="E288" s="656">
        <f>(C288-D288)/100*$G$251*$G$245</f>
        <v>-0.64241207999999994</v>
      </c>
      <c r="F288" s="657">
        <f t="shared" si="6"/>
        <v>134.43067599999998</v>
      </c>
      <c r="G288" s="658">
        <f t="shared" si="2"/>
        <v>3.5643999999999995E-2</v>
      </c>
      <c r="H288" s="667">
        <v>76</v>
      </c>
      <c r="I288" s="668"/>
      <c r="J288" s="669"/>
      <c r="K288" s="670">
        <f t="shared" si="3"/>
        <v>0.7</v>
      </c>
      <c r="L288" s="671">
        <v>15</v>
      </c>
      <c r="M288" s="672"/>
      <c r="N288" s="631" t="s">
        <v>372</v>
      </c>
    </row>
    <row r="289" spans="1:17" s="519" customFormat="1">
      <c r="A289" s="673" t="s">
        <v>291</v>
      </c>
      <c r="B289" s="328" t="s">
        <v>414</v>
      </c>
      <c r="C289" s="332">
        <v>124.3</v>
      </c>
      <c r="D289" s="331">
        <v>18.600000000000001</v>
      </c>
      <c r="E289" s="576">
        <f t="shared" si="0"/>
        <v>-2.5336924199999999</v>
      </c>
      <c r="F289" s="559">
        <f>((C289-D289)/1000)*$G$243*$G$251</f>
        <v>530.19859899999994</v>
      </c>
      <c r="G289" s="560">
        <f t="shared" si="2"/>
        <v>0.14058099999999998</v>
      </c>
      <c r="H289" s="674">
        <v>190</v>
      </c>
      <c r="I289" s="675"/>
      <c r="J289" s="676"/>
      <c r="K289" s="677">
        <f>$H$249</f>
        <v>1</v>
      </c>
      <c r="L289" s="324">
        <f>ROUND(M289/$G$249,0)</f>
        <v>8</v>
      </c>
      <c r="M289" s="331">
        <v>70000</v>
      </c>
      <c r="N289" s="631" t="s">
        <v>372</v>
      </c>
      <c r="Q289" s="361"/>
    </row>
    <row r="290" spans="1:17" s="519" customFormat="1">
      <c r="A290" s="678" t="s">
        <v>292</v>
      </c>
      <c r="B290" s="333" t="s">
        <v>413</v>
      </c>
      <c r="C290" s="332">
        <v>182.9</v>
      </c>
      <c r="D290" s="331">
        <v>52.5</v>
      </c>
      <c r="E290" s="577">
        <f t="shared" si="0"/>
        <v>-3.1257662399999999</v>
      </c>
      <c r="F290" s="566">
        <f>((C290-D290)/1000)*$G$243*$G$251</f>
        <v>654.09552800000006</v>
      </c>
      <c r="G290" s="567">
        <f t="shared" si="2"/>
        <v>0.17343200000000003</v>
      </c>
      <c r="H290" s="679">
        <v>287</v>
      </c>
      <c r="I290" s="680"/>
      <c r="J290" s="681"/>
      <c r="K290" s="682">
        <f>$H$249</f>
        <v>1</v>
      </c>
      <c r="L290" s="264">
        <f>ROUND(M290/$G$249,0)</f>
        <v>8</v>
      </c>
      <c r="M290" s="331">
        <v>70000</v>
      </c>
      <c r="N290" s="631" t="s">
        <v>372</v>
      </c>
    </row>
    <row r="291" spans="1:17" s="519" customFormat="1">
      <c r="A291" s="683" t="s">
        <v>573</v>
      </c>
      <c r="B291" s="322" t="s">
        <v>574</v>
      </c>
      <c r="C291" s="332">
        <v>361.4</v>
      </c>
      <c r="D291" s="331">
        <v>116.8</v>
      </c>
      <c r="E291" s="577">
        <f t="shared" si="0"/>
        <v>-5.8632087599999991</v>
      </c>
      <c r="F291" s="566">
        <f t="shared" si="6"/>
        <v>1226.9307219999996</v>
      </c>
      <c r="G291" s="567">
        <f>(C291-D291)/1000*$G$244</f>
        <v>0.32531799999999994</v>
      </c>
      <c r="H291" s="684">
        <v>391</v>
      </c>
      <c r="I291" s="685"/>
      <c r="J291" s="686"/>
      <c r="K291" s="687">
        <f>$H$249</f>
        <v>1</v>
      </c>
      <c r="L291" s="277">
        <f>ROUND(M291/$G$249,0)</f>
        <v>8</v>
      </c>
      <c r="M291" s="331">
        <v>70000</v>
      </c>
      <c r="N291" s="631" t="s">
        <v>372</v>
      </c>
    </row>
    <row r="292" spans="1:17" s="519" customFormat="1">
      <c r="A292" s="673" t="s">
        <v>575</v>
      </c>
      <c r="B292" s="328" t="s">
        <v>576</v>
      </c>
      <c r="C292" s="327">
        <v>51.7</v>
      </c>
      <c r="D292" s="326">
        <v>8.6999999999999993</v>
      </c>
      <c r="E292" s="576"/>
      <c r="F292" s="559">
        <f>((C292-D292)/1000)*$G$251</f>
        <v>190.87699999999998</v>
      </c>
      <c r="G292" s="613">
        <f t="shared" ref="G292:G297" si="7">(C292-D292)/1000</f>
        <v>4.2999999999999997E-2</v>
      </c>
      <c r="H292" s="679">
        <v>35</v>
      </c>
      <c r="I292" s="680"/>
      <c r="J292" s="681"/>
      <c r="K292" s="682">
        <f t="shared" ref="K292:K301" si="8">$H$250</f>
        <v>0</v>
      </c>
      <c r="L292" s="264">
        <f t="shared" ref="L292:L297" si="9">ROUND(M292/$G$250,0)</f>
        <v>14</v>
      </c>
      <c r="M292" s="326">
        <v>70000</v>
      </c>
      <c r="N292" s="631"/>
    </row>
    <row r="293" spans="1:17" s="519" customFormat="1">
      <c r="A293" s="688" t="s">
        <v>577</v>
      </c>
      <c r="B293" s="333" t="s">
        <v>414</v>
      </c>
      <c r="C293" s="332">
        <v>124</v>
      </c>
      <c r="D293" s="331">
        <v>26</v>
      </c>
      <c r="E293" s="577"/>
      <c r="F293" s="566">
        <f>((C293-D293)/1000)*$G$251</f>
        <v>435.02199999999999</v>
      </c>
      <c r="G293" s="689">
        <f t="shared" si="7"/>
        <v>9.8000000000000004E-2</v>
      </c>
      <c r="H293" s="679">
        <v>59</v>
      </c>
      <c r="I293" s="680"/>
      <c r="J293" s="681"/>
      <c r="K293" s="682">
        <f t="shared" si="8"/>
        <v>0</v>
      </c>
      <c r="L293" s="264">
        <f t="shared" si="9"/>
        <v>14</v>
      </c>
      <c r="M293" s="331">
        <v>70000</v>
      </c>
      <c r="N293" s="631" t="s">
        <v>372</v>
      </c>
    </row>
    <row r="294" spans="1:17" s="519" customFormat="1">
      <c r="A294" s="690" t="s">
        <v>578</v>
      </c>
      <c r="B294" s="322" t="s">
        <v>579</v>
      </c>
      <c r="C294" s="321">
        <v>169</v>
      </c>
      <c r="D294" s="320">
        <v>39</v>
      </c>
      <c r="E294" s="577"/>
      <c r="F294" s="566">
        <f>((C294-D294)/1000)*$G$251</f>
        <v>577.07000000000005</v>
      </c>
      <c r="G294" s="689">
        <f t="shared" si="7"/>
        <v>0.13</v>
      </c>
      <c r="H294" s="679">
        <v>85</v>
      </c>
      <c r="I294" s="680"/>
      <c r="J294" s="681"/>
      <c r="K294" s="682">
        <f t="shared" si="8"/>
        <v>0</v>
      </c>
      <c r="L294" s="264">
        <f t="shared" si="9"/>
        <v>14</v>
      </c>
      <c r="M294" s="331">
        <v>70000</v>
      </c>
      <c r="N294" s="631"/>
    </row>
    <row r="295" spans="1:17" s="519" customFormat="1">
      <c r="A295" s="678" t="s">
        <v>580</v>
      </c>
      <c r="B295" s="333" t="s">
        <v>414</v>
      </c>
      <c r="C295" s="332">
        <v>124.3</v>
      </c>
      <c r="D295" s="331">
        <v>18.600000000000001</v>
      </c>
      <c r="E295" s="558"/>
      <c r="F295" s="559">
        <f>((C295-D295)/1000)*$G$250</f>
        <v>518.24709999999993</v>
      </c>
      <c r="G295" s="560">
        <f t="shared" si="7"/>
        <v>0.10569999999999999</v>
      </c>
      <c r="H295" s="674">
        <v>190</v>
      </c>
      <c r="I295" s="675"/>
      <c r="J295" s="676"/>
      <c r="K295" s="677">
        <f t="shared" si="8"/>
        <v>0</v>
      </c>
      <c r="L295" s="324">
        <f t="shared" si="9"/>
        <v>14</v>
      </c>
      <c r="M295" s="326">
        <v>70000</v>
      </c>
      <c r="N295" s="631" t="s">
        <v>372</v>
      </c>
    </row>
    <row r="296" spans="1:17" s="519" customFormat="1">
      <c r="A296" s="678" t="s">
        <v>581</v>
      </c>
      <c r="B296" s="333" t="s">
        <v>413</v>
      </c>
      <c r="C296" s="332">
        <v>182.9</v>
      </c>
      <c r="D296" s="331">
        <v>52.5</v>
      </c>
      <c r="E296" s="565"/>
      <c r="F296" s="566">
        <f>((C296-D296)/1000)*$G$250</f>
        <v>639.35120000000006</v>
      </c>
      <c r="G296" s="567">
        <f t="shared" si="7"/>
        <v>0.13040000000000002</v>
      </c>
      <c r="H296" s="679">
        <v>287</v>
      </c>
      <c r="I296" s="680"/>
      <c r="J296" s="681"/>
      <c r="K296" s="682">
        <f t="shared" si="8"/>
        <v>0</v>
      </c>
      <c r="L296" s="264">
        <f t="shared" si="9"/>
        <v>14</v>
      </c>
      <c r="M296" s="331">
        <v>70000</v>
      </c>
      <c r="N296" s="631" t="s">
        <v>372</v>
      </c>
    </row>
    <row r="297" spans="1:17" s="519" customFormat="1">
      <c r="A297" s="683" t="s">
        <v>582</v>
      </c>
      <c r="B297" s="322" t="s">
        <v>574</v>
      </c>
      <c r="C297" s="321">
        <v>361.4</v>
      </c>
      <c r="D297" s="320">
        <v>116.8</v>
      </c>
      <c r="E297" s="571"/>
      <c r="F297" s="572">
        <f>((C297-D297)/1000)*$G$250</f>
        <v>1199.2737999999997</v>
      </c>
      <c r="G297" s="573">
        <f t="shared" si="7"/>
        <v>0.24459999999999996</v>
      </c>
      <c r="H297" s="684">
        <v>391</v>
      </c>
      <c r="I297" s="685"/>
      <c r="J297" s="686"/>
      <c r="K297" s="687">
        <f t="shared" si="8"/>
        <v>0</v>
      </c>
      <c r="L297" s="277">
        <f t="shared" si="9"/>
        <v>14</v>
      </c>
      <c r="M297" s="320">
        <v>70000</v>
      </c>
      <c r="N297" s="631" t="s">
        <v>372</v>
      </c>
    </row>
    <row r="298" spans="1:17" s="590" customFormat="1">
      <c r="A298" s="691" t="s">
        <v>294</v>
      </c>
      <c r="B298" s="692"/>
      <c r="C298" s="693">
        <v>58.572800000000001</v>
      </c>
      <c r="D298" s="694">
        <v>28.16</v>
      </c>
      <c r="E298" s="583">
        <f t="shared" si="0"/>
        <v>-0.72901306368000007</v>
      </c>
      <c r="F298" s="584">
        <f t="shared" si="6"/>
        <v>152.55273369599999</v>
      </c>
      <c r="G298" s="695">
        <f t="shared" si="2"/>
        <v>4.0449024E-2</v>
      </c>
      <c r="H298" s="696">
        <v>12</v>
      </c>
      <c r="I298" s="697"/>
      <c r="J298" s="698"/>
      <c r="K298" s="699">
        <f t="shared" si="8"/>
        <v>0</v>
      </c>
      <c r="L298" s="582">
        <v>15</v>
      </c>
      <c r="M298" s="694"/>
      <c r="N298" s="590" t="s">
        <v>412</v>
      </c>
    </row>
    <row r="299" spans="1:17" s="590" customFormat="1">
      <c r="A299" s="700" t="s">
        <v>295</v>
      </c>
      <c r="B299" s="701"/>
      <c r="C299" s="702">
        <v>117.1456</v>
      </c>
      <c r="D299" s="703">
        <v>56.32</v>
      </c>
      <c r="E299" s="606">
        <f t="shared" si="0"/>
        <v>-1.4580261273600001</v>
      </c>
      <c r="F299" s="607">
        <f t="shared" si="6"/>
        <v>305.10546739199998</v>
      </c>
      <c r="G299" s="704">
        <f t="shared" si="2"/>
        <v>8.0898048E-2</v>
      </c>
      <c r="H299" s="705">
        <v>24</v>
      </c>
      <c r="I299" s="706"/>
      <c r="J299" s="707"/>
      <c r="K299" s="708">
        <f t="shared" si="8"/>
        <v>0</v>
      </c>
      <c r="L299" s="605">
        <v>15</v>
      </c>
      <c r="M299" s="703"/>
      <c r="N299" s="590" t="s">
        <v>412</v>
      </c>
    </row>
    <row r="300" spans="1:17" s="590" customFormat="1">
      <c r="A300" s="579" t="s">
        <v>583</v>
      </c>
      <c r="B300" s="709" t="s">
        <v>419</v>
      </c>
      <c r="C300" s="710">
        <v>210</v>
      </c>
      <c r="D300" s="711">
        <v>45</v>
      </c>
      <c r="E300" s="615">
        <v>0</v>
      </c>
      <c r="F300" s="584">
        <f>((C300-D300)/1000)*$G$251</f>
        <v>732.43500000000006</v>
      </c>
      <c r="G300" s="712">
        <f>(C300-D300)/1000</f>
        <v>0.16500000000000001</v>
      </c>
      <c r="H300" s="713">
        <f t="shared" ref="H300:H309" si="10">J300-I300</f>
        <v>468.1</v>
      </c>
      <c r="I300" s="714">
        <v>200</v>
      </c>
      <c r="J300" s="714">
        <v>668.1</v>
      </c>
      <c r="K300" s="588">
        <f t="shared" si="8"/>
        <v>0</v>
      </c>
      <c r="L300" s="715">
        <f>ROUND(M300/$G$250,0)</f>
        <v>10</v>
      </c>
      <c r="M300" s="617">
        <v>50000</v>
      </c>
      <c r="N300" s="590" t="s">
        <v>416</v>
      </c>
      <c r="Q300" s="622"/>
    </row>
    <row r="301" spans="1:17" s="590" customFormat="1">
      <c r="A301" s="716" t="s">
        <v>584</v>
      </c>
      <c r="B301" s="701" t="s">
        <v>419</v>
      </c>
      <c r="C301" s="702">
        <v>295</v>
      </c>
      <c r="D301" s="703">
        <v>75</v>
      </c>
      <c r="E301" s="624">
        <v>0</v>
      </c>
      <c r="F301" s="607">
        <f>((C301-D301)/1000)*$G$251</f>
        <v>976.58</v>
      </c>
      <c r="G301" s="717">
        <f>(C301-D301)/1000</f>
        <v>0.22</v>
      </c>
      <c r="H301" s="705">
        <f t="shared" si="10"/>
        <v>418.1</v>
      </c>
      <c r="I301" s="706">
        <v>250</v>
      </c>
      <c r="J301" s="707">
        <v>668.1</v>
      </c>
      <c r="K301" s="708">
        <f t="shared" si="8"/>
        <v>0</v>
      </c>
      <c r="L301" s="718">
        <f>ROUND(M301/$G$250,0)</f>
        <v>10</v>
      </c>
      <c r="M301" s="626">
        <v>50000</v>
      </c>
      <c r="N301" s="590" t="s">
        <v>416</v>
      </c>
      <c r="Q301" s="622"/>
    </row>
    <row r="302" spans="1:17" s="519" customFormat="1">
      <c r="A302" s="719" t="s">
        <v>585</v>
      </c>
      <c r="B302" s="720" t="s">
        <v>419</v>
      </c>
      <c r="C302" s="327">
        <v>125</v>
      </c>
      <c r="D302" s="326">
        <v>20</v>
      </c>
      <c r="E302" s="558">
        <v>0</v>
      </c>
      <c r="F302" s="559">
        <f>((C302-D302)/1000)*$G$250</f>
        <v>514.81499999999994</v>
      </c>
      <c r="G302" s="613">
        <f>(C302-D302)/1000</f>
        <v>0.105</v>
      </c>
      <c r="H302" s="561">
        <v>190</v>
      </c>
      <c r="I302" s="562"/>
      <c r="J302" s="562"/>
      <c r="K302" s="334">
        <v>0</v>
      </c>
      <c r="L302" s="721">
        <f>ROUND(M302/$G$250,0)</f>
        <v>10</v>
      </c>
      <c r="M302" s="323">
        <v>50000</v>
      </c>
      <c r="N302" s="631" t="s">
        <v>372</v>
      </c>
    </row>
    <row r="303" spans="1:17" s="519" customFormat="1">
      <c r="A303" s="722" t="s">
        <v>586</v>
      </c>
      <c r="B303" s="723" t="s">
        <v>419</v>
      </c>
      <c r="C303" s="332">
        <v>295</v>
      </c>
      <c r="D303" s="331">
        <v>45</v>
      </c>
      <c r="E303" s="565">
        <v>0</v>
      </c>
      <c r="F303" s="566">
        <f>((C303-D303)/1000)*$G$250</f>
        <v>1225.75</v>
      </c>
      <c r="G303" s="689">
        <f>(C303-D303)/1000</f>
        <v>0.25</v>
      </c>
      <c r="H303" s="354">
        <v>287</v>
      </c>
      <c r="I303" s="680"/>
      <c r="J303" s="681"/>
      <c r="K303" s="330">
        <v>0</v>
      </c>
      <c r="L303" s="724">
        <f>ROUND(M303/$G$250,0)</f>
        <v>10</v>
      </c>
      <c r="M303" s="329">
        <v>50000</v>
      </c>
      <c r="N303" s="631" t="s">
        <v>372</v>
      </c>
    </row>
    <row r="304" spans="1:17" s="519" customFormat="1">
      <c r="A304" s="725" t="s">
        <v>587</v>
      </c>
      <c r="B304" s="726" t="s">
        <v>419</v>
      </c>
      <c r="C304" s="321">
        <v>361</v>
      </c>
      <c r="D304" s="320">
        <v>117</v>
      </c>
      <c r="E304" s="571">
        <v>0</v>
      </c>
      <c r="F304" s="572">
        <f>((C304-D304)/1000)*$G$250</f>
        <v>1196.3319999999999</v>
      </c>
      <c r="G304" s="633">
        <f>(C304-D304)/1000</f>
        <v>0.24399999999999999</v>
      </c>
      <c r="H304" s="337">
        <v>391</v>
      </c>
      <c r="I304" s="685"/>
      <c r="J304" s="686"/>
      <c r="K304" s="318">
        <v>0</v>
      </c>
      <c r="L304" s="727">
        <f>ROUND(M304/$G$250,0)</f>
        <v>10</v>
      </c>
      <c r="M304" s="317">
        <v>50000</v>
      </c>
      <c r="N304" s="631" t="s">
        <v>372</v>
      </c>
      <c r="Q304" s="361"/>
    </row>
    <row r="305" spans="1:17" s="519" customFormat="1">
      <c r="A305" s="728" t="s">
        <v>299</v>
      </c>
      <c r="B305" s="729" t="s">
        <v>588</v>
      </c>
      <c r="C305" s="730">
        <v>33.6</v>
      </c>
      <c r="D305" s="731">
        <v>18.7</v>
      </c>
      <c r="E305" s="576">
        <f>(C305-D305)/100*$G$251*$G$245</f>
        <v>-0.35716194000000001</v>
      </c>
      <c r="F305" s="559">
        <f>((C305-D305)/1000)*G243*G251</f>
        <v>74.739443000000009</v>
      </c>
      <c r="G305" s="560">
        <f>(C305-D305)/1000*G244</f>
        <v>1.9817000000000005E-2</v>
      </c>
      <c r="H305" s="732">
        <v>24</v>
      </c>
      <c r="I305" s="733"/>
      <c r="J305" s="734"/>
      <c r="K305" s="735">
        <f>$H$251</f>
        <v>0.7</v>
      </c>
      <c r="L305" s="736">
        <v>10</v>
      </c>
      <c r="M305" s="736"/>
      <c r="N305" s="631" t="s">
        <v>372</v>
      </c>
    </row>
    <row r="306" spans="1:17" s="519" customFormat="1">
      <c r="A306" s="728" t="s">
        <v>300</v>
      </c>
      <c r="B306" s="729" t="s">
        <v>588</v>
      </c>
      <c r="C306" s="730">
        <v>75</v>
      </c>
      <c r="D306" s="731">
        <v>42</v>
      </c>
      <c r="E306" s="737">
        <f>(C306-D306)/100*$G$251*$G$245</f>
        <v>-0.79102980000000012</v>
      </c>
      <c r="F306" s="738">
        <f>((C306-D306)/1000)*G243*G251</f>
        <v>165.53030999999999</v>
      </c>
      <c r="G306" s="739">
        <f>(C306-D306)/1000*G244</f>
        <v>4.3890000000000005E-2</v>
      </c>
      <c r="H306" s="732">
        <f>36</f>
        <v>36</v>
      </c>
      <c r="I306" s="733"/>
      <c r="J306" s="734"/>
      <c r="K306" s="735">
        <f>$H$251</f>
        <v>0.7</v>
      </c>
      <c r="L306" s="736">
        <v>10</v>
      </c>
      <c r="M306" s="736"/>
      <c r="N306" s="631" t="s">
        <v>372</v>
      </c>
    </row>
    <row r="307" spans="1:17" s="519" customFormat="1">
      <c r="A307" s="728" t="s">
        <v>589</v>
      </c>
      <c r="B307" s="729" t="s">
        <v>588</v>
      </c>
      <c r="C307" s="730">
        <v>81</v>
      </c>
      <c r="D307" s="731">
        <f>7.6*5</f>
        <v>38</v>
      </c>
      <c r="E307" s="740">
        <v>0</v>
      </c>
      <c r="F307" s="738">
        <f>((C307-D307)/1000)*(1+0.4)*8760</f>
        <v>527.35199999999986</v>
      </c>
      <c r="G307" s="741">
        <f>(C307-D307)/1000*(1+0.4)</f>
        <v>6.019999999999999E-2</v>
      </c>
      <c r="H307" s="732">
        <f>11*6</f>
        <v>66</v>
      </c>
      <c r="I307" s="733"/>
      <c r="J307" s="734"/>
      <c r="K307" s="735">
        <f>$H$251</f>
        <v>0.7</v>
      </c>
      <c r="L307" s="736">
        <v>10</v>
      </c>
      <c r="M307" s="736"/>
      <c r="N307" s="631" t="s">
        <v>372</v>
      </c>
    </row>
    <row r="308" spans="1:17" s="519" customFormat="1">
      <c r="A308" s="555" t="s">
        <v>590</v>
      </c>
      <c r="B308" s="345" t="s">
        <v>415</v>
      </c>
      <c r="C308" s="344">
        <v>58.572800000000001</v>
      </c>
      <c r="D308" s="343">
        <v>6.8125</v>
      </c>
      <c r="E308" s="576">
        <f>(C308-D308)/100*8760*$G$245</f>
        <v>-2.4484692312000003</v>
      </c>
      <c r="F308" s="559">
        <f>((C308-D308)/1000)*8760</f>
        <v>453.42022800000001</v>
      </c>
      <c r="G308" s="613">
        <f>(C308-D308)/1000</f>
        <v>5.1760300000000002E-2</v>
      </c>
      <c r="H308" s="561">
        <f t="shared" si="10"/>
        <v>161.30000000000001</v>
      </c>
      <c r="I308" s="562">
        <v>48.5</v>
      </c>
      <c r="J308" s="562">
        <v>209.8</v>
      </c>
      <c r="K308" s="325">
        <f>$H$251</f>
        <v>0.7</v>
      </c>
      <c r="L308" s="630">
        <v>14</v>
      </c>
      <c r="M308" s="323"/>
      <c r="N308" s="519" t="s">
        <v>416</v>
      </c>
      <c r="Q308" s="361"/>
    </row>
    <row r="309" spans="1:17" s="519" customFormat="1">
      <c r="A309" s="725" t="s">
        <v>591</v>
      </c>
      <c r="B309" s="322" t="s">
        <v>415</v>
      </c>
      <c r="C309" s="321">
        <v>58.572800000000001</v>
      </c>
      <c r="D309" s="320">
        <v>4.3875000000000002</v>
      </c>
      <c r="E309" s="578">
        <f>(C309-D309)/100*8760*$G$245</f>
        <v>-2.5631814311999999</v>
      </c>
      <c r="F309" s="572">
        <f>((C309-D309)/1000)*8760</f>
        <v>474.663228</v>
      </c>
      <c r="G309" s="633">
        <f>(C309-D309)/1000</f>
        <v>5.4185299999999999E-2</v>
      </c>
      <c r="H309" s="319">
        <f t="shared" si="10"/>
        <v>161.30000000000001</v>
      </c>
      <c r="I309" s="685">
        <v>48.5</v>
      </c>
      <c r="J309" s="686">
        <v>209.8</v>
      </c>
      <c r="K309" s="318">
        <f>$H$251</f>
        <v>0.7</v>
      </c>
      <c r="L309" s="727">
        <v>14</v>
      </c>
      <c r="M309" s="317"/>
      <c r="N309" s="519" t="s">
        <v>416</v>
      </c>
      <c r="Q309" s="361"/>
    </row>
    <row r="310" spans="1:17" s="519" customFormat="1">
      <c r="F310" s="525"/>
    </row>
  </sheetData>
  <mergeCells count="4">
    <mergeCell ref="F242:H242"/>
    <mergeCell ref="E7:F7"/>
    <mergeCell ref="D60:E60"/>
    <mergeCell ref="B60:C60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7"/>
  </sheetPr>
  <dimension ref="A1:D18"/>
  <sheetViews>
    <sheetView showGridLines="0" zoomScale="75" zoomScaleNormal="75" workbookViewId="0">
      <selection activeCell="B12" sqref="B12"/>
    </sheetView>
  </sheetViews>
  <sheetFormatPr defaultRowHeight="15"/>
  <cols>
    <col min="1" max="1" width="11.140625" bestFit="1" customWidth="1"/>
    <col min="2" max="2" width="9.7109375" customWidth="1"/>
    <col min="3" max="3" width="42" bestFit="1" customWidth="1"/>
  </cols>
  <sheetData>
    <row r="1" spans="1:4">
      <c r="A1" s="17" t="s">
        <v>106</v>
      </c>
    </row>
    <row r="3" spans="1:4">
      <c r="B3" s="19" t="b">
        <f ca="1">COUNTIF(OFFSET('Measure Inputs'!$E$12,,,InputRows),FALSE)=0</f>
        <v>1</v>
      </c>
      <c r="C3" s="19" t="s">
        <v>96</v>
      </c>
      <c r="D3" s="45" t="str">
        <f ca="1">IF(B3,"OK","ERROR")</f>
        <v>OK</v>
      </c>
    </row>
    <row r="4" spans="1:4">
      <c r="B4" s="19" t="b">
        <f ca="1">COUNTIF(OFFSET('Program Inputs'!$C$5,,,TotalPrograms),FALSE)=0</f>
        <v>1</v>
      </c>
      <c r="C4" s="19" t="s">
        <v>97</v>
      </c>
      <c r="D4" s="45" t="str">
        <f ca="1">IF(B4,"OK","ERROR")</f>
        <v>OK</v>
      </c>
    </row>
    <row r="5" spans="1:4">
      <c r="B5" s="19" t="b">
        <f>B17&gt;B16</f>
        <v>0</v>
      </c>
      <c r="C5" s="19" t="s">
        <v>105</v>
      </c>
      <c r="D5" s="45" t="str">
        <f>IF(NOT(B5),"OK","ERROR")</f>
        <v>OK</v>
      </c>
    </row>
    <row r="6" spans="1:4">
      <c r="B6" s="19" t="b">
        <f ca="1">COUNTIF('Measure Inputs'!C:C,TRUE)=TotalMeasures</f>
        <v>1</v>
      </c>
      <c r="C6" s="19" t="s">
        <v>114</v>
      </c>
      <c r="D6" s="45" t="str">
        <f ca="1">IF(B6,"OK","ERROR")</f>
        <v>OK</v>
      </c>
    </row>
    <row r="8" spans="1:4">
      <c r="A8" s="17" t="s">
        <v>107</v>
      </c>
    </row>
    <row r="10" spans="1:4">
      <c r="B10" s="19">
        <f ca="1">SUMPRODUCT(--(FREQUENCY(MATCH(OFFSET('Measure Inputs'!$B$6,1,,InputRows),OFFSET('Measure Inputs'!$B$6,1,,InputRows),0),ROW(OFFSET('Measure Inputs'!$B$6,1,,InputRows))-ROW(OFFSET('Measure Inputs'!$B$6,1,,))+1)&gt;0))</f>
        <v>228</v>
      </c>
      <c r="C10" s="19" t="s">
        <v>108</v>
      </c>
    </row>
    <row r="11" spans="1:4">
      <c r="B11" s="19">
        <f>COUNTA('Measure Inputs'!B:B)-1</f>
        <v>228</v>
      </c>
      <c r="C11" s="19" t="s">
        <v>146</v>
      </c>
    </row>
    <row r="12" spans="1:4">
      <c r="B12" s="19">
        <f>COUNTA('Program Inputs'!$B:$B)-1</f>
        <v>33</v>
      </c>
      <c r="C12" s="19" t="s">
        <v>109</v>
      </c>
    </row>
    <row r="13" spans="1:4">
      <c r="B13" s="19">
        <f>SUM(IF(FREQUENCY(IF(LEN('Program Inputs'!D:D)&gt;0,MATCH('Program Inputs'!D:D,'Program Inputs'!D:D,0),""), IF(LEN('Program Inputs'!D:D)&gt;0,MATCH('Program Inputs'!D:D,'Program Inputs'!D:D,0),""))&gt;0,1))-1</f>
        <v>0</v>
      </c>
      <c r="C13" s="19" t="s">
        <v>110</v>
      </c>
    </row>
    <row r="14" spans="1:4">
      <c r="B14" s="19">
        <f>SUM(IF(FREQUENCY(IF(LEN('Measure Inputs'!I:I)&gt;0,MATCH('Measure Inputs'!I:I,'Measure Inputs'!I:I,0),""), IF(LEN('Measure Inputs'!I:I)&gt;0,MATCH('Measure Inputs'!I:I,'Measure Inputs'!I:I,0),""))&gt;0,1))-1</f>
        <v>0</v>
      </c>
      <c r="C14" s="19" t="s">
        <v>117</v>
      </c>
    </row>
    <row r="15" spans="1:4">
      <c r="B15" s="19">
        <f>CycleEndYear-CycleStartYear+1</f>
        <v>3</v>
      </c>
      <c r="C15" s="19" t="s">
        <v>115</v>
      </c>
    </row>
    <row r="16" spans="1:4">
      <c r="B16" s="19">
        <f>EndYear-BaseYear+1</f>
        <v>34</v>
      </c>
      <c r="C16" s="19" t="s">
        <v>116</v>
      </c>
    </row>
    <row r="17" spans="2:3">
      <c r="B17" s="19">
        <f>MAX('Measure Inputs'!M:N)</f>
        <v>25</v>
      </c>
      <c r="C17" s="19" t="s">
        <v>104</v>
      </c>
    </row>
    <row r="18" spans="2:3">
      <c r="B18" s="19">
        <f>MAX('Measure Inputs'!J:J)</f>
        <v>2019</v>
      </c>
      <c r="C18" s="19" t="s">
        <v>185</v>
      </c>
    </row>
  </sheetData>
  <conditionalFormatting sqref="D3:D5">
    <cfRule type="cellIs" dxfId="3" priority="3" operator="equal">
      <formula>"OK"</formula>
    </cfRule>
    <cfRule type="cellIs" dxfId="2" priority="4" operator="equal">
      <formula>"ERROR"</formula>
    </cfRule>
  </conditionalFormatting>
  <conditionalFormatting sqref="D6">
    <cfRule type="cellIs" dxfId="1" priority="1" operator="equal">
      <formula>"OK"</formula>
    </cfRule>
    <cfRule type="cellIs" dxfId="0" priority="2" operator="equal">
      <formula>"ERROR"</formula>
    </cfRule>
  </conditionalFormatting>
  <pageMargins left="0.7" right="0.7" top="0.75" bottom="0.75" header="0.3" footer="0.3"/>
  <pageSetup orientation="portrait" verticalDpi="0" r:id="rId1"/>
  <ignoredErrors>
    <ignoredError sqref="D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20</vt:i4>
      </vt:variant>
    </vt:vector>
  </HeadingPairs>
  <TitlesOfParts>
    <vt:vector size="31" baseType="lpstr">
      <vt:lpstr>Contents</vt:lpstr>
      <vt:lpstr>Portfolio Summary</vt:lpstr>
      <vt:lpstr>Program Inputs</vt:lpstr>
      <vt:lpstr>Measure Inputs</vt:lpstr>
      <vt:lpstr>General Inputs</vt:lpstr>
      <vt:lpstr>Previous Inputs</vt:lpstr>
      <vt:lpstr>Analysis</vt:lpstr>
      <vt:lpstr>Measure Calculations</vt:lpstr>
      <vt:lpstr>ErrorCheck</vt:lpstr>
      <vt:lpstr>Cost Curve</vt:lpstr>
      <vt:lpstr>EPA Emissions Factors</vt:lpstr>
      <vt:lpstr>BaseYear</vt:lpstr>
      <vt:lpstr>CycleEndYear</vt:lpstr>
      <vt:lpstr>CycleStartYear</vt:lpstr>
      <vt:lpstr>DiscountRatePCT</vt:lpstr>
      <vt:lpstr>DiscountRateRIM</vt:lpstr>
      <vt:lpstr>DiscountRateSCT</vt:lpstr>
      <vt:lpstr>DiscountRateTRC</vt:lpstr>
      <vt:lpstr>DiscountRateUCT</vt:lpstr>
      <vt:lpstr>EndYear</vt:lpstr>
      <vt:lpstr>EscalationRate</vt:lpstr>
      <vt:lpstr>InputRows</vt:lpstr>
      <vt:lpstr>Loss_ElectricDemand</vt:lpstr>
      <vt:lpstr>Loss_ElectricEnergy</vt:lpstr>
      <vt:lpstr>Loss_GasEnergy</vt:lpstr>
      <vt:lpstr>Loss_OilEnergy</vt:lpstr>
      <vt:lpstr>Loss_Propane</vt:lpstr>
      <vt:lpstr>Loss_Water</vt:lpstr>
      <vt:lpstr>TotalMeasures</vt:lpstr>
      <vt:lpstr>TotalPrograms</vt:lpstr>
      <vt:lpstr>TotalSectors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Benefit-Cost Analysis Tool</dc:title>
  <dc:creator>jreilly@appliedenergygroup.com</dc:creator>
  <cp:lastModifiedBy>Purington, Becky</cp:lastModifiedBy>
  <dcterms:created xsi:type="dcterms:W3CDTF">2016-06-29T15:53:35Z</dcterms:created>
  <dcterms:modified xsi:type="dcterms:W3CDTF">2017-08-03T21:30:31Z</dcterms:modified>
</cp:coreProperties>
</file>